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ophie.aloe\Documents\PBF\8- Ongoing PBF Projects\2) YPI_InternationalAlert_SouthKivu_17Dec2018-30Jun2020\1- Rapports Semestriels\Juin 2020\"/>
    </mc:Choice>
  </mc:AlternateContent>
  <xr:revisionPtr revIDLastSave="0" documentId="13_ncr:1_{3E5BC346-80AC-49D2-9111-382E6C060CCF}" xr6:coauthVersionLast="45" xr6:coauthVersionMax="45" xr10:uidLastSave="{00000000-0000-0000-0000-000000000000}"/>
  <bookViews>
    <workbookView xWindow="-120" yWindow="-120" windowWidth="20730" windowHeight="11160" xr2:uid="{00000000-000D-0000-FFFF-FFFF00000000}"/>
  </bookViews>
  <sheets>
    <sheet name="DETAILED REPROT-Q4" sheetId="5" r:id="rId1"/>
    <sheet name="DTR-Q6" sheetId="12" state="hidden" r:id="rId2"/>
    <sheet name="DTR-Q5" sheetId="11" state="hidden" r:id="rId3"/>
    <sheet name="DTR-Q4" sheetId="9" state="hidden" r:id="rId4"/>
    <sheet name="DETAILED REPROT Q1" sheetId="1" state="hidden" r:id="rId5"/>
    <sheet name="DTRQ1" sheetId="4" state="hidden" r:id="rId6"/>
    <sheet name="SUMMARY REPORT Q4" sheetId="10" r:id="rId7"/>
    <sheet name="SUMMARY REPORT-Q3" sheetId="6" state="hidden" r:id="rId8"/>
    <sheet name="DTR-Q2" sheetId="7" state="hidden" r:id="rId9"/>
    <sheet name="DTR3" sheetId="8" state="hidden" r:id="rId10"/>
    <sheet name="SUMMARY REPORTQ1" sheetId="3" state="hidden" r:id="rId11"/>
  </sheets>
  <externalReferences>
    <externalReference r:id="rId12"/>
    <externalReference r:id="rId13"/>
  </externalReferences>
  <definedNames>
    <definedName name="_xlnm._FilterDatabase" localSheetId="4" hidden="1">'DETAILED REPROT Q1'!$A$16:$W$141</definedName>
    <definedName name="_xlnm._FilterDatabase" localSheetId="0" hidden="1">'DETAILED REPROT-Q4'!$A$16:$W$141</definedName>
    <definedName name="_xlnm._FilterDatabase" localSheetId="3" hidden="1">'DTR-Q4'!$A$8:$AB$1082</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656" i="12" l="1"/>
  <c r="Z655" i="12"/>
  <c r="U141" i="5"/>
  <c r="L637" i="12"/>
  <c r="K637" i="12"/>
  <c r="F637" i="12"/>
  <c r="I637" i="12"/>
  <c r="M637" i="12"/>
  <c r="N637" i="12"/>
  <c r="O637" i="12"/>
  <c r="P637" i="12"/>
  <c r="Q637" i="12"/>
  <c r="R637" i="12"/>
  <c r="S637" i="12"/>
  <c r="T637" i="12"/>
  <c r="U637" i="12"/>
  <c r="V637" i="12"/>
  <c r="X637" i="12"/>
  <c r="R139" i="5"/>
  <c r="R137" i="5"/>
  <c r="R136" i="5"/>
  <c r="R135" i="5"/>
  <c r="R134" i="5"/>
  <c r="R133" i="5"/>
  <c r="R132" i="5"/>
  <c r="R131" i="5"/>
  <c r="R130" i="5"/>
  <c r="R129" i="5"/>
  <c r="R128" i="5"/>
  <c r="R127" i="5"/>
  <c r="R126" i="5"/>
  <c r="R125" i="5"/>
  <c r="R123" i="5"/>
  <c r="R122" i="5"/>
  <c r="R121" i="5"/>
  <c r="R120" i="5"/>
  <c r="R119" i="5"/>
  <c r="R118" i="5"/>
  <c r="R117" i="5"/>
  <c r="R116" i="5"/>
  <c r="R115" i="5"/>
  <c r="R114" i="5"/>
  <c r="R113" i="5"/>
  <c r="R112" i="5"/>
  <c r="R111" i="5"/>
  <c r="R110" i="5"/>
  <c r="R108" i="5"/>
  <c r="R107" i="5"/>
  <c r="R106" i="5"/>
  <c r="R105" i="5"/>
  <c r="R104" i="5"/>
  <c r="R103" i="5"/>
  <c r="R102" i="5"/>
  <c r="R101" i="5"/>
  <c r="R100" i="5"/>
  <c r="R99" i="5"/>
  <c r="R98" i="5"/>
  <c r="R97" i="5"/>
  <c r="R96" i="5"/>
  <c r="R95" i="5"/>
  <c r="R94" i="5"/>
  <c r="R93" i="5"/>
  <c r="R89" i="5"/>
  <c r="R88" i="5"/>
  <c r="R87" i="5"/>
  <c r="R85" i="5"/>
  <c r="R83" i="5"/>
  <c r="R82" i="5"/>
  <c r="R80" i="5"/>
  <c r="R79" i="5"/>
  <c r="R75" i="5"/>
  <c r="R74" i="5"/>
  <c r="R73" i="5"/>
  <c r="R72" i="5"/>
  <c r="R70" i="5"/>
  <c r="R69" i="5"/>
  <c r="R67" i="5"/>
  <c r="R66" i="5"/>
  <c r="R64" i="5"/>
  <c r="R63" i="5"/>
  <c r="R62" i="5"/>
  <c r="R61" i="5"/>
  <c r="R59" i="5"/>
  <c r="R58" i="5"/>
  <c r="R56" i="5"/>
  <c r="R55" i="5"/>
  <c r="R52" i="5"/>
  <c r="R51" i="5"/>
  <c r="R50" i="5"/>
  <c r="R48" i="5"/>
  <c r="R47" i="5"/>
  <c r="R45" i="5"/>
  <c r="R44" i="5"/>
  <c r="R42" i="5"/>
  <c r="R41" i="5"/>
  <c r="R36" i="5"/>
  <c r="R35" i="5"/>
  <c r="R32" i="5"/>
  <c r="R31" i="5"/>
  <c r="R30" i="5"/>
  <c r="R29" i="5"/>
  <c r="R28" i="5"/>
  <c r="R27" i="5"/>
  <c r="R25" i="5"/>
  <c r="R24" i="5"/>
  <c r="R22" i="5"/>
  <c r="R21" i="5"/>
  <c r="R19" i="5"/>
  <c r="Z589" i="11"/>
  <c r="Z587" i="11"/>
  <c r="Z588" i="11"/>
  <c r="Y588" i="11"/>
  <c r="Q139" i="5"/>
  <c r="Q137" i="5"/>
  <c r="Q136" i="5"/>
  <c r="Q135" i="5"/>
  <c r="Q134" i="5"/>
  <c r="Q133" i="5"/>
  <c r="Q132" i="5"/>
  <c r="Q131" i="5"/>
  <c r="Q130" i="5"/>
  <c r="Q129" i="5"/>
  <c r="Q128" i="5"/>
  <c r="Q127" i="5"/>
  <c r="Q126" i="5"/>
  <c r="Q125" i="5"/>
  <c r="Q123" i="5"/>
  <c r="Q122" i="5"/>
  <c r="Q121" i="5"/>
  <c r="Q120" i="5"/>
  <c r="Q119" i="5"/>
  <c r="Q118" i="5"/>
  <c r="Q117" i="5"/>
  <c r="Q116" i="5"/>
  <c r="Q115" i="5"/>
  <c r="Q114" i="5"/>
  <c r="Q113" i="5"/>
  <c r="Q112" i="5"/>
  <c r="Q111" i="5"/>
  <c r="Q110" i="5"/>
  <c r="Q108" i="5"/>
  <c r="Q107" i="5"/>
  <c r="Q106" i="5"/>
  <c r="Q105" i="5"/>
  <c r="Q104" i="5"/>
  <c r="Q103" i="5"/>
  <c r="Q102" i="5"/>
  <c r="Q101" i="5"/>
  <c r="Q100" i="5"/>
  <c r="Q99" i="5"/>
  <c r="Q98" i="5"/>
  <c r="Q97" i="5"/>
  <c r="Q96" i="5"/>
  <c r="Q95" i="5"/>
  <c r="Q94" i="5"/>
  <c r="Q93" i="5"/>
  <c r="Q89" i="5"/>
  <c r="Q88" i="5"/>
  <c r="Q87" i="5"/>
  <c r="Q85" i="5"/>
  <c r="Q83" i="5"/>
  <c r="Q82" i="5"/>
  <c r="Q80" i="5"/>
  <c r="Q79" i="5"/>
  <c r="Q75" i="5"/>
  <c r="Q74" i="5"/>
  <c r="Q73" i="5"/>
  <c r="Q72" i="5"/>
  <c r="Q70" i="5"/>
  <c r="Q69" i="5"/>
  <c r="Q67" i="5"/>
  <c r="Q66" i="5"/>
  <c r="Q64" i="5"/>
  <c r="Q63" i="5"/>
  <c r="Q62" i="5"/>
  <c r="Q61" i="5"/>
  <c r="Q59" i="5"/>
  <c r="Q58" i="5"/>
  <c r="Q56" i="5"/>
  <c r="Q55" i="5"/>
  <c r="Q52" i="5"/>
  <c r="Q51" i="5"/>
  <c r="Q50" i="5"/>
  <c r="Q48" i="5"/>
  <c r="Q47" i="5"/>
  <c r="Q45" i="5"/>
  <c r="Q44" i="5"/>
  <c r="Q42" i="5"/>
  <c r="Q41" i="5"/>
  <c r="Q36" i="5"/>
  <c r="Q35" i="5"/>
  <c r="Q32" i="5"/>
  <c r="Q31" i="5"/>
  <c r="Q30" i="5"/>
  <c r="Q29" i="5"/>
  <c r="Q28" i="5"/>
  <c r="Q27" i="5"/>
  <c r="Q25" i="5"/>
  <c r="Q24" i="5"/>
  <c r="Q22" i="5"/>
  <c r="Q21" i="5"/>
  <c r="Q19" i="5"/>
  <c r="Y655" i="12"/>
  <c r="W655" i="12"/>
  <c r="X653" i="12"/>
  <c r="V653" i="12"/>
  <c r="U653" i="12"/>
  <c r="T653" i="12"/>
  <c r="S653" i="12"/>
  <c r="R653" i="12"/>
  <c r="Q653" i="12"/>
  <c r="P653" i="12"/>
  <c r="O653" i="12"/>
  <c r="N653" i="12"/>
  <c r="M653" i="12"/>
  <c r="L653" i="12"/>
  <c r="K653" i="12"/>
  <c r="I653" i="12"/>
  <c r="F653" i="12"/>
  <c r="X652" i="12"/>
  <c r="V652" i="12"/>
  <c r="U652" i="12"/>
  <c r="T652" i="12"/>
  <c r="S652" i="12"/>
  <c r="R652" i="12"/>
  <c r="Q652" i="12"/>
  <c r="P652" i="12"/>
  <c r="O652" i="12"/>
  <c r="N652" i="12"/>
  <c r="M652" i="12"/>
  <c r="L652" i="12"/>
  <c r="K652" i="12"/>
  <c r="I652" i="12"/>
  <c r="F652" i="12"/>
  <c r="X651" i="12"/>
  <c r="V651" i="12"/>
  <c r="U651" i="12"/>
  <c r="T651" i="12"/>
  <c r="S651" i="12"/>
  <c r="R651" i="12"/>
  <c r="Q651" i="12"/>
  <c r="P651" i="12"/>
  <c r="O651" i="12"/>
  <c r="N651" i="12"/>
  <c r="M651" i="12"/>
  <c r="L651" i="12"/>
  <c r="K651" i="12"/>
  <c r="I651" i="12"/>
  <c r="F651" i="12"/>
  <c r="X650" i="12"/>
  <c r="V650" i="12"/>
  <c r="U650" i="12"/>
  <c r="T650" i="12"/>
  <c r="S650" i="12"/>
  <c r="R650" i="12"/>
  <c r="Q650" i="12"/>
  <c r="P650" i="12"/>
  <c r="O650" i="12"/>
  <c r="N650" i="12"/>
  <c r="M650" i="12"/>
  <c r="L650" i="12"/>
  <c r="K650" i="12"/>
  <c r="I650" i="12"/>
  <c r="F650" i="12"/>
  <c r="X649" i="12"/>
  <c r="V649" i="12"/>
  <c r="U649" i="12"/>
  <c r="T649" i="12"/>
  <c r="S649" i="12"/>
  <c r="R649" i="12"/>
  <c r="Q649" i="12"/>
  <c r="P649" i="12"/>
  <c r="O649" i="12"/>
  <c r="N649" i="12"/>
  <c r="M649" i="12"/>
  <c r="L649" i="12"/>
  <c r="K649" i="12"/>
  <c r="I649" i="12"/>
  <c r="F649" i="12"/>
  <c r="X648" i="12"/>
  <c r="V648" i="12"/>
  <c r="U648" i="12"/>
  <c r="T648" i="12"/>
  <c r="S648" i="12"/>
  <c r="R648" i="12"/>
  <c r="Q648" i="12"/>
  <c r="P648" i="12"/>
  <c r="O648" i="12"/>
  <c r="N648" i="12"/>
  <c r="M648" i="12"/>
  <c r="L648" i="12"/>
  <c r="K648" i="12"/>
  <c r="I648" i="12"/>
  <c r="F648" i="12"/>
  <c r="X647" i="12"/>
  <c r="V647" i="12"/>
  <c r="U647" i="12"/>
  <c r="T647" i="12"/>
  <c r="S647" i="12"/>
  <c r="R647" i="12"/>
  <c r="Q647" i="12"/>
  <c r="P647" i="12"/>
  <c r="O647" i="12"/>
  <c r="N647" i="12"/>
  <c r="M647" i="12"/>
  <c r="L647" i="12"/>
  <c r="K647" i="12"/>
  <c r="I647" i="12"/>
  <c r="F647" i="12"/>
  <c r="X646" i="12"/>
  <c r="V646" i="12"/>
  <c r="U646" i="12"/>
  <c r="T646" i="12"/>
  <c r="S646" i="12"/>
  <c r="R646" i="12"/>
  <c r="Q646" i="12"/>
  <c r="P646" i="12"/>
  <c r="O646" i="12"/>
  <c r="N646" i="12"/>
  <c r="M646" i="12"/>
  <c r="L646" i="12"/>
  <c r="K646" i="12"/>
  <c r="I646" i="12"/>
  <c r="F646" i="12"/>
  <c r="X645" i="12"/>
  <c r="V645" i="12"/>
  <c r="U645" i="12"/>
  <c r="T645" i="12"/>
  <c r="S645" i="12"/>
  <c r="R645" i="12"/>
  <c r="Q645" i="12"/>
  <c r="P645" i="12"/>
  <c r="O645" i="12"/>
  <c r="N645" i="12"/>
  <c r="M645" i="12"/>
  <c r="L645" i="12"/>
  <c r="K645" i="12"/>
  <c r="I645" i="12"/>
  <c r="F645" i="12"/>
  <c r="X644" i="12"/>
  <c r="V644" i="12"/>
  <c r="U644" i="12"/>
  <c r="T644" i="12"/>
  <c r="S644" i="12"/>
  <c r="R644" i="12"/>
  <c r="Q644" i="12"/>
  <c r="P644" i="12"/>
  <c r="O644" i="12"/>
  <c r="N644" i="12"/>
  <c r="M644" i="12"/>
  <c r="L644" i="12"/>
  <c r="K644" i="12"/>
  <c r="I644" i="12"/>
  <c r="F644" i="12"/>
  <c r="X643" i="12"/>
  <c r="V643" i="12"/>
  <c r="U643" i="12"/>
  <c r="T643" i="12"/>
  <c r="S643" i="12"/>
  <c r="R643" i="12"/>
  <c r="Q643" i="12"/>
  <c r="P643" i="12"/>
  <c r="O643" i="12"/>
  <c r="N643" i="12"/>
  <c r="M643" i="12"/>
  <c r="L643" i="12"/>
  <c r="K643" i="12"/>
  <c r="I643" i="12"/>
  <c r="F643" i="12"/>
  <c r="X642" i="12"/>
  <c r="V642" i="12"/>
  <c r="U642" i="12"/>
  <c r="T642" i="12"/>
  <c r="S642" i="12"/>
  <c r="R642" i="12"/>
  <c r="Q642" i="12"/>
  <c r="P642" i="12"/>
  <c r="O642" i="12"/>
  <c r="N642" i="12"/>
  <c r="M642" i="12"/>
  <c r="L642" i="12"/>
  <c r="K642" i="12"/>
  <c r="I642" i="12"/>
  <c r="F642" i="12"/>
  <c r="X641" i="12"/>
  <c r="V641" i="12"/>
  <c r="U641" i="12"/>
  <c r="T641" i="12"/>
  <c r="S641" i="12"/>
  <c r="R641" i="12"/>
  <c r="Q641" i="12"/>
  <c r="P641" i="12"/>
  <c r="O641" i="12"/>
  <c r="N641" i="12"/>
  <c r="M641" i="12"/>
  <c r="L641" i="12"/>
  <c r="K641" i="12"/>
  <c r="I641" i="12"/>
  <c r="F641" i="12"/>
  <c r="X640" i="12"/>
  <c r="V640" i="12"/>
  <c r="U640" i="12"/>
  <c r="T640" i="12"/>
  <c r="S640" i="12"/>
  <c r="R640" i="12"/>
  <c r="Q640" i="12"/>
  <c r="P640" i="12"/>
  <c r="O640" i="12"/>
  <c r="N640" i="12"/>
  <c r="M640" i="12"/>
  <c r="L640" i="12"/>
  <c r="K640" i="12"/>
  <c r="I640" i="12"/>
  <c r="F640" i="12"/>
  <c r="X639" i="12"/>
  <c r="V639" i="12"/>
  <c r="U639" i="12"/>
  <c r="T639" i="12"/>
  <c r="S639" i="12"/>
  <c r="R639" i="12"/>
  <c r="Q639" i="12"/>
  <c r="P639" i="12"/>
  <c r="O639" i="12"/>
  <c r="N639" i="12"/>
  <c r="M639" i="12"/>
  <c r="L639" i="12"/>
  <c r="K639" i="12"/>
  <c r="I639" i="12"/>
  <c r="F639" i="12"/>
  <c r="X638" i="12"/>
  <c r="V638" i="12"/>
  <c r="U638" i="12"/>
  <c r="T638" i="12"/>
  <c r="S638" i="12"/>
  <c r="R638" i="12"/>
  <c r="Q638" i="12"/>
  <c r="P638" i="12"/>
  <c r="O638" i="12"/>
  <c r="N638" i="12"/>
  <c r="M638" i="12"/>
  <c r="L638" i="12"/>
  <c r="K638" i="12"/>
  <c r="I638" i="12"/>
  <c r="F638" i="12"/>
  <c r="X636" i="12"/>
  <c r="V636" i="12"/>
  <c r="U636" i="12"/>
  <c r="T636" i="12"/>
  <c r="S636" i="12"/>
  <c r="R636" i="12"/>
  <c r="Q636" i="12"/>
  <c r="P636" i="12"/>
  <c r="O636" i="12"/>
  <c r="N636" i="12"/>
  <c r="M636" i="12"/>
  <c r="L636" i="12"/>
  <c r="K636" i="12"/>
  <c r="I636" i="12"/>
  <c r="F636" i="12"/>
  <c r="X635" i="12"/>
  <c r="V635" i="12"/>
  <c r="U635" i="12"/>
  <c r="T635" i="12"/>
  <c r="S635" i="12"/>
  <c r="R635" i="12"/>
  <c r="Q635" i="12"/>
  <c r="P635" i="12"/>
  <c r="O635" i="12"/>
  <c r="N635" i="12"/>
  <c r="M635" i="12"/>
  <c r="L635" i="12"/>
  <c r="K635" i="12"/>
  <c r="I635" i="12"/>
  <c r="F635" i="12"/>
  <c r="X634" i="12"/>
  <c r="V634" i="12"/>
  <c r="U634" i="12"/>
  <c r="T634" i="12"/>
  <c r="S634" i="12"/>
  <c r="R634" i="12"/>
  <c r="Q634" i="12"/>
  <c r="P634" i="12"/>
  <c r="O634" i="12"/>
  <c r="N634" i="12"/>
  <c r="M634" i="12"/>
  <c r="L634" i="12"/>
  <c r="K634" i="12"/>
  <c r="I634" i="12"/>
  <c r="F634" i="12"/>
  <c r="X633" i="12"/>
  <c r="V633" i="12"/>
  <c r="U633" i="12"/>
  <c r="T633" i="12"/>
  <c r="S633" i="12"/>
  <c r="R633" i="12"/>
  <c r="Q633" i="12"/>
  <c r="P633" i="12"/>
  <c r="O633" i="12"/>
  <c r="N633" i="12"/>
  <c r="M633" i="12"/>
  <c r="L633" i="12"/>
  <c r="K633" i="12"/>
  <c r="I633" i="12"/>
  <c r="F633" i="12"/>
  <c r="X632" i="12"/>
  <c r="V632" i="12"/>
  <c r="U632" i="12"/>
  <c r="T632" i="12"/>
  <c r="S632" i="12"/>
  <c r="R632" i="12"/>
  <c r="Q632" i="12"/>
  <c r="P632" i="12"/>
  <c r="O632" i="12"/>
  <c r="N632" i="12"/>
  <c r="M632" i="12"/>
  <c r="L632" i="12"/>
  <c r="K632" i="12"/>
  <c r="I632" i="12"/>
  <c r="F632" i="12"/>
  <c r="X631" i="12"/>
  <c r="V631" i="12"/>
  <c r="U631" i="12"/>
  <c r="T631" i="12"/>
  <c r="S631" i="12"/>
  <c r="R631" i="12"/>
  <c r="Q631" i="12"/>
  <c r="P631" i="12"/>
  <c r="O631" i="12"/>
  <c r="N631" i="12"/>
  <c r="M631" i="12"/>
  <c r="L631" i="12"/>
  <c r="K631" i="12"/>
  <c r="I631" i="12"/>
  <c r="F631" i="12"/>
  <c r="X630" i="12"/>
  <c r="V630" i="12"/>
  <c r="U630" i="12"/>
  <c r="T630" i="12"/>
  <c r="S630" i="12"/>
  <c r="R630" i="12"/>
  <c r="Q630" i="12"/>
  <c r="P630" i="12"/>
  <c r="O630" i="12"/>
  <c r="N630" i="12"/>
  <c r="M630" i="12"/>
  <c r="L630" i="12"/>
  <c r="K630" i="12"/>
  <c r="I630" i="12"/>
  <c r="F630" i="12"/>
  <c r="X629" i="12"/>
  <c r="V629" i="12"/>
  <c r="U629" i="12"/>
  <c r="T629" i="12"/>
  <c r="S629" i="12"/>
  <c r="R629" i="12"/>
  <c r="Q629" i="12"/>
  <c r="P629" i="12"/>
  <c r="O629" i="12"/>
  <c r="N629" i="12"/>
  <c r="M629" i="12"/>
  <c r="L629" i="12"/>
  <c r="K629" i="12"/>
  <c r="I629" i="12"/>
  <c r="F629" i="12"/>
  <c r="X628" i="12"/>
  <c r="V628" i="12"/>
  <c r="U628" i="12"/>
  <c r="T628" i="12"/>
  <c r="S628" i="12"/>
  <c r="R628" i="12"/>
  <c r="Q628" i="12"/>
  <c r="P628" i="12"/>
  <c r="O628" i="12"/>
  <c r="N628" i="12"/>
  <c r="M628" i="12"/>
  <c r="L628" i="12"/>
  <c r="K628" i="12"/>
  <c r="I628" i="12"/>
  <c r="F628" i="12"/>
  <c r="X627" i="12"/>
  <c r="V627" i="12"/>
  <c r="U627" i="12"/>
  <c r="T627" i="12"/>
  <c r="S627" i="12"/>
  <c r="R627" i="12"/>
  <c r="Q627" i="12"/>
  <c r="P627" i="12"/>
  <c r="O627" i="12"/>
  <c r="N627" i="12"/>
  <c r="M627" i="12"/>
  <c r="L627" i="12"/>
  <c r="K627" i="12"/>
  <c r="I627" i="12"/>
  <c r="F627" i="12"/>
  <c r="X626" i="12"/>
  <c r="V626" i="12"/>
  <c r="U626" i="12"/>
  <c r="T626" i="12"/>
  <c r="S626" i="12"/>
  <c r="R626" i="12"/>
  <c r="Q626" i="12"/>
  <c r="P626" i="12"/>
  <c r="O626" i="12"/>
  <c r="N626" i="12"/>
  <c r="M626" i="12"/>
  <c r="L626" i="12"/>
  <c r="K626" i="12"/>
  <c r="I626" i="12"/>
  <c r="F626" i="12"/>
  <c r="X625" i="12"/>
  <c r="V625" i="12"/>
  <c r="U625" i="12"/>
  <c r="T625" i="12"/>
  <c r="S625" i="12"/>
  <c r="R625" i="12"/>
  <c r="Q625" i="12"/>
  <c r="P625" i="12"/>
  <c r="O625" i="12"/>
  <c r="N625" i="12"/>
  <c r="M625" i="12"/>
  <c r="L625" i="12"/>
  <c r="K625" i="12"/>
  <c r="I625" i="12"/>
  <c r="F625" i="12"/>
  <c r="X624" i="12"/>
  <c r="V624" i="12"/>
  <c r="U624" i="12"/>
  <c r="T624" i="12"/>
  <c r="S624" i="12"/>
  <c r="R624" i="12"/>
  <c r="Q624" i="12"/>
  <c r="P624" i="12"/>
  <c r="O624" i="12"/>
  <c r="N624" i="12"/>
  <c r="M624" i="12"/>
  <c r="L624" i="12"/>
  <c r="K624" i="12"/>
  <c r="I624" i="12"/>
  <c r="F624" i="12"/>
  <c r="X623" i="12"/>
  <c r="V623" i="12"/>
  <c r="U623" i="12"/>
  <c r="T623" i="12"/>
  <c r="S623" i="12"/>
  <c r="R623" i="12"/>
  <c r="Q623" i="12"/>
  <c r="P623" i="12"/>
  <c r="O623" i="12"/>
  <c r="N623" i="12"/>
  <c r="M623" i="12"/>
  <c r="L623" i="12"/>
  <c r="K623" i="12"/>
  <c r="I623" i="12"/>
  <c r="F623" i="12"/>
  <c r="X622" i="12"/>
  <c r="V622" i="12"/>
  <c r="U622" i="12"/>
  <c r="T622" i="12"/>
  <c r="S622" i="12"/>
  <c r="R622" i="12"/>
  <c r="Q622" i="12"/>
  <c r="P622" i="12"/>
  <c r="O622" i="12"/>
  <c r="N622" i="12"/>
  <c r="M622" i="12"/>
  <c r="L622" i="12"/>
  <c r="K622" i="12"/>
  <c r="I622" i="12"/>
  <c r="F622" i="12"/>
  <c r="X621" i="12"/>
  <c r="V621" i="12"/>
  <c r="U621" i="12"/>
  <c r="T621" i="12"/>
  <c r="S621" i="12"/>
  <c r="R621" i="12"/>
  <c r="Q621" i="12"/>
  <c r="P621" i="12"/>
  <c r="O621" i="12"/>
  <c r="N621" i="12"/>
  <c r="M621" i="12"/>
  <c r="L621" i="12"/>
  <c r="K621" i="12"/>
  <c r="I621" i="12"/>
  <c r="F621" i="12"/>
  <c r="X620" i="12"/>
  <c r="V620" i="12"/>
  <c r="U620" i="12"/>
  <c r="T620" i="12"/>
  <c r="S620" i="12"/>
  <c r="R620" i="12"/>
  <c r="Q620" i="12"/>
  <c r="P620" i="12"/>
  <c r="O620" i="12"/>
  <c r="N620" i="12"/>
  <c r="M620" i="12"/>
  <c r="L620" i="12"/>
  <c r="K620" i="12"/>
  <c r="I620" i="12"/>
  <c r="F620" i="12"/>
  <c r="X619" i="12"/>
  <c r="V619" i="12"/>
  <c r="U619" i="12"/>
  <c r="T619" i="12"/>
  <c r="S619" i="12"/>
  <c r="R619" i="12"/>
  <c r="Q619" i="12"/>
  <c r="P619" i="12"/>
  <c r="O619" i="12"/>
  <c r="N619" i="12"/>
  <c r="M619" i="12"/>
  <c r="L619" i="12"/>
  <c r="K619" i="12"/>
  <c r="I619" i="12"/>
  <c r="F619" i="12"/>
  <c r="X618" i="12"/>
  <c r="V618" i="12"/>
  <c r="U618" i="12"/>
  <c r="T618" i="12"/>
  <c r="S618" i="12"/>
  <c r="R618" i="12"/>
  <c r="Q618" i="12"/>
  <c r="P618" i="12"/>
  <c r="O618" i="12"/>
  <c r="N618" i="12"/>
  <c r="M618" i="12"/>
  <c r="L618" i="12"/>
  <c r="K618" i="12"/>
  <c r="I618" i="12"/>
  <c r="F618" i="12"/>
  <c r="X617" i="12"/>
  <c r="V617" i="12"/>
  <c r="U617" i="12"/>
  <c r="T617" i="12"/>
  <c r="S617" i="12"/>
  <c r="R617" i="12"/>
  <c r="Q617" i="12"/>
  <c r="P617" i="12"/>
  <c r="O617" i="12"/>
  <c r="N617" i="12"/>
  <c r="M617" i="12"/>
  <c r="L617" i="12"/>
  <c r="K617" i="12"/>
  <c r="I617" i="12"/>
  <c r="F617" i="12"/>
  <c r="X616" i="12"/>
  <c r="V616" i="12"/>
  <c r="U616" i="12"/>
  <c r="T616" i="12"/>
  <c r="S616" i="12"/>
  <c r="R616" i="12"/>
  <c r="Q616" i="12"/>
  <c r="P616" i="12"/>
  <c r="O616" i="12"/>
  <c r="N616" i="12"/>
  <c r="M616" i="12"/>
  <c r="L616" i="12"/>
  <c r="K616" i="12"/>
  <c r="I616" i="12"/>
  <c r="F616" i="12"/>
  <c r="X615" i="12"/>
  <c r="V615" i="12"/>
  <c r="U615" i="12"/>
  <c r="T615" i="12"/>
  <c r="S615" i="12"/>
  <c r="R615" i="12"/>
  <c r="Q615" i="12"/>
  <c r="P615" i="12"/>
  <c r="O615" i="12"/>
  <c r="N615" i="12"/>
  <c r="M615" i="12"/>
  <c r="L615" i="12"/>
  <c r="K615" i="12"/>
  <c r="I615" i="12"/>
  <c r="F615" i="12"/>
  <c r="X614" i="12"/>
  <c r="V614" i="12"/>
  <c r="U614" i="12"/>
  <c r="T614" i="12"/>
  <c r="S614" i="12"/>
  <c r="R614" i="12"/>
  <c r="Q614" i="12"/>
  <c r="P614" i="12"/>
  <c r="O614" i="12"/>
  <c r="N614" i="12"/>
  <c r="M614" i="12"/>
  <c r="L614" i="12"/>
  <c r="K614" i="12"/>
  <c r="I614" i="12"/>
  <c r="F614" i="12"/>
  <c r="X613" i="12"/>
  <c r="V613" i="12"/>
  <c r="U613" i="12"/>
  <c r="T613" i="12"/>
  <c r="S613" i="12"/>
  <c r="R613" i="12"/>
  <c r="Q613" i="12"/>
  <c r="P613" i="12"/>
  <c r="O613" i="12"/>
  <c r="N613" i="12"/>
  <c r="M613" i="12"/>
  <c r="L613" i="12"/>
  <c r="K613" i="12"/>
  <c r="I613" i="12"/>
  <c r="F613" i="12"/>
  <c r="X612" i="12"/>
  <c r="V612" i="12"/>
  <c r="U612" i="12"/>
  <c r="T612" i="12"/>
  <c r="S612" i="12"/>
  <c r="R612" i="12"/>
  <c r="Q612" i="12"/>
  <c r="P612" i="12"/>
  <c r="O612" i="12"/>
  <c r="N612" i="12"/>
  <c r="M612" i="12"/>
  <c r="L612" i="12"/>
  <c r="K612" i="12"/>
  <c r="I612" i="12"/>
  <c r="F612" i="12"/>
  <c r="X611" i="12"/>
  <c r="V611" i="12"/>
  <c r="U611" i="12"/>
  <c r="T611" i="12"/>
  <c r="S611" i="12"/>
  <c r="R611" i="12"/>
  <c r="Q611" i="12"/>
  <c r="P611" i="12"/>
  <c r="O611" i="12"/>
  <c r="N611" i="12"/>
  <c r="M611" i="12"/>
  <c r="L611" i="12"/>
  <c r="K611" i="12"/>
  <c r="I611" i="12"/>
  <c r="F611" i="12"/>
  <c r="X610" i="12"/>
  <c r="V610" i="12"/>
  <c r="U610" i="12"/>
  <c r="T610" i="12"/>
  <c r="S610" i="12"/>
  <c r="R610" i="12"/>
  <c r="Q610" i="12"/>
  <c r="P610" i="12"/>
  <c r="O610" i="12"/>
  <c r="N610" i="12"/>
  <c r="M610" i="12"/>
  <c r="L610" i="12"/>
  <c r="K610" i="12"/>
  <c r="I610" i="12"/>
  <c r="F610" i="12"/>
  <c r="X609" i="12"/>
  <c r="V609" i="12"/>
  <c r="U609" i="12"/>
  <c r="T609" i="12"/>
  <c r="S609" i="12"/>
  <c r="R609" i="12"/>
  <c r="Q609" i="12"/>
  <c r="P609" i="12"/>
  <c r="O609" i="12"/>
  <c r="N609" i="12"/>
  <c r="M609" i="12"/>
  <c r="L609" i="12"/>
  <c r="K609" i="12"/>
  <c r="I609" i="12"/>
  <c r="F609" i="12"/>
  <c r="X608" i="12"/>
  <c r="V608" i="12"/>
  <c r="U608" i="12"/>
  <c r="T608" i="12"/>
  <c r="S608" i="12"/>
  <c r="R608" i="12"/>
  <c r="Q608" i="12"/>
  <c r="P608" i="12"/>
  <c r="O608" i="12"/>
  <c r="N608" i="12"/>
  <c r="M608" i="12"/>
  <c r="L608" i="12"/>
  <c r="K608" i="12"/>
  <c r="I608" i="12"/>
  <c r="F608" i="12"/>
  <c r="X607" i="12"/>
  <c r="V607" i="12"/>
  <c r="U607" i="12"/>
  <c r="T607" i="12"/>
  <c r="S607" i="12"/>
  <c r="R607" i="12"/>
  <c r="Q607" i="12"/>
  <c r="P607" i="12"/>
  <c r="O607" i="12"/>
  <c r="N607" i="12"/>
  <c r="M607" i="12"/>
  <c r="L607" i="12"/>
  <c r="K607" i="12"/>
  <c r="I607" i="12"/>
  <c r="F607" i="12"/>
  <c r="X606" i="12"/>
  <c r="V606" i="12"/>
  <c r="U606" i="12"/>
  <c r="T606" i="12"/>
  <c r="S606" i="12"/>
  <c r="R606" i="12"/>
  <c r="Q606" i="12"/>
  <c r="P606" i="12"/>
  <c r="O606" i="12"/>
  <c r="N606" i="12"/>
  <c r="M606" i="12"/>
  <c r="L606" i="12"/>
  <c r="K606" i="12"/>
  <c r="I606" i="12"/>
  <c r="F606" i="12"/>
  <c r="X605" i="12"/>
  <c r="V605" i="12"/>
  <c r="U605" i="12"/>
  <c r="T605" i="12"/>
  <c r="S605" i="12"/>
  <c r="R605" i="12"/>
  <c r="Q605" i="12"/>
  <c r="P605" i="12"/>
  <c r="O605" i="12"/>
  <c r="N605" i="12"/>
  <c r="M605" i="12"/>
  <c r="L605" i="12"/>
  <c r="K605" i="12"/>
  <c r="I605" i="12"/>
  <c r="F605" i="12"/>
  <c r="X604" i="12"/>
  <c r="V604" i="12"/>
  <c r="U604" i="12"/>
  <c r="T604" i="12"/>
  <c r="S604" i="12"/>
  <c r="R604" i="12"/>
  <c r="Q604" i="12"/>
  <c r="P604" i="12"/>
  <c r="O604" i="12"/>
  <c r="N604" i="12"/>
  <c r="M604" i="12"/>
  <c r="L604" i="12"/>
  <c r="K604" i="12"/>
  <c r="I604" i="12"/>
  <c r="F604" i="12"/>
  <c r="X603" i="12"/>
  <c r="V603" i="12"/>
  <c r="U603" i="12"/>
  <c r="T603" i="12"/>
  <c r="S603" i="12"/>
  <c r="R603" i="12"/>
  <c r="Q603" i="12"/>
  <c r="P603" i="12"/>
  <c r="O603" i="12"/>
  <c r="N603" i="12"/>
  <c r="M603" i="12"/>
  <c r="L603" i="12"/>
  <c r="K603" i="12"/>
  <c r="I603" i="12"/>
  <c r="F603" i="12"/>
  <c r="X602" i="12"/>
  <c r="V602" i="12"/>
  <c r="U602" i="12"/>
  <c r="T602" i="12"/>
  <c r="S602" i="12"/>
  <c r="R602" i="12"/>
  <c r="Q602" i="12"/>
  <c r="P602" i="12"/>
  <c r="O602" i="12"/>
  <c r="N602" i="12"/>
  <c r="M602" i="12"/>
  <c r="L602" i="12"/>
  <c r="K602" i="12"/>
  <c r="I602" i="12"/>
  <c r="F602" i="12"/>
  <c r="X601" i="12"/>
  <c r="V601" i="12"/>
  <c r="U601" i="12"/>
  <c r="T601" i="12"/>
  <c r="S601" i="12"/>
  <c r="R601" i="12"/>
  <c r="Q601" i="12"/>
  <c r="P601" i="12"/>
  <c r="O601" i="12"/>
  <c r="N601" i="12"/>
  <c r="M601" i="12"/>
  <c r="L601" i="12"/>
  <c r="K601" i="12"/>
  <c r="I601" i="12"/>
  <c r="F601" i="12"/>
  <c r="X600" i="12"/>
  <c r="V600" i="12"/>
  <c r="U600" i="12"/>
  <c r="T600" i="12"/>
  <c r="S600" i="12"/>
  <c r="R600" i="12"/>
  <c r="Q600" i="12"/>
  <c r="P600" i="12"/>
  <c r="O600" i="12"/>
  <c r="N600" i="12"/>
  <c r="M600" i="12"/>
  <c r="L600" i="12"/>
  <c r="K600" i="12"/>
  <c r="I600" i="12"/>
  <c r="F600" i="12"/>
  <c r="X599" i="12"/>
  <c r="V599" i="12"/>
  <c r="U599" i="12"/>
  <c r="T599" i="12"/>
  <c r="S599" i="12"/>
  <c r="R599" i="12"/>
  <c r="Q599" i="12"/>
  <c r="P599" i="12"/>
  <c r="O599" i="12"/>
  <c r="N599" i="12"/>
  <c r="M599" i="12"/>
  <c r="L599" i="12"/>
  <c r="K599" i="12"/>
  <c r="I599" i="12"/>
  <c r="F599" i="12"/>
  <c r="X598" i="12"/>
  <c r="V598" i="12"/>
  <c r="U598" i="12"/>
  <c r="T598" i="12"/>
  <c r="S598" i="12"/>
  <c r="R598" i="12"/>
  <c r="Q598" i="12"/>
  <c r="P598" i="12"/>
  <c r="O598" i="12"/>
  <c r="N598" i="12"/>
  <c r="M598" i="12"/>
  <c r="L598" i="12"/>
  <c r="K598" i="12"/>
  <c r="I598" i="12"/>
  <c r="F598" i="12"/>
  <c r="X597" i="12"/>
  <c r="V597" i="12"/>
  <c r="U597" i="12"/>
  <c r="T597" i="12"/>
  <c r="S597" i="12"/>
  <c r="R597" i="12"/>
  <c r="Q597" i="12"/>
  <c r="P597" i="12"/>
  <c r="O597" i="12"/>
  <c r="N597" i="12"/>
  <c r="M597" i="12"/>
  <c r="L597" i="12"/>
  <c r="K597" i="12"/>
  <c r="I597" i="12"/>
  <c r="F597" i="12"/>
  <c r="X596" i="12"/>
  <c r="V596" i="12"/>
  <c r="U596" i="12"/>
  <c r="T596" i="12"/>
  <c r="S596" i="12"/>
  <c r="R596" i="12"/>
  <c r="Q596" i="12"/>
  <c r="P596" i="12"/>
  <c r="O596" i="12"/>
  <c r="N596" i="12"/>
  <c r="M596" i="12"/>
  <c r="L596" i="12"/>
  <c r="K596" i="12"/>
  <c r="I596" i="12"/>
  <c r="F596" i="12"/>
  <c r="X595" i="12"/>
  <c r="V595" i="12"/>
  <c r="U595" i="12"/>
  <c r="T595" i="12"/>
  <c r="S595" i="12"/>
  <c r="R595" i="12"/>
  <c r="Q595" i="12"/>
  <c r="P595" i="12"/>
  <c r="O595" i="12"/>
  <c r="N595" i="12"/>
  <c r="M595" i="12"/>
  <c r="L595" i="12"/>
  <c r="K595" i="12"/>
  <c r="I595" i="12"/>
  <c r="F595" i="12"/>
  <c r="X594" i="12"/>
  <c r="V594" i="12"/>
  <c r="U594" i="12"/>
  <c r="T594" i="12"/>
  <c r="S594" i="12"/>
  <c r="R594" i="12"/>
  <c r="Q594" i="12"/>
  <c r="P594" i="12"/>
  <c r="O594" i="12"/>
  <c r="N594" i="12"/>
  <c r="M594" i="12"/>
  <c r="L594" i="12"/>
  <c r="K594" i="12"/>
  <c r="I594" i="12"/>
  <c r="F594" i="12"/>
  <c r="X593" i="12"/>
  <c r="V593" i="12"/>
  <c r="U593" i="12"/>
  <c r="T593" i="12"/>
  <c r="S593" i="12"/>
  <c r="R593" i="12"/>
  <c r="Q593" i="12"/>
  <c r="P593" i="12"/>
  <c r="O593" i="12"/>
  <c r="N593" i="12"/>
  <c r="M593" i="12"/>
  <c r="L593" i="12"/>
  <c r="K593" i="12"/>
  <c r="I593" i="12"/>
  <c r="F593" i="12"/>
  <c r="X592" i="12"/>
  <c r="V592" i="12"/>
  <c r="U592" i="12"/>
  <c r="T592" i="12"/>
  <c r="S592" i="12"/>
  <c r="R592" i="12"/>
  <c r="Q592" i="12"/>
  <c r="P592" i="12"/>
  <c r="O592" i="12"/>
  <c r="N592" i="12"/>
  <c r="M592" i="12"/>
  <c r="L592" i="12"/>
  <c r="K592" i="12"/>
  <c r="I592" i="12"/>
  <c r="F592" i="12"/>
  <c r="X591" i="12"/>
  <c r="V591" i="12"/>
  <c r="U591" i="12"/>
  <c r="T591" i="12"/>
  <c r="S591" i="12"/>
  <c r="R591" i="12"/>
  <c r="Q591" i="12"/>
  <c r="P591" i="12"/>
  <c r="O591" i="12"/>
  <c r="N591" i="12"/>
  <c r="M591" i="12"/>
  <c r="L591" i="12"/>
  <c r="K591" i="12"/>
  <c r="I591" i="12"/>
  <c r="F591" i="12"/>
  <c r="X590" i="12"/>
  <c r="V590" i="12"/>
  <c r="U590" i="12"/>
  <c r="T590" i="12"/>
  <c r="S590" i="12"/>
  <c r="R590" i="12"/>
  <c r="Q590" i="12"/>
  <c r="P590" i="12"/>
  <c r="O590" i="12"/>
  <c r="N590" i="12"/>
  <c r="M590" i="12"/>
  <c r="L590" i="12"/>
  <c r="K590" i="12"/>
  <c r="I590" i="12"/>
  <c r="F590" i="12"/>
  <c r="X589" i="12"/>
  <c r="V589" i="12"/>
  <c r="U589" i="12"/>
  <c r="T589" i="12"/>
  <c r="S589" i="12"/>
  <c r="R589" i="12"/>
  <c r="Q589" i="12"/>
  <c r="P589" i="12"/>
  <c r="O589" i="12"/>
  <c r="N589" i="12"/>
  <c r="M589" i="12"/>
  <c r="L589" i="12"/>
  <c r="K589" i="12"/>
  <c r="I589" i="12"/>
  <c r="F589" i="12"/>
  <c r="X588" i="12"/>
  <c r="V588" i="12"/>
  <c r="U588" i="12"/>
  <c r="T588" i="12"/>
  <c r="S588" i="12"/>
  <c r="R588" i="12"/>
  <c r="Q588" i="12"/>
  <c r="P588" i="12"/>
  <c r="O588" i="12"/>
  <c r="N588" i="12"/>
  <c r="M588" i="12"/>
  <c r="L588" i="12"/>
  <c r="K588" i="12"/>
  <c r="I588" i="12"/>
  <c r="F588" i="12"/>
  <c r="X587" i="12"/>
  <c r="V587" i="12"/>
  <c r="U587" i="12"/>
  <c r="T587" i="12"/>
  <c r="S587" i="12"/>
  <c r="R587" i="12"/>
  <c r="Q587" i="12"/>
  <c r="P587" i="12"/>
  <c r="O587" i="12"/>
  <c r="N587" i="12"/>
  <c r="M587" i="12"/>
  <c r="L587" i="12"/>
  <c r="K587" i="12"/>
  <c r="I587" i="12"/>
  <c r="F587" i="12"/>
  <c r="X586" i="12"/>
  <c r="V586" i="12"/>
  <c r="U586" i="12"/>
  <c r="T586" i="12"/>
  <c r="S586" i="12"/>
  <c r="R586" i="12"/>
  <c r="Q586" i="12"/>
  <c r="P586" i="12"/>
  <c r="O586" i="12"/>
  <c r="N586" i="12"/>
  <c r="M586" i="12"/>
  <c r="L586" i="12"/>
  <c r="K586" i="12"/>
  <c r="I586" i="12"/>
  <c r="F586" i="12"/>
  <c r="X585" i="12"/>
  <c r="V585" i="12"/>
  <c r="U585" i="12"/>
  <c r="T585" i="12"/>
  <c r="S585" i="12"/>
  <c r="R585" i="12"/>
  <c r="Q585" i="12"/>
  <c r="P585" i="12"/>
  <c r="O585" i="12"/>
  <c r="N585" i="12"/>
  <c r="M585" i="12"/>
  <c r="L585" i="12"/>
  <c r="K585" i="12"/>
  <c r="I585" i="12"/>
  <c r="F585" i="12"/>
  <c r="X584" i="12"/>
  <c r="V584" i="12"/>
  <c r="U584" i="12"/>
  <c r="T584" i="12"/>
  <c r="S584" i="12"/>
  <c r="R584" i="12"/>
  <c r="Q584" i="12"/>
  <c r="P584" i="12"/>
  <c r="O584" i="12"/>
  <c r="N584" i="12"/>
  <c r="M584" i="12"/>
  <c r="L584" i="12"/>
  <c r="K584" i="12"/>
  <c r="I584" i="12"/>
  <c r="F584" i="12"/>
  <c r="X583" i="12"/>
  <c r="V583" i="12"/>
  <c r="U583" i="12"/>
  <c r="T583" i="12"/>
  <c r="S583" i="12"/>
  <c r="R583" i="12"/>
  <c r="Q583" i="12"/>
  <c r="P583" i="12"/>
  <c r="O583" i="12"/>
  <c r="N583" i="12"/>
  <c r="M583" i="12"/>
  <c r="L583" i="12"/>
  <c r="K583" i="12"/>
  <c r="I583" i="12"/>
  <c r="F583" i="12"/>
  <c r="X582" i="12"/>
  <c r="V582" i="12"/>
  <c r="U582" i="12"/>
  <c r="T582" i="12"/>
  <c r="S582" i="12"/>
  <c r="R582" i="12"/>
  <c r="Q582" i="12"/>
  <c r="P582" i="12"/>
  <c r="O582" i="12"/>
  <c r="N582" i="12"/>
  <c r="M582" i="12"/>
  <c r="L582" i="12"/>
  <c r="K582" i="12"/>
  <c r="I582" i="12"/>
  <c r="F582" i="12"/>
  <c r="X581" i="12"/>
  <c r="V581" i="12"/>
  <c r="U581" i="12"/>
  <c r="T581" i="12"/>
  <c r="S581" i="12"/>
  <c r="R581" i="12"/>
  <c r="Q581" i="12"/>
  <c r="P581" i="12"/>
  <c r="O581" i="12"/>
  <c r="N581" i="12"/>
  <c r="M581" i="12"/>
  <c r="L581" i="12"/>
  <c r="K581" i="12"/>
  <c r="I581" i="12"/>
  <c r="F581" i="12"/>
  <c r="X580" i="12"/>
  <c r="V580" i="12"/>
  <c r="U580" i="12"/>
  <c r="T580" i="12"/>
  <c r="S580" i="12"/>
  <c r="R580" i="12"/>
  <c r="Q580" i="12"/>
  <c r="P580" i="12"/>
  <c r="O580" i="12"/>
  <c r="N580" i="12"/>
  <c r="M580" i="12"/>
  <c r="L580" i="12"/>
  <c r="K580" i="12"/>
  <c r="I580" i="12"/>
  <c r="F580" i="12"/>
  <c r="X579" i="12"/>
  <c r="V579" i="12"/>
  <c r="U579" i="12"/>
  <c r="T579" i="12"/>
  <c r="S579" i="12"/>
  <c r="R579" i="12"/>
  <c r="Q579" i="12"/>
  <c r="P579" i="12"/>
  <c r="O579" i="12"/>
  <c r="N579" i="12"/>
  <c r="M579" i="12"/>
  <c r="L579" i="12"/>
  <c r="K579" i="12"/>
  <c r="I579" i="12"/>
  <c r="F579" i="12"/>
  <c r="X578" i="12"/>
  <c r="V578" i="12"/>
  <c r="U578" i="12"/>
  <c r="T578" i="12"/>
  <c r="S578" i="12"/>
  <c r="R578" i="12"/>
  <c r="Q578" i="12"/>
  <c r="P578" i="12"/>
  <c r="O578" i="12"/>
  <c r="N578" i="12"/>
  <c r="M578" i="12"/>
  <c r="L578" i="12"/>
  <c r="K578" i="12"/>
  <c r="I578" i="12"/>
  <c r="F578" i="12"/>
  <c r="X577" i="12"/>
  <c r="V577" i="12"/>
  <c r="U577" i="12"/>
  <c r="T577" i="12"/>
  <c r="S577" i="12"/>
  <c r="R577" i="12"/>
  <c r="Q577" i="12"/>
  <c r="P577" i="12"/>
  <c r="O577" i="12"/>
  <c r="N577" i="12"/>
  <c r="M577" i="12"/>
  <c r="L577" i="12"/>
  <c r="K577" i="12"/>
  <c r="I577" i="12"/>
  <c r="F577" i="12"/>
  <c r="X576" i="12"/>
  <c r="V576" i="12"/>
  <c r="U576" i="12"/>
  <c r="T576" i="12"/>
  <c r="S576" i="12"/>
  <c r="R576" i="12"/>
  <c r="Q576" i="12"/>
  <c r="P576" i="12"/>
  <c r="O576" i="12"/>
  <c r="N576" i="12"/>
  <c r="M576" i="12"/>
  <c r="L576" i="12"/>
  <c r="K576" i="12"/>
  <c r="I576" i="12"/>
  <c r="F576" i="12"/>
  <c r="X575" i="12"/>
  <c r="V575" i="12"/>
  <c r="U575" i="12"/>
  <c r="T575" i="12"/>
  <c r="S575" i="12"/>
  <c r="R575" i="12"/>
  <c r="Q575" i="12"/>
  <c r="P575" i="12"/>
  <c r="O575" i="12"/>
  <c r="N575" i="12"/>
  <c r="M575" i="12"/>
  <c r="L575" i="12"/>
  <c r="K575" i="12"/>
  <c r="I575" i="12"/>
  <c r="F575" i="12"/>
  <c r="X574" i="12"/>
  <c r="V574" i="12"/>
  <c r="U574" i="12"/>
  <c r="T574" i="12"/>
  <c r="S574" i="12"/>
  <c r="R574" i="12"/>
  <c r="Q574" i="12"/>
  <c r="P574" i="12"/>
  <c r="O574" i="12"/>
  <c r="N574" i="12"/>
  <c r="M574" i="12"/>
  <c r="L574" i="12"/>
  <c r="K574" i="12"/>
  <c r="I574" i="12"/>
  <c r="F574" i="12"/>
  <c r="X573" i="12"/>
  <c r="V573" i="12"/>
  <c r="U573" i="12"/>
  <c r="T573" i="12"/>
  <c r="S573" i="12"/>
  <c r="R573" i="12"/>
  <c r="Q573" i="12"/>
  <c r="P573" i="12"/>
  <c r="O573" i="12"/>
  <c r="N573" i="12"/>
  <c r="M573" i="12"/>
  <c r="L573" i="12"/>
  <c r="K573" i="12"/>
  <c r="I573" i="12"/>
  <c r="F573" i="12"/>
  <c r="X572" i="12"/>
  <c r="V572" i="12"/>
  <c r="U572" i="12"/>
  <c r="T572" i="12"/>
  <c r="S572" i="12"/>
  <c r="R572" i="12"/>
  <c r="Q572" i="12"/>
  <c r="P572" i="12"/>
  <c r="O572" i="12"/>
  <c r="N572" i="12"/>
  <c r="M572" i="12"/>
  <c r="L572" i="12"/>
  <c r="K572" i="12"/>
  <c r="I572" i="12"/>
  <c r="F572" i="12"/>
  <c r="X571" i="12"/>
  <c r="V571" i="12"/>
  <c r="U571" i="12"/>
  <c r="T571" i="12"/>
  <c r="S571" i="12"/>
  <c r="R571" i="12"/>
  <c r="Q571" i="12"/>
  <c r="P571" i="12"/>
  <c r="O571" i="12"/>
  <c r="N571" i="12"/>
  <c r="M571" i="12"/>
  <c r="L571" i="12"/>
  <c r="K571" i="12"/>
  <c r="I571" i="12"/>
  <c r="F571" i="12"/>
  <c r="X570" i="12"/>
  <c r="V570" i="12"/>
  <c r="U570" i="12"/>
  <c r="T570" i="12"/>
  <c r="S570" i="12"/>
  <c r="R570" i="12"/>
  <c r="Q570" i="12"/>
  <c r="P570" i="12"/>
  <c r="O570" i="12"/>
  <c r="N570" i="12"/>
  <c r="M570" i="12"/>
  <c r="L570" i="12"/>
  <c r="K570" i="12"/>
  <c r="I570" i="12"/>
  <c r="F570" i="12"/>
  <c r="X569" i="12"/>
  <c r="V569" i="12"/>
  <c r="U569" i="12"/>
  <c r="T569" i="12"/>
  <c r="S569" i="12"/>
  <c r="R569" i="12"/>
  <c r="Q569" i="12"/>
  <c r="P569" i="12"/>
  <c r="O569" i="12"/>
  <c r="N569" i="12"/>
  <c r="M569" i="12"/>
  <c r="L569" i="12"/>
  <c r="K569" i="12"/>
  <c r="I569" i="12"/>
  <c r="F569" i="12"/>
  <c r="X568" i="12"/>
  <c r="V568" i="12"/>
  <c r="U568" i="12"/>
  <c r="T568" i="12"/>
  <c r="S568" i="12"/>
  <c r="R568" i="12"/>
  <c r="Q568" i="12"/>
  <c r="P568" i="12"/>
  <c r="O568" i="12"/>
  <c r="N568" i="12"/>
  <c r="M568" i="12"/>
  <c r="L568" i="12"/>
  <c r="K568" i="12"/>
  <c r="I568" i="12"/>
  <c r="F568" i="12"/>
  <c r="X567" i="12"/>
  <c r="V567" i="12"/>
  <c r="U567" i="12"/>
  <c r="T567" i="12"/>
  <c r="S567" i="12"/>
  <c r="R567" i="12"/>
  <c r="Q567" i="12"/>
  <c r="P567" i="12"/>
  <c r="O567" i="12"/>
  <c r="N567" i="12"/>
  <c r="M567" i="12"/>
  <c r="L567" i="12"/>
  <c r="K567" i="12"/>
  <c r="I567" i="12"/>
  <c r="F567" i="12"/>
  <c r="X566" i="12"/>
  <c r="V566" i="12"/>
  <c r="U566" i="12"/>
  <c r="T566" i="12"/>
  <c r="S566" i="12"/>
  <c r="R566" i="12"/>
  <c r="Q566" i="12"/>
  <c r="P566" i="12"/>
  <c r="O566" i="12"/>
  <c r="N566" i="12"/>
  <c r="M566" i="12"/>
  <c r="L566" i="12"/>
  <c r="K566" i="12"/>
  <c r="I566" i="12"/>
  <c r="F566" i="12"/>
  <c r="X565" i="12"/>
  <c r="V565" i="12"/>
  <c r="U565" i="12"/>
  <c r="T565" i="12"/>
  <c r="S565" i="12"/>
  <c r="R565" i="12"/>
  <c r="Q565" i="12"/>
  <c r="P565" i="12"/>
  <c r="O565" i="12"/>
  <c r="N565" i="12"/>
  <c r="M565" i="12"/>
  <c r="L565" i="12"/>
  <c r="K565" i="12"/>
  <c r="I565" i="12"/>
  <c r="F565" i="12"/>
  <c r="X564" i="12"/>
  <c r="V564" i="12"/>
  <c r="U564" i="12"/>
  <c r="T564" i="12"/>
  <c r="S564" i="12"/>
  <c r="R564" i="12"/>
  <c r="Q564" i="12"/>
  <c r="P564" i="12"/>
  <c r="O564" i="12"/>
  <c r="N564" i="12"/>
  <c r="M564" i="12"/>
  <c r="L564" i="12"/>
  <c r="K564" i="12"/>
  <c r="I564" i="12"/>
  <c r="F564" i="12"/>
  <c r="X563" i="12"/>
  <c r="V563" i="12"/>
  <c r="U563" i="12"/>
  <c r="T563" i="12"/>
  <c r="S563" i="12"/>
  <c r="R563" i="12"/>
  <c r="Q563" i="12"/>
  <c r="P563" i="12"/>
  <c r="O563" i="12"/>
  <c r="N563" i="12"/>
  <c r="M563" i="12"/>
  <c r="L563" i="12"/>
  <c r="K563" i="12"/>
  <c r="I563" i="12"/>
  <c r="F563" i="12"/>
  <c r="X562" i="12"/>
  <c r="V562" i="12"/>
  <c r="U562" i="12"/>
  <c r="T562" i="12"/>
  <c r="S562" i="12"/>
  <c r="R562" i="12"/>
  <c r="Q562" i="12"/>
  <c r="P562" i="12"/>
  <c r="O562" i="12"/>
  <c r="N562" i="12"/>
  <c r="M562" i="12"/>
  <c r="L562" i="12"/>
  <c r="K562" i="12"/>
  <c r="I562" i="12"/>
  <c r="F562" i="12"/>
  <c r="X561" i="12"/>
  <c r="V561" i="12"/>
  <c r="U561" i="12"/>
  <c r="T561" i="12"/>
  <c r="S561" i="12"/>
  <c r="R561" i="12"/>
  <c r="Q561" i="12"/>
  <c r="P561" i="12"/>
  <c r="O561" i="12"/>
  <c r="N561" i="12"/>
  <c r="M561" i="12"/>
  <c r="L561" i="12"/>
  <c r="K561" i="12"/>
  <c r="I561" i="12"/>
  <c r="F561" i="12"/>
  <c r="X560" i="12"/>
  <c r="V560" i="12"/>
  <c r="U560" i="12"/>
  <c r="T560" i="12"/>
  <c r="S560" i="12"/>
  <c r="R560" i="12"/>
  <c r="Q560" i="12"/>
  <c r="P560" i="12"/>
  <c r="O560" i="12"/>
  <c r="N560" i="12"/>
  <c r="M560" i="12"/>
  <c r="L560" i="12"/>
  <c r="K560" i="12"/>
  <c r="I560" i="12"/>
  <c r="F560" i="12"/>
  <c r="X559" i="12"/>
  <c r="V559" i="12"/>
  <c r="U559" i="12"/>
  <c r="T559" i="12"/>
  <c r="S559" i="12"/>
  <c r="R559" i="12"/>
  <c r="Q559" i="12"/>
  <c r="P559" i="12"/>
  <c r="O559" i="12"/>
  <c r="N559" i="12"/>
  <c r="M559" i="12"/>
  <c r="L559" i="12"/>
  <c r="K559" i="12"/>
  <c r="I559" i="12"/>
  <c r="F559" i="12"/>
  <c r="X558" i="12"/>
  <c r="V558" i="12"/>
  <c r="U558" i="12"/>
  <c r="T558" i="12"/>
  <c r="S558" i="12"/>
  <c r="R558" i="12"/>
  <c r="Q558" i="12"/>
  <c r="P558" i="12"/>
  <c r="O558" i="12"/>
  <c r="N558" i="12"/>
  <c r="M558" i="12"/>
  <c r="L558" i="12"/>
  <c r="K558" i="12"/>
  <c r="I558" i="12"/>
  <c r="F558" i="12"/>
  <c r="X557" i="12"/>
  <c r="V557" i="12"/>
  <c r="U557" i="12"/>
  <c r="T557" i="12"/>
  <c r="S557" i="12"/>
  <c r="R557" i="12"/>
  <c r="Q557" i="12"/>
  <c r="P557" i="12"/>
  <c r="O557" i="12"/>
  <c r="N557" i="12"/>
  <c r="M557" i="12"/>
  <c r="L557" i="12"/>
  <c r="K557" i="12"/>
  <c r="I557" i="12"/>
  <c r="F557" i="12"/>
  <c r="X556" i="12"/>
  <c r="V556" i="12"/>
  <c r="U556" i="12"/>
  <c r="T556" i="12"/>
  <c r="S556" i="12"/>
  <c r="R556" i="12"/>
  <c r="Q556" i="12"/>
  <c r="P556" i="12"/>
  <c r="O556" i="12"/>
  <c r="N556" i="12"/>
  <c r="M556" i="12"/>
  <c r="L556" i="12"/>
  <c r="K556" i="12"/>
  <c r="I556" i="12"/>
  <c r="F556" i="12"/>
  <c r="X555" i="12"/>
  <c r="V555" i="12"/>
  <c r="U555" i="12"/>
  <c r="T555" i="12"/>
  <c r="S555" i="12"/>
  <c r="R555" i="12"/>
  <c r="Q555" i="12"/>
  <c r="P555" i="12"/>
  <c r="O555" i="12"/>
  <c r="N555" i="12"/>
  <c r="M555" i="12"/>
  <c r="L555" i="12"/>
  <c r="K555" i="12"/>
  <c r="I555" i="12"/>
  <c r="F555" i="12"/>
  <c r="X554" i="12"/>
  <c r="V554" i="12"/>
  <c r="U554" i="12"/>
  <c r="T554" i="12"/>
  <c r="S554" i="12"/>
  <c r="R554" i="12"/>
  <c r="Q554" i="12"/>
  <c r="P554" i="12"/>
  <c r="O554" i="12"/>
  <c r="N554" i="12"/>
  <c r="M554" i="12"/>
  <c r="L554" i="12"/>
  <c r="K554" i="12"/>
  <c r="I554" i="12"/>
  <c r="F554" i="12"/>
  <c r="X553" i="12"/>
  <c r="V553" i="12"/>
  <c r="U553" i="12"/>
  <c r="T553" i="12"/>
  <c r="S553" i="12"/>
  <c r="R553" i="12"/>
  <c r="Q553" i="12"/>
  <c r="P553" i="12"/>
  <c r="O553" i="12"/>
  <c r="N553" i="12"/>
  <c r="M553" i="12"/>
  <c r="L553" i="12"/>
  <c r="K553" i="12"/>
  <c r="I553" i="12"/>
  <c r="F553" i="12"/>
  <c r="X552" i="12"/>
  <c r="V552" i="12"/>
  <c r="U552" i="12"/>
  <c r="T552" i="12"/>
  <c r="S552" i="12"/>
  <c r="R552" i="12"/>
  <c r="Q552" i="12"/>
  <c r="P552" i="12"/>
  <c r="O552" i="12"/>
  <c r="N552" i="12"/>
  <c r="M552" i="12"/>
  <c r="L552" i="12"/>
  <c r="K552" i="12"/>
  <c r="I552" i="12"/>
  <c r="F552" i="12"/>
  <c r="X551" i="12"/>
  <c r="V551" i="12"/>
  <c r="U551" i="12"/>
  <c r="T551" i="12"/>
  <c r="S551" i="12"/>
  <c r="R551" i="12"/>
  <c r="Q551" i="12"/>
  <c r="P551" i="12"/>
  <c r="O551" i="12"/>
  <c r="N551" i="12"/>
  <c r="M551" i="12"/>
  <c r="L551" i="12"/>
  <c r="K551" i="12"/>
  <c r="I551" i="12"/>
  <c r="F551" i="12"/>
  <c r="X550" i="12"/>
  <c r="V550" i="12"/>
  <c r="U550" i="12"/>
  <c r="T550" i="12"/>
  <c r="S550" i="12"/>
  <c r="R550" i="12"/>
  <c r="Q550" i="12"/>
  <c r="P550" i="12"/>
  <c r="O550" i="12"/>
  <c r="N550" i="12"/>
  <c r="M550" i="12"/>
  <c r="L550" i="12"/>
  <c r="K550" i="12"/>
  <c r="I550" i="12"/>
  <c r="F550" i="12"/>
  <c r="X549" i="12"/>
  <c r="V549" i="12"/>
  <c r="U549" i="12"/>
  <c r="T549" i="12"/>
  <c r="S549" i="12"/>
  <c r="R549" i="12"/>
  <c r="Q549" i="12"/>
  <c r="P549" i="12"/>
  <c r="O549" i="12"/>
  <c r="N549" i="12"/>
  <c r="M549" i="12"/>
  <c r="L549" i="12"/>
  <c r="K549" i="12"/>
  <c r="I549" i="12"/>
  <c r="F549" i="12"/>
  <c r="X548" i="12"/>
  <c r="V548" i="12"/>
  <c r="U548" i="12"/>
  <c r="T548" i="12"/>
  <c r="S548" i="12"/>
  <c r="R548" i="12"/>
  <c r="Q548" i="12"/>
  <c r="P548" i="12"/>
  <c r="O548" i="12"/>
  <c r="N548" i="12"/>
  <c r="M548" i="12"/>
  <c r="L548" i="12"/>
  <c r="K548" i="12"/>
  <c r="I548" i="12"/>
  <c r="F548" i="12"/>
  <c r="X547" i="12"/>
  <c r="V547" i="12"/>
  <c r="U547" i="12"/>
  <c r="T547" i="12"/>
  <c r="S547" i="12"/>
  <c r="R547" i="12"/>
  <c r="Q547" i="12"/>
  <c r="P547" i="12"/>
  <c r="O547" i="12"/>
  <c r="N547" i="12"/>
  <c r="M547" i="12"/>
  <c r="L547" i="12"/>
  <c r="K547" i="12"/>
  <c r="I547" i="12"/>
  <c r="F547" i="12"/>
  <c r="X546" i="12"/>
  <c r="V546" i="12"/>
  <c r="U546" i="12"/>
  <c r="T546" i="12"/>
  <c r="S546" i="12"/>
  <c r="R546" i="12"/>
  <c r="Q546" i="12"/>
  <c r="P546" i="12"/>
  <c r="O546" i="12"/>
  <c r="N546" i="12"/>
  <c r="M546" i="12"/>
  <c r="L546" i="12"/>
  <c r="K546" i="12"/>
  <c r="I546" i="12"/>
  <c r="F546" i="12"/>
  <c r="X545" i="12"/>
  <c r="V545" i="12"/>
  <c r="U545" i="12"/>
  <c r="T545" i="12"/>
  <c r="S545" i="12"/>
  <c r="R545" i="12"/>
  <c r="Q545" i="12"/>
  <c r="P545" i="12"/>
  <c r="O545" i="12"/>
  <c r="N545" i="12"/>
  <c r="M545" i="12"/>
  <c r="L545" i="12"/>
  <c r="K545" i="12"/>
  <c r="I545" i="12"/>
  <c r="F545" i="12"/>
  <c r="X544" i="12"/>
  <c r="V544" i="12"/>
  <c r="U544" i="12"/>
  <c r="T544" i="12"/>
  <c r="S544" i="12"/>
  <c r="R544" i="12"/>
  <c r="Q544" i="12"/>
  <c r="P544" i="12"/>
  <c r="O544" i="12"/>
  <c r="N544" i="12"/>
  <c r="M544" i="12"/>
  <c r="L544" i="12"/>
  <c r="K544" i="12"/>
  <c r="I544" i="12"/>
  <c r="F544" i="12"/>
  <c r="X543" i="12"/>
  <c r="V543" i="12"/>
  <c r="U543" i="12"/>
  <c r="T543" i="12"/>
  <c r="S543" i="12"/>
  <c r="R543" i="12"/>
  <c r="Q543" i="12"/>
  <c r="P543" i="12"/>
  <c r="O543" i="12"/>
  <c r="N543" i="12"/>
  <c r="M543" i="12"/>
  <c r="L543" i="12"/>
  <c r="K543" i="12"/>
  <c r="I543" i="12"/>
  <c r="F543" i="12"/>
  <c r="X542" i="12"/>
  <c r="V542" i="12"/>
  <c r="U542" i="12"/>
  <c r="T542" i="12"/>
  <c r="S542" i="12"/>
  <c r="R542" i="12"/>
  <c r="Q542" i="12"/>
  <c r="P542" i="12"/>
  <c r="O542" i="12"/>
  <c r="N542" i="12"/>
  <c r="M542" i="12"/>
  <c r="L542" i="12"/>
  <c r="K542" i="12"/>
  <c r="I542" i="12"/>
  <c r="F542" i="12"/>
  <c r="X541" i="12"/>
  <c r="V541" i="12"/>
  <c r="U541" i="12"/>
  <c r="T541" i="12"/>
  <c r="S541" i="12"/>
  <c r="R541" i="12"/>
  <c r="Q541" i="12"/>
  <c r="P541" i="12"/>
  <c r="O541" i="12"/>
  <c r="N541" i="12"/>
  <c r="M541" i="12"/>
  <c r="L541" i="12"/>
  <c r="K541" i="12"/>
  <c r="I541" i="12"/>
  <c r="F541" i="12"/>
  <c r="X540" i="12"/>
  <c r="V540" i="12"/>
  <c r="U540" i="12"/>
  <c r="T540" i="12"/>
  <c r="S540" i="12"/>
  <c r="R540" i="12"/>
  <c r="Q540" i="12"/>
  <c r="P540" i="12"/>
  <c r="O540" i="12"/>
  <c r="N540" i="12"/>
  <c r="M540" i="12"/>
  <c r="L540" i="12"/>
  <c r="K540" i="12"/>
  <c r="I540" i="12"/>
  <c r="F540" i="12"/>
  <c r="X539" i="12"/>
  <c r="V539" i="12"/>
  <c r="U539" i="12"/>
  <c r="T539" i="12"/>
  <c r="S539" i="12"/>
  <c r="R539" i="12"/>
  <c r="Q539" i="12"/>
  <c r="P539" i="12"/>
  <c r="O539" i="12"/>
  <c r="N539" i="12"/>
  <c r="M539" i="12"/>
  <c r="L539" i="12"/>
  <c r="K539" i="12"/>
  <c r="I539" i="12"/>
  <c r="F539" i="12"/>
  <c r="X538" i="12"/>
  <c r="V538" i="12"/>
  <c r="U538" i="12"/>
  <c r="T538" i="12"/>
  <c r="S538" i="12"/>
  <c r="R538" i="12"/>
  <c r="Q538" i="12"/>
  <c r="P538" i="12"/>
  <c r="O538" i="12"/>
  <c r="N538" i="12"/>
  <c r="M538" i="12"/>
  <c r="L538" i="12"/>
  <c r="K538" i="12"/>
  <c r="I538" i="12"/>
  <c r="F538" i="12"/>
  <c r="X537" i="12"/>
  <c r="V537" i="12"/>
  <c r="U537" i="12"/>
  <c r="T537" i="12"/>
  <c r="S537" i="12"/>
  <c r="R537" i="12"/>
  <c r="Q537" i="12"/>
  <c r="P537" i="12"/>
  <c r="O537" i="12"/>
  <c r="N537" i="12"/>
  <c r="M537" i="12"/>
  <c r="L537" i="12"/>
  <c r="K537" i="12"/>
  <c r="I537" i="12"/>
  <c r="F537" i="12"/>
  <c r="X536" i="12"/>
  <c r="V536" i="12"/>
  <c r="U536" i="12"/>
  <c r="T536" i="12"/>
  <c r="S536" i="12"/>
  <c r="R536" i="12"/>
  <c r="Q536" i="12"/>
  <c r="P536" i="12"/>
  <c r="O536" i="12"/>
  <c r="N536" i="12"/>
  <c r="M536" i="12"/>
  <c r="L536" i="12"/>
  <c r="K536" i="12"/>
  <c r="I536" i="12"/>
  <c r="F536" i="12"/>
  <c r="X535" i="12"/>
  <c r="V535" i="12"/>
  <c r="U535" i="12"/>
  <c r="T535" i="12"/>
  <c r="S535" i="12"/>
  <c r="R535" i="12"/>
  <c r="Q535" i="12"/>
  <c r="P535" i="12"/>
  <c r="O535" i="12"/>
  <c r="N535" i="12"/>
  <c r="M535" i="12"/>
  <c r="L535" i="12"/>
  <c r="K535" i="12"/>
  <c r="I535" i="12"/>
  <c r="F535" i="12"/>
  <c r="X534" i="12"/>
  <c r="V534" i="12"/>
  <c r="U534" i="12"/>
  <c r="T534" i="12"/>
  <c r="S534" i="12"/>
  <c r="R534" i="12"/>
  <c r="Q534" i="12"/>
  <c r="P534" i="12"/>
  <c r="O534" i="12"/>
  <c r="N534" i="12"/>
  <c r="M534" i="12"/>
  <c r="L534" i="12"/>
  <c r="K534" i="12"/>
  <c r="I534" i="12"/>
  <c r="F534" i="12"/>
  <c r="X533" i="12"/>
  <c r="V533" i="12"/>
  <c r="U533" i="12"/>
  <c r="T533" i="12"/>
  <c r="S533" i="12"/>
  <c r="R533" i="12"/>
  <c r="Q533" i="12"/>
  <c r="P533" i="12"/>
  <c r="O533" i="12"/>
  <c r="N533" i="12"/>
  <c r="M533" i="12"/>
  <c r="L533" i="12"/>
  <c r="K533" i="12"/>
  <c r="I533" i="12"/>
  <c r="F533" i="12"/>
  <c r="X532" i="12"/>
  <c r="V532" i="12"/>
  <c r="U532" i="12"/>
  <c r="T532" i="12"/>
  <c r="S532" i="12"/>
  <c r="R532" i="12"/>
  <c r="Q532" i="12"/>
  <c r="P532" i="12"/>
  <c r="O532" i="12"/>
  <c r="N532" i="12"/>
  <c r="M532" i="12"/>
  <c r="L532" i="12"/>
  <c r="K532" i="12"/>
  <c r="I532" i="12"/>
  <c r="F532" i="12"/>
  <c r="X531" i="12"/>
  <c r="V531" i="12"/>
  <c r="U531" i="12"/>
  <c r="T531" i="12"/>
  <c r="S531" i="12"/>
  <c r="R531" i="12"/>
  <c r="Q531" i="12"/>
  <c r="P531" i="12"/>
  <c r="O531" i="12"/>
  <c r="N531" i="12"/>
  <c r="M531" i="12"/>
  <c r="L531" i="12"/>
  <c r="K531" i="12"/>
  <c r="I531" i="12"/>
  <c r="F531" i="12"/>
  <c r="X530" i="12"/>
  <c r="V530" i="12"/>
  <c r="U530" i="12"/>
  <c r="T530" i="12"/>
  <c r="S530" i="12"/>
  <c r="R530" i="12"/>
  <c r="Q530" i="12"/>
  <c r="P530" i="12"/>
  <c r="O530" i="12"/>
  <c r="N530" i="12"/>
  <c r="M530" i="12"/>
  <c r="L530" i="12"/>
  <c r="K530" i="12"/>
  <c r="I530" i="12"/>
  <c r="F530" i="12"/>
  <c r="X529" i="12"/>
  <c r="V529" i="12"/>
  <c r="U529" i="12"/>
  <c r="T529" i="12"/>
  <c r="S529" i="12"/>
  <c r="R529" i="12"/>
  <c r="Q529" i="12"/>
  <c r="P529" i="12"/>
  <c r="O529" i="12"/>
  <c r="N529" i="12"/>
  <c r="M529" i="12"/>
  <c r="L529" i="12"/>
  <c r="K529" i="12"/>
  <c r="I529" i="12"/>
  <c r="F529" i="12"/>
  <c r="X528" i="12"/>
  <c r="V528" i="12"/>
  <c r="U528" i="12"/>
  <c r="T528" i="12"/>
  <c r="S528" i="12"/>
  <c r="R528" i="12"/>
  <c r="Q528" i="12"/>
  <c r="P528" i="12"/>
  <c r="O528" i="12"/>
  <c r="N528" i="12"/>
  <c r="M528" i="12"/>
  <c r="L528" i="12"/>
  <c r="K528" i="12"/>
  <c r="I528" i="12"/>
  <c r="F528" i="12"/>
  <c r="X527" i="12"/>
  <c r="V527" i="12"/>
  <c r="U527" i="12"/>
  <c r="T527" i="12"/>
  <c r="S527" i="12"/>
  <c r="R527" i="12"/>
  <c r="Q527" i="12"/>
  <c r="P527" i="12"/>
  <c r="O527" i="12"/>
  <c r="N527" i="12"/>
  <c r="M527" i="12"/>
  <c r="L527" i="12"/>
  <c r="K527" i="12"/>
  <c r="I527" i="12"/>
  <c r="F527" i="12"/>
  <c r="X526" i="12"/>
  <c r="V526" i="12"/>
  <c r="U526" i="12"/>
  <c r="T526" i="12"/>
  <c r="S526" i="12"/>
  <c r="R526" i="12"/>
  <c r="Q526" i="12"/>
  <c r="P526" i="12"/>
  <c r="O526" i="12"/>
  <c r="N526" i="12"/>
  <c r="M526" i="12"/>
  <c r="L526" i="12"/>
  <c r="K526" i="12"/>
  <c r="I526" i="12"/>
  <c r="F526" i="12"/>
  <c r="X525" i="12"/>
  <c r="V525" i="12"/>
  <c r="U525" i="12"/>
  <c r="T525" i="12"/>
  <c r="S525" i="12"/>
  <c r="R525" i="12"/>
  <c r="Q525" i="12"/>
  <c r="P525" i="12"/>
  <c r="O525" i="12"/>
  <c r="N525" i="12"/>
  <c r="M525" i="12"/>
  <c r="L525" i="12"/>
  <c r="K525" i="12"/>
  <c r="I525" i="12"/>
  <c r="F525" i="12"/>
  <c r="X524" i="12"/>
  <c r="V524" i="12"/>
  <c r="U524" i="12"/>
  <c r="T524" i="12"/>
  <c r="S524" i="12"/>
  <c r="R524" i="12"/>
  <c r="Q524" i="12"/>
  <c r="P524" i="12"/>
  <c r="O524" i="12"/>
  <c r="N524" i="12"/>
  <c r="M524" i="12"/>
  <c r="L524" i="12"/>
  <c r="K524" i="12"/>
  <c r="I524" i="12"/>
  <c r="F524" i="12"/>
  <c r="X523" i="12"/>
  <c r="V523" i="12"/>
  <c r="U523" i="12"/>
  <c r="T523" i="12"/>
  <c r="S523" i="12"/>
  <c r="R523" i="12"/>
  <c r="Q523" i="12"/>
  <c r="P523" i="12"/>
  <c r="O523" i="12"/>
  <c r="N523" i="12"/>
  <c r="M523" i="12"/>
  <c r="L523" i="12"/>
  <c r="K523" i="12"/>
  <c r="I523" i="12"/>
  <c r="F523" i="12"/>
  <c r="X522" i="12"/>
  <c r="V522" i="12"/>
  <c r="U522" i="12"/>
  <c r="T522" i="12"/>
  <c r="S522" i="12"/>
  <c r="R522" i="12"/>
  <c r="Q522" i="12"/>
  <c r="P522" i="12"/>
  <c r="O522" i="12"/>
  <c r="N522" i="12"/>
  <c r="M522" i="12"/>
  <c r="L522" i="12"/>
  <c r="K522" i="12"/>
  <c r="I522" i="12"/>
  <c r="F522" i="12"/>
  <c r="X521" i="12"/>
  <c r="V521" i="12"/>
  <c r="U521" i="12"/>
  <c r="T521" i="12"/>
  <c r="S521" i="12"/>
  <c r="R521" i="12"/>
  <c r="Q521" i="12"/>
  <c r="P521" i="12"/>
  <c r="O521" i="12"/>
  <c r="N521" i="12"/>
  <c r="M521" i="12"/>
  <c r="L521" i="12"/>
  <c r="K521" i="12"/>
  <c r="I521" i="12"/>
  <c r="F521" i="12"/>
  <c r="X520" i="12"/>
  <c r="V520" i="12"/>
  <c r="U520" i="12"/>
  <c r="T520" i="12"/>
  <c r="S520" i="12"/>
  <c r="R520" i="12"/>
  <c r="Q520" i="12"/>
  <c r="P520" i="12"/>
  <c r="O520" i="12"/>
  <c r="N520" i="12"/>
  <c r="M520" i="12"/>
  <c r="L520" i="12"/>
  <c r="K520" i="12"/>
  <c r="I520" i="12"/>
  <c r="F520" i="12"/>
  <c r="X519" i="12"/>
  <c r="V519" i="12"/>
  <c r="U519" i="12"/>
  <c r="T519" i="12"/>
  <c r="S519" i="12"/>
  <c r="R519" i="12"/>
  <c r="Q519" i="12"/>
  <c r="P519" i="12"/>
  <c r="O519" i="12"/>
  <c r="N519" i="12"/>
  <c r="M519" i="12"/>
  <c r="L519" i="12"/>
  <c r="K519" i="12"/>
  <c r="I519" i="12"/>
  <c r="F519" i="12"/>
  <c r="X518" i="12"/>
  <c r="V518" i="12"/>
  <c r="U518" i="12"/>
  <c r="T518" i="12"/>
  <c r="S518" i="12"/>
  <c r="R518" i="12"/>
  <c r="Q518" i="12"/>
  <c r="P518" i="12"/>
  <c r="O518" i="12"/>
  <c r="N518" i="12"/>
  <c r="M518" i="12"/>
  <c r="L518" i="12"/>
  <c r="K518" i="12"/>
  <c r="I518" i="12"/>
  <c r="F518" i="12"/>
  <c r="X517" i="12"/>
  <c r="V517" i="12"/>
  <c r="U517" i="12"/>
  <c r="T517" i="12"/>
  <c r="S517" i="12"/>
  <c r="R517" i="12"/>
  <c r="Q517" i="12"/>
  <c r="P517" i="12"/>
  <c r="O517" i="12"/>
  <c r="N517" i="12"/>
  <c r="M517" i="12"/>
  <c r="L517" i="12"/>
  <c r="K517" i="12"/>
  <c r="I517" i="12"/>
  <c r="F517" i="12"/>
  <c r="X516" i="12"/>
  <c r="V516" i="12"/>
  <c r="U516" i="12"/>
  <c r="T516" i="12"/>
  <c r="S516" i="12"/>
  <c r="R516" i="12"/>
  <c r="Q516" i="12"/>
  <c r="P516" i="12"/>
  <c r="O516" i="12"/>
  <c r="N516" i="12"/>
  <c r="M516" i="12"/>
  <c r="L516" i="12"/>
  <c r="K516" i="12"/>
  <c r="I516" i="12"/>
  <c r="F516" i="12"/>
  <c r="X515" i="12"/>
  <c r="V515" i="12"/>
  <c r="U515" i="12"/>
  <c r="T515" i="12"/>
  <c r="S515" i="12"/>
  <c r="R515" i="12"/>
  <c r="Q515" i="12"/>
  <c r="P515" i="12"/>
  <c r="O515" i="12"/>
  <c r="N515" i="12"/>
  <c r="M515" i="12"/>
  <c r="L515" i="12"/>
  <c r="K515" i="12"/>
  <c r="I515" i="12"/>
  <c r="F515" i="12"/>
  <c r="X514" i="12"/>
  <c r="V514" i="12"/>
  <c r="U514" i="12"/>
  <c r="T514" i="12"/>
  <c r="S514" i="12"/>
  <c r="R514" i="12"/>
  <c r="Q514" i="12"/>
  <c r="P514" i="12"/>
  <c r="O514" i="12"/>
  <c r="N514" i="12"/>
  <c r="M514" i="12"/>
  <c r="L514" i="12"/>
  <c r="K514" i="12"/>
  <c r="I514" i="12"/>
  <c r="F514" i="12"/>
  <c r="X513" i="12"/>
  <c r="V513" i="12"/>
  <c r="U513" i="12"/>
  <c r="T513" i="12"/>
  <c r="S513" i="12"/>
  <c r="R513" i="12"/>
  <c r="Q513" i="12"/>
  <c r="P513" i="12"/>
  <c r="O513" i="12"/>
  <c r="N513" i="12"/>
  <c r="M513" i="12"/>
  <c r="L513" i="12"/>
  <c r="K513" i="12"/>
  <c r="I513" i="12"/>
  <c r="F513" i="12"/>
  <c r="X512" i="12"/>
  <c r="V512" i="12"/>
  <c r="U512" i="12"/>
  <c r="T512" i="12"/>
  <c r="S512" i="12"/>
  <c r="R512" i="12"/>
  <c r="Q512" i="12"/>
  <c r="P512" i="12"/>
  <c r="O512" i="12"/>
  <c r="N512" i="12"/>
  <c r="M512" i="12"/>
  <c r="L512" i="12"/>
  <c r="K512" i="12"/>
  <c r="I512" i="12"/>
  <c r="F512" i="12"/>
  <c r="X511" i="12"/>
  <c r="V511" i="12"/>
  <c r="U511" i="12"/>
  <c r="T511" i="12"/>
  <c r="S511" i="12"/>
  <c r="R511" i="12"/>
  <c r="Q511" i="12"/>
  <c r="P511" i="12"/>
  <c r="O511" i="12"/>
  <c r="N511" i="12"/>
  <c r="M511" i="12"/>
  <c r="L511" i="12"/>
  <c r="K511" i="12"/>
  <c r="I511" i="12"/>
  <c r="F511" i="12"/>
  <c r="X510" i="12"/>
  <c r="V510" i="12"/>
  <c r="U510" i="12"/>
  <c r="T510" i="12"/>
  <c r="S510" i="12"/>
  <c r="R510" i="12"/>
  <c r="Q510" i="12"/>
  <c r="P510" i="12"/>
  <c r="O510" i="12"/>
  <c r="N510" i="12"/>
  <c r="M510" i="12"/>
  <c r="L510" i="12"/>
  <c r="K510" i="12"/>
  <c r="I510" i="12"/>
  <c r="F510" i="12"/>
  <c r="X509" i="12"/>
  <c r="V509" i="12"/>
  <c r="U509" i="12"/>
  <c r="T509" i="12"/>
  <c r="S509" i="12"/>
  <c r="R509" i="12"/>
  <c r="Q509" i="12"/>
  <c r="P509" i="12"/>
  <c r="O509" i="12"/>
  <c r="N509" i="12"/>
  <c r="M509" i="12"/>
  <c r="L509" i="12"/>
  <c r="K509" i="12"/>
  <c r="I509" i="12"/>
  <c r="F509" i="12"/>
  <c r="X508" i="12"/>
  <c r="V508" i="12"/>
  <c r="U508" i="12"/>
  <c r="T508" i="12"/>
  <c r="S508" i="12"/>
  <c r="R508" i="12"/>
  <c r="Q508" i="12"/>
  <c r="P508" i="12"/>
  <c r="O508" i="12"/>
  <c r="N508" i="12"/>
  <c r="M508" i="12"/>
  <c r="L508" i="12"/>
  <c r="K508" i="12"/>
  <c r="I508" i="12"/>
  <c r="F508" i="12"/>
  <c r="X507" i="12"/>
  <c r="V507" i="12"/>
  <c r="U507" i="12"/>
  <c r="T507" i="12"/>
  <c r="S507" i="12"/>
  <c r="R507" i="12"/>
  <c r="Q507" i="12"/>
  <c r="P507" i="12"/>
  <c r="O507" i="12"/>
  <c r="N507" i="12"/>
  <c r="M507" i="12"/>
  <c r="L507" i="12"/>
  <c r="K507" i="12"/>
  <c r="I507" i="12"/>
  <c r="F507" i="12"/>
  <c r="X506" i="12"/>
  <c r="V506" i="12"/>
  <c r="U506" i="12"/>
  <c r="T506" i="12"/>
  <c r="S506" i="12"/>
  <c r="R506" i="12"/>
  <c r="Q506" i="12"/>
  <c r="P506" i="12"/>
  <c r="O506" i="12"/>
  <c r="N506" i="12"/>
  <c r="M506" i="12"/>
  <c r="L506" i="12"/>
  <c r="K506" i="12"/>
  <c r="I506" i="12"/>
  <c r="F506" i="12"/>
  <c r="X505" i="12"/>
  <c r="V505" i="12"/>
  <c r="U505" i="12"/>
  <c r="T505" i="12"/>
  <c r="S505" i="12"/>
  <c r="R505" i="12"/>
  <c r="Q505" i="12"/>
  <c r="P505" i="12"/>
  <c r="O505" i="12"/>
  <c r="N505" i="12"/>
  <c r="M505" i="12"/>
  <c r="L505" i="12"/>
  <c r="K505" i="12"/>
  <c r="I505" i="12"/>
  <c r="F505" i="12"/>
  <c r="X504" i="12"/>
  <c r="V504" i="12"/>
  <c r="U504" i="12"/>
  <c r="T504" i="12"/>
  <c r="S504" i="12"/>
  <c r="R504" i="12"/>
  <c r="Q504" i="12"/>
  <c r="P504" i="12"/>
  <c r="O504" i="12"/>
  <c r="N504" i="12"/>
  <c r="M504" i="12"/>
  <c r="L504" i="12"/>
  <c r="K504" i="12"/>
  <c r="I504" i="12"/>
  <c r="F504" i="12"/>
  <c r="X503" i="12"/>
  <c r="V503" i="12"/>
  <c r="U503" i="12"/>
  <c r="T503" i="12"/>
  <c r="S503" i="12"/>
  <c r="R503" i="12"/>
  <c r="Q503" i="12"/>
  <c r="P503" i="12"/>
  <c r="O503" i="12"/>
  <c r="N503" i="12"/>
  <c r="M503" i="12"/>
  <c r="L503" i="12"/>
  <c r="K503" i="12"/>
  <c r="I503" i="12"/>
  <c r="F503" i="12"/>
  <c r="X502" i="12"/>
  <c r="V502" i="12"/>
  <c r="U502" i="12"/>
  <c r="T502" i="12"/>
  <c r="S502" i="12"/>
  <c r="R502" i="12"/>
  <c r="Q502" i="12"/>
  <c r="P502" i="12"/>
  <c r="O502" i="12"/>
  <c r="N502" i="12"/>
  <c r="M502" i="12"/>
  <c r="L502" i="12"/>
  <c r="K502" i="12"/>
  <c r="I502" i="12"/>
  <c r="F502" i="12"/>
  <c r="X501" i="12"/>
  <c r="V501" i="12"/>
  <c r="U501" i="12"/>
  <c r="T501" i="12"/>
  <c r="S501" i="12"/>
  <c r="R501" i="12"/>
  <c r="Q501" i="12"/>
  <c r="P501" i="12"/>
  <c r="O501" i="12"/>
  <c r="N501" i="12"/>
  <c r="M501" i="12"/>
  <c r="L501" i="12"/>
  <c r="K501" i="12"/>
  <c r="I501" i="12"/>
  <c r="F501" i="12"/>
  <c r="X500" i="12"/>
  <c r="V500" i="12"/>
  <c r="U500" i="12"/>
  <c r="T500" i="12"/>
  <c r="S500" i="12"/>
  <c r="R500" i="12"/>
  <c r="Q500" i="12"/>
  <c r="P500" i="12"/>
  <c r="O500" i="12"/>
  <c r="N500" i="12"/>
  <c r="M500" i="12"/>
  <c r="L500" i="12"/>
  <c r="K500" i="12"/>
  <c r="I500" i="12"/>
  <c r="F500" i="12"/>
  <c r="X499" i="12"/>
  <c r="V499" i="12"/>
  <c r="U499" i="12"/>
  <c r="T499" i="12"/>
  <c r="S499" i="12"/>
  <c r="R499" i="12"/>
  <c r="Q499" i="12"/>
  <c r="P499" i="12"/>
  <c r="O499" i="12"/>
  <c r="N499" i="12"/>
  <c r="M499" i="12"/>
  <c r="L499" i="12"/>
  <c r="K499" i="12"/>
  <c r="I499" i="12"/>
  <c r="F499" i="12"/>
  <c r="X498" i="12"/>
  <c r="V498" i="12"/>
  <c r="U498" i="12"/>
  <c r="T498" i="12"/>
  <c r="S498" i="12"/>
  <c r="R498" i="12"/>
  <c r="Q498" i="12"/>
  <c r="P498" i="12"/>
  <c r="O498" i="12"/>
  <c r="N498" i="12"/>
  <c r="M498" i="12"/>
  <c r="L498" i="12"/>
  <c r="K498" i="12"/>
  <c r="I498" i="12"/>
  <c r="F498" i="12"/>
  <c r="X497" i="12"/>
  <c r="V497" i="12"/>
  <c r="U497" i="12"/>
  <c r="T497" i="12"/>
  <c r="S497" i="12"/>
  <c r="R497" i="12"/>
  <c r="Q497" i="12"/>
  <c r="P497" i="12"/>
  <c r="O497" i="12"/>
  <c r="N497" i="12"/>
  <c r="M497" i="12"/>
  <c r="L497" i="12"/>
  <c r="K497" i="12"/>
  <c r="I497" i="12"/>
  <c r="F497" i="12"/>
  <c r="X496" i="12"/>
  <c r="V496" i="12"/>
  <c r="U496" i="12"/>
  <c r="T496" i="12"/>
  <c r="S496" i="12"/>
  <c r="R496" i="12"/>
  <c r="Q496" i="12"/>
  <c r="P496" i="12"/>
  <c r="O496" i="12"/>
  <c r="N496" i="12"/>
  <c r="M496" i="12"/>
  <c r="L496" i="12"/>
  <c r="K496" i="12"/>
  <c r="I496" i="12"/>
  <c r="F496" i="12"/>
  <c r="X495" i="12"/>
  <c r="V495" i="12"/>
  <c r="U495" i="12"/>
  <c r="T495" i="12"/>
  <c r="S495" i="12"/>
  <c r="R495" i="12"/>
  <c r="Q495" i="12"/>
  <c r="P495" i="12"/>
  <c r="O495" i="12"/>
  <c r="N495" i="12"/>
  <c r="M495" i="12"/>
  <c r="L495" i="12"/>
  <c r="K495" i="12"/>
  <c r="I495" i="12"/>
  <c r="F495" i="12"/>
  <c r="X494" i="12"/>
  <c r="V494" i="12"/>
  <c r="U494" i="12"/>
  <c r="T494" i="12"/>
  <c r="S494" i="12"/>
  <c r="R494" i="12"/>
  <c r="Q494" i="12"/>
  <c r="P494" i="12"/>
  <c r="O494" i="12"/>
  <c r="N494" i="12"/>
  <c r="M494" i="12"/>
  <c r="L494" i="12"/>
  <c r="K494" i="12"/>
  <c r="I494" i="12"/>
  <c r="F494" i="12"/>
  <c r="X493" i="12"/>
  <c r="V493" i="12"/>
  <c r="U493" i="12"/>
  <c r="T493" i="12"/>
  <c r="S493" i="12"/>
  <c r="R493" i="12"/>
  <c r="Q493" i="12"/>
  <c r="P493" i="12"/>
  <c r="O493" i="12"/>
  <c r="N493" i="12"/>
  <c r="M493" i="12"/>
  <c r="L493" i="12"/>
  <c r="K493" i="12"/>
  <c r="I493" i="12"/>
  <c r="F493" i="12"/>
  <c r="X492" i="12"/>
  <c r="V492" i="12"/>
  <c r="U492" i="12"/>
  <c r="T492" i="12"/>
  <c r="S492" i="12"/>
  <c r="R492" i="12"/>
  <c r="Q492" i="12"/>
  <c r="P492" i="12"/>
  <c r="O492" i="12"/>
  <c r="N492" i="12"/>
  <c r="M492" i="12"/>
  <c r="L492" i="12"/>
  <c r="K492" i="12"/>
  <c r="I492" i="12"/>
  <c r="F492" i="12"/>
  <c r="X491" i="12"/>
  <c r="V491" i="12"/>
  <c r="U491" i="12"/>
  <c r="T491" i="12"/>
  <c r="S491" i="12"/>
  <c r="R491" i="12"/>
  <c r="Q491" i="12"/>
  <c r="P491" i="12"/>
  <c r="O491" i="12"/>
  <c r="N491" i="12"/>
  <c r="M491" i="12"/>
  <c r="L491" i="12"/>
  <c r="K491" i="12"/>
  <c r="I491" i="12"/>
  <c r="F491" i="12"/>
  <c r="X490" i="12"/>
  <c r="V490" i="12"/>
  <c r="U490" i="12"/>
  <c r="T490" i="12"/>
  <c r="S490" i="12"/>
  <c r="R490" i="12"/>
  <c r="Q490" i="12"/>
  <c r="P490" i="12"/>
  <c r="O490" i="12"/>
  <c r="N490" i="12"/>
  <c r="M490" i="12"/>
  <c r="L490" i="12"/>
  <c r="K490" i="12"/>
  <c r="I490" i="12"/>
  <c r="F490" i="12"/>
  <c r="X489" i="12"/>
  <c r="V489" i="12"/>
  <c r="U489" i="12"/>
  <c r="T489" i="12"/>
  <c r="S489" i="12"/>
  <c r="R489" i="12"/>
  <c r="Q489" i="12"/>
  <c r="P489" i="12"/>
  <c r="O489" i="12"/>
  <c r="N489" i="12"/>
  <c r="M489" i="12"/>
  <c r="L489" i="12"/>
  <c r="K489" i="12"/>
  <c r="I489" i="12"/>
  <c r="F489" i="12"/>
  <c r="X488" i="12"/>
  <c r="V488" i="12"/>
  <c r="U488" i="12"/>
  <c r="T488" i="12"/>
  <c r="S488" i="12"/>
  <c r="R488" i="12"/>
  <c r="Q488" i="12"/>
  <c r="P488" i="12"/>
  <c r="O488" i="12"/>
  <c r="N488" i="12"/>
  <c r="M488" i="12"/>
  <c r="L488" i="12"/>
  <c r="K488" i="12"/>
  <c r="I488" i="12"/>
  <c r="F488" i="12"/>
  <c r="X487" i="12"/>
  <c r="V487" i="12"/>
  <c r="U487" i="12"/>
  <c r="T487" i="12"/>
  <c r="S487" i="12"/>
  <c r="R487" i="12"/>
  <c r="Q487" i="12"/>
  <c r="P487" i="12"/>
  <c r="O487" i="12"/>
  <c r="N487" i="12"/>
  <c r="M487" i="12"/>
  <c r="L487" i="12"/>
  <c r="K487" i="12"/>
  <c r="I487" i="12"/>
  <c r="F487" i="12"/>
  <c r="X486" i="12"/>
  <c r="V486" i="12"/>
  <c r="U486" i="12"/>
  <c r="T486" i="12"/>
  <c r="S486" i="12"/>
  <c r="R486" i="12"/>
  <c r="Q486" i="12"/>
  <c r="P486" i="12"/>
  <c r="O486" i="12"/>
  <c r="N486" i="12"/>
  <c r="M486" i="12"/>
  <c r="L486" i="12"/>
  <c r="K486" i="12"/>
  <c r="I486" i="12"/>
  <c r="F486" i="12"/>
  <c r="X485" i="12"/>
  <c r="V485" i="12"/>
  <c r="U485" i="12"/>
  <c r="T485" i="12"/>
  <c r="S485" i="12"/>
  <c r="R485" i="12"/>
  <c r="Q485" i="12"/>
  <c r="P485" i="12"/>
  <c r="O485" i="12"/>
  <c r="N485" i="12"/>
  <c r="M485" i="12"/>
  <c r="L485" i="12"/>
  <c r="K485" i="12"/>
  <c r="I485" i="12"/>
  <c r="F485" i="12"/>
  <c r="X484" i="12"/>
  <c r="V484" i="12"/>
  <c r="U484" i="12"/>
  <c r="T484" i="12"/>
  <c r="S484" i="12"/>
  <c r="R484" i="12"/>
  <c r="Q484" i="12"/>
  <c r="P484" i="12"/>
  <c r="O484" i="12"/>
  <c r="N484" i="12"/>
  <c r="M484" i="12"/>
  <c r="L484" i="12"/>
  <c r="K484" i="12"/>
  <c r="I484" i="12"/>
  <c r="F484" i="12"/>
  <c r="X483" i="12"/>
  <c r="V483" i="12"/>
  <c r="U483" i="12"/>
  <c r="T483" i="12"/>
  <c r="S483" i="12"/>
  <c r="R483" i="12"/>
  <c r="Q483" i="12"/>
  <c r="P483" i="12"/>
  <c r="O483" i="12"/>
  <c r="N483" i="12"/>
  <c r="M483" i="12"/>
  <c r="L483" i="12"/>
  <c r="K483" i="12"/>
  <c r="I483" i="12"/>
  <c r="F483" i="12"/>
  <c r="X482" i="12"/>
  <c r="V482" i="12"/>
  <c r="U482" i="12"/>
  <c r="T482" i="12"/>
  <c r="S482" i="12"/>
  <c r="R482" i="12"/>
  <c r="Q482" i="12"/>
  <c r="P482" i="12"/>
  <c r="O482" i="12"/>
  <c r="N482" i="12"/>
  <c r="M482" i="12"/>
  <c r="L482" i="12"/>
  <c r="K482" i="12"/>
  <c r="I482" i="12"/>
  <c r="F482" i="12"/>
  <c r="X481" i="12"/>
  <c r="V481" i="12"/>
  <c r="U481" i="12"/>
  <c r="T481" i="12"/>
  <c r="S481" i="12"/>
  <c r="R481" i="12"/>
  <c r="Q481" i="12"/>
  <c r="P481" i="12"/>
  <c r="O481" i="12"/>
  <c r="N481" i="12"/>
  <c r="M481" i="12"/>
  <c r="L481" i="12"/>
  <c r="K481" i="12"/>
  <c r="I481" i="12"/>
  <c r="F481" i="12"/>
  <c r="X480" i="12"/>
  <c r="V480" i="12"/>
  <c r="U480" i="12"/>
  <c r="T480" i="12"/>
  <c r="S480" i="12"/>
  <c r="R480" i="12"/>
  <c r="Q480" i="12"/>
  <c r="P480" i="12"/>
  <c r="O480" i="12"/>
  <c r="N480" i="12"/>
  <c r="M480" i="12"/>
  <c r="L480" i="12"/>
  <c r="K480" i="12"/>
  <c r="I480" i="12"/>
  <c r="F480" i="12"/>
  <c r="X479" i="12"/>
  <c r="V479" i="12"/>
  <c r="U479" i="12"/>
  <c r="T479" i="12"/>
  <c r="S479" i="12"/>
  <c r="R479" i="12"/>
  <c r="Q479" i="12"/>
  <c r="P479" i="12"/>
  <c r="O479" i="12"/>
  <c r="N479" i="12"/>
  <c r="M479" i="12"/>
  <c r="L479" i="12"/>
  <c r="K479" i="12"/>
  <c r="I479" i="12"/>
  <c r="F479" i="12"/>
  <c r="X478" i="12"/>
  <c r="V478" i="12"/>
  <c r="U478" i="12"/>
  <c r="T478" i="12"/>
  <c r="S478" i="12"/>
  <c r="R478" i="12"/>
  <c r="Q478" i="12"/>
  <c r="P478" i="12"/>
  <c r="O478" i="12"/>
  <c r="N478" i="12"/>
  <c r="M478" i="12"/>
  <c r="L478" i="12"/>
  <c r="K478" i="12"/>
  <c r="I478" i="12"/>
  <c r="F478" i="12"/>
  <c r="X477" i="12"/>
  <c r="V477" i="12"/>
  <c r="U477" i="12"/>
  <c r="T477" i="12"/>
  <c r="S477" i="12"/>
  <c r="R477" i="12"/>
  <c r="Q477" i="12"/>
  <c r="P477" i="12"/>
  <c r="O477" i="12"/>
  <c r="N477" i="12"/>
  <c r="M477" i="12"/>
  <c r="L477" i="12"/>
  <c r="K477" i="12"/>
  <c r="I477" i="12"/>
  <c r="F477" i="12"/>
  <c r="X476" i="12"/>
  <c r="V476" i="12"/>
  <c r="U476" i="12"/>
  <c r="T476" i="12"/>
  <c r="S476" i="12"/>
  <c r="R476" i="12"/>
  <c r="Q476" i="12"/>
  <c r="P476" i="12"/>
  <c r="O476" i="12"/>
  <c r="N476" i="12"/>
  <c r="M476" i="12"/>
  <c r="L476" i="12"/>
  <c r="K476" i="12"/>
  <c r="I476" i="12"/>
  <c r="F476" i="12"/>
  <c r="X475" i="12"/>
  <c r="V475" i="12"/>
  <c r="U475" i="12"/>
  <c r="T475" i="12"/>
  <c r="S475" i="12"/>
  <c r="R475" i="12"/>
  <c r="Q475" i="12"/>
  <c r="P475" i="12"/>
  <c r="O475" i="12"/>
  <c r="N475" i="12"/>
  <c r="M475" i="12"/>
  <c r="L475" i="12"/>
  <c r="K475" i="12"/>
  <c r="I475" i="12"/>
  <c r="F475" i="12"/>
  <c r="X474" i="12"/>
  <c r="V474" i="12"/>
  <c r="U474" i="12"/>
  <c r="T474" i="12"/>
  <c r="S474" i="12"/>
  <c r="R474" i="12"/>
  <c r="Q474" i="12"/>
  <c r="P474" i="12"/>
  <c r="O474" i="12"/>
  <c r="N474" i="12"/>
  <c r="M474" i="12"/>
  <c r="L474" i="12"/>
  <c r="K474" i="12"/>
  <c r="I474" i="12"/>
  <c r="F474" i="12"/>
  <c r="X473" i="12"/>
  <c r="V473" i="12"/>
  <c r="U473" i="12"/>
  <c r="T473" i="12"/>
  <c r="S473" i="12"/>
  <c r="R473" i="12"/>
  <c r="Q473" i="12"/>
  <c r="P473" i="12"/>
  <c r="O473" i="12"/>
  <c r="N473" i="12"/>
  <c r="M473" i="12"/>
  <c r="L473" i="12"/>
  <c r="K473" i="12"/>
  <c r="I473" i="12"/>
  <c r="F473" i="12"/>
  <c r="X472" i="12"/>
  <c r="V472" i="12"/>
  <c r="U472" i="12"/>
  <c r="T472" i="12"/>
  <c r="S472" i="12"/>
  <c r="R472" i="12"/>
  <c r="Q472" i="12"/>
  <c r="P472" i="12"/>
  <c r="O472" i="12"/>
  <c r="N472" i="12"/>
  <c r="M472" i="12"/>
  <c r="L472" i="12"/>
  <c r="K472" i="12"/>
  <c r="I472" i="12"/>
  <c r="F472" i="12"/>
  <c r="X471" i="12"/>
  <c r="V471" i="12"/>
  <c r="U471" i="12"/>
  <c r="T471" i="12"/>
  <c r="S471" i="12"/>
  <c r="R471" i="12"/>
  <c r="Q471" i="12"/>
  <c r="P471" i="12"/>
  <c r="O471" i="12"/>
  <c r="N471" i="12"/>
  <c r="M471" i="12"/>
  <c r="L471" i="12"/>
  <c r="K471" i="12"/>
  <c r="I471" i="12"/>
  <c r="F471" i="12"/>
  <c r="X470" i="12"/>
  <c r="V470" i="12"/>
  <c r="U470" i="12"/>
  <c r="T470" i="12"/>
  <c r="S470" i="12"/>
  <c r="R470" i="12"/>
  <c r="Q470" i="12"/>
  <c r="P470" i="12"/>
  <c r="O470" i="12"/>
  <c r="N470" i="12"/>
  <c r="M470" i="12"/>
  <c r="L470" i="12"/>
  <c r="K470" i="12"/>
  <c r="I470" i="12"/>
  <c r="F470" i="12"/>
  <c r="X469" i="12"/>
  <c r="V469" i="12"/>
  <c r="U469" i="12"/>
  <c r="T469" i="12"/>
  <c r="S469" i="12"/>
  <c r="R469" i="12"/>
  <c r="Q469" i="12"/>
  <c r="P469" i="12"/>
  <c r="O469" i="12"/>
  <c r="N469" i="12"/>
  <c r="M469" i="12"/>
  <c r="L469" i="12"/>
  <c r="K469" i="12"/>
  <c r="I469" i="12"/>
  <c r="F469" i="12"/>
  <c r="X468" i="12"/>
  <c r="V468" i="12"/>
  <c r="U468" i="12"/>
  <c r="T468" i="12"/>
  <c r="S468" i="12"/>
  <c r="R468" i="12"/>
  <c r="Q468" i="12"/>
  <c r="P468" i="12"/>
  <c r="O468" i="12"/>
  <c r="N468" i="12"/>
  <c r="M468" i="12"/>
  <c r="L468" i="12"/>
  <c r="K468" i="12"/>
  <c r="I468" i="12"/>
  <c r="F468" i="12"/>
  <c r="X467" i="12"/>
  <c r="V467" i="12"/>
  <c r="U467" i="12"/>
  <c r="T467" i="12"/>
  <c r="S467" i="12"/>
  <c r="R467" i="12"/>
  <c r="Q467" i="12"/>
  <c r="P467" i="12"/>
  <c r="O467" i="12"/>
  <c r="N467" i="12"/>
  <c r="M467" i="12"/>
  <c r="L467" i="12"/>
  <c r="K467" i="12"/>
  <c r="I467" i="12"/>
  <c r="F467" i="12"/>
  <c r="X466" i="12"/>
  <c r="V466" i="12"/>
  <c r="U466" i="12"/>
  <c r="T466" i="12"/>
  <c r="S466" i="12"/>
  <c r="R466" i="12"/>
  <c r="Q466" i="12"/>
  <c r="P466" i="12"/>
  <c r="O466" i="12"/>
  <c r="N466" i="12"/>
  <c r="M466" i="12"/>
  <c r="L466" i="12"/>
  <c r="K466" i="12"/>
  <c r="I466" i="12"/>
  <c r="F466" i="12"/>
  <c r="X465" i="12"/>
  <c r="V465" i="12"/>
  <c r="U465" i="12"/>
  <c r="T465" i="12"/>
  <c r="S465" i="12"/>
  <c r="R465" i="12"/>
  <c r="Q465" i="12"/>
  <c r="P465" i="12"/>
  <c r="O465" i="12"/>
  <c r="N465" i="12"/>
  <c r="M465" i="12"/>
  <c r="L465" i="12"/>
  <c r="K465" i="12"/>
  <c r="I465" i="12"/>
  <c r="F465" i="12"/>
  <c r="X464" i="12"/>
  <c r="V464" i="12"/>
  <c r="U464" i="12"/>
  <c r="T464" i="12"/>
  <c r="S464" i="12"/>
  <c r="R464" i="12"/>
  <c r="Q464" i="12"/>
  <c r="P464" i="12"/>
  <c r="O464" i="12"/>
  <c r="N464" i="12"/>
  <c r="M464" i="12"/>
  <c r="L464" i="12"/>
  <c r="K464" i="12"/>
  <c r="I464" i="12"/>
  <c r="F464" i="12"/>
  <c r="X463" i="12"/>
  <c r="V463" i="12"/>
  <c r="U463" i="12"/>
  <c r="T463" i="12"/>
  <c r="S463" i="12"/>
  <c r="R463" i="12"/>
  <c r="Q463" i="12"/>
  <c r="P463" i="12"/>
  <c r="O463" i="12"/>
  <c r="N463" i="12"/>
  <c r="M463" i="12"/>
  <c r="L463" i="12"/>
  <c r="K463" i="12"/>
  <c r="I463" i="12"/>
  <c r="F463" i="12"/>
  <c r="X462" i="12"/>
  <c r="V462" i="12"/>
  <c r="U462" i="12"/>
  <c r="T462" i="12"/>
  <c r="S462" i="12"/>
  <c r="R462" i="12"/>
  <c r="Q462" i="12"/>
  <c r="P462" i="12"/>
  <c r="O462" i="12"/>
  <c r="N462" i="12"/>
  <c r="M462" i="12"/>
  <c r="L462" i="12"/>
  <c r="K462" i="12"/>
  <c r="I462" i="12"/>
  <c r="F462" i="12"/>
  <c r="X461" i="12"/>
  <c r="V461" i="12"/>
  <c r="U461" i="12"/>
  <c r="T461" i="12"/>
  <c r="S461" i="12"/>
  <c r="R461" i="12"/>
  <c r="Q461" i="12"/>
  <c r="P461" i="12"/>
  <c r="O461" i="12"/>
  <c r="N461" i="12"/>
  <c r="M461" i="12"/>
  <c r="L461" i="12"/>
  <c r="K461" i="12"/>
  <c r="I461" i="12"/>
  <c r="F461" i="12"/>
  <c r="X460" i="12"/>
  <c r="V460" i="12"/>
  <c r="U460" i="12"/>
  <c r="T460" i="12"/>
  <c r="S460" i="12"/>
  <c r="R460" i="12"/>
  <c r="Q460" i="12"/>
  <c r="P460" i="12"/>
  <c r="O460" i="12"/>
  <c r="N460" i="12"/>
  <c r="M460" i="12"/>
  <c r="L460" i="12"/>
  <c r="K460" i="12"/>
  <c r="I460" i="12"/>
  <c r="F460" i="12"/>
  <c r="X459" i="12"/>
  <c r="V459" i="12"/>
  <c r="U459" i="12"/>
  <c r="T459" i="12"/>
  <c r="S459" i="12"/>
  <c r="R459" i="12"/>
  <c r="Q459" i="12"/>
  <c r="P459" i="12"/>
  <c r="O459" i="12"/>
  <c r="N459" i="12"/>
  <c r="M459" i="12"/>
  <c r="L459" i="12"/>
  <c r="K459" i="12"/>
  <c r="I459" i="12"/>
  <c r="F459" i="12"/>
  <c r="X458" i="12"/>
  <c r="V458" i="12"/>
  <c r="U458" i="12"/>
  <c r="T458" i="12"/>
  <c r="S458" i="12"/>
  <c r="R458" i="12"/>
  <c r="Q458" i="12"/>
  <c r="P458" i="12"/>
  <c r="O458" i="12"/>
  <c r="N458" i="12"/>
  <c r="M458" i="12"/>
  <c r="L458" i="12"/>
  <c r="K458" i="12"/>
  <c r="I458" i="12"/>
  <c r="F458" i="12"/>
  <c r="X457" i="12"/>
  <c r="V457" i="12"/>
  <c r="U457" i="12"/>
  <c r="T457" i="12"/>
  <c r="S457" i="12"/>
  <c r="R457" i="12"/>
  <c r="Q457" i="12"/>
  <c r="P457" i="12"/>
  <c r="O457" i="12"/>
  <c r="N457" i="12"/>
  <c r="M457" i="12"/>
  <c r="L457" i="12"/>
  <c r="K457" i="12"/>
  <c r="I457" i="12"/>
  <c r="F457" i="12"/>
  <c r="X456" i="12"/>
  <c r="V456" i="12"/>
  <c r="U456" i="12"/>
  <c r="T456" i="12"/>
  <c r="S456" i="12"/>
  <c r="R456" i="12"/>
  <c r="Q456" i="12"/>
  <c r="P456" i="12"/>
  <c r="O456" i="12"/>
  <c r="N456" i="12"/>
  <c r="M456" i="12"/>
  <c r="L456" i="12"/>
  <c r="K456" i="12"/>
  <c r="I456" i="12"/>
  <c r="F456" i="12"/>
  <c r="X455" i="12"/>
  <c r="V455" i="12"/>
  <c r="U455" i="12"/>
  <c r="T455" i="12"/>
  <c r="S455" i="12"/>
  <c r="R455" i="12"/>
  <c r="Q455" i="12"/>
  <c r="P455" i="12"/>
  <c r="O455" i="12"/>
  <c r="N455" i="12"/>
  <c r="M455" i="12"/>
  <c r="L455" i="12"/>
  <c r="K455" i="12"/>
  <c r="I455" i="12"/>
  <c r="F455" i="12"/>
  <c r="X454" i="12"/>
  <c r="V454" i="12"/>
  <c r="U454" i="12"/>
  <c r="T454" i="12"/>
  <c r="S454" i="12"/>
  <c r="R454" i="12"/>
  <c r="Q454" i="12"/>
  <c r="P454" i="12"/>
  <c r="O454" i="12"/>
  <c r="N454" i="12"/>
  <c r="M454" i="12"/>
  <c r="L454" i="12"/>
  <c r="K454" i="12"/>
  <c r="I454" i="12"/>
  <c r="F454" i="12"/>
  <c r="X453" i="12"/>
  <c r="V453" i="12"/>
  <c r="U453" i="12"/>
  <c r="T453" i="12"/>
  <c r="S453" i="12"/>
  <c r="R453" i="12"/>
  <c r="Q453" i="12"/>
  <c r="P453" i="12"/>
  <c r="O453" i="12"/>
  <c r="N453" i="12"/>
  <c r="M453" i="12"/>
  <c r="L453" i="12"/>
  <c r="K453" i="12"/>
  <c r="I453" i="12"/>
  <c r="F453" i="12"/>
  <c r="X452" i="12"/>
  <c r="V452" i="12"/>
  <c r="U452" i="12"/>
  <c r="T452" i="12"/>
  <c r="S452" i="12"/>
  <c r="R452" i="12"/>
  <c r="Q452" i="12"/>
  <c r="P452" i="12"/>
  <c r="O452" i="12"/>
  <c r="N452" i="12"/>
  <c r="M452" i="12"/>
  <c r="L452" i="12"/>
  <c r="K452" i="12"/>
  <c r="I452" i="12"/>
  <c r="F452" i="12"/>
  <c r="X451" i="12"/>
  <c r="V451" i="12"/>
  <c r="U451" i="12"/>
  <c r="T451" i="12"/>
  <c r="S451" i="12"/>
  <c r="R451" i="12"/>
  <c r="Q451" i="12"/>
  <c r="P451" i="12"/>
  <c r="O451" i="12"/>
  <c r="N451" i="12"/>
  <c r="M451" i="12"/>
  <c r="L451" i="12"/>
  <c r="K451" i="12"/>
  <c r="I451" i="12"/>
  <c r="F451" i="12"/>
  <c r="X450" i="12"/>
  <c r="V450" i="12"/>
  <c r="U450" i="12"/>
  <c r="T450" i="12"/>
  <c r="S450" i="12"/>
  <c r="R450" i="12"/>
  <c r="Q450" i="12"/>
  <c r="P450" i="12"/>
  <c r="O450" i="12"/>
  <c r="N450" i="12"/>
  <c r="M450" i="12"/>
  <c r="L450" i="12"/>
  <c r="K450" i="12"/>
  <c r="I450" i="12"/>
  <c r="F450" i="12"/>
  <c r="X449" i="12"/>
  <c r="V449" i="12"/>
  <c r="U449" i="12"/>
  <c r="T449" i="12"/>
  <c r="S449" i="12"/>
  <c r="R449" i="12"/>
  <c r="Q449" i="12"/>
  <c r="P449" i="12"/>
  <c r="O449" i="12"/>
  <c r="N449" i="12"/>
  <c r="M449" i="12"/>
  <c r="L449" i="12"/>
  <c r="K449" i="12"/>
  <c r="I449" i="12"/>
  <c r="F449" i="12"/>
  <c r="X448" i="12"/>
  <c r="V448" i="12"/>
  <c r="U448" i="12"/>
  <c r="T448" i="12"/>
  <c r="S448" i="12"/>
  <c r="R448" i="12"/>
  <c r="Q448" i="12"/>
  <c r="P448" i="12"/>
  <c r="O448" i="12"/>
  <c r="N448" i="12"/>
  <c r="M448" i="12"/>
  <c r="L448" i="12"/>
  <c r="K448" i="12"/>
  <c r="I448" i="12"/>
  <c r="F448" i="12"/>
  <c r="X447" i="12"/>
  <c r="V447" i="12"/>
  <c r="U447" i="12"/>
  <c r="T447" i="12"/>
  <c r="S447" i="12"/>
  <c r="R447" i="12"/>
  <c r="Q447" i="12"/>
  <c r="P447" i="12"/>
  <c r="O447" i="12"/>
  <c r="N447" i="12"/>
  <c r="M447" i="12"/>
  <c r="L447" i="12"/>
  <c r="K447" i="12"/>
  <c r="I447" i="12"/>
  <c r="F447" i="12"/>
  <c r="X446" i="12"/>
  <c r="V446" i="12"/>
  <c r="U446" i="12"/>
  <c r="T446" i="12"/>
  <c r="S446" i="12"/>
  <c r="R446" i="12"/>
  <c r="Q446" i="12"/>
  <c r="P446" i="12"/>
  <c r="O446" i="12"/>
  <c r="N446" i="12"/>
  <c r="M446" i="12"/>
  <c r="L446" i="12"/>
  <c r="K446" i="12"/>
  <c r="I446" i="12"/>
  <c r="F446" i="12"/>
  <c r="X445" i="12"/>
  <c r="V445" i="12"/>
  <c r="U445" i="12"/>
  <c r="T445" i="12"/>
  <c r="S445" i="12"/>
  <c r="R445" i="12"/>
  <c r="Q445" i="12"/>
  <c r="P445" i="12"/>
  <c r="O445" i="12"/>
  <c r="N445" i="12"/>
  <c r="M445" i="12"/>
  <c r="L445" i="12"/>
  <c r="K445" i="12"/>
  <c r="I445" i="12"/>
  <c r="F445" i="12"/>
  <c r="X444" i="12"/>
  <c r="V444" i="12"/>
  <c r="U444" i="12"/>
  <c r="T444" i="12"/>
  <c r="S444" i="12"/>
  <c r="R444" i="12"/>
  <c r="Q444" i="12"/>
  <c r="P444" i="12"/>
  <c r="O444" i="12"/>
  <c r="N444" i="12"/>
  <c r="M444" i="12"/>
  <c r="L444" i="12"/>
  <c r="K444" i="12"/>
  <c r="I444" i="12"/>
  <c r="F444" i="12"/>
  <c r="X443" i="12"/>
  <c r="V443" i="12"/>
  <c r="U443" i="12"/>
  <c r="T443" i="12"/>
  <c r="S443" i="12"/>
  <c r="R443" i="12"/>
  <c r="Q443" i="12"/>
  <c r="P443" i="12"/>
  <c r="O443" i="12"/>
  <c r="N443" i="12"/>
  <c r="M443" i="12"/>
  <c r="L443" i="12"/>
  <c r="K443" i="12"/>
  <c r="I443" i="12"/>
  <c r="F443" i="12"/>
  <c r="X442" i="12"/>
  <c r="V442" i="12"/>
  <c r="U442" i="12"/>
  <c r="T442" i="12"/>
  <c r="S442" i="12"/>
  <c r="R442" i="12"/>
  <c r="Q442" i="12"/>
  <c r="P442" i="12"/>
  <c r="O442" i="12"/>
  <c r="N442" i="12"/>
  <c r="M442" i="12"/>
  <c r="L442" i="12"/>
  <c r="K442" i="12"/>
  <c r="I442" i="12"/>
  <c r="F442" i="12"/>
  <c r="X441" i="12"/>
  <c r="V441" i="12"/>
  <c r="U441" i="12"/>
  <c r="T441" i="12"/>
  <c r="S441" i="12"/>
  <c r="R441" i="12"/>
  <c r="Q441" i="12"/>
  <c r="P441" i="12"/>
  <c r="O441" i="12"/>
  <c r="N441" i="12"/>
  <c r="M441" i="12"/>
  <c r="L441" i="12"/>
  <c r="K441" i="12"/>
  <c r="I441" i="12"/>
  <c r="F441" i="12"/>
  <c r="X440" i="12"/>
  <c r="V440" i="12"/>
  <c r="U440" i="12"/>
  <c r="T440" i="12"/>
  <c r="S440" i="12"/>
  <c r="R440" i="12"/>
  <c r="Q440" i="12"/>
  <c r="P440" i="12"/>
  <c r="O440" i="12"/>
  <c r="N440" i="12"/>
  <c r="M440" i="12"/>
  <c r="L440" i="12"/>
  <c r="K440" i="12"/>
  <c r="I440" i="12"/>
  <c r="F440" i="12"/>
  <c r="X439" i="12"/>
  <c r="V439" i="12"/>
  <c r="U439" i="12"/>
  <c r="T439" i="12"/>
  <c r="S439" i="12"/>
  <c r="R439" i="12"/>
  <c r="Q439" i="12"/>
  <c r="P439" i="12"/>
  <c r="O439" i="12"/>
  <c r="N439" i="12"/>
  <c r="M439" i="12"/>
  <c r="L439" i="12"/>
  <c r="K439" i="12"/>
  <c r="I439" i="12"/>
  <c r="F439" i="12"/>
  <c r="X438" i="12"/>
  <c r="V438" i="12"/>
  <c r="U438" i="12"/>
  <c r="T438" i="12"/>
  <c r="S438" i="12"/>
  <c r="R438" i="12"/>
  <c r="Q438" i="12"/>
  <c r="P438" i="12"/>
  <c r="O438" i="12"/>
  <c r="N438" i="12"/>
  <c r="M438" i="12"/>
  <c r="L438" i="12"/>
  <c r="K438" i="12"/>
  <c r="I438" i="12"/>
  <c r="F438" i="12"/>
  <c r="X437" i="12"/>
  <c r="V437" i="12"/>
  <c r="U437" i="12"/>
  <c r="T437" i="12"/>
  <c r="S437" i="12"/>
  <c r="R437" i="12"/>
  <c r="Q437" i="12"/>
  <c r="P437" i="12"/>
  <c r="O437" i="12"/>
  <c r="N437" i="12"/>
  <c r="M437" i="12"/>
  <c r="L437" i="12"/>
  <c r="K437" i="12"/>
  <c r="I437" i="12"/>
  <c r="F437" i="12"/>
  <c r="X436" i="12"/>
  <c r="V436" i="12"/>
  <c r="U436" i="12"/>
  <c r="T436" i="12"/>
  <c r="S436" i="12"/>
  <c r="R436" i="12"/>
  <c r="Q436" i="12"/>
  <c r="P436" i="12"/>
  <c r="O436" i="12"/>
  <c r="N436" i="12"/>
  <c r="M436" i="12"/>
  <c r="L436" i="12"/>
  <c r="K436" i="12"/>
  <c r="I436" i="12"/>
  <c r="F436" i="12"/>
  <c r="X435" i="12"/>
  <c r="V435" i="12"/>
  <c r="U435" i="12"/>
  <c r="T435" i="12"/>
  <c r="S435" i="12"/>
  <c r="R435" i="12"/>
  <c r="Q435" i="12"/>
  <c r="P435" i="12"/>
  <c r="O435" i="12"/>
  <c r="N435" i="12"/>
  <c r="M435" i="12"/>
  <c r="L435" i="12"/>
  <c r="K435" i="12"/>
  <c r="I435" i="12"/>
  <c r="F435" i="12"/>
  <c r="X434" i="12"/>
  <c r="V434" i="12"/>
  <c r="U434" i="12"/>
  <c r="T434" i="12"/>
  <c r="S434" i="12"/>
  <c r="R434" i="12"/>
  <c r="Q434" i="12"/>
  <c r="P434" i="12"/>
  <c r="O434" i="12"/>
  <c r="N434" i="12"/>
  <c r="M434" i="12"/>
  <c r="L434" i="12"/>
  <c r="K434" i="12"/>
  <c r="I434" i="12"/>
  <c r="F434" i="12"/>
  <c r="X433" i="12"/>
  <c r="V433" i="12"/>
  <c r="U433" i="12"/>
  <c r="T433" i="12"/>
  <c r="S433" i="12"/>
  <c r="R433" i="12"/>
  <c r="Q433" i="12"/>
  <c r="P433" i="12"/>
  <c r="O433" i="12"/>
  <c r="N433" i="12"/>
  <c r="M433" i="12"/>
  <c r="L433" i="12"/>
  <c r="K433" i="12"/>
  <c r="I433" i="12"/>
  <c r="F433" i="12"/>
  <c r="X432" i="12"/>
  <c r="V432" i="12"/>
  <c r="U432" i="12"/>
  <c r="T432" i="12"/>
  <c r="S432" i="12"/>
  <c r="R432" i="12"/>
  <c r="Q432" i="12"/>
  <c r="P432" i="12"/>
  <c r="O432" i="12"/>
  <c r="N432" i="12"/>
  <c r="M432" i="12"/>
  <c r="L432" i="12"/>
  <c r="K432" i="12"/>
  <c r="I432" i="12"/>
  <c r="F432" i="12"/>
  <c r="X431" i="12"/>
  <c r="V431" i="12"/>
  <c r="U431" i="12"/>
  <c r="T431" i="12"/>
  <c r="S431" i="12"/>
  <c r="R431" i="12"/>
  <c r="Q431" i="12"/>
  <c r="P431" i="12"/>
  <c r="O431" i="12"/>
  <c r="N431" i="12"/>
  <c r="M431" i="12"/>
  <c r="L431" i="12"/>
  <c r="K431" i="12"/>
  <c r="I431" i="12"/>
  <c r="F431" i="12"/>
  <c r="X430" i="12"/>
  <c r="V430" i="12"/>
  <c r="U430" i="12"/>
  <c r="T430" i="12"/>
  <c r="S430" i="12"/>
  <c r="R430" i="12"/>
  <c r="Q430" i="12"/>
  <c r="P430" i="12"/>
  <c r="O430" i="12"/>
  <c r="N430" i="12"/>
  <c r="M430" i="12"/>
  <c r="L430" i="12"/>
  <c r="K430" i="12"/>
  <c r="I430" i="12"/>
  <c r="F430" i="12"/>
  <c r="X429" i="12"/>
  <c r="V429" i="12"/>
  <c r="U429" i="12"/>
  <c r="T429" i="12"/>
  <c r="S429" i="12"/>
  <c r="R429" i="12"/>
  <c r="Q429" i="12"/>
  <c r="P429" i="12"/>
  <c r="O429" i="12"/>
  <c r="N429" i="12"/>
  <c r="M429" i="12"/>
  <c r="L429" i="12"/>
  <c r="K429" i="12"/>
  <c r="I429" i="12"/>
  <c r="F429" i="12"/>
  <c r="X428" i="12"/>
  <c r="V428" i="12"/>
  <c r="U428" i="12"/>
  <c r="T428" i="12"/>
  <c r="S428" i="12"/>
  <c r="R428" i="12"/>
  <c r="Q428" i="12"/>
  <c r="P428" i="12"/>
  <c r="O428" i="12"/>
  <c r="N428" i="12"/>
  <c r="M428" i="12"/>
  <c r="L428" i="12"/>
  <c r="K428" i="12"/>
  <c r="I428" i="12"/>
  <c r="F428" i="12"/>
  <c r="X427" i="12"/>
  <c r="V427" i="12"/>
  <c r="U427" i="12"/>
  <c r="T427" i="12"/>
  <c r="S427" i="12"/>
  <c r="R427" i="12"/>
  <c r="Q427" i="12"/>
  <c r="P427" i="12"/>
  <c r="O427" i="12"/>
  <c r="N427" i="12"/>
  <c r="M427" i="12"/>
  <c r="L427" i="12"/>
  <c r="K427" i="12"/>
  <c r="I427" i="12"/>
  <c r="F427" i="12"/>
  <c r="X426" i="12"/>
  <c r="V426" i="12"/>
  <c r="U426" i="12"/>
  <c r="T426" i="12"/>
  <c r="S426" i="12"/>
  <c r="R426" i="12"/>
  <c r="Q426" i="12"/>
  <c r="P426" i="12"/>
  <c r="O426" i="12"/>
  <c r="N426" i="12"/>
  <c r="M426" i="12"/>
  <c r="L426" i="12"/>
  <c r="K426" i="12"/>
  <c r="I426" i="12"/>
  <c r="F426" i="12"/>
  <c r="X425" i="12"/>
  <c r="V425" i="12"/>
  <c r="U425" i="12"/>
  <c r="T425" i="12"/>
  <c r="S425" i="12"/>
  <c r="R425" i="12"/>
  <c r="Q425" i="12"/>
  <c r="P425" i="12"/>
  <c r="O425" i="12"/>
  <c r="N425" i="12"/>
  <c r="M425" i="12"/>
  <c r="L425" i="12"/>
  <c r="K425" i="12"/>
  <c r="I425" i="12"/>
  <c r="F425" i="12"/>
  <c r="X424" i="12"/>
  <c r="V424" i="12"/>
  <c r="U424" i="12"/>
  <c r="T424" i="12"/>
  <c r="S424" i="12"/>
  <c r="R424" i="12"/>
  <c r="Q424" i="12"/>
  <c r="P424" i="12"/>
  <c r="O424" i="12"/>
  <c r="N424" i="12"/>
  <c r="M424" i="12"/>
  <c r="L424" i="12"/>
  <c r="K424" i="12"/>
  <c r="I424" i="12"/>
  <c r="F424" i="12"/>
  <c r="X423" i="12"/>
  <c r="V423" i="12"/>
  <c r="U423" i="12"/>
  <c r="T423" i="12"/>
  <c r="S423" i="12"/>
  <c r="R423" i="12"/>
  <c r="Q423" i="12"/>
  <c r="P423" i="12"/>
  <c r="O423" i="12"/>
  <c r="N423" i="12"/>
  <c r="M423" i="12"/>
  <c r="L423" i="12"/>
  <c r="K423" i="12"/>
  <c r="I423" i="12"/>
  <c r="F423" i="12"/>
  <c r="X422" i="12"/>
  <c r="V422" i="12"/>
  <c r="U422" i="12"/>
  <c r="T422" i="12"/>
  <c r="S422" i="12"/>
  <c r="R422" i="12"/>
  <c r="Q422" i="12"/>
  <c r="P422" i="12"/>
  <c r="O422" i="12"/>
  <c r="N422" i="12"/>
  <c r="M422" i="12"/>
  <c r="L422" i="12"/>
  <c r="K422" i="12"/>
  <c r="I422" i="12"/>
  <c r="F422" i="12"/>
  <c r="X421" i="12"/>
  <c r="V421" i="12"/>
  <c r="U421" i="12"/>
  <c r="T421" i="12"/>
  <c r="S421" i="12"/>
  <c r="R421" i="12"/>
  <c r="Q421" i="12"/>
  <c r="P421" i="12"/>
  <c r="O421" i="12"/>
  <c r="N421" i="12"/>
  <c r="M421" i="12"/>
  <c r="L421" i="12"/>
  <c r="K421" i="12"/>
  <c r="I421" i="12"/>
  <c r="F421" i="12"/>
  <c r="X420" i="12"/>
  <c r="V420" i="12"/>
  <c r="U420" i="12"/>
  <c r="T420" i="12"/>
  <c r="S420" i="12"/>
  <c r="R420" i="12"/>
  <c r="Q420" i="12"/>
  <c r="P420" i="12"/>
  <c r="O420" i="12"/>
  <c r="N420" i="12"/>
  <c r="M420" i="12"/>
  <c r="L420" i="12"/>
  <c r="K420" i="12"/>
  <c r="I420" i="12"/>
  <c r="F420" i="12"/>
  <c r="X419" i="12"/>
  <c r="V419" i="12"/>
  <c r="U419" i="12"/>
  <c r="T419" i="12"/>
  <c r="S419" i="12"/>
  <c r="R419" i="12"/>
  <c r="Q419" i="12"/>
  <c r="P419" i="12"/>
  <c r="O419" i="12"/>
  <c r="N419" i="12"/>
  <c r="M419" i="12"/>
  <c r="L419" i="12"/>
  <c r="K419" i="12"/>
  <c r="I419" i="12"/>
  <c r="F419" i="12"/>
  <c r="X418" i="12"/>
  <c r="V418" i="12"/>
  <c r="U418" i="12"/>
  <c r="T418" i="12"/>
  <c r="S418" i="12"/>
  <c r="R418" i="12"/>
  <c r="Q418" i="12"/>
  <c r="P418" i="12"/>
  <c r="O418" i="12"/>
  <c r="N418" i="12"/>
  <c r="M418" i="12"/>
  <c r="L418" i="12"/>
  <c r="K418" i="12"/>
  <c r="I418" i="12"/>
  <c r="F418" i="12"/>
  <c r="X417" i="12"/>
  <c r="V417" i="12"/>
  <c r="U417" i="12"/>
  <c r="T417" i="12"/>
  <c r="S417" i="12"/>
  <c r="R417" i="12"/>
  <c r="Q417" i="12"/>
  <c r="P417" i="12"/>
  <c r="O417" i="12"/>
  <c r="N417" i="12"/>
  <c r="M417" i="12"/>
  <c r="L417" i="12"/>
  <c r="K417" i="12"/>
  <c r="I417" i="12"/>
  <c r="F417" i="12"/>
  <c r="X416" i="12"/>
  <c r="V416" i="12"/>
  <c r="U416" i="12"/>
  <c r="T416" i="12"/>
  <c r="S416" i="12"/>
  <c r="R416" i="12"/>
  <c r="Q416" i="12"/>
  <c r="P416" i="12"/>
  <c r="O416" i="12"/>
  <c r="N416" i="12"/>
  <c r="M416" i="12"/>
  <c r="L416" i="12"/>
  <c r="K416" i="12"/>
  <c r="I416" i="12"/>
  <c r="F416" i="12"/>
  <c r="X415" i="12"/>
  <c r="V415" i="12"/>
  <c r="U415" i="12"/>
  <c r="T415" i="12"/>
  <c r="S415" i="12"/>
  <c r="R415" i="12"/>
  <c r="Q415" i="12"/>
  <c r="P415" i="12"/>
  <c r="O415" i="12"/>
  <c r="N415" i="12"/>
  <c r="M415" i="12"/>
  <c r="L415" i="12"/>
  <c r="K415" i="12"/>
  <c r="I415" i="12"/>
  <c r="F415" i="12"/>
  <c r="X414" i="12"/>
  <c r="V414" i="12"/>
  <c r="U414" i="12"/>
  <c r="T414" i="12"/>
  <c r="S414" i="12"/>
  <c r="R414" i="12"/>
  <c r="Q414" i="12"/>
  <c r="P414" i="12"/>
  <c r="O414" i="12"/>
  <c r="N414" i="12"/>
  <c r="M414" i="12"/>
  <c r="L414" i="12"/>
  <c r="K414" i="12"/>
  <c r="I414" i="12"/>
  <c r="F414" i="12"/>
  <c r="X413" i="12"/>
  <c r="V413" i="12"/>
  <c r="U413" i="12"/>
  <c r="T413" i="12"/>
  <c r="S413" i="12"/>
  <c r="R413" i="12"/>
  <c r="Q413" i="12"/>
  <c r="P413" i="12"/>
  <c r="O413" i="12"/>
  <c r="N413" i="12"/>
  <c r="M413" i="12"/>
  <c r="L413" i="12"/>
  <c r="K413" i="12"/>
  <c r="I413" i="12"/>
  <c r="F413" i="12"/>
  <c r="X412" i="12"/>
  <c r="V412" i="12"/>
  <c r="U412" i="12"/>
  <c r="T412" i="12"/>
  <c r="S412" i="12"/>
  <c r="R412" i="12"/>
  <c r="Q412" i="12"/>
  <c r="P412" i="12"/>
  <c r="O412" i="12"/>
  <c r="N412" i="12"/>
  <c r="M412" i="12"/>
  <c r="L412" i="12"/>
  <c r="K412" i="12"/>
  <c r="I412" i="12"/>
  <c r="F412" i="12"/>
  <c r="X411" i="12"/>
  <c r="V411" i="12"/>
  <c r="U411" i="12"/>
  <c r="T411" i="12"/>
  <c r="S411" i="12"/>
  <c r="R411" i="12"/>
  <c r="Q411" i="12"/>
  <c r="P411" i="12"/>
  <c r="O411" i="12"/>
  <c r="N411" i="12"/>
  <c r="M411" i="12"/>
  <c r="L411" i="12"/>
  <c r="K411" i="12"/>
  <c r="I411" i="12"/>
  <c r="F411" i="12"/>
  <c r="X410" i="12"/>
  <c r="V410" i="12"/>
  <c r="U410" i="12"/>
  <c r="T410" i="12"/>
  <c r="S410" i="12"/>
  <c r="R410" i="12"/>
  <c r="Q410" i="12"/>
  <c r="P410" i="12"/>
  <c r="O410" i="12"/>
  <c r="N410" i="12"/>
  <c r="M410" i="12"/>
  <c r="L410" i="12"/>
  <c r="K410" i="12"/>
  <c r="I410" i="12"/>
  <c r="F410" i="12"/>
  <c r="X409" i="12"/>
  <c r="V409" i="12"/>
  <c r="U409" i="12"/>
  <c r="T409" i="12"/>
  <c r="S409" i="12"/>
  <c r="R409" i="12"/>
  <c r="Q409" i="12"/>
  <c r="P409" i="12"/>
  <c r="O409" i="12"/>
  <c r="N409" i="12"/>
  <c r="M409" i="12"/>
  <c r="L409" i="12"/>
  <c r="K409" i="12"/>
  <c r="I409" i="12"/>
  <c r="F409" i="12"/>
  <c r="X408" i="12"/>
  <c r="V408" i="12"/>
  <c r="U408" i="12"/>
  <c r="T408" i="12"/>
  <c r="S408" i="12"/>
  <c r="R408" i="12"/>
  <c r="Q408" i="12"/>
  <c r="P408" i="12"/>
  <c r="O408" i="12"/>
  <c r="N408" i="12"/>
  <c r="M408" i="12"/>
  <c r="L408" i="12"/>
  <c r="K408" i="12"/>
  <c r="I408" i="12"/>
  <c r="F408" i="12"/>
  <c r="X407" i="12"/>
  <c r="V407" i="12"/>
  <c r="U407" i="12"/>
  <c r="T407" i="12"/>
  <c r="S407" i="12"/>
  <c r="R407" i="12"/>
  <c r="Q407" i="12"/>
  <c r="P407" i="12"/>
  <c r="O407" i="12"/>
  <c r="N407" i="12"/>
  <c r="M407" i="12"/>
  <c r="L407" i="12"/>
  <c r="K407" i="12"/>
  <c r="I407" i="12"/>
  <c r="F407" i="12"/>
  <c r="X406" i="12"/>
  <c r="V406" i="12"/>
  <c r="U406" i="12"/>
  <c r="T406" i="12"/>
  <c r="S406" i="12"/>
  <c r="R406" i="12"/>
  <c r="Q406" i="12"/>
  <c r="P406" i="12"/>
  <c r="O406" i="12"/>
  <c r="N406" i="12"/>
  <c r="M406" i="12"/>
  <c r="L406" i="12"/>
  <c r="K406" i="12"/>
  <c r="I406" i="12"/>
  <c r="F406" i="12"/>
  <c r="X405" i="12"/>
  <c r="V405" i="12"/>
  <c r="U405" i="12"/>
  <c r="T405" i="12"/>
  <c r="S405" i="12"/>
  <c r="R405" i="12"/>
  <c r="Q405" i="12"/>
  <c r="P405" i="12"/>
  <c r="O405" i="12"/>
  <c r="N405" i="12"/>
  <c r="M405" i="12"/>
  <c r="L405" i="12"/>
  <c r="K405" i="12"/>
  <c r="I405" i="12"/>
  <c r="F405" i="12"/>
  <c r="X404" i="12"/>
  <c r="V404" i="12"/>
  <c r="U404" i="12"/>
  <c r="T404" i="12"/>
  <c r="S404" i="12"/>
  <c r="R404" i="12"/>
  <c r="Q404" i="12"/>
  <c r="P404" i="12"/>
  <c r="O404" i="12"/>
  <c r="N404" i="12"/>
  <c r="M404" i="12"/>
  <c r="L404" i="12"/>
  <c r="K404" i="12"/>
  <c r="I404" i="12"/>
  <c r="F404" i="12"/>
  <c r="X403" i="12"/>
  <c r="V403" i="12"/>
  <c r="U403" i="12"/>
  <c r="T403" i="12"/>
  <c r="S403" i="12"/>
  <c r="R403" i="12"/>
  <c r="Q403" i="12"/>
  <c r="P403" i="12"/>
  <c r="O403" i="12"/>
  <c r="N403" i="12"/>
  <c r="M403" i="12"/>
  <c r="L403" i="12"/>
  <c r="K403" i="12"/>
  <c r="I403" i="12"/>
  <c r="F403" i="12"/>
  <c r="X402" i="12"/>
  <c r="V402" i="12"/>
  <c r="U402" i="12"/>
  <c r="T402" i="12"/>
  <c r="S402" i="12"/>
  <c r="R402" i="12"/>
  <c r="Q402" i="12"/>
  <c r="P402" i="12"/>
  <c r="O402" i="12"/>
  <c r="N402" i="12"/>
  <c r="M402" i="12"/>
  <c r="L402" i="12"/>
  <c r="K402" i="12"/>
  <c r="I402" i="12"/>
  <c r="F402" i="12"/>
  <c r="X401" i="12"/>
  <c r="V401" i="12"/>
  <c r="U401" i="12"/>
  <c r="T401" i="12"/>
  <c r="S401" i="12"/>
  <c r="R401" i="12"/>
  <c r="Q401" i="12"/>
  <c r="P401" i="12"/>
  <c r="O401" i="12"/>
  <c r="N401" i="12"/>
  <c r="M401" i="12"/>
  <c r="L401" i="12"/>
  <c r="K401" i="12"/>
  <c r="I401" i="12"/>
  <c r="F401" i="12"/>
  <c r="X400" i="12"/>
  <c r="V400" i="12"/>
  <c r="U400" i="12"/>
  <c r="T400" i="12"/>
  <c r="S400" i="12"/>
  <c r="R400" i="12"/>
  <c r="Q400" i="12"/>
  <c r="P400" i="12"/>
  <c r="O400" i="12"/>
  <c r="N400" i="12"/>
  <c r="M400" i="12"/>
  <c r="L400" i="12"/>
  <c r="K400" i="12"/>
  <c r="I400" i="12"/>
  <c r="F400" i="12"/>
  <c r="X399" i="12"/>
  <c r="V399" i="12"/>
  <c r="U399" i="12"/>
  <c r="T399" i="12"/>
  <c r="S399" i="12"/>
  <c r="R399" i="12"/>
  <c r="Q399" i="12"/>
  <c r="P399" i="12"/>
  <c r="O399" i="12"/>
  <c r="N399" i="12"/>
  <c r="M399" i="12"/>
  <c r="L399" i="12"/>
  <c r="K399" i="12"/>
  <c r="I399" i="12"/>
  <c r="F399" i="12"/>
  <c r="X398" i="12"/>
  <c r="V398" i="12"/>
  <c r="U398" i="12"/>
  <c r="T398" i="12"/>
  <c r="S398" i="12"/>
  <c r="R398" i="12"/>
  <c r="Q398" i="12"/>
  <c r="P398" i="12"/>
  <c r="O398" i="12"/>
  <c r="N398" i="12"/>
  <c r="M398" i="12"/>
  <c r="L398" i="12"/>
  <c r="K398" i="12"/>
  <c r="I398" i="12"/>
  <c r="F398" i="12"/>
  <c r="X397" i="12"/>
  <c r="V397" i="12"/>
  <c r="U397" i="12"/>
  <c r="T397" i="12"/>
  <c r="S397" i="12"/>
  <c r="R397" i="12"/>
  <c r="Q397" i="12"/>
  <c r="P397" i="12"/>
  <c r="O397" i="12"/>
  <c r="N397" i="12"/>
  <c r="M397" i="12"/>
  <c r="L397" i="12"/>
  <c r="K397" i="12"/>
  <c r="I397" i="12"/>
  <c r="F397" i="12"/>
  <c r="X396" i="12"/>
  <c r="V396" i="12"/>
  <c r="U396" i="12"/>
  <c r="T396" i="12"/>
  <c r="S396" i="12"/>
  <c r="R396" i="12"/>
  <c r="Q396" i="12"/>
  <c r="P396" i="12"/>
  <c r="O396" i="12"/>
  <c r="N396" i="12"/>
  <c r="M396" i="12"/>
  <c r="L396" i="12"/>
  <c r="K396" i="12"/>
  <c r="I396" i="12"/>
  <c r="F396" i="12"/>
  <c r="X395" i="12"/>
  <c r="V395" i="12"/>
  <c r="U395" i="12"/>
  <c r="T395" i="12"/>
  <c r="S395" i="12"/>
  <c r="R395" i="12"/>
  <c r="Q395" i="12"/>
  <c r="P395" i="12"/>
  <c r="O395" i="12"/>
  <c r="N395" i="12"/>
  <c r="M395" i="12"/>
  <c r="L395" i="12"/>
  <c r="K395" i="12"/>
  <c r="I395" i="12"/>
  <c r="F395" i="12"/>
  <c r="X394" i="12"/>
  <c r="V394" i="12"/>
  <c r="U394" i="12"/>
  <c r="T394" i="12"/>
  <c r="S394" i="12"/>
  <c r="R394" i="12"/>
  <c r="Q394" i="12"/>
  <c r="P394" i="12"/>
  <c r="O394" i="12"/>
  <c r="N394" i="12"/>
  <c r="M394" i="12"/>
  <c r="L394" i="12"/>
  <c r="K394" i="12"/>
  <c r="I394" i="12"/>
  <c r="F394" i="12"/>
  <c r="X393" i="12"/>
  <c r="V393" i="12"/>
  <c r="U393" i="12"/>
  <c r="T393" i="12"/>
  <c r="S393" i="12"/>
  <c r="R393" i="12"/>
  <c r="Q393" i="12"/>
  <c r="P393" i="12"/>
  <c r="O393" i="12"/>
  <c r="N393" i="12"/>
  <c r="M393" i="12"/>
  <c r="L393" i="12"/>
  <c r="K393" i="12"/>
  <c r="I393" i="12"/>
  <c r="F393" i="12"/>
  <c r="X392" i="12"/>
  <c r="V392" i="12"/>
  <c r="U392" i="12"/>
  <c r="T392" i="12"/>
  <c r="S392" i="12"/>
  <c r="R392" i="12"/>
  <c r="Q392" i="12"/>
  <c r="P392" i="12"/>
  <c r="O392" i="12"/>
  <c r="N392" i="12"/>
  <c r="M392" i="12"/>
  <c r="L392" i="12"/>
  <c r="K392" i="12"/>
  <c r="I392" i="12"/>
  <c r="F392" i="12"/>
  <c r="X391" i="12"/>
  <c r="V391" i="12"/>
  <c r="U391" i="12"/>
  <c r="T391" i="12"/>
  <c r="S391" i="12"/>
  <c r="R391" i="12"/>
  <c r="Q391" i="12"/>
  <c r="P391" i="12"/>
  <c r="O391" i="12"/>
  <c r="N391" i="12"/>
  <c r="M391" i="12"/>
  <c r="L391" i="12"/>
  <c r="K391" i="12"/>
  <c r="I391" i="12"/>
  <c r="F391" i="12"/>
  <c r="X390" i="12"/>
  <c r="V390" i="12"/>
  <c r="U390" i="12"/>
  <c r="T390" i="12"/>
  <c r="S390" i="12"/>
  <c r="R390" i="12"/>
  <c r="Q390" i="12"/>
  <c r="P390" i="12"/>
  <c r="O390" i="12"/>
  <c r="N390" i="12"/>
  <c r="M390" i="12"/>
  <c r="L390" i="12"/>
  <c r="K390" i="12"/>
  <c r="I390" i="12"/>
  <c r="F390" i="12"/>
  <c r="X389" i="12"/>
  <c r="V389" i="12"/>
  <c r="U389" i="12"/>
  <c r="T389" i="12"/>
  <c r="S389" i="12"/>
  <c r="R389" i="12"/>
  <c r="Q389" i="12"/>
  <c r="P389" i="12"/>
  <c r="O389" i="12"/>
  <c r="N389" i="12"/>
  <c r="M389" i="12"/>
  <c r="L389" i="12"/>
  <c r="K389" i="12"/>
  <c r="I389" i="12"/>
  <c r="F389" i="12"/>
  <c r="X388" i="12"/>
  <c r="V388" i="12"/>
  <c r="U388" i="12"/>
  <c r="T388" i="12"/>
  <c r="S388" i="12"/>
  <c r="R388" i="12"/>
  <c r="Q388" i="12"/>
  <c r="P388" i="12"/>
  <c r="O388" i="12"/>
  <c r="N388" i="12"/>
  <c r="M388" i="12"/>
  <c r="L388" i="12"/>
  <c r="K388" i="12"/>
  <c r="I388" i="12"/>
  <c r="F388" i="12"/>
  <c r="X387" i="12"/>
  <c r="V387" i="12"/>
  <c r="U387" i="12"/>
  <c r="T387" i="12"/>
  <c r="S387" i="12"/>
  <c r="R387" i="12"/>
  <c r="Q387" i="12"/>
  <c r="P387" i="12"/>
  <c r="O387" i="12"/>
  <c r="N387" i="12"/>
  <c r="M387" i="12"/>
  <c r="L387" i="12"/>
  <c r="K387" i="12"/>
  <c r="I387" i="12"/>
  <c r="F387" i="12"/>
  <c r="X386" i="12"/>
  <c r="V386" i="12"/>
  <c r="U386" i="12"/>
  <c r="T386" i="12"/>
  <c r="S386" i="12"/>
  <c r="R386" i="12"/>
  <c r="Q386" i="12"/>
  <c r="P386" i="12"/>
  <c r="O386" i="12"/>
  <c r="N386" i="12"/>
  <c r="M386" i="12"/>
  <c r="L386" i="12"/>
  <c r="K386" i="12"/>
  <c r="I386" i="12"/>
  <c r="F386" i="12"/>
  <c r="X385" i="12"/>
  <c r="V385" i="12"/>
  <c r="U385" i="12"/>
  <c r="T385" i="12"/>
  <c r="S385" i="12"/>
  <c r="R385" i="12"/>
  <c r="Q385" i="12"/>
  <c r="P385" i="12"/>
  <c r="O385" i="12"/>
  <c r="N385" i="12"/>
  <c r="M385" i="12"/>
  <c r="L385" i="12"/>
  <c r="K385" i="12"/>
  <c r="I385" i="12"/>
  <c r="F385" i="12"/>
  <c r="X384" i="12"/>
  <c r="V384" i="12"/>
  <c r="U384" i="12"/>
  <c r="T384" i="12"/>
  <c r="S384" i="12"/>
  <c r="R384" i="12"/>
  <c r="Q384" i="12"/>
  <c r="P384" i="12"/>
  <c r="O384" i="12"/>
  <c r="N384" i="12"/>
  <c r="M384" i="12"/>
  <c r="L384" i="12"/>
  <c r="K384" i="12"/>
  <c r="I384" i="12"/>
  <c r="F384" i="12"/>
  <c r="X383" i="12"/>
  <c r="V383" i="12"/>
  <c r="U383" i="12"/>
  <c r="T383" i="12"/>
  <c r="S383" i="12"/>
  <c r="R383" i="12"/>
  <c r="Q383" i="12"/>
  <c r="P383" i="12"/>
  <c r="O383" i="12"/>
  <c r="N383" i="12"/>
  <c r="M383" i="12"/>
  <c r="L383" i="12"/>
  <c r="K383" i="12"/>
  <c r="I383" i="12"/>
  <c r="F383" i="12"/>
  <c r="X382" i="12"/>
  <c r="V382" i="12"/>
  <c r="U382" i="12"/>
  <c r="T382" i="12"/>
  <c r="S382" i="12"/>
  <c r="R382" i="12"/>
  <c r="Q382" i="12"/>
  <c r="P382" i="12"/>
  <c r="O382" i="12"/>
  <c r="N382" i="12"/>
  <c r="M382" i="12"/>
  <c r="L382" i="12"/>
  <c r="K382" i="12"/>
  <c r="I382" i="12"/>
  <c r="F382" i="12"/>
  <c r="X381" i="12"/>
  <c r="V381" i="12"/>
  <c r="U381" i="12"/>
  <c r="T381" i="12"/>
  <c r="S381" i="12"/>
  <c r="R381" i="12"/>
  <c r="Q381" i="12"/>
  <c r="P381" i="12"/>
  <c r="O381" i="12"/>
  <c r="N381" i="12"/>
  <c r="M381" i="12"/>
  <c r="L381" i="12"/>
  <c r="K381" i="12"/>
  <c r="I381" i="12"/>
  <c r="F381" i="12"/>
  <c r="X380" i="12"/>
  <c r="V380" i="12"/>
  <c r="U380" i="12"/>
  <c r="T380" i="12"/>
  <c r="S380" i="12"/>
  <c r="R380" i="12"/>
  <c r="Q380" i="12"/>
  <c r="P380" i="12"/>
  <c r="O380" i="12"/>
  <c r="N380" i="12"/>
  <c r="M380" i="12"/>
  <c r="L380" i="12"/>
  <c r="K380" i="12"/>
  <c r="I380" i="12"/>
  <c r="F380" i="12"/>
  <c r="X379" i="12"/>
  <c r="V379" i="12"/>
  <c r="U379" i="12"/>
  <c r="T379" i="12"/>
  <c r="S379" i="12"/>
  <c r="R379" i="12"/>
  <c r="Q379" i="12"/>
  <c r="P379" i="12"/>
  <c r="O379" i="12"/>
  <c r="N379" i="12"/>
  <c r="M379" i="12"/>
  <c r="L379" i="12"/>
  <c r="K379" i="12"/>
  <c r="I379" i="12"/>
  <c r="F379" i="12"/>
  <c r="X378" i="12"/>
  <c r="V378" i="12"/>
  <c r="U378" i="12"/>
  <c r="T378" i="12"/>
  <c r="S378" i="12"/>
  <c r="R378" i="12"/>
  <c r="Q378" i="12"/>
  <c r="P378" i="12"/>
  <c r="O378" i="12"/>
  <c r="N378" i="12"/>
  <c r="M378" i="12"/>
  <c r="L378" i="12"/>
  <c r="K378" i="12"/>
  <c r="I378" i="12"/>
  <c r="F378" i="12"/>
  <c r="X377" i="12"/>
  <c r="V377" i="12"/>
  <c r="U377" i="12"/>
  <c r="T377" i="12"/>
  <c r="S377" i="12"/>
  <c r="R377" i="12"/>
  <c r="Q377" i="12"/>
  <c r="P377" i="12"/>
  <c r="O377" i="12"/>
  <c r="N377" i="12"/>
  <c r="M377" i="12"/>
  <c r="L377" i="12"/>
  <c r="K377" i="12"/>
  <c r="I377" i="12"/>
  <c r="F377" i="12"/>
  <c r="X376" i="12"/>
  <c r="V376" i="12"/>
  <c r="U376" i="12"/>
  <c r="T376" i="12"/>
  <c r="S376" i="12"/>
  <c r="R376" i="12"/>
  <c r="Q376" i="12"/>
  <c r="P376" i="12"/>
  <c r="O376" i="12"/>
  <c r="N376" i="12"/>
  <c r="M376" i="12"/>
  <c r="L376" i="12"/>
  <c r="K376" i="12"/>
  <c r="I376" i="12"/>
  <c r="F376" i="12"/>
  <c r="X375" i="12"/>
  <c r="V375" i="12"/>
  <c r="U375" i="12"/>
  <c r="T375" i="12"/>
  <c r="S375" i="12"/>
  <c r="R375" i="12"/>
  <c r="Q375" i="12"/>
  <c r="P375" i="12"/>
  <c r="O375" i="12"/>
  <c r="N375" i="12"/>
  <c r="M375" i="12"/>
  <c r="L375" i="12"/>
  <c r="K375" i="12"/>
  <c r="I375" i="12"/>
  <c r="F375" i="12"/>
  <c r="X374" i="12"/>
  <c r="V374" i="12"/>
  <c r="U374" i="12"/>
  <c r="T374" i="12"/>
  <c r="S374" i="12"/>
  <c r="R374" i="12"/>
  <c r="Q374" i="12"/>
  <c r="P374" i="12"/>
  <c r="O374" i="12"/>
  <c r="N374" i="12"/>
  <c r="M374" i="12"/>
  <c r="L374" i="12"/>
  <c r="K374" i="12"/>
  <c r="I374" i="12"/>
  <c r="F374" i="12"/>
  <c r="X373" i="12"/>
  <c r="V373" i="12"/>
  <c r="U373" i="12"/>
  <c r="T373" i="12"/>
  <c r="S373" i="12"/>
  <c r="R373" i="12"/>
  <c r="Q373" i="12"/>
  <c r="P373" i="12"/>
  <c r="O373" i="12"/>
  <c r="N373" i="12"/>
  <c r="M373" i="12"/>
  <c r="L373" i="12"/>
  <c r="K373" i="12"/>
  <c r="I373" i="12"/>
  <c r="F373" i="12"/>
  <c r="X372" i="12"/>
  <c r="V372" i="12"/>
  <c r="U372" i="12"/>
  <c r="T372" i="12"/>
  <c r="S372" i="12"/>
  <c r="R372" i="12"/>
  <c r="Q372" i="12"/>
  <c r="P372" i="12"/>
  <c r="O372" i="12"/>
  <c r="N372" i="12"/>
  <c r="M372" i="12"/>
  <c r="L372" i="12"/>
  <c r="K372" i="12"/>
  <c r="I372" i="12"/>
  <c r="F372" i="12"/>
  <c r="X371" i="12"/>
  <c r="V371" i="12"/>
  <c r="U371" i="12"/>
  <c r="T371" i="12"/>
  <c r="S371" i="12"/>
  <c r="R371" i="12"/>
  <c r="Q371" i="12"/>
  <c r="P371" i="12"/>
  <c r="O371" i="12"/>
  <c r="N371" i="12"/>
  <c r="M371" i="12"/>
  <c r="L371" i="12"/>
  <c r="K371" i="12"/>
  <c r="I371" i="12"/>
  <c r="F371" i="12"/>
  <c r="X370" i="12"/>
  <c r="V370" i="12"/>
  <c r="U370" i="12"/>
  <c r="T370" i="12"/>
  <c r="S370" i="12"/>
  <c r="R370" i="12"/>
  <c r="Q370" i="12"/>
  <c r="P370" i="12"/>
  <c r="O370" i="12"/>
  <c r="N370" i="12"/>
  <c r="M370" i="12"/>
  <c r="L370" i="12"/>
  <c r="K370" i="12"/>
  <c r="I370" i="12"/>
  <c r="F370" i="12"/>
  <c r="X369" i="12"/>
  <c r="V369" i="12"/>
  <c r="U369" i="12"/>
  <c r="T369" i="12"/>
  <c r="S369" i="12"/>
  <c r="R369" i="12"/>
  <c r="Q369" i="12"/>
  <c r="P369" i="12"/>
  <c r="O369" i="12"/>
  <c r="N369" i="12"/>
  <c r="M369" i="12"/>
  <c r="L369" i="12"/>
  <c r="K369" i="12"/>
  <c r="I369" i="12"/>
  <c r="F369" i="12"/>
  <c r="X368" i="12"/>
  <c r="V368" i="12"/>
  <c r="U368" i="12"/>
  <c r="T368" i="12"/>
  <c r="S368" i="12"/>
  <c r="R368" i="12"/>
  <c r="Q368" i="12"/>
  <c r="P368" i="12"/>
  <c r="O368" i="12"/>
  <c r="N368" i="12"/>
  <c r="M368" i="12"/>
  <c r="L368" i="12"/>
  <c r="K368" i="12"/>
  <c r="I368" i="12"/>
  <c r="F368" i="12"/>
  <c r="X367" i="12"/>
  <c r="V367" i="12"/>
  <c r="U367" i="12"/>
  <c r="T367" i="12"/>
  <c r="S367" i="12"/>
  <c r="R367" i="12"/>
  <c r="Q367" i="12"/>
  <c r="P367" i="12"/>
  <c r="O367" i="12"/>
  <c r="N367" i="12"/>
  <c r="M367" i="12"/>
  <c r="L367" i="12"/>
  <c r="K367" i="12"/>
  <c r="I367" i="12"/>
  <c r="F367" i="12"/>
  <c r="X366" i="12"/>
  <c r="V366" i="12"/>
  <c r="U366" i="12"/>
  <c r="T366" i="12"/>
  <c r="S366" i="12"/>
  <c r="R366" i="12"/>
  <c r="Q366" i="12"/>
  <c r="P366" i="12"/>
  <c r="O366" i="12"/>
  <c r="N366" i="12"/>
  <c r="M366" i="12"/>
  <c r="L366" i="12"/>
  <c r="K366" i="12"/>
  <c r="I366" i="12"/>
  <c r="F366" i="12"/>
  <c r="X365" i="12"/>
  <c r="V365" i="12"/>
  <c r="U365" i="12"/>
  <c r="T365" i="12"/>
  <c r="S365" i="12"/>
  <c r="R365" i="12"/>
  <c r="Q365" i="12"/>
  <c r="P365" i="12"/>
  <c r="O365" i="12"/>
  <c r="N365" i="12"/>
  <c r="M365" i="12"/>
  <c r="L365" i="12"/>
  <c r="K365" i="12"/>
  <c r="I365" i="12"/>
  <c r="F365" i="12"/>
  <c r="X364" i="12"/>
  <c r="V364" i="12"/>
  <c r="U364" i="12"/>
  <c r="T364" i="12"/>
  <c r="S364" i="12"/>
  <c r="R364" i="12"/>
  <c r="Q364" i="12"/>
  <c r="P364" i="12"/>
  <c r="O364" i="12"/>
  <c r="N364" i="12"/>
  <c r="M364" i="12"/>
  <c r="L364" i="12"/>
  <c r="K364" i="12"/>
  <c r="I364" i="12"/>
  <c r="F364" i="12"/>
  <c r="X363" i="12"/>
  <c r="V363" i="12"/>
  <c r="U363" i="12"/>
  <c r="T363" i="12"/>
  <c r="S363" i="12"/>
  <c r="R363" i="12"/>
  <c r="Q363" i="12"/>
  <c r="P363" i="12"/>
  <c r="O363" i="12"/>
  <c r="N363" i="12"/>
  <c r="M363" i="12"/>
  <c r="L363" i="12"/>
  <c r="K363" i="12"/>
  <c r="I363" i="12"/>
  <c r="F363" i="12"/>
  <c r="X362" i="12"/>
  <c r="V362" i="12"/>
  <c r="U362" i="12"/>
  <c r="T362" i="12"/>
  <c r="S362" i="12"/>
  <c r="R362" i="12"/>
  <c r="Q362" i="12"/>
  <c r="P362" i="12"/>
  <c r="O362" i="12"/>
  <c r="N362" i="12"/>
  <c r="M362" i="12"/>
  <c r="L362" i="12"/>
  <c r="K362" i="12"/>
  <c r="I362" i="12"/>
  <c r="F362" i="12"/>
  <c r="X361" i="12"/>
  <c r="V361" i="12"/>
  <c r="U361" i="12"/>
  <c r="T361" i="12"/>
  <c r="S361" i="12"/>
  <c r="R361" i="12"/>
  <c r="Q361" i="12"/>
  <c r="P361" i="12"/>
  <c r="O361" i="12"/>
  <c r="N361" i="12"/>
  <c r="M361" i="12"/>
  <c r="L361" i="12"/>
  <c r="K361" i="12"/>
  <c r="I361" i="12"/>
  <c r="F361" i="12"/>
  <c r="X360" i="12"/>
  <c r="V360" i="12"/>
  <c r="U360" i="12"/>
  <c r="T360" i="12"/>
  <c r="S360" i="12"/>
  <c r="R360" i="12"/>
  <c r="Q360" i="12"/>
  <c r="P360" i="12"/>
  <c r="O360" i="12"/>
  <c r="N360" i="12"/>
  <c r="M360" i="12"/>
  <c r="L360" i="12"/>
  <c r="K360" i="12"/>
  <c r="I360" i="12"/>
  <c r="F360" i="12"/>
  <c r="X359" i="12"/>
  <c r="V359" i="12"/>
  <c r="U359" i="12"/>
  <c r="T359" i="12"/>
  <c r="S359" i="12"/>
  <c r="R359" i="12"/>
  <c r="Q359" i="12"/>
  <c r="P359" i="12"/>
  <c r="O359" i="12"/>
  <c r="N359" i="12"/>
  <c r="M359" i="12"/>
  <c r="L359" i="12"/>
  <c r="K359" i="12"/>
  <c r="I359" i="12"/>
  <c r="F359" i="12"/>
  <c r="X358" i="12"/>
  <c r="V358" i="12"/>
  <c r="U358" i="12"/>
  <c r="T358" i="12"/>
  <c r="S358" i="12"/>
  <c r="R358" i="12"/>
  <c r="Q358" i="12"/>
  <c r="P358" i="12"/>
  <c r="O358" i="12"/>
  <c r="N358" i="12"/>
  <c r="M358" i="12"/>
  <c r="L358" i="12"/>
  <c r="K358" i="12"/>
  <c r="I358" i="12"/>
  <c r="F358" i="12"/>
  <c r="X357" i="12"/>
  <c r="V357" i="12"/>
  <c r="U357" i="12"/>
  <c r="T357" i="12"/>
  <c r="S357" i="12"/>
  <c r="R357" i="12"/>
  <c r="Q357" i="12"/>
  <c r="P357" i="12"/>
  <c r="O357" i="12"/>
  <c r="N357" i="12"/>
  <c r="M357" i="12"/>
  <c r="L357" i="12"/>
  <c r="K357" i="12"/>
  <c r="I357" i="12"/>
  <c r="F357" i="12"/>
  <c r="X356" i="12"/>
  <c r="V356" i="12"/>
  <c r="U356" i="12"/>
  <c r="T356" i="12"/>
  <c r="S356" i="12"/>
  <c r="R356" i="12"/>
  <c r="Q356" i="12"/>
  <c r="P356" i="12"/>
  <c r="O356" i="12"/>
  <c r="N356" i="12"/>
  <c r="M356" i="12"/>
  <c r="L356" i="12"/>
  <c r="K356" i="12"/>
  <c r="I356" i="12"/>
  <c r="F356" i="12"/>
  <c r="X355" i="12"/>
  <c r="V355" i="12"/>
  <c r="U355" i="12"/>
  <c r="T355" i="12"/>
  <c r="S355" i="12"/>
  <c r="R355" i="12"/>
  <c r="Q355" i="12"/>
  <c r="P355" i="12"/>
  <c r="O355" i="12"/>
  <c r="N355" i="12"/>
  <c r="M355" i="12"/>
  <c r="L355" i="12"/>
  <c r="K355" i="12"/>
  <c r="I355" i="12"/>
  <c r="F355" i="12"/>
  <c r="X354" i="12"/>
  <c r="V354" i="12"/>
  <c r="U354" i="12"/>
  <c r="T354" i="12"/>
  <c r="S354" i="12"/>
  <c r="R354" i="12"/>
  <c r="Q354" i="12"/>
  <c r="P354" i="12"/>
  <c r="O354" i="12"/>
  <c r="N354" i="12"/>
  <c r="M354" i="12"/>
  <c r="L354" i="12"/>
  <c r="K354" i="12"/>
  <c r="I354" i="12"/>
  <c r="F354" i="12"/>
  <c r="X353" i="12"/>
  <c r="V353" i="12"/>
  <c r="U353" i="12"/>
  <c r="T353" i="12"/>
  <c r="S353" i="12"/>
  <c r="R353" i="12"/>
  <c r="Q353" i="12"/>
  <c r="P353" i="12"/>
  <c r="O353" i="12"/>
  <c r="N353" i="12"/>
  <c r="M353" i="12"/>
  <c r="L353" i="12"/>
  <c r="K353" i="12"/>
  <c r="I353" i="12"/>
  <c r="F353" i="12"/>
  <c r="X352" i="12"/>
  <c r="V352" i="12"/>
  <c r="U352" i="12"/>
  <c r="T352" i="12"/>
  <c r="S352" i="12"/>
  <c r="R352" i="12"/>
  <c r="Q352" i="12"/>
  <c r="P352" i="12"/>
  <c r="O352" i="12"/>
  <c r="N352" i="12"/>
  <c r="M352" i="12"/>
  <c r="L352" i="12"/>
  <c r="K352" i="12"/>
  <c r="I352" i="12"/>
  <c r="F352" i="12"/>
  <c r="X351" i="12"/>
  <c r="V351" i="12"/>
  <c r="U351" i="12"/>
  <c r="T351" i="12"/>
  <c r="S351" i="12"/>
  <c r="R351" i="12"/>
  <c r="Q351" i="12"/>
  <c r="P351" i="12"/>
  <c r="O351" i="12"/>
  <c r="N351" i="12"/>
  <c r="M351" i="12"/>
  <c r="L351" i="12"/>
  <c r="K351" i="12"/>
  <c r="I351" i="12"/>
  <c r="F351" i="12"/>
  <c r="X350" i="12"/>
  <c r="V350" i="12"/>
  <c r="U350" i="12"/>
  <c r="T350" i="12"/>
  <c r="S350" i="12"/>
  <c r="R350" i="12"/>
  <c r="Q350" i="12"/>
  <c r="P350" i="12"/>
  <c r="O350" i="12"/>
  <c r="N350" i="12"/>
  <c r="M350" i="12"/>
  <c r="L350" i="12"/>
  <c r="K350" i="12"/>
  <c r="I350" i="12"/>
  <c r="F350" i="12"/>
  <c r="X349" i="12"/>
  <c r="V349" i="12"/>
  <c r="U349" i="12"/>
  <c r="T349" i="12"/>
  <c r="S349" i="12"/>
  <c r="R349" i="12"/>
  <c r="Q349" i="12"/>
  <c r="P349" i="12"/>
  <c r="O349" i="12"/>
  <c r="N349" i="12"/>
  <c r="M349" i="12"/>
  <c r="L349" i="12"/>
  <c r="K349" i="12"/>
  <c r="I349" i="12"/>
  <c r="F349" i="12"/>
  <c r="X348" i="12"/>
  <c r="V348" i="12"/>
  <c r="U348" i="12"/>
  <c r="T348" i="12"/>
  <c r="S348" i="12"/>
  <c r="R348" i="12"/>
  <c r="Q348" i="12"/>
  <c r="P348" i="12"/>
  <c r="O348" i="12"/>
  <c r="N348" i="12"/>
  <c r="M348" i="12"/>
  <c r="L348" i="12"/>
  <c r="K348" i="12"/>
  <c r="I348" i="12"/>
  <c r="F348" i="12"/>
  <c r="X347" i="12"/>
  <c r="V347" i="12"/>
  <c r="U347" i="12"/>
  <c r="T347" i="12"/>
  <c r="S347" i="12"/>
  <c r="R347" i="12"/>
  <c r="Q347" i="12"/>
  <c r="P347" i="12"/>
  <c r="O347" i="12"/>
  <c r="N347" i="12"/>
  <c r="M347" i="12"/>
  <c r="L347" i="12"/>
  <c r="K347" i="12"/>
  <c r="I347" i="12"/>
  <c r="F347" i="12"/>
  <c r="X346" i="12"/>
  <c r="V346" i="12"/>
  <c r="U346" i="12"/>
  <c r="T346" i="12"/>
  <c r="S346" i="12"/>
  <c r="R346" i="12"/>
  <c r="Q346" i="12"/>
  <c r="P346" i="12"/>
  <c r="O346" i="12"/>
  <c r="N346" i="12"/>
  <c r="M346" i="12"/>
  <c r="L346" i="12"/>
  <c r="K346" i="12"/>
  <c r="I346" i="12"/>
  <c r="F346" i="12"/>
  <c r="X345" i="12"/>
  <c r="V345" i="12"/>
  <c r="U345" i="12"/>
  <c r="T345" i="12"/>
  <c r="S345" i="12"/>
  <c r="R345" i="12"/>
  <c r="Q345" i="12"/>
  <c r="P345" i="12"/>
  <c r="O345" i="12"/>
  <c r="N345" i="12"/>
  <c r="M345" i="12"/>
  <c r="L345" i="12"/>
  <c r="K345" i="12"/>
  <c r="I345" i="12"/>
  <c r="F345" i="12"/>
  <c r="X344" i="12"/>
  <c r="V344" i="12"/>
  <c r="U344" i="12"/>
  <c r="T344" i="12"/>
  <c r="S344" i="12"/>
  <c r="R344" i="12"/>
  <c r="Q344" i="12"/>
  <c r="P344" i="12"/>
  <c r="O344" i="12"/>
  <c r="N344" i="12"/>
  <c r="M344" i="12"/>
  <c r="L344" i="12"/>
  <c r="K344" i="12"/>
  <c r="I344" i="12"/>
  <c r="F344" i="12"/>
  <c r="X343" i="12"/>
  <c r="V343" i="12"/>
  <c r="U343" i="12"/>
  <c r="T343" i="12"/>
  <c r="S343" i="12"/>
  <c r="R343" i="12"/>
  <c r="Q343" i="12"/>
  <c r="P343" i="12"/>
  <c r="O343" i="12"/>
  <c r="N343" i="12"/>
  <c r="M343" i="12"/>
  <c r="L343" i="12"/>
  <c r="K343" i="12"/>
  <c r="I343" i="12"/>
  <c r="F343" i="12"/>
  <c r="X342" i="12"/>
  <c r="V342" i="12"/>
  <c r="U342" i="12"/>
  <c r="T342" i="12"/>
  <c r="S342" i="12"/>
  <c r="R342" i="12"/>
  <c r="Q342" i="12"/>
  <c r="P342" i="12"/>
  <c r="O342" i="12"/>
  <c r="N342" i="12"/>
  <c r="M342" i="12"/>
  <c r="L342" i="12"/>
  <c r="K342" i="12"/>
  <c r="I342" i="12"/>
  <c r="F342" i="12"/>
  <c r="X341" i="12"/>
  <c r="V341" i="12"/>
  <c r="U341" i="12"/>
  <c r="T341" i="12"/>
  <c r="S341" i="12"/>
  <c r="R341" i="12"/>
  <c r="Q341" i="12"/>
  <c r="P341" i="12"/>
  <c r="O341" i="12"/>
  <c r="N341" i="12"/>
  <c r="M341" i="12"/>
  <c r="L341" i="12"/>
  <c r="K341" i="12"/>
  <c r="I341" i="12"/>
  <c r="F341" i="12"/>
  <c r="X340" i="12"/>
  <c r="V340" i="12"/>
  <c r="U340" i="12"/>
  <c r="T340" i="12"/>
  <c r="S340" i="12"/>
  <c r="R340" i="12"/>
  <c r="Q340" i="12"/>
  <c r="P340" i="12"/>
  <c r="O340" i="12"/>
  <c r="N340" i="12"/>
  <c r="M340" i="12"/>
  <c r="L340" i="12"/>
  <c r="K340" i="12"/>
  <c r="I340" i="12"/>
  <c r="F340" i="12"/>
  <c r="X339" i="12"/>
  <c r="V339" i="12"/>
  <c r="U339" i="12"/>
  <c r="T339" i="12"/>
  <c r="S339" i="12"/>
  <c r="R339" i="12"/>
  <c r="Q339" i="12"/>
  <c r="P339" i="12"/>
  <c r="O339" i="12"/>
  <c r="N339" i="12"/>
  <c r="M339" i="12"/>
  <c r="L339" i="12"/>
  <c r="K339" i="12"/>
  <c r="I339" i="12"/>
  <c r="F339" i="12"/>
  <c r="X338" i="12"/>
  <c r="V338" i="12"/>
  <c r="U338" i="12"/>
  <c r="T338" i="12"/>
  <c r="S338" i="12"/>
  <c r="R338" i="12"/>
  <c r="Q338" i="12"/>
  <c r="P338" i="12"/>
  <c r="O338" i="12"/>
  <c r="N338" i="12"/>
  <c r="M338" i="12"/>
  <c r="L338" i="12"/>
  <c r="K338" i="12"/>
  <c r="I338" i="12"/>
  <c r="F338" i="12"/>
  <c r="X337" i="12"/>
  <c r="V337" i="12"/>
  <c r="U337" i="12"/>
  <c r="T337" i="12"/>
  <c r="S337" i="12"/>
  <c r="R337" i="12"/>
  <c r="Q337" i="12"/>
  <c r="P337" i="12"/>
  <c r="O337" i="12"/>
  <c r="N337" i="12"/>
  <c r="M337" i="12"/>
  <c r="L337" i="12"/>
  <c r="K337" i="12"/>
  <c r="I337" i="12"/>
  <c r="F337" i="12"/>
  <c r="X336" i="12"/>
  <c r="V336" i="12"/>
  <c r="U336" i="12"/>
  <c r="T336" i="12"/>
  <c r="S336" i="12"/>
  <c r="R336" i="12"/>
  <c r="Q336" i="12"/>
  <c r="P336" i="12"/>
  <c r="O336" i="12"/>
  <c r="N336" i="12"/>
  <c r="M336" i="12"/>
  <c r="L336" i="12"/>
  <c r="K336" i="12"/>
  <c r="I336" i="12"/>
  <c r="F336" i="12"/>
  <c r="X335" i="12"/>
  <c r="V335" i="12"/>
  <c r="U335" i="12"/>
  <c r="T335" i="12"/>
  <c r="S335" i="12"/>
  <c r="R335" i="12"/>
  <c r="Q335" i="12"/>
  <c r="P335" i="12"/>
  <c r="O335" i="12"/>
  <c r="N335" i="12"/>
  <c r="M335" i="12"/>
  <c r="L335" i="12"/>
  <c r="K335" i="12"/>
  <c r="I335" i="12"/>
  <c r="F335" i="12"/>
  <c r="X334" i="12"/>
  <c r="V334" i="12"/>
  <c r="U334" i="12"/>
  <c r="T334" i="12"/>
  <c r="S334" i="12"/>
  <c r="R334" i="12"/>
  <c r="Q334" i="12"/>
  <c r="P334" i="12"/>
  <c r="O334" i="12"/>
  <c r="N334" i="12"/>
  <c r="M334" i="12"/>
  <c r="L334" i="12"/>
  <c r="K334" i="12"/>
  <c r="I334" i="12"/>
  <c r="F334" i="12"/>
  <c r="X333" i="12"/>
  <c r="V333" i="12"/>
  <c r="U333" i="12"/>
  <c r="T333" i="12"/>
  <c r="S333" i="12"/>
  <c r="R333" i="12"/>
  <c r="Q333" i="12"/>
  <c r="P333" i="12"/>
  <c r="O333" i="12"/>
  <c r="N333" i="12"/>
  <c r="M333" i="12"/>
  <c r="L333" i="12"/>
  <c r="K333" i="12"/>
  <c r="I333" i="12"/>
  <c r="F333" i="12"/>
  <c r="X332" i="12"/>
  <c r="V332" i="12"/>
  <c r="U332" i="12"/>
  <c r="T332" i="12"/>
  <c r="S332" i="12"/>
  <c r="R332" i="12"/>
  <c r="Q332" i="12"/>
  <c r="P332" i="12"/>
  <c r="O332" i="12"/>
  <c r="N332" i="12"/>
  <c r="M332" i="12"/>
  <c r="L332" i="12"/>
  <c r="K332" i="12"/>
  <c r="I332" i="12"/>
  <c r="F332" i="12"/>
  <c r="X331" i="12"/>
  <c r="V331" i="12"/>
  <c r="U331" i="12"/>
  <c r="T331" i="12"/>
  <c r="S331" i="12"/>
  <c r="R331" i="12"/>
  <c r="Q331" i="12"/>
  <c r="P331" i="12"/>
  <c r="O331" i="12"/>
  <c r="N331" i="12"/>
  <c r="M331" i="12"/>
  <c r="L331" i="12"/>
  <c r="K331" i="12"/>
  <c r="I331" i="12"/>
  <c r="F331" i="12"/>
  <c r="X330" i="12"/>
  <c r="V330" i="12"/>
  <c r="U330" i="12"/>
  <c r="T330" i="12"/>
  <c r="S330" i="12"/>
  <c r="R330" i="12"/>
  <c r="Q330" i="12"/>
  <c r="P330" i="12"/>
  <c r="O330" i="12"/>
  <c r="N330" i="12"/>
  <c r="M330" i="12"/>
  <c r="L330" i="12"/>
  <c r="K330" i="12"/>
  <c r="I330" i="12"/>
  <c r="F330" i="12"/>
  <c r="X329" i="12"/>
  <c r="V329" i="12"/>
  <c r="U329" i="12"/>
  <c r="T329" i="12"/>
  <c r="S329" i="12"/>
  <c r="R329" i="12"/>
  <c r="Q329" i="12"/>
  <c r="P329" i="12"/>
  <c r="O329" i="12"/>
  <c r="N329" i="12"/>
  <c r="M329" i="12"/>
  <c r="L329" i="12"/>
  <c r="K329" i="12"/>
  <c r="I329" i="12"/>
  <c r="F329" i="12"/>
  <c r="X328" i="12"/>
  <c r="V328" i="12"/>
  <c r="U328" i="12"/>
  <c r="T328" i="12"/>
  <c r="S328" i="12"/>
  <c r="R328" i="12"/>
  <c r="Q328" i="12"/>
  <c r="P328" i="12"/>
  <c r="O328" i="12"/>
  <c r="N328" i="12"/>
  <c r="M328" i="12"/>
  <c r="L328" i="12"/>
  <c r="K328" i="12"/>
  <c r="I328" i="12"/>
  <c r="F328" i="12"/>
  <c r="X327" i="12"/>
  <c r="V327" i="12"/>
  <c r="U327" i="12"/>
  <c r="T327" i="12"/>
  <c r="S327" i="12"/>
  <c r="R327" i="12"/>
  <c r="Q327" i="12"/>
  <c r="P327" i="12"/>
  <c r="O327" i="12"/>
  <c r="N327" i="12"/>
  <c r="M327" i="12"/>
  <c r="L327" i="12"/>
  <c r="K327" i="12"/>
  <c r="I327" i="12"/>
  <c r="F327" i="12"/>
  <c r="X326" i="12"/>
  <c r="V326" i="12"/>
  <c r="U326" i="12"/>
  <c r="T326" i="12"/>
  <c r="S326" i="12"/>
  <c r="R326" i="12"/>
  <c r="Q326" i="12"/>
  <c r="P326" i="12"/>
  <c r="O326" i="12"/>
  <c r="N326" i="12"/>
  <c r="M326" i="12"/>
  <c r="L326" i="12"/>
  <c r="K326" i="12"/>
  <c r="I326" i="12"/>
  <c r="F326" i="12"/>
  <c r="X325" i="12"/>
  <c r="V325" i="12"/>
  <c r="U325" i="12"/>
  <c r="T325" i="12"/>
  <c r="S325" i="12"/>
  <c r="R325" i="12"/>
  <c r="Q325" i="12"/>
  <c r="P325" i="12"/>
  <c r="O325" i="12"/>
  <c r="N325" i="12"/>
  <c r="M325" i="12"/>
  <c r="L325" i="12"/>
  <c r="K325" i="12"/>
  <c r="I325" i="12"/>
  <c r="F325" i="12"/>
  <c r="X324" i="12"/>
  <c r="V324" i="12"/>
  <c r="U324" i="12"/>
  <c r="T324" i="12"/>
  <c r="S324" i="12"/>
  <c r="R324" i="12"/>
  <c r="Q324" i="12"/>
  <c r="P324" i="12"/>
  <c r="O324" i="12"/>
  <c r="N324" i="12"/>
  <c r="M324" i="12"/>
  <c r="L324" i="12"/>
  <c r="K324" i="12"/>
  <c r="I324" i="12"/>
  <c r="F324" i="12"/>
  <c r="X323" i="12"/>
  <c r="V323" i="12"/>
  <c r="U323" i="12"/>
  <c r="T323" i="12"/>
  <c r="S323" i="12"/>
  <c r="R323" i="12"/>
  <c r="Q323" i="12"/>
  <c r="P323" i="12"/>
  <c r="O323" i="12"/>
  <c r="N323" i="12"/>
  <c r="M323" i="12"/>
  <c r="L323" i="12"/>
  <c r="K323" i="12"/>
  <c r="I323" i="12"/>
  <c r="F323" i="12"/>
  <c r="X322" i="12"/>
  <c r="V322" i="12"/>
  <c r="U322" i="12"/>
  <c r="T322" i="12"/>
  <c r="S322" i="12"/>
  <c r="R322" i="12"/>
  <c r="Q322" i="12"/>
  <c r="P322" i="12"/>
  <c r="O322" i="12"/>
  <c r="N322" i="12"/>
  <c r="M322" i="12"/>
  <c r="L322" i="12"/>
  <c r="K322" i="12"/>
  <c r="I322" i="12"/>
  <c r="F322" i="12"/>
  <c r="X321" i="12"/>
  <c r="V321" i="12"/>
  <c r="U321" i="12"/>
  <c r="T321" i="12"/>
  <c r="S321" i="12"/>
  <c r="R321" i="12"/>
  <c r="Q321" i="12"/>
  <c r="P321" i="12"/>
  <c r="O321" i="12"/>
  <c r="N321" i="12"/>
  <c r="M321" i="12"/>
  <c r="L321" i="12"/>
  <c r="K321" i="12"/>
  <c r="I321" i="12"/>
  <c r="F321" i="12"/>
  <c r="X320" i="12"/>
  <c r="V320" i="12"/>
  <c r="U320" i="12"/>
  <c r="T320" i="12"/>
  <c r="S320" i="12"/>
  <c r="R320" i="12"/>
  <c r="Q320" i="12"/>
  <c r="P320" i="12"/>
  <c r="O320" i="12"/>
  <c r="N320" i="12"/>
  <c r="M320" i="12"/>
  <c r="L320" i="12"/>
  <c r="K320" i="12"/>
  <c r="I320" i="12"/>
  <c r="F320" i="12"/>
  <c r="X319" i="12"/>
  <c r="V319" i="12"/>
  <c r="U319" i="12"/>
  <c r="T319" i="12"/>
  <c r="S319" i="12"/>
  <c r="R319" i="12"/>
  <c r="Q319" i="12"/>
  <c r="P319" i="12"/>
  <c r="O319" i="12"/>
  <c r="N319" i="12"/>
  <c r="M319" i="12"/>
  <c r="L319" i="12"/>
  <c r="K319" i="12"/>
  <c r="I319" i="12"/>
  <c r="F319" i="12"/>
  <c r="X318" i="12"/>
  <c r="V318" i="12"/>
  <c r="U318" i="12"/>
  <c r="T318" i="12"/>
  <c r="S318" i="12"/>
  <c r="R318" i="12"/>
  <c r="Q318" i="12"/>
  <c r="P318" i="12"/>
  <c r="O318" i="12"/>
  <c r="N318" i="12"/>
  <c r="M318" i="12"/>
  <c r="L318" i="12"/>
  <c r="K318" i="12"/>
  <c r="I318" i="12"/>
  <c r="F318" i="12"/>
  <c r="X317" i="12"/>
  <c r="V317" i="12"/>
  <c r="U317" i="12"/>
  <c r="T317" i="12"/>
  <c r="S317" i="12"/>
  <c r="R317" i="12"/>
  <c r="Q317" i="12"/>
  <c r="P317" i="12"/>
  <c r="O317" i="12"/>
  <c r="N317" i="12"/>
  <c r="M317" i="12"/>
  <c r="L317" i="12"/>
  <c r="K317" i="12"/>
  <c r="I317" i="12"/>
  <c r="F317" i="12"/>
  <c r="X316" i="12"/>
  <c r="V316" i="12"/>
  <c r="U316" i="12"/>
  <c r="T316" i="12"/>
  <c r="S316" i="12"/>
  <c r="R316" i="12"/>
  <c r="Q316" i="12"/>
  <c r="P316" i="12"/>
  <c r="O316" i="12"/>
  <c r="N316" i="12"/>
  <c r="M316" i="12"/>
  <c r="L316" i="12"/>
  <c r="K316" i="12"/>
  <c r="I316" i="12"/>
  <c r="F316" i="12"/>
  <c r="X315" i="12"/>
  <c r="V315" i="12"/>
  <c r="U315" i="12"/>
  <c r="T315" i="12"/>
  <c r="S315" i="12"/>
  <c r="R315" i="12"/>
  <c r="Q315" i="12"/>
  <c r="P315" i="12"/>
  <c r="O315" i="12"/>
  <c r="N315" i="12"/>
  <c r="M315" i="12"/>
  <c r="L315" i="12"/>
  <c r="K315" i="12"/>
  <c r="I315" i="12"/>
  <c r="F315" i="12"/>
  <c r="X314" i="12"/>
  <c r="V314" i="12"/>
  <c r="U314" i="12"/>
  <c r="T314" i="12"/>
  <c r="S314" i="12"/>
  <c r="R314" i="12"/>
  <c r="Q314" i="12"/>
  <c r="P314" i="12"/>
  <c r="O314" i="12"/>
  <c r="N314" i="12"/>
  <c r="M314" i="12"/>
  <c r="L314" i="12"/>
  <c r="K314" i="12"/>
  <c r="I314" i="12"/>
  <c r="F314" i="12"/>
  <c r="X313" i="12"/>
  <c r="V313" i="12"/>
  <c r="U313" i="12"/>
  <c r="T313" i="12"/>
  <c r="S313" i="12"/>
  <c r="R313" i="12"/>
  <c r="Q313" i="12"/>
  <c r="P313" i="12"/>
  <c r="O313" i="12"/>
  <c r="N313" i="12"/>
  <c r="M313" i="12"/>
  <c r="L313" i="12"/>
  <c r="K313" i="12"/>
  <c r="I313" i="12"/>
  <c r="F313" i="12"/>
  <c r="X312" i="12"/>
  <c r="V312" i="12"/>
  <c r="U312" i="12"/>
  <c r="T312" i="12"/>
  <c r="S312" i="12"/>
  <c r="R312" i="12"/>
  <c r="Q312" i="12"/>
  <c r="P312" i="12"/>
  <c r="O312" i="12"/>
  <c r="N312" i="12"/>
  <c r="M312" i="12"/>
  <c r="L312" i="12"/>
  <c r="K312" i="12"/>
  <c r="I312" i="12"/>
  <c r="F312" i="12"/>
  <c r="X311" i="12"/>
  <c r="V311" i="12"/>
  <c r="U311" i="12"/>
  <c r="T311" i="12"/>
  <c r="S311" i="12"/>
  <c r="R311" i="12"/>
  <c r="Q311" i="12"/>
  <c r="P311" i="12"/>
  <c r="O311" i="12"/>
  <c r="N311" i="12"/>
  <c r="M311" i="12"/>
  <c r="L311" i="12"/>
  <c r="K311" i="12"/>
  <c r="I311" i="12"/>
  <c r="F311" i="12"/>
  <c r="X310" i="12"/>
  <c r="V310" i="12"/>
  <c r="U310" i="12"/>
  <c r="T310" i="12"/>
  <c r="S310" i="12"/>
  <c r="R310" i="12"/>
  <c r="Q310" i="12"/>
  <c r="P310" i="12"/>
  <c r="O310" i="12"/>
  <c r="N310" i="12"/>
  <c r="M310" i="12"/>
  <c r="L310" i="12"/>
  <c r="K310" i="12"/>
  <c r="I310" i="12"/>
  <c r="F310" i="12"/>
  <c r="X309" i="12"/>
  <c r="V309" i="12"/>
  <c r="U309" i="12"/>
  <c r="T309" i="12"/>
  <c r="S309" i="12"/>
  <c r="R309" i="12"/>
  <c r="Q309" i="12"/>
  <c r="P309" i="12"/>
  <c r="O309" i="12"/>
  <c r="N309" i="12"/>
  <c r="M309" i="12"/>
  <c r="L309" i="12"/>
  <c r="K309" i="12"/>
  <c r="I309" i="12"/>
  <c r="F309" i="12"/>
  <c r="X308" i="12"/>
  <c r="V308" i="12"/>
  <c r="U308" i="12"/>
  <c r="T308" i="12"/>
  <c r="S308" i="12"/>
  <c r="R308" i="12"/>
  <c r="Q308" i="12"/>
  <c r="P308" i="12"/>
  <c r="O308" i="12"/>
  <c r="N308" i="12"/>
  <c r="M308" i="12"/>
  <c r="L308" i="12"/>
  <c r="K308" i="12"/>
  <c r="I308" i="12"/>
  <c r="F308" i="12"/>
  <c r="X307" i="12"/>
  <c r="V307" i="12"/>
  <c r="U307" i="12"/>
  <c r="T307" i="12"/>
  <c r="S307" i="12"/>
  <c r="R307" i="12"/>
  <c r="Q307" i="12"/>
  <c r="P307" i="12"/>
  <c r="O307" i="12"/>
  <c r="N307" i="12"/>
  <c r="M307" i="12"/>
  <c r="L307" i="12"/>
  <c r="K307" i="12"/>
  <c r="I307" i="12"/>
  <c r="F307" i="12"/>
  <c r="X306" i="12"/>
  <c r="V306" i="12"/>
  <c r="U306" i="12"/>
  <c r="T306" i="12"/>
  <c r="S306" i="12"/>
  <c r="R306" i="12"/>
  <c r="Q306" i="12"/>
  <c r="P306" i="12"/>
  <c r="O306" i="12"/>
  <c r="N306" i="12"/>
  <c r="M306" i="12"/>
  <c r="L306" i="12"/>
  <c r="K306" i="12"/>
  <c r="I306" i="12"/>
  <c r="F306" i="12"/>
  <c r="X305" i="12"/>
  <c r="V305" i="12"/>
  <c r="U305" i="12"/>
  <c r="T305" i="12"/>
  <c r="S305" i="12"/>
  <c r="R305" i="12"/>
  <c r="Q305" i="12"/>
  <c r="P305" i="12"/>
  <c r="O305" i="12"/>
  <c r="N305" i="12"/>
  <c r="M305" i="12"/>
  <c r="L305" i="12"/>
  <c r="K305" i="12"/>
  <c r="I305" i="12"/>
  <c r="F305" i="12"/>
  <c r="X304" i="12"/>
  <c r="V304" i="12"/>
  <c r="U304" i="12"/>
  <c r="T304" i="12"/>
  <c r="S304" i="12"/>
  <c r="R304" i="12"/>
  <c r="Q304" i="12"/>
  <c r="P304" i="12"/>
  <c r="O304" i="12"/>
  <c r="N304" i="12"/>
  <c r="M304" i="12"/>
  <c r="L304" i="12"/>
  <c r="K304" i="12"/>
  <c r="I304" i="12"/>
  <c r="F304" i="12"/>
  <c r="X303" i="12"/>
  <c r="V303" i="12"/>
  <c r="U303" i="12"/>
  <c r="T303" i="12"/>
  <c r="S303" i="12"/>
  <c r="R303" i="12"/>
  <c r="Q303" i="12"/>
  <c r="P303" i="12"/>
  <c r="O303" i="12"/>
  <c r="N303" i="12"/>
  <c r="M303" i="12"/>
  <c r="L303" i="12"/>
  <c r="K303" i="12"/>
  <c r="I303" i="12"/>
  <c r="F303" i="12"/>
  <c r="X302" i="12"/>
  <c r="V302" i="12"/>
  <c r="U302" i="12"/>
  <c r="T302" i="12"/>
  <c r="S302" i="12"/>
  <c r="R302" i="12"/>
  <c r="Q302" i="12"/>
  <c r="P302" i="12"/>
  <c r="O302" i="12"/>
  <c r="N302" i="12"/>
  <c r="M302" i="12"/>
  <c r="L302" i="12"/>
  <c r="K302" i="12"/>
  <c r="I302" i="12"/>
  <c r="F302" i="12"/>
  <c r="X301" i="12"/>
  <c r="V301" i="12"/>
  <c r="U301" i="12"/>
  <c r="T301" i="12"/>
  <c r="S301" i="12"/>
  <c r="R301" i="12"/>
  <c r="Q301" i="12"/>
  <c r="P301" i="12"/>
  <c r="O301" i="12"/>
  <c r="N301" i="12"/>
  <c r="M301" i="12"/>
  <c r="L301" i="12"/>
  <c r="K301" i="12"/>
  <c r="I301" i="12"/>
  <c r="F301" i="12"/>
  <c r="X300" i="12"/>
  <c r="V300" i="12"/>
  <c r="U300" i="12"/>
  <c r="T300" i="12"/>
  <c r="S300" i="12"/>
  <c r="R300" i="12"/>
  <c r="Q300" i="12"/>
  <c r="P300" i="12"/>
  <c r="O300" i="12"/>
  <c r="N300" i="12"/>
  <c r="M300" i="12"/>
  <c r="L300" i="12"/>
  <c r="K300" i="12"/>
  <c r="I300" i="12"/>
  <c r="F300" i="12"/>
  <c r="X299" i="12"/>
  <c r="V299" i="12"/>
  <c r="U299" i="12"/>
  <c r="T299" i="12"/>
  <c r="S299" i="12"/>
  <c r="R299" i="12"/>
  <c r="Q299" i="12"/>
  <c r="P299" i="12"/>
  <c r="O299" i="12"/>
  <c r="N299" i="12"/>
  <c r="M299" i="12"/>
  <c r="L299" i="12"/>
  <c r="K299" i="12"/>
  <c r="I299" i="12"/>
  <c r="F299" i="12"/>
  <c r="X298" i="12"/>
  <c r="V298" i="12"/>
  <c r="U298" i="12"/>
  <c r="T298" i="12"/>
  <c r="S298" i="12"/>
  <c r="R298" i="12"/>
  <c r="Q298" i="12"/>
  <c r="P298" i="12"/>
  <c r="O298" i="12"/>
  <c r="N298" i="12"/>
  <c r="M298" i="12"/>
  <c r="L298" i="12"/>
  <c r="K298" i="12"/>
  <c r="I298" i="12"/>
  <c r="F298" i="12"/>
  <c r="X297" i="12"/>
  <c r="V297" i="12"/>
  <c r="U297" i="12"/>
  <c r="T297" i="12"/>
  <c r="S297" i="12"/>
  <c r="R297" i="12"/>
  <c r="Q297" i="12"/>
  <c r="P297" i="12"/>
  <c r="O297" i="12"/>
  <c r="N297" i="12"/>
  <c r="M297" i="12"/>
  <c r="L297" i="12"/>
  <c r="K297" i="12"/>
  <c r="I297" i="12"/>
  <c r="F297" i="12"/>
  <c r="X296" i="12"/>
  <c r="V296" i="12"/>
  <c r="U296" i="12"/>
  <c r="T296" i="12"/>
  <c r="S296" i="12"/>
  <c r="R296" i="12"/>
  <c r="Q296" i="12"/>
  <c r="P296" i="12"/>
  <c r="O296" i="12"/>
  <c r="N296" i="12"/>
  <c r="M296" i="12"/>
  <c r="L296" i="12"/>
  <c r="K296" i="12"/>
  <c r="I296" i="12"/>
  <c r="F296" i="12"/>
  <c r="X295" i="12"/>
  <c r="V295" i="12"/>
  <c r="U295" i="12"/>
  <c r="T295" i="12"/>
  <c r="S295" i="12"/>
  <c r="R295" i="12"/>
  <c r="Q295" i="12"/>
  <c r="P295" i="12"/>
  <c r="O295" i="12"/>
  <c r="N295" i="12"/>
  <c r="M295" i="12"/>
  <c r="L295" i="12"/>
  <c r="K295" i="12"/>
  <c r="I295" i="12"/>
  <c r="F295" i="12"/>
  <c r="X294" i="12"/>
  <c r="V294" i="12"/>
  <c r="U294" i="12"/>
  <c r="T294" i="12"/>
  <c r="S294" i="12"/>
  <c r="R294" i="12"/>
  <c r="Q294" i="12"/>
  <c r="P294" i="12"/>
  <c r="O294" i="12"/>
  <c r="N294" i="12"/>
  <c r="M294" i="12"/>
  <c r="L294" i="12"/>
  <c r="K294" i="12"/>
  <c r="I294" i="12"/>
  <c r="F294" i="12"/>
  <c r="X293" i="12"/>
  <c r="V293" i="12"/>
  <c r="U293" i="12"/>
  <c r="T293" i="12"/>
  <c r="S293" i="12"/>
  <c r="R293" i="12"/>
  <c r="Q293" i="12"/>
  <c r="P293" i="12"/>
  <c r="O293" i="12"/>
  <c r="N293" i="12"/>
  <c r="M293" i="12"/>
  <c r="L293" i="12"/>
  <c r="K293" i="12"/>
  <c r="I293" i="12"/>
  <c r="F293" i="12"/>
  <c r="X292" i="12"/>
  <c r="V292" i="12"/>
  <c r="U292" i="12"/>
  <c r="T292" i="12"/>
  <c r="S292" i="12"/>
  <c r="R292" i="12"/>
  <c r="Q292" i="12"/>
  <c r="P292" i="12"/>
  <c r="O292" i="12"/>
  <c r="N292" i="12"/>
  <c r="M292" i="12"/>
  <c r="L292" i="12"/>
  <c r="K292" i="12"/>
  <c r="I292" i="12"/>
  <c r="F292" i="12"/>
  <c r="X291" i="12"/>
  <c r="V291" i="12"/>
  <c r="U291" i="12"/>
  <c r="T291" i="12"/>
  <c r="S291" i="12"/>
  <c r="R291" i="12"/>
  <c r="Q291" i="12"/>
  <c r="P291" i="12"/>
  <c r="O291" i="12"/>
  <c r="N291" i="12"/>
  <c r="M291" i="12"/>
  <c r="L291" i="12"/>
  <c r="K291" i="12"/>
  <c r="I291" i="12"/>
  <c r="F291" i="12"/>
  <c r="X290" i="12"/>
  <c r="V290" i="12"/>
  <c r="U290" i="12"/>
  <c r="T290" i="12"/>
  <c r="S290" i="12"/>
  <c r="R290" i="12"/>
  <c r="Q290" i="12"/>
  <c r="P290" i="12"/>
  <c r="O290" i="12"/>
  <c r="N290" i="12"/>
  <c r="M290" i="12"/>
  <c r="L290" i="12"/>
  <c r="K290" i="12"/>
  <c r="I290" i="12"/>
  <c r="F290" i="12"/>
  <c r="X289" i="12"/>
  <c r="V289" i="12"/>
  <c r="U289" i="12"/>
  <c r="T289" i="12"/>
  <c r="S289" i="12"/>
  <c r="R289" i="12"/>
  <c r="Q289" i="12"/>
  <c r="P289" i="12"/>
  <c r="O289" i="12"/>
  <c r="N289" i="12"/>
  <c r="M289" i="12"/>
  <c r="L289" i="12"/>
  <c r="K289" i="12"/>
  <c r="I289" i="12"/>
  <c r="F289" i="12"/>
  <c r="X288" i="12"/>
  <c r="V288" i="12"/>
  <c r="U288" i="12"/>
  <c r="T288" i="12"/>
  <c r="S288" i="12"/>
  <c r="R288" i="12"/>
  <c r="Q288" i="12"/>
  <c r="P288" i="12"/>
  <c r="O288" i="12"/>
  <c r="N288" i="12"/>
  <c r="M288" i="12"/>
  <c r="L288" i="12"/>
  <c r="K288" i="12"/>
  <c r="I288" i="12"/>
  <c r="F288" i="12"/>
  <c r="X287" i="12"/>
  <c r="V287" i="12"/>
  <c r="U287" i="12"/>
  <c r="T287" i="12"/>
  <c r="S287" i="12"/>
  <c r="R287" i="12"/>
  <c r="Q287" i="12"/>
  <c r="P287" i="12"/>
  <c r="O287" i="12"/>
  <c r="N287" i="12"/>
  <c r="M287" i="12"/>
  <c r="L287" i="12"/>
  <c r="K287" i="12"/>
  <c r="I287" i="12"/>
  <c r="F287" i="12"/>
  <c r="X286" i="12"/>
  <c r="V286" i="12"/>
  <c r="U286" i="12"/>
  <c r="T286" i="12"/>
  <c r="S286" i="12"/>
  <c r="R286" i="12"/>
  <c r="Q286" i="12"/>
  <c r="P286" i="12"/>
  <c r="O286" i="12"/>
  <c r="N286" i="12"/>
  <c r="M286" i="12"/>
  <c r="L286" i="12"/>
  <c r="K286" i="12"/>
  <c r="I286" i="12"/>
  <c r="F286" i="12"/>
  <c r="X285" i="12"/>
  <c r="V285" i="12"/>
  <c r="U285" i="12"/>
  <c r="T285" i="12"/>
  <c r="S285" i="12"/>
  <c r="R285" i="12"/>
  <c r="Q285" i="12"/>
  <c r="P285" i="12"/>
  <c r="O285" i="12"/>
  <c r="N285" i="12"/>
  <c r="M285" i="12"/>
  <c r="L285" i="12"/>
  <c r="K285" i="12"/>
  <c r="I285" i="12"/>
  <c r="F285" i="12"/>
  <c r="X284" i="12"/>
  <c r="V284" i="12"/>
  <c r="U284" i="12"/>
  <c r="T284" i="12"/>
  <c r="S284" i="12"/>
  <c r="R284" i="12"/>
  <c r="Q284" i="12"/>
  <c r="P284" i="12"/>
  <c r="O284" i="12"/>
  <c r="N284" i="12"/>
  <c r="M284" i="12"/>
  <c r="L284" i="12"/>
  <c r="K284" i="12"/>
  <c r="I284" i="12"/>
  <c r="F284" i="12"/>
  <c r="X283" i="12"/>
  <c r="V283" i="12"/>
  <c r="U283" i="12"/>
  <c r="T283" i="12"/>
  <c r="S283" i="12"/>
  <c r="R283" i="12"/>
  <c r="Q283" i="12"/>
  <c r="P283" i="12"/>
  <c r="O283" i="12"/>
  <c r="N283" i="12"/>
  <c r="M283" i="12"/>
  <c r="L283" i="12"/>
  <c r="K283" i="12"/>
  <c r="I283" i="12"/>
  <c r="F283" i="12"/>
  <c r="X282" i="12"/>
  <c r="V282" i="12"/>
  <c r="U282" i="12"/>
  <c r="T282" i="12"/>
  <c r="S282" i="12"/>
  <c r="R282" i="12"/>
  <c r="Q282" i="12"/>
  <c r="P282" i="12"/>
  <c r="O282" i="12"/>
  <c r="N282" i="12"/>
  <c r="M282" i="12"/>
  <c r="L282" i="12"/>
  <c r="K282" i="12"/>
  <c r="I282" i="12"/>
  <c r="F282" i="12"/>
  <c r="X281" i="12"/>
  <c r="V281" i="12"/>
  <c r="U281" i="12"/>
  <c r="T281" i="12"/>
  <c r="S281" i="12"/>
  <c r="R281" i="12"/>
  <c r="Q281" i="12"/>
  <c r="P281" i="12"/>
  <c r="O281" i="12"/>
  <c r="N281" i="12"/>
  <c r="M281" i="12"/>
  <c r="L281" i="12"/>
  <c r="K281" i="12"/>
  <c r="I281" i="12"/>
  <c r="F281" i="12"/>
  <c r="X280" i="12"/>
  <c r="V280" i="12"/>
  <c r="U280" i="12"/>
  <c r="T280" i="12"/>
  <c r="S280" i="12"/>
  <c r="R280" i="12"/>
  <c r="Q280" i="12"/>
  <c r="P280" i="12"/>
  <c r="O280" i="12"/>
  <c r="N280" i="12"/>
  <c r="M280" i="12"/>
  <c r="L280" i="12"/>
  <c r="K280" i="12"/>
  <c r="I280" i="12"/>
  <c r="F280" i="12"/>
  <c r="X279" i="12"/>
  <c r="V279" i="12"/>
  <c r="U279" i="12"/>
  <c r="T279" i="12"/>
  <c r="S279" i="12"/>
  <c r="R279" i="12"/>
  <c r="Q279" i="12"/>
  <c r="P279" i="12"/>
  <c r="O279" i="12"/>
  <c r="N279" i="12"/>
  <c r="M279" i="12"/>
  <c r="L279" i="12"/>
  <c r="K279" i="12"/>
  <c r="I279" i="12"/>
  <c r="F279" i="12"/>
  <c r="X278" i="12"/>
  <c r="V278" i="12"/>
  <c r="U278" i="12"/>
  <c r="T278" i="12"/>
  <c r="S278" i="12"/>
  <c r="R278" i="12"/>
  <c r="Q278" i="12"/>
  <c r="P278" i="12"/>
  <c r="O278" i="12"/>
  <c r="N278" i="12"/>
  <c r="M278" i="12"/>
  <c r="L278" i="12"/>
  <c r="K278" i="12"/>
  <c r="I278" i="12"/>
  <c r="F278" i="12"/>
  <c r="X277" i="12"/>
  <c r="V277" i="12"/>
  <c r="U277" i="12"/>
  <c r="T277" i="12"/>
  <c r="S277" i="12"/>
  <c r="R277" i="12"/>
  <c r="Q277" i="12"/>
  <c r="P277" i="12"/>
  <c r="O277" i="12"/>
  <c r="N277" i="12"/>
  <c r="M277" i="12"/>
  <c r="L277" i="12"/>
  <c r="K277" i="12"/>
  <c r="I277" i="12"/>
  <c r="F277" i="12"/>
  <c r="X276" i="12"/>
  <c r="V276" i="12"/>
  <c r="U276" i="12"/>
  <c r="T276" i="12"/>
  <c r="S276" i="12"/>
  <c r="R276" i="12"/>
  <c r="Q276" i="12"/>
  <c r="P276" i="12"/>
  <c r="O276" i="12"/>
  <c r="N276" i="12"/>
  <c r="M276" i="12"/>
  <c r="L276" i="12"/>
  <c r="K276" i="12"/>
  <c r="I276" i="12"/>
  <c r="F276" i="12"/>
  <c r="X275" i="12"/>
  <c r="V275" i="12"/>
  <c r="U275" i="12"/>
  <c r="T275" i="12"/>
  <c r="S275" i="12"/>
  <c r="R275" i="12"/>
  <c r="Q275" i="12"/>
  <c r="P275" i="12"/>
  <c r="O275" i="12"/>
  <c r="N275" i="12"/>
  <c r="M275" i="12"/>
  <c r="L275" i="12"/>
  <c r="K275" i="12"/>
  <c r="I275" i="12"/>
  <c r="F275" i="12"/>
  <c r="X274" i="12"/>
  <c r="V274" i="12"/>
  <c r="U274" i="12"/>
  <c r="T274" i="12"/>
  <c r="S274" i="12"/>
  <c r="R274" i="12"/>
  <c r="Q274" i="12"/>
  <c r="P274" i="12"/>
  <c r="O274" i="12"/>
  <c r="N274" i="12"/>
  <c r="M274" i="12"/>
  <c r="L274" i="12"/>
  <c r="K274" i="12"/>
  <c r="I274" i="12"/>
  <c r="F274" i="12"/>
  <c r="X273" i="12"/>
  <c r="V273" i="12"/>
  <c r="U273" i="12"/>
  <c r="T273" i="12"/>
  <c r="S273" i="12"/>
  <c r="R273" i="12"/>
  <c r="Q273" i="12"/>
  <c r="P273" i="12"/>
  <c r="O273" i="12"/>
  <c r="N273" i="12"/>
  <c r="M273" i="12"/>
  <c r="L273" i="12"/>
  <c r="K273" i="12"/>
  <c r="I273" i="12"/>
  <c r="F273" i="12"/>
  <c r="X272" i="12"/>
  <c r="V272" i="12"/>
  <c r="U272" i="12"/>
  <c r="T272" i="12"/>
  <c r="S272" i="12"/>
  <c r="R272" i="12"/>
  <c r="Q272" i="12"/>
  <c r="P272" i="12"/>
  <c r="O272" i="12"/>
  <c r="N272" i="12"/>
  <c r="M272" i="12"/>
  <c r="L272" i="12"/>
  <c r="K272" i="12"/>
  <c r="I272" i="12"/>
  <c r="F272" i="12"/>
  <c r="X271" i="12"/>
  <c r="V271" i="12"/>
  <c r="U271" i="12"/>
  <c r="T271" i="12"/>
  <c r="S271" i="12"/>
  <c r="R271" i="12"/>
  <c r="Q271" i="12"/>
  <c r="P271" i="12"/>
  <c r="O271" i="12"/>
  <c r="N271" i="12"/>
  <c r="M271" i="12"/>
  <c r="L271" i="12"/>
  <c r="K271" i="12"/>
  <c r="I271" i="12"/>
  <c r="F271" i="12"/>
  <c r="X270" i="12"/>
  <c r="V270" i="12"/>
  <c r="U270" i="12"/>
  <c r="T270" i="12"/>
  <c r="S270" i="12"/>
  <c r="R270" i="12"/>
  <c r="Q270" i="12"/>
  <c r="P270" i="12"/>
  <c r="O270" i="12"/>
  <c r="N270" i="12"/>
  <c r="M270" i="12"/>
  <c r="L270" i="12"/>
  <c r="K270" i="12"/>
  <c r="I270" i="12"/>
  <c r="F270" i="12"/>
  <c r="X269" i="12"/>
  <c r="V269" i="12"/>
  <c r="U269" i="12"/>
  <c r="T269" i="12"/>
  <c r="S269" i="12"/>
  <c r="R269" i="12"/>
  <c r="Q269" i="12"/>
  <c r="P269" i="12"/>
  <c r="O269" i="12"/>
  <c r="N269" i="12"/>
  <c r="M269" i="12"/>
  <c r="L269" i="12"/>
  <c r="K269" i="12"/>
  <c r="I269" i="12"/>
  <c r="F269" i="12"/>
  <c r="X268" i="12"/>
  <c r="V268" i="12"/>
  <c r="U268" i="12"/>
  <c r="T268" i="12"/>
  <c r="S268" i="12"/>
  <c r="R268" i="12"/>
  <c r="Q268" i="12"/>
  <c r="P268" i="12"/>
  <c r="O268" i="12"/>
  <c r="N268" i="12"/>
  <c r="M268" i="12"/>
  <c r="L268" i="12"/>
  <c r="K268" i="12"/>
  <c r="I268" i="12"/>
  <c r="F268" i="12"/>
  <c r="X267" i="12"/>
  <c r="V267" i="12"/>
  <c r="U267" i="12"/>
  <c r="T267" i="12"/>
  <c r="S267" i="12"/>
  <c r="R267" i="12"/>
  <c r="Q267" i="12"/>
  <c r="P267" i="12"/>
  <c r="O267" i="12"/>
  <c r="N267" i="12"/>
  <c r="M267" i="12"/>
  <c r="L267" i="12"/>
  <c r="K267" i="12"/>
  <c r="I267" i="12"/>
  <c r="F267" i="12"/>
  <c r="X266" i="12"/>
  <c r="V266" i="12"/>
  <c r="U266" i="12"/>
  <c r="T266" i="12"/>
  <c r="S266" i="12"/>
  <c r="R266" i="12"/>
  <c r="Q266" i="12"/>
  <c r="P266" i="12"/>
  <c r="O266" i="12"/>
  <c r="N266" i="12"/>
  <c r="M266" i="12"/>
  <c r="L266" i="12"/>
  <c r="K266" i="12"/>
  <c r="I266" i="12"/>
  <c r="F266" i="12"/>
  <c r="X265" i="12"/>
  <c r="V265" i="12"/>
  <c r="U265" i="12"/>
  <c r="T265" i="12"/>
  <c r="S265" i="12"/>
  <c r="R265" i="12"/>
  <c r="Q265" i="12"/>
  <c r="P265" i="12"/>
  <c r="O265" i="12"/>
  <c r="N265" i="12"/>
  <c r="M265" i="12"/>
  <c r="L265" i="12"/>
  <c r="K265" i="12"/>
  <c r="I265" i="12"/>
  <c r="F265" i="12"/>
  <c r="X264" i="12"/>
  <c r="V264" i="12"/>
  <c r="U264" i="12"/>
  <c r="T264" i="12"/>
  <c r="S264" i="12"/>
  <c r="R264" i="12"/>
  <c r="Q264" i="12"/>
  <c r="P264" i="12"/>
  <c r="O264" i="12"/>
  <c r="N264" i="12"/>
  <c r="M264" i="12"/>
  <c r="L264" i="12"/>
  <c r="K264" i="12"/>
  <c r="I264" i="12"/>
  <c r="F264" i="12"/>
  <c r="X263" i="12"/>
  <c r="V263" i="12"/>
  <c r="U263" i="12"/>
  <c r="T263" i="12"/>
  <c r="S263" i="12"/>
  <c r="R263" i="12"/>
  <c r="Q263" i="12"/>
  <c r="P263" i="12"/>
  <c r="O263" i="12"/>
  <c r="N263" i="12"/>
  <c r="M263" i="12"/>
  <c r="L263" i="12"/>
  <c r="K263" i="12"/>
  <c r="I263" i="12"/>
  <c r="F263" i="12"/>
  <c r="X262" i="12"/>
  <c r="V262" i="12"/>
  <c r="U262" i="12"/>
  <c r="T262" i="12"/>
  <c r="S262" i="12"/>
  <c r="R262" i="12"/>
  <c r="Q262" i="12"/>
  <c r="P262" i="12"/>
  <c r="O262" i="12"/>
  <c r="N262" i="12"/>
  <c r="M262" i="12"/>
  <c r="L262" i="12"/>
  <c r="K262" i="12"/>
  <c r="I262" i="12"/>
  <c r="F262" i="12"/>
  <c r="X261" i="12"/>
  <c r="V261" i="12"/>
  <c r="U261" i="12"/>
  <c r="T261" i="12"/>
  <c r="S261" i="12"/>
  <c r="R261" i="12"/>
  <c r="Q261" i="12"/>
  <c r="P261" i="12"/>
  <c r="O261" i="12"/>
  <c r="N261" i="12"/>
  <c r="M261" i="12"/>
  <c r="L261" i="12"/>
  <c r="K261" i="12"/>
  <c r="I261" i="12"/>
  <c r="F261" i="12"/>
  <c r="X260" i="12"/>
  <c r="V260" i="12"/>
  <c r="U260" i="12"/>
  <c r="T260" i="12"/>
  <c r="S260" i="12"/>
  <c r="R260" i="12"/>
  <c r="Q260" i="12"/>
  <c r="P260" i="12"/>
  <c r="O260" i="12"/>
  <c r="N260" i="12"/>
  <c r="M260" i="12"/>
  <c r="L260" i="12"/>
  <c r="K260" i="12"/>
  <c r="I260" i="12"/>
  <c r="F260" i="12"/>
  <c r="X259" i="12"/>
  <c r="V259" i="12"/>
  <c r="U259" i="12"/>
  <c r="T259" i="12"/>
  <c r="S259" i="12"/>
  <c r="R259" i="12"/>
  <c r="Q259" i="12"/>
  <c r="P259" i="12"/>
  <c r="O259" i="12"/>
  <c r="N259" i="12"/>
  <c r="M259" i="12"/>
  <c r="L259" i="12"/>
  <c r="K259" i="12"/>
  <c r="I259" i="12"/>
  <c r="F259" i="12"/>
  <c r="X258" i="12"/>
  <c r="V258" i="12"/>
  <c r="U258" i="12"/>
  <c r="T258" i="12"/>
  <c r="S258" i="12"/>
  <c r="R258" i="12"/>
  <c r="Q258" i="12"/>
  <c r="P258" i="12"/>
  <c r="O258" i="12"/>
  <c r="N258" i="12"/>
  <c r="M258" i="12"/>
  <c r="L258" i="12"/>
  <c r="K258" i="12"/>
  <c r="I258" i="12"/>
  <c r="F258" i="12"/>
  <c r="X257" i="12"/>
  <c r="V257" i="12"/>
  <c r="U257" i="12"/>
  <c r="T257" i="12"/>
  <c r="S257" i="12"/>
  <c r="R257" i="12"/>
  <c r="Q257" i="12"/>
  <c r="P257" i="12"/>
  <c r="O257" i="12"/>
  <c r="N257" i="12"/>
  <c r="M257" i="12"/>
  <c r="L257" i="12"/>
  <c r="K257" i="12"/>
  <c r="I257" i="12"/>
  <c r="F257" i="12"/>
  <c r="X256" i="12"/>
  <c r="V256" i="12"/>
  <c r="U256" i="12"/>
  <c r="T256" i="12"/>
  <c r="S256" i="12"/>
  <c r="R256" i="12"/>
  <c r="Q256" i="12"/>
  <c r="P256" i="12"/>
  <c r="O256" i="12"/>
  <c r="N256" i="12"/>
  <c r="M256" i="12"/>
  <c r="L256" i="12"/>
  <c r="K256" i="12"/>
  <c r="I256" i="12"/>
  <c r="F256" i="12"/>
  <c r="X255" i="12"/>
  <c r="V255" i="12"/>
  <c r="U255" i="12"/>
  <c r="T255" i="12"/>
  <c r="S255" i="12"/>
  <c r="R255" i="12"/>
  <c r="Q255" i="12"/>
  <c r="P255" i="12"/>
  <c r="O255" i="12"/>
  <c r="N255" i="12"/>
  <c r="M255" i="12"/>
  <c r="L255" i="12"/>
  <c r="K255" i="12"/>
  <c r="I255" i="12"/>
  <c r="F255" i="12"/>
  <c r="X254" i="12"/>
  <c r="V254" i="12"/>
  <c r="U254" i="12"/>
  <c r="T254" i="12"/>
  <c r="S254" i="12"/>
  <c r="R254" i="12"/>
  <c r="Q254" i="12"/>
  <c r="P254" i="12"/>
  <c r="O254" i="12"/>
  <c r="N254" i="12"/>
  <c r="M254" i="12"/>
  <c r="L254" i="12"/>
  <c r="K254" i="12"/>
  <c r="I254" i="12"/>
  <c r="F254" i="12"/>
  <c r="X253" i="12"/>
  <c r="V253" i="12"/>
  <c r="U253" i="12"/>
  <c r="T253" i="12"/>
  <c r="S253" i="12"/>
  <c r="R253" i="12"/>
  <c r="Q253" i="12"/>
  <c r="P253" i="12"/>
  <c r="O253" i="12"/>
  <c r="N253" i="12"/>
  <c r="M253" i="12"/>
  <c r="L253" i="12"/>
  <c r="K253" i="12"/>
  <c r="I253" i="12"/>
  <c r="F253" i="12"/>
  <c r="X252" i="12"/>
  <c r="V252" i="12"/>
  <c r="U252" i="12"/>
  <c r="T252" i="12"/>
  <c r="S252" i="12"/>
  <c r="R252" i="12"/>
  <c r="Q252" i="12"/>
  <c r="P252" i="12"/>
  <c r="O252" i="12"/>
  <c r="N252" i="12"/>
  <c r="M252" i="12"/>
  <c r="L252" i="12"/>
  <c r="K252" i="12"/>
  <c r="I252" i="12"/>
  <c r="F252" i="12"/>
  <c r="X251" i="12"/>
  <c r="V251" i="12"/>
  <c r="U251" i="12"/>
  <c r="T251" i="12"/>
  <c r="S251" i="12"/>
  <c r="R251" i="12"/>
  <c r="Q251" i="12"/>
  <c r="P251" i="12"/>
  <c r="O251" i="12"/>
  <c r="N251" i="12"/>
  <c r="M251" i="12"/>
  <c r="L251" i="12"/>
  <c r="K251" i="12"/>
  <c r="I251" i="12"/>
  <c r="F251" i="12"/>
  <c r="X250" i="12"/>
  <c r="V250" i="12"/>
  <c r="U250" i="12"/>
  <c r="T250" i="12"/>
  <c r="S250" i="12"/>
  <c r="R250" i="12"/>
  <c r="Q250" i="12"/>
  <c r="P250" i="12"/>
  <c r="O250" i="12"/>
  <c r="N250" i="12"/>
  <c r="M250" i="12"/>
  <c r="L250" i="12"/>
  <c r="K250" i="12"/>
  <c r="I250" i="12"/>
  <c r="F250" i="12"/>
  <c r="X249" i="12"/>
  <c r="V249" i="12"/>
  <c r="U249" i="12"/>
  <c r="T249" i="12"/>
  <c r="S249" i="12"/>
  <c r="R249" i="12"/>
  <c r="Q249" i="12"/>
  <c r="P249" i="12"/>
  <c r="O249" i="12"/>
  <c r="N249" i="12"/>
  <c r="M249" i="12"/>
  <c r="L249" i="12"/>
  <c r="K249" i="12"/>
  <c r="I249" i="12"/>
  <c r="F249" i="12"/>
  <c r="X248" i="12"/>
  <c r="V248" i="12"/>
  <c r="U248" i="12"/>
  <c r="T248" i="12"/>
  <c r="S248" i="12"/>
  <c r="R248" i="12"/>
  <c r="Q248" i="12"/>
  <c r="P248" i="12"/>
  <c r="O248" i="12"/>
  <c r="N248" i="12"/>
  <c r="M248" i="12"/>
  <c r="L248" i="12"/>
  <c r="K248" i="12"/>
  <c r="I248" i="12"/>
  <c r="F248" i="12"/>
  <c r="X247" i="12"/>
  <c r="V247" i="12"/>
  <c r="U247" i="12"/>
  <c r="T247" i="12"/>
  <c r="S247" i="12"/>
  <c r="R247" i="12"/>
  <c r="Q247" i="12"/>
  <c r="P247" i="12"/>
  <c r="O247" i="12"/>
  <c r="N247" i="12"/>
  <c r="M247" i="12"/>
  <c r="L247" i="12"/>
  <c r="K247" i="12"/>
  <c r="I247" i="12"/>
  <c r="F247" i="12"/>
  <c r="X246" i="12"/>
  <c r="V246" i="12"/>
  <c r="U246" i="12"/>
  <c r="T246" i="12"/>
  <c r="S246" i="12"/>
  <c r="R246" i="12"/>
  <c r="Q246" i="12"/>
  <c r="P246" i="12"/>
  <c r="O246" i="12"/>
  <c r="N246" i="12"/>
  <c r="M246" i="12"/>
  <c r="L246" i="12"/>
  <c r="K246" i="12"/>
  <c r="I246" i="12"/>
  <c r="F246" i="12"/>
  <c r="X245" i="12"/>
  <c r="V245" i="12"/>
  <c r="U245" i="12"/>
  <c r="T245" i="12"/>
  <c r="S245" i="12"/>
  <c r="R245" i="12"/>
  <c r="Q245" i="12"/>
  <c r="P245" i="12"/>
  <c r="O245" i="12"/>
  <c r="N245" i="12"/>
  <c r="M245" i="12"/>
  <c r="L245" i="12"/>
  <c r="K245" i="12"/>
  <c r="I245" i="12"/>
  <c r="F245" i="12"/>
  <c r="X244" i="12"/>
  <c r="V244" i="12"/>
  <c r="U244" i="12"/>
  <c r="T244" i="12"/>
  <c r="S244" i="12"/>
  <c r="R244" i="12"/>
  <c r="Q244" i="12"/>
  <c r="P244" i="12"/>
  <c r="O244" i="12"/>
  <c r="N244" i="12"/>
  <c r="M244" i="12"/>
  <c r="L244" i="12"/>
  <c r="K244" i="12"/>
  <c r="I244" i="12"/>
  <c r="F244" i="12"/>
  <c r="X243" i="12"/>
  <c r="V243" i="12"/>
  <c r="U243" i="12"/>
  <c r="T243" i="12"/>
  <c r="S243" i="12"/>
  <c r="R243" i="12"/>
  <c r="Q243" i="12"/>
  <c r="P243" i="12"/>
  <c r="O243" i="12"/>
  <c r="N243" i="12"/>
  <c r="M243" i="12"/>
  <c r="L243" i="12"/>
  <c r="K243" i="12"/>
  <c r="I243" i="12"/>
  <c r="F243" i="12"/>
  <c r="X242" i="12"/>
  <c r="V242" i="12"/>
  <c r="U242" i="12"/>
  <c r="T242" i="12"/>
  <c r="S242" i="12"/>
  <c r="R242" i="12"/>
  <c r="Q242" i="12"/>
  <c r="P242" i="12"/>
  <c r="O242" i="12"/>
  <c r="N242" i="12"/>
  <c r="M242" i="12"/>
  <c r="L242" i="12"/>
  <c r="K242" i="12"/>
  <c r="I242" i="12"/>
  <c r="F242" i="12"/>
  <c r="X241" i="12"/>
  <c r="V241" i="12"/>
  <c r="U241" i="12"/>
  <c r="T241" i="12"/>
  <c r="S241" i="12"/>
  <c r="R241" i="12"/>
  <c r="Q241" i="12"/>
  <c r="P241" i="12"/>
  <c r="O241" i="12"/>
  <c r="N241" i="12"/>
  <c r="M241" i="12"/>
  <c r="L241" i="12"/>
  <c r="K241" i="12"/>
  <c r="I241" i="12"/>
  <c r="F241" i="12"/>
  <c r="X240" i="12"/>
  <c r="V240" i="12"/>
  <c r="U240" i="12"/>
  <c r="T240" i="12"/>
  <c r="S240" i="12"/>
  <c r="R240" i="12"/>
  <c r="Q240" i="12"/>
  <c r="P240" i="12"/>
  <c r="O240" i="12"/>
  <c r="N240" i="12"/>
  <c r="M240" i="12"/>
  <c r="L240" i="12"/>
  <c r="K240" i="12"/>
  <c r="I240" i="12"/>
  <c r="F240" i="12"/>
  <c r="X239" i="12"/>
  <c r="V239" i="12"/>
  <c r="U239" i="12"/>
  <c r="T239" i="12"/>
  <c r="S239" i="12"/>
  <c r="R239" i="12"/>
  <c r="Q239" i="12"/>
  <c r="P239" i="12"/>
  <c r="O239" i="12"/>
  <c r="N239" i="12"/>
  <c r="M239" i="12"/>
  <c r="L239" i="12"/>
  <c r="K239" i="12"/>
  <c r="I239" i="12"/>
  <c r="F239" i="12"/>
  <c r="X238" i="12"/>
  <c r="V238" i="12"/>
  <c r="U238" i="12"/>
  <c r="T238" i="12"/>
  <c r="S238" i="12"/>
  <c r="R238" i="12"/>
  <c r="Q238" i="12"/>
  <c r="P238" i="12"/>
  <c r="O238" i="12"/>
  <c r="N238" i="12"/>
  <c r="M238" i="12"/>
  <c r="L238" i="12"/>
  <c r="K238" i="12"/>
  <c r="I238" i="12"/>
  <c r="F238" i="12"/>
  <c r="X237" i="12"/>
  <c r="V237" i="12"/>
  <c r="U237" i="12"/>
  <c r="T237" i="12"/>
  <c r="S237" i="12"/>
  <c r="R237" i="12"/>
  <c r="Q237" i="12"/>
  <c r="P237" i="12"/>
  <c r="O237" i="12"/>
  <c r="N237" i="12"/>
  <c r="M237" i="12"/>
  <c r="L237" i="12"/>
  <c r="K237" i="12"/>
  <c r="I237" i="12"/>
  <c r="F237" i="12"/>
  <c r="X236" i="12"/>
  <c r="V236" i="12"/>
  <c r="U236" i="12"/>
  <c r="T236" i="12"/>
  <c r="S236" i="12"/>
  <c r="R236" i="12"/>
  <c r="Q236" i="12"/>
  <c r="P236" i="12"/>
  <c r="O236" i="12"/>
  <c r="N236" i="12"/>
  <c r="M236" i="12"/>
  <c r="L236" i="12"/>
  <c r="K236" i="12"/>
  <c r="I236" i="12"/>
  <c r="F236" i="12"/>
  <c r="X235" i="12"/>
  <c r="V235" i="12"/>
  <c r="U235" i="12"/>
  <c r="T235" i="12"/>
  <c r="S235" i="12"/>
  <c r="R235" i="12"/>
  <c r="Q235" i="12"/>
  <c r="P235" i="12"/>
  <c r="O235" i="12"/>
  <c r="N235" i="12"/>
  <c r="M235" i="12"/>
  <c r="L235" i="12"/>
  <c r="K235" i="12"/>
  <c r="I235" i="12"/>
  <c r="F235" i="12"/>
  <c r="X234" i="12"/>
  <c r="V234" i="12"/>
  <c r="U234" i="12"/>
  <c r="T234" i="12"/>
  <c r="S234" i="12"/>
  <c r="R234" i="12"/>
  <c r="Q234" i="12"/>
  <c r="P234" i="12"/>
  <c r="O234" i="12"/>
  <c r="N234" i="12"/>
  <c r="M234" i="12"/>
  <c r="L234" i="12"/>
  <c r="K234" i="12"/>
  <c r="I234" i="12"/>
  <c r="F234" i="12"/>
  <c r="X233" i="12"/>
  <c r="V233" i="12"/>
  <c r="U233" i="12"/>
  <c r="T233" i="12"/>
  <c r="S233" i="12"/>
  <c r="R233" i="12"/>
  <c r="Q233" i="12"/>
  <c r="P233" i="12"/>
  <c r="O233" i="12"/>
  <c r="N233" i="12"/>
  <c r="M233" i="12"/>
  <c r="L233" i="12"/>
  <c r="K233" i="12"/>
  <c r="I233" i="12"/>
  <c r="F233" i="12"/>
  <c r="X232" i="12"/>
  <c r="V232" i="12"/>
  <c r="U232" i="12"/>
  <c r="T232" i="12"/>
  <c r="S232" i="12"/>
  <c r="R232" i="12"/>
  <c r="Q232" i="12"/>
  <c r="P232" i="12"/>
  <c r="O232" i="12"/>
  <c r="N232" i="12"/>
  <c r="M232" i="12"/>
  <c r="L232" i="12"/>
  <c r="K232" i="12"/>
  <c r="I232" i="12"/>
  <c r="F232" i="12"/>
  <c r="X231" i="12"/>
  <c r="V231" i="12"/>
  <c r="U231" i="12"/>
  <c r="T231" i="12"/>
  <c r="S231" i="12"/>
  <c r="R231" i="12"/>
  <c r="Q231" i="12"/>
  <c r="P231" i="12"/>
  <c r="O231" i="12"/>
  <c r="N231" i="12"/>
  <c r="M231" i="12"/>
  <c r="L231" i="12"/>
  <c r="K231" i="12"/>
  <c r="I231" i="12"/>
  <c r="F231" i="12"/>
  <c r="X230" i="12"/>
  <c r="V230" i="12"/>
  <c r="U230" i="12"/>
  <c r="T230" i="12"/>
  <c r="S230" i="12"/>
  <c r="R230" i="12"/>
  <c r="Q230" i="12"/>
  <c r="P230" i="12"/>
  <c r="O230" i="12"/>
  <c r="N230" i="12"/>
  <c r="M230" i="12"/>
  <c r="L230" i="12"/>
  <c r="K230" i="12"/>
  <c r="I230" i="12"/>
  <c r="F230" i="12"/>
  <c r="X229" i="12"/>
  <c r="V229" i="12"/>
  <c r="U229" i="12"/>
  <c r="T229" i="12"/>
  <c r="S229" i="12"/>
  <c r="R229" i="12"/>
  <c r="Q229" i="12"/>
  <c r="P229" i="12"/>
  <c r="O229" i="12"/>
  <c r="N229" i="12"/>
  <c r="M229" i="12"/>
  <c r="L229" i="12"/>
  <c r="K229" i="12"/>
  <c r="I229" i="12"/>
  <c r="F229" i="12"/>
  <c r="X228" i="12"/>
  <c r="V228" i="12"/>
  <c r="U228" i="12"/>
  <c r="T228" i="12"/>
  <c r="S228" i="12"/>
  <c r="R228" i="12"/>
  <c r="Q228" i="12"/>
  <c r="P228" i="12"/>
  <c r="O228" i="12"/>
  <c r="N228" i="12"/>
  <c r="M228" i="12"/>
  <c r="L228" i="12"/>
  <c r="K228" i="12"/>
  <c r="I228" i="12"/>
  <c r="F228" i="12"/>
  <c r="X227" i="12"/>
  <c r="V227" i="12"/>
  <c r="U227" i="12"/>
  <c r="T227" i="12"/>
  <c r="S227" i="12"/>
  <c r="R227" i="12"/>
  <c r="Q227" i="12"/>
  <c r="P227" i="12"/>
  <c r="O227" i="12"/>
  <c r="N227" i="12"/>
  <c r="M227" i="12"/>
  <c r="L227" i="12"/>
  <c r="K227" i="12"/>
  <c r="I227" i="12"/>
  <c r="F227" i="12"/>
  <c r="X226" i="12"/>
  <c r="V226" i="12"/>
  <c r="U226" i="12"/>
  <c r="T226" i="12"/>
  <c r="S226" i="12"/>
  <c r="R226" i="12"/>
  <c r="Q226" i="12"/>
  <c r="P226" i="12"/>
  <c r="O226" i="12"/>
  <c r="N226" i="12"/>
  <c r="M226" i="12"/>
  <c r="L226" i="12"/>
  <c r="K226" i="12"/>
  <c r="I226" i="12"/>
  <c r="F226" i="12"/>
  <c r="X225" i="12"/>
  <c r="V225" i="12"/>
  <c r="U225" i="12"/>
  <c r="T225" i="12"/>
  <c r="S225" i="12"/>
  <c r="R225" i="12"/>
  <c r="Q225" i="12"/>
  <c r="P225" i="12"/>
  <c r="O225" i="12"/>
  <c r="N225" i="12"/>
  <c r="M225" i="12"/>
  <c r="L225" i="12"/>
  <c r="K225" i="12"/>
  <c r="I225" i="12"/>
  <c r="F225" i="12"/>
  <c r="X224" i="12"/>
  <c r="V224" i="12"/>
  <c r="U224" i="12"/>
  <c r="T224" i="12"/>
  <c r="S224" i="12"/>
  <c r="R224" i="12"/>
  <c r="Q224" i="12"/>
  <c r="P224" i="12"/>
  <c r="O224" i="12"/>
  <c r="N224" i="12"/>
  <c r="M224" i="12"/>
  <c r="L224" i="12"/>
  <c r="K224" i="12"/>
  <c r="I224" i="12"/>
  <c r="F224" i="12"/>
  <c r="X223" i="12"/>
  <c r="V223" i="12"/>
  <c r="U223" i="12"/>
  <c r="T223" i="12"/>
  <c r="S223" i="12"/>
  <c r="R223" i="12"/>
  <c r="Q223" i="12"/>
  <c r="P223" i="12"/>
  <c r="O223" i="12"/>
  <c r="N223" i="12"/>
  <c r="M223" i="12"/>
  <c r="L223" i="12"/>
  <c r="K223" i="12"/>
  <c r="I223" i="12"/>
  <c r="F223" i="12"/>
  <c r="X222" i="12"/>
  <c r="V222" i="12"/>
  <c r="U222" i="12"/>
  <c r="T222" i="12"/>
  <c r="S222" i="12"/>
  <c r="R222" i="12"/>
  <c r="Q222" i="12"/>
  <c r="P222" i="12"/>
  <c r="O222" i="12"/>
  <c r="N222" i="12"/>
  <c r="M222" i="12"/>
  <c r="L222" i="12"/>
  <c r="K222" i="12"/>
  <c r="I222" i="12"/>
  <c r="F222" i="12"/>
  <c r="X221" i="12"/>
  <c r="V221" i="12"/>
  <c r="U221" i="12"/>
  <c r="T221" i="12"/>
  <c r="S221" i="12"/>
  <c r="R221" i="12"/>
  <c r="Q221" i="12"/>
  <c r="P221" i="12"/>
  <c r="O221" i="12"/>
  <c r="N221" i="12"/>
  <c r="M221" i="12"/>
  <c r="L221" i="12"/>
  <c r="K221" i="12"/>
  <c r="I221" i="12"/>
  <c r="F221" i="12"/>
  <c r="X220" i="12"/>
  <c r="V220" i="12"/>
  <c r="U220" i="12"/>
  <c r="T220" i="12"/>
  <c r="S220" i="12"/>
  <c r="R220" i="12"/>
  <c r="Q220" i="12"/>
  <c r="P220" i="12"/>
  <c r="O220" i="12"/>
  <c r="N220" i="12"/>
  <c r="M220" i="12"/>
  <c r="L220" i="12"/>
  <c r="K220" i="12"/>
  <c r="I220" i="12"/>
  <c r="F220" i="12"/>
  <c r="X219" i="12"/>
  <c r="V219" i="12"/>
  <c r="U219" i="12"/>
  <c r="T219" i="12"/>
  <c r="S219" i="12"/>
  <c r="R219" i="12"/>
  <c r="Q219" i="12"/>
  <c r="P219" i="12"/>
  <c r="O219" i="12"/>
  <c r="N219" i="12"/>
  <c r="M219" i="12"/>
  <c r="L219" i="12"/>
  <c r="K219" i="12"/>
  <c r="I219" i="12"/>
  <c r="F219" i="12"/>
  <c r="X218" i="12"/>
  <c r="V218" i="12"/>
  <c r="U218" i="12"/>
  <c r="T218" i="12"/>
  <c r="S218" i="12"/>
  <c r="R218" i="12"/>
  <c r="Q218" i="12"/>
  <c r="P218" i="12"/>
  <c r="O218" i="12"/>
  <c r="N218" i="12"/>
  <c r="M218" i="12"/>
  <c r="L218" i="12"/>
  <c r="K218" i="12"/>
  <c r="I218" i="12"/>
  <c r="F218" i="12"/>
  <c r="X217" i="12"/>
  <c r="V217" i="12"/>
  <c r="U217" i="12"/>
  <c r="T217" i="12"/>
  <c r="S217" i="12"/>
  <c r="R217" i="12"/>
  <c r="Q217" i="12"/>
  <c r="P217" i="12"/>
  <c r="O217" i="12"/>
  <c r="N217" i="12"/>
  <c r="M217" i="12"/>
  <c r="L217" i="12"/>
  <c r="K217" i="12"/>
  <c r="I217" i="12"/>
  <c r="F217" i="12"/>
  <c r="X216" i="12"/>
  <c r="V216" i="12"/>
  <c r="U216" i="12"/>
  <c r="T216" i="12"/>
  <c r="S216" i="12"/>
  <c r="R216" i="12"/>
  <c r="Q216" i="12"/>
  <c r="P216" i="12"/>
  <c r="O216" i="12"/>
  <c r="N216" i="12"/>
  <c r="M216" i="12"/>
  <c r="L216" i="12"/>
  <c r="K216" i="12"/>
  <c r="I216" i="12"/>
  <c r="F216" i="12"/>
  <c r="X215" i="12"/>
  <c r="V215" i="12"/>
  <c r="U215" i="12"/>
  <c r="T215" i="12"/>
  <c r="S215" i="12"/>
  <c r="R215" i="12"/>
  <c r="Q215" i="12"/>
  <c r="P215" i="12"/>
  <c r="O215" i="12"/>
  <c r="N215" i="12"/>
  <c r="M215" i="12"/>
  <c r="L215" i="12"/>
  <c r="K215" i="12"/>
  <c r="I215" i="12"/>
  <c r="F215" i="12"/>
  <c r="X214" i="12"/>
  <c r="V214" i="12"/>
  <c r="U214" i="12"/>
  <c r="T214" i="12"/>
  <c r="S214" i="12"/>
  <c r="R214" i="12"/>
  <c r="Q214" i="12"/>
  <c r="P214" i="12"/>
  <c r="O214" i="12"/>
  <c r="N214" i="12"/>
  <c r="M214" i="12"/>
  <c r="L214" i="12"/>
  <c r="K214" i="12"/>
  <c r="I214" i="12"/>
  <c r="F214" i="12"/>
  <c r="X213" i="12"/>
  <c r="V213" i="12"/>
  <c r="U213" i="12"/>
  <c r="T213" i="12"/>
  <c r="S213" i="12"/>
  <c r="R213" i="12"/>
  <c r="Q213" i="12"/>
  <c r="P213" i="12"/>
  <c r="O213" i="12"/>
  <c r="N213" i="12"/>
  <c r="M213" i="12"/>
  <c r="L213" i="12"/>
  <c r="K213" i="12"/>
  <c r="I213" i="12"/>
  <c r="F213" i="12"/>
  <c r="X212" i="12"/>
  <c r="V212" i="12"/>
  <c r="U212" i="12"/>
  <c r="T212" i="12"/>
  <c r="S212" i="12"/>
  <c r="R212" i="12"/>
  <c r="Q212" i="12"/>
  <c r="P212" i="12"/>
  <c r="O212" i="12"/>
  <c r="N212" i="12"/>
  <c r="M212" i="12"/>
  <c r="L212" i="12"/>
  <c r="K212" i="12"/>
  <c r="I212" i="12"/>
  <c r="F212" i="12"/>
  <c r="X211" i="12"/>
  <c r="V211" i="12"/>
  <c r="U211" i="12"/>
  <c r="T211" i="12"/>
  <c r="S211" i="12"/>
  <c r="R211" i="12"/>
  <c r="Q211" i="12"/>
  <c r="P211" i="12"/>
  <c r="O211" i="12"/>
  <c r="N211" i="12"/>
  <c r="M211" i="12"/>
  <c r="L211" i="12"/>
  <c r="K211" i="12"/>
  <c r="I211" i="12"/>
  <c r="F211" i="12"/>
  <c r="X210" i="12"/>
  <c r="V210" i="12"/>
  <c r="U210" i="12"/>
  <c r="T210" i="12"/>
  <c r="S210" i="12"/>
  <c r="R210" i="12"/>
  <c r="Q210" i="12"/>
  <c r="P210" i="12"/>
  <c r="O210" i="12"/>
  <c r="N210" i="12"/>
  <c r="M210" i="12"/>
  <c r="L210" i="12"/>
  <c r="K210" i="12"/>
  <c r="I210" i="12"/>
  <c r="F210" i="12"/>
  <c r="X209" i="12"/>
  <c r="V209" i="12"/>
  <c r="U209" i="12"/>
  <c r="T209" i="12"/>
  <c r="S209" i="12"/>
  <c r="R209" i="12"/>
  <c r="Q209" i="12"/>
  <c r="P209" i="12"/>
  <c r="O209" i="12"/>
  <c r="N209" i="12"/>
  <c r="M209" i="12"/>
  <c r="L209" i="12"/>
  <c r="K209" i="12"/>
  <c r="I209" i="12"/>
  <c r="F209" i="12"/>
  <c r="X208" i="12"/>
  <c r="V208" i="12"/>
  <c r="U208" i="12"/>
  <c r="T208" i="12"/>
  <c r="S208" i="12"/>
  <c r="R208" i="12"/>
  <c r="Q208" i="12"/>
  <c r="P208" i="12"/>
  <c r="O208" i="12"/>
  <c r="N208" i="12"/>
  <c r="M208" i="12"/>
  <c r="L208" i="12"/>
  <c r="K208" i="12"/>
  <c r="I208" i="12"/>
  <c r="F208" i="12"/>
  <c r="X207" i="12"/>
  <c r="V207" i="12"/>
  <c r="U207" i="12"/>
  <c r="T207" i="12"/>
  <c r="S207" i="12"/>
  <c r="R207" i="12"/>
  <c r="Q207" i="12"/>
  <c r="P207" i="12"/>
  <c r="O207" i="12"/>
  <c r="N207" i="12"/>
  <c r="M207" i="12"/>
  <c r="L207" i="12"/>
  <c r="K207" i="12"/>
  <c r="I207" i="12"/>
  <c r="F207" i="12"/>
  <c r="X206" i="12"/>
  <c r="V206" i="12"/>
  <c r="U206" i="12"/>
  <c r="T206" i="12"/>
  <c r="S206" i="12"/>
  <c r="R206" i="12"/>
  <c r="Q206" i="12"/>
  <c r="P206" i="12"/>
  <c r="O206" i="12"/>
  <c r="N206" i="12"/>
  <c r="M206" i="12"/>
  <c r="L206" i="12"/>
  <c r="K206" i="12"/>
  <c r="I206" i="12"/>
  <c r="F206" i="12"/>
  <c r="X205" i="12"/>
  <c r="V205" i="12"/>
  <c r="U205" i="12"/>
  <c r="T205" i="12"/>
  <c r="S205" i="12"/>
  <c r="R205" i="12"/>
  <c r="Q205" i="12"/>
  <c r="P205" i="12"/>
  <c r="O205" i="12"/>
  <c r="N205" i="12"/>
  <c r="M205" i="12"/>
  <c r="L205" i="12"/>
  <c r="K205" i="12"/>
  <c r="I205" i="12"/>
  <c r="F205" i="12"/>
  <c r="X204" i="12"/>
  <c r="V204" i="12"/>
  <c r="U204" i="12"/>
  <c r="T204" i="12"/>
  <c r="S204" i="12"/>
  <c r="R204" i="12"/>
  <c r="Q204" i="12"/>
  <c r="P204" i="12"/>
  <c r="O204" i="12"/>
  <c r="N204" i="12"/>
  <c r="M204" i="12"/>
  <c r="L204" i="12"/>
  <c r="K204" i="12"/>
  <c r="I204" i="12"/>
  <c r="F204" i="12"/>
  <c r="X203" i="12"/>
  <c r="V203" i="12"/>
  <c r="U203" i="12"/>
  <c r="T203" i="12"/>
  <c r="S203" i="12"/>
  <c r="R203" i="12"/>
  <c r="Q203" i="12"/>
  <c r="P203" i="12"/>
  <c r="O203" i="12"/>
  <c r="N203" i="12"/>
  <c r="M203" i="12"/>
  <c r="L203" i="12"/>
  <c r="K203" i="12"/>
  <c r="I203" i="12"/>
  <c r="F203" i="12"/>
  <c r="X202" i="12"/>
  <c r="V202" i="12"/>
  <c r="U202" i="12"/>
  <c r="T202" i="12"/>
  <c r="S202" i="12"/>
  <c r="R202" i="12"/>
  <c r="Q202" i="12"/>
  <c r="P202" i="12"/>
  <c r="O202" i="12"/>
  <c r="N202" i="12"/>
  <c r="M202" i="12"/>
  <c r="L202" i="12"/>
  <c r="K202" i="12"/>
  <c r="I202" i="12"/>
  <c r="F202" i="12"/>
  <c r="X201" i="12"/>
  <c r="V201" i="12"/>
  <c r="U201" i="12"/>
  <c r="T201" i="12"/>
  <c r="S201" i="12"/>
  <c r="R201" i="12"/>
  <c r="Q201" i="12"/>
  <c r="P201" i="12"/>
  <c r="O201" i="12"/>
  <c r="N201" i="12"/>
  <c r="M201" i="12"/>
  <c r="L201" i="12"/>
  <c r="K201" i="12"/>
  <c r="I201" i="12"/>
  <c r="F201" i="12"/>
  <c r="X200" i="12"/>
  <c r="V200" i="12"/>
  <c r="U200" i="12"/>
  <c r="T200" i="12"/>
  <c r="S200" i="12"/>
  <c r="R200" i="12"/>
  <c r="Q200" i="12"/>
  <c r="P200" i="12"/>
  <c r="O200" i="12"/>
  <c r="N200" i="12"/>
  <c r="M200" i="12"/>
  <c r="L200" i="12"/>
  <c r="K200" i="12"/>
  <c r="I200" i="12"/>
  <c r="F200" i="12"/>
  <c r="X199" i="12"/>
  <c r="V199" i="12"/>
  <c r="U199" i="12"/>
  <c r="T199" i="12"/>
  <c r="S199" i="12"/>
  <c r="R199" i="12"/>
  <c r="Q199" i="12"/>
  <c r="P199" i="12"/>
  <c r="O199" i="12"/>
  <c r="N199" i="12"/>
  <c r="M199" i="12"/>
  <c r="L199" i="12"/>
  <c r="K199" i="12"/>
  <c r="I199" i="12"/>
  <c r="F199" i="12"/>
  <c r="X198" i="12"/>
  <c r="V198" i="12"/>
  <c r="U198" i="12"/>
  <c r="T198" i="12"/>
  <c r="S198" i="12"/>
  <c r="R198" i="12"/>
  <c r="Q198" i="12"/>
  <c r="P198" i="12"/>
  <c r="O198" i="12"/>
  <c r="N198" i="12"/>
  <c r="M198" i="12"/>
  <c r="L198" i="12"/>
  <c r="K198" i="12"/>
  <c r="I198" i="12"/>
  <c r="F198" i="12"/>
  <c r="X197" i="12"/>
  <c r="V197" i="12"/>
  <c r="U197" i="12"/>
  <c r="T197" i="12"/>
  <c r="S197" i="12"/>
  <c r="R197" i="12"/>
  <c r="Q197" i="12"/>
  <c r="P197" i="12"/>
  <c r="O197" i="12"/>
  <c r="N197" i="12"/>
  <c r="M197" i="12"/>
  <c r="L197" i="12"/>
  <c r="K197" i="12"/>
  <c r="I197" i="12"/>
  <c r="F197" i="12"/>
  <c r="X196" i="12"/>
  <c r="V196" i="12"/>
  <c r="U196" i="12"/>
  <c r="T196" i="12"/>
  <c r="S196" i="12"/>
  <c r="R196" i="12"/>
  <c r="Q196" i="12"/>
  <c r="P196" i="12"/>
  <c r="O196" i="12"/>
  <c r="N196" i="12"/>
  <c r="M196" i="12"/>
  <c r="L196" i="12"/>
  <c r="K196" i="12"/>
  <c r="I196" i="12"/>
  <c r="F196" i="12"/>
  <c r="X195" i="12"/>
  <c r="V195" i="12"/>
  <c r="U195" i="12"/>
  <c r="T195" i="12"/>
  <c r="S195" i="12"/>
  <c r="R195" i="12"/>
  <c r="Q195" i="12"/>
  <c r="P195" i="12"/>
  <c r="O195" i="12"/>
  <c r="N195" i="12"/>
  <c r="M195" i="12"/>
  <c r="L195" i="12"/>
  <c r="K195" i="12"/>
  <c r="I195" i="12"/>
  <c r="F195" i="12"/>
  <c r="X194" i="12"/>
  <c r="V194" i="12"/>
  <c r="U194" i="12"/>
  <c r="T194" i="12"/>
  <c r="S194" i="12"/>
  <c r="R194" i="12"/>
  <c r="Q194" i="12"/>
  <c r="P194" i="12"/>
  <c r="O194" i="12"/>
  <c r="N194" i="12"/>
  <c r="M194" i="12"/>
  <c r="L194" i="12"/>
  <c r="K194" i="12"/>
  <c r="I194" i="12"/>
  <c r="F194" i="12"/>
  <c r="X193" i="12"/>
  <c r="V193" i="12"/>
  <c r="U193" i="12"/>
  <c r="T193" i="12"/>
  <c r="S193" i="12"/>
  <c r="R193" i="12"/>
  <c r="Q193" i="12"/>
  <c r="P193" i="12"/>
  <c r="O193" i="12"/>
  <c r="N193" i="12"/>
  <c r="M193" i="12"/>
  <c r="L193" i="12"/>
  <c r="K193" i="12"/>
  <c r="I193" i="12"/>
  <c r="F193" i="12"/>
  <c r="X192" i="12"/>
  <c r="V192" i="12"/>
  <c r="U192" i="12"/>
  <c r="T192" i="12"/>
  <c r="S192" i="12"/>
  <c r="R192" i="12"/>
  <c r="Q192" i="12"/>
  <c r="P192" i="12"/>
  <c r="O192" i="12"/>
  <c r="N192" i="12"/>
  <c r="M192" i="12"/>
  <c r="L192" i="12"/>
  <c r="K192" i="12"/>
  <c r="I192" i="12"/>
  <c r="F192" i="12"/>
  <c r="X191" i="12"/>
  <c r="V191" i="12"/>
  <c r="U191" i="12"/>
  <c r="T191" i="12"/>
  <c r="S191" i="12"/>
  <c r="R191" i="12"/>
  <c r="Q191" i="12"/>
  <c r="P191" i="12"/>
  <c r="O191" i="12"/>
  <c r="N191" i="12"/>
  <c r="M191" i="12"/>
  <c r="L191" i="12"/>
  <c r="K191" i="12"/>
  <c r="I191" i="12"/>
  <c r="F191" i="12"/>
  <c r="X190" i="12"/>
  <c r="V190" i="12"/>
  <c r="U190" i="12"/>
  <c r="T190" i="12"/>
  <c r="S190" i="12"/>
  <c r="R190" i="12"/>
  <c r="Q190" i="12"/>
  <c r="P190" i="12"/>
  <c r="O190" i="12"/>
  <c r="N190" i="12"/>
  <c r="M190" i="12"/>
  <c r="L190" i="12"/>
  <c r="K190" i="12"/>
  <c r="I190" i="12"/>
  <c r="F190" i="12"/>
  <c r="X189" i="12"/>
  <c r="V189" i="12"/>
  <c r="U189" i="12"/>
  <c r="T189" i="12"/>
  <c r="S189" i="12"/>
  <c r="R189" i="12"/>
  <c r="Q189" i="12"/>
  <c r="P189" i="12"/>
  <c r="O189" i="12"/>
  <c r="N189" i="12"/>
  <c r="M189" i="12"/>
  <c r="L189" i="12"/>
  <c r="K189" i="12"/>
  <c r="I189" i="12"/>
  <c r="F189" i="12"/>
  <c r="X188" i="12"/>
  <c r="V188" i="12"/>
  <c r="U188" i="12"/>
  <c r="T188" i="12"/>
  <c r="S188" i="12"/>
  <c r="R188" i="12"/>
  <c r="Q188" i="12"/>
  <c r="P188" i="12"/>
  <c r="O188" i="12"/>
  <c r="N188" i="12"/>
  <c r="M188" i="12"/>
  <c r="L188" i="12"/>
  <c r="K188" i="12"/>
  <c r="I188" i="12"/>
  <c r="F188" i="12"/>
  <c r="X187" i="12"/>
  <c r="V187" i="12"/>
  <c r="U187" i="12"/>
  <c r="T187" i="12"/>
  <c r="S187" i="12"/>
  <c r="R187" i="12"/>
  <c r="Q187" i="12"/>
  <c r="P187" i="12"/>
  <c r="O187" i="12"/>
  <c r="N187" i="12"/>
  <c r="M187" i="12"/>
  <c r="L187" i="12"/>
  <c r="K187" i="12"/>
  <c r="I187" i="12"/>
  <c r="F187" i="12"/>
  <c r="X186" i="12"/>
  <c r="V186" i="12"/>
  <c r="U186" i="12"/>
  <c r="T186" i="12"/>
  <c r="S186" i="12"/>
  <c r="R186" i="12"/>
  <c r="Q186" i="12"/>
  <c r="P186" i="12"/>
  <c r="O186" i="12"/>
  <c r="N186" i="12"/>
  <c r="M186" i="12"/>
  <c r="L186" i="12"/>
  <c r="K186" i="12"/>
  <c r="I186" i="12"/>
  <c r="F186" i="12"/>
  <c r="X185" i="12"/>
  <c r="V185" i="12"/>
  <c r="U185" i="12"/>
  <c r="T185" i="12"/>
  <c r="S185" i="12"/>
  <c r="R185" i="12"/>
  <c r="Q185" i="12"/>
  <c r="P185" i="12"/>
  <c r="O185" i="12"/>
  <c r="N185" i="12"/>
  <c r="M185" i="12"/>
  <c r="L185" i="12"/>
  <c r="K185" i="12"/>
  <c r="I185" i="12"/>
  <c r="F185" i="12"/>
  <c r="X184" i="12"/>
  <c r="V184" i="12"/>
  <c r="U184" i="12"/>
  <c r="T184" i="12"/>
  <c r="S184" i="12"/>
  <c r="R184" i="12"/>
  <c r="Q184" i="12"/>
  <c r="P184" i="12"/>
  <c r="O184" i="12"/>
  <c r="N184" i="12"/>
  <c r="M184" i="12"/>
  <c r="L184" i="12"/>
  <c r="K184" i="12"/>
  <c r="I184" i="12"/>
  <c r="F184" i="12"/>
  <c r="X183" i="12"/>
  <c r="V183" i="12"/>
  <c r="U183" i="12"/>
  <c r="T183" i="12"/>
  <c r="S183" i="12"/>
  <c r="R183" i="12"/>
  <c r="Q183" i="12"/>
  <c r="P183" i="12"/>
  <c r="O183" i="12"/>
  <c r="N183" i="12"/>
  <c r="M183" i="12"/>
  <c r="L183" i="12"/>
  <c r="K183" i="12"/>
  <c r="I183" i="12"/>
  <c r="F183" i="12"/>
  <c r="X182" i="12"/>
  <c r="V182" i="12"/>
  <c r="U182" i="12"/>
  <c r="T182" i="12"/>
  <c r="S182" i="12"/>
  <c r="R182" i="12"/>
  <c r="Q182" i="12"/>
  <c r="P182" i="12"/>
  <c r="O182" i="12"/>
  <c r="N182" i="12"/>
  <c r="M182" i="12"/>
  <c r="L182" i="12"/>
  <c r="K182" i="12"/>
  <c r="I182" i="12"/>
  <c r="F182" i="12"/>
  <c r="X181" i="12"/>
  <c r="V181" i="12"/>
  <c r="U181" i="12"/>
  <c r="T181" i="12"/>
  <c r="S181" i="12"/>
  <c r="R181" i="12"/>
  <c r="Q181" i="12"/>
  <c r="P181" i="12"/>
  <c r="O181" i="12"/>
  <c r="N181" i="12"/>
  <c r="M181" i="12"/>
  <c r="L181" i="12"/>
  <c r="K181" i="12"/>
  <c r="I181" i="12"/>
  <c r="F181" i="12"/>
  <c r="X180" i="12"/>
  <c r="V180" i="12"/>
  <c r="U180" i="12"/>
  <c r="T180" i="12"/>
  <c r="S180" i="12"/>
  <c r="R180" i="12"/>
  <c r="Q180" i="12"/>
  <c r="P180" i="12"/>
  <c r="O180" i="12"/>
  <c r="N180" i="12"/>
  <c r="M180" i="12"/>
  <c r="L180" i="12"/>
  <c r="K180" i="12"/>
  <c r="I180" i="12"/>
  <c r="F180" i="12"/>
  <c r="X179" i="12"/>
  <c r="V179" i="12"/>
  <c r="U179" i="12"/>
  <c r="T179" i="12"/>
  <c r="S179" i="12"/>
  <c r="R179" i="12"/>
  <c r="Q179" i="12"/>
  <c r="P179" i="12"/>
  <c r="O179" i="12"/>
  <c r="N179" i="12"/>
  <c r="M179" i="12"/>
  <c r="L179" i="12"/>
  <c r="K179" i="12"/>
  <c r="I179" i="12"/>
  <c r="F179" i="12"/>
  <c r="X178" i="12"/>
  <c r="V178" i="12"/>
  <c r="U178" i="12"/>
  <c r="T178" i="12"/>
  <c r="S178" i="12"/>
  <c r="R178" i="12"/>
  <c r="Q178" i="12"/>
  <c r="P178" i="12"/>
  <c r="O178" i="12"/>
  <c r="N178" i="12"/>
  <c r="M178" i="12"/>
  <c r="L178" i="12"/>
  <c r="K178" i="12"/>
  <c r="I178" i="12"/>
  <c r="F178" i="12"/>
  <c r="X177" i="12"/>
  <c r="V177" i="12"/>
  <c r="U177" i="12"/>
  <c r="T177" i="12"/>
  <c r="S177" i="12"/>
  <c r="R177" i="12"/>
  <c r="Q177" i="12"/>
  <c r="P177" i="12"/>
  <c r="O177" i="12"/>
  <c r="N177" i="12"/>
  <c r="M177" i="12"/>
  <c r="L177" i="12"/>
  <c r="K177" i="12"/>
  <c r="I177" i="12"/>
  <c r="F177" i="12"/>
  <c r="X176" i="12"/>
  <c r="V176" i="12"/>
  <c r="U176" i="12"/>
  <c r="T176" i="12"/>
  <c r="S176" i="12"/>
  <c r="R176" i="12"/>
  <c r="Q176" i="12"/>
  <c r="P176" i="12"/>
  <c r="O176" i="12"/>
  <c r="N176" i="12"/>
  <c r="M176" i="12"/>
  <c r="L176" i="12"/>
  <c r="K176" i="12"/>
  <c r="I176" i="12"/>
  <c r="F176" i="12"/>
  <c r="X175" i="12"/>
  <c r="V175" i="12"/>
  <c r="U175" i="12"/>
  <c r="T175" i="12"/>
  <c r="S175" i="12"/>
  <c r="R175" i="12"/>
  <c r="Q175" i="12"/>
  <c r="P175" i="12"/>
  <c r="O175" i="12"/>
  <c r="N175" i="12"/>
  <c r="M175" i="12"/>
  <c r="L175" i="12"/>
  <c r="K175" i="12"/>
  <c r="I175" i="12"/>
  <c r="F175" i="12"/>
  <c r="X174" i="12"/>
  <c r="V174" i="12"/>
  <c r="U174" i="12"/>
  <c r="T174" i="12"/>
  <c r="S174" i="12"/>
  <c r="R174" i="12"/>
  <c r="Q174" i="12"/>
  <c r="P174" i="12"/>
  <c r="O174" i="12"/>
  <c r="N174" i="12"/>
  <c r="M174" i="12"/>
  <c r="L174" i="12"/>
  <c r="K174" i="12"/>
  <c r="I174" i="12"/>
  <c r="F174" i="12"/>
  <c r="X173" i="12"/>
  <c r="V173" i="12"/>
  <c r="U173" i="12"/>
  <c r="T173" i="12"/>
  <c r="S173" i="12"/>
  <c r="R173" i="12"/>
  <c r="Q173" i="12"/>
  <c r="P173" i="12"/>
  <c r="O173" i="12"/>
  <c r="N173" i="12"/>
  <c r="M173" i="12"/>
  <c r="L173" i="12"/>
  <c r="K173" i="12"/>
  <c r="I173" i="12"/>
  <c r="F173" i="12"/>
  <c r="X172" i="12"/>
  <c r="V172" i="12"/>
  <c r="U172" i="12"/>
  <c r="T172" i="12"/>
  <c r="S172" i="12"/>
  <c r="R172" i="12"/>
  <c r="Q172" i="12"/>
  <c r="P172" i="12"/>
  <c r="O172" i="12"/>
  <c r="N172" i="12"/>
  <c r="M172" i="12"/>
  <c r="L172" i="12"/>
  <c r="K172" i="12"/>
  <c r="I172" i="12"/>
  <c r="F172" i="12"/>
  <c r="X171" i="12"/>
  <c r="V171" i="12"/>
  <c r="U171" i="12"/>
  <c r="T171" i="12"/>
  <c r="S171" i="12"/>
  <c r="R171" i="12"/>
  <c r="Q171" i="12"/>
  <c r="P171" i="12"/>
  <c r="O171" i="12"/>
  <c r="N171" i="12"/>
  <c r="M171" i="12"/>
  <c r="L171" i="12"/>
  <c r="K171" i="12"/>
  <c r="I171" i="12"/>
  <c r="F171" i="12"/>
  <c r="X170" i="12"/>
  <c r="V170" i="12"/>
  <c r="U170" i="12"/>
  <c r="T170" i="12"/>
  <c r="S170" i="12"/>
  <c r="R170" i="12"/>
  <c r="Q170" i="12"/>
  <c r="P170" i="12"/>
  <c r="O170" i="12"/>
  <c r="N170" i="12"/>
  <c r="M170" i="12"/>
  <c r="L170" i="12"/>
  <c r="K170" i="12"/>
  <c r="I170" i="12"/>
  <c r="F170" i="12"/>
  <c r="X169" i="12"/>
  <c r="V169" i="12"/>
  <c r="U169" i="12"/>
  <c r="T169" i="12"/>
  <c r="S169" i="12"/>
  <c r="R169" i="12"/>
  <c r="Q169" i="12"/>
  <c r="P169" i="12"/>
  <c r="O169" i="12"/>
  <c r="N169" i="12"/>
  <c r="M169" i="12"/>
  <c r="L169" i="12"/>
  <c r="K169" i="12"/>
  <c r="I169" i="12"/>
  <c r="F169" i="12"/>
  <c r="X168" i="12"/>
  <c r="V168" i="12"/>
  <c r="U168" i="12"/>
  <c r="T168" i="12"/>
  <c r="S168" i="12"/>
  <c r="R168" i="12"/>
  <c r="Q168" i="12"/>
  <c r="P168" i="12"/>
  <c r="O168" i="12"/>
  <c r="N168" i="12"/>
  <c r="M168" i="12"/>
  <c r="L168" i="12"/>
  <c r="K168" i="12"/>
  <c r="I168" i="12"/>
  <c r="F168" i="12"/>
  <c r="X167" i="12"/>
  <c r="V167" i="12"/>
  <c r="U167" i="12"/>
  <c r="T167" i="12"/>
  <c r="S167" i="12"/>
  <c r="R167" i="12"/>
  <c r="Q167" i="12"/>
  <c r="P167" i="12"/>
  <c r="O167" i="12"/>
  <c r="N167" i="12"/>
  <c r="M167" i="12"/>
  <c r="L167" i="12"/>
  <c r="K167" i="12"/>
  <c r="I167" i="12"/>
  <c r="F167" i="12"/>
  <c r="X166" i="12"/>
  <c r="V166" i="12"/>
  <c r="U166" i="12"/>
  <c r="T166" i="12"/>
  <c r="S166" i="12"/>
  <c r="R166" i="12"/>
  <c r="Q166" i="12"/>
  <c r="P166" i="12"/>
  <c r="O166" i="12"/>
  <c r="N166" i="12"/>
  <c r="M166" i="12"/>
  <c r="L166" i="12"/>
  <c r="K166" i="12"/>
  <c r="I166" i="12"/>
  <c r="F166" i="12"/>
  <c r="X165" i="12"/>
  <c r="V165" i="12"/>
  <c r="U165" i="12"/>
  <c r="T165" i="12"/>
  <c r="S165" i="12"/>
  <c r="R165" i="12"/>
  <c r="Q165" i="12"/>
  <c r="P165" i="12"/>
  <c r="O165" i="12"/>
  <c r="N165" i="12"/>
  <c r="M165" i="12"/>
  <c r="L165" i="12"/>
  <c r="K165" i="12"/>
  <c r="I165" i="12"/>
  <c r="F165" i="12"/>
  <c r="X164" i="12"/>
  <c r="V164" i="12"/>
  <c r="U164" i="12"/>
  <c r="T164" i="12"/>
  <c r="S164" i="12"/>
  <c r="R164" i="12"/>
  <c r="Q164" i="12"/>
  <c r="P164" i="12"/>
  <c r="O164" i="12"/>
  <c r="N164" i="12"/>
  <c r="M164" i="12"/>
  <c r="L164" i="12"/>
  <c r="K164" i="12"/>
  <c r="I164" i="12"/>
  <c r="F164" i="12"/>
  <c r="X163" i="12"/>
  <c r="V163" i="12"/>
  <c r="U163" i="12"/>
  <c r="T163" i="12"/>
  <c r="S163" i="12"/>
  <c r="R163" i="12"/>
  <c r="Q163" i="12"/>
  <c r="P163" i="12"/>
  <c r="O163" i="12"/>
  <c r="N163" i="12"/>
  <c r="M163" i="12"/>
  <c r="L163" i="12"/>
  <c r="K163" i="12"/>
  <c r="I163" i="12"/>
  <c r="F163" i="12"/>
  <c r="X162" i="12"/>
  <c r="V162" i="12"/>
  <c r="U162" i="12"/>
  <c r="T162" i="12"/>
  <c r="S162" i="12"/>
  <c r="R162" i="12"/>
  <c r="Q162" i="12"/>
  <c r="P162" i="12"/>
  <c r="O162" i="12"/>
  <c r="N162" i="12"/>
  <c r="M162" i="12"/>
  <c r="L162" i="12"/>
  <c r="K162" i="12"/>
  <c r="I162" i="12"/>
  <c r="F162" i="12"/>
  <c r="X161" i="12"/>
  <c r="V161" i="12"/>
  <c r="U161" i="12"/>
  <c r="T161" i="12"/>
  <c r="S161" i="12"/>
  <c r="R161" i="12"/>
  <c r="Q161" i="12"/>
  <c r="P161" i="12"/>
  <c r="O161" i="12"/>
  <c r="N161" i="12"/>
  <c r="M161" i="12"/>
  <c r="L161" i="12"/>
  <c r="K161" i="12"/>
  <c r="I161" i="12"/>
  <c r="F161" i="12"/>
  <c r="X160" i="12"/>
  <c r="V160" i="12"/>
  <c r="U160" i="12"/>
  <c r="T160" i="12"/>
  <c r="S160" i="12"/>
  <c r="R160" i="12"/>
  <c r="Q160" i="12"/>
  <c r="P160" i="12"/>
  <c r="O160" i="12"/>
  <c r="N160" i="12"/>
  <c r="M160" i="12"/>
  <c r="L160" i="12"/>
  <c r="K160" i="12"/>
  <c r="I160" i="12"/>
  <c r="F160" i="12"/>
  <c r="X159" i="12"/>
  <c r="V159" i="12"/>
  <c r="U159" i="12"/>
  <c r="T159" i="12"/>
  <c r="S159" i="12"/>
  <c r="R159" i="12"/>
  <c r="Q159" i="12"/>
  <c r="P159" i="12"/>
  <c r="O159" i="12"/>
  <c r="N159" i="12"/>
  <c r="M159" i="12"/>
  <c r="L159" i="12"/>
  <c r="K159" i="12"/>
  <c r="I159" i="12"/>
  <c r="F159" i="12"/>
  <c r="X158" i="12"/>
  <c r="V158" i="12"/>
  <c r="U158" i="12"/>
  <c r="T158" i="12"/>
  <c r="S158" i="12"/>
  <c r="R158" i="12"/>
  <c r="Q158" i="12"/>
  <c r="P158" i="12"/>
  <c r="O158" i="12"/>
  <c r="N158" i="12"/>
  <c r="M158" i="12"/>
  <c r="L158" i="12"/>
  <c r="K158" i="12"/>
  <c r="I158" i="12"/>
  <c r="F158" i="12"/>
  <c r="X157" i="12"/>
  <c r="V157" i="12"/>
  <c r="U157" i="12"/>
  <c r="T157" i="12"/>
  <c r="S157" i="12"/>
  <c r="R157" i="12"/>
  <c r="Q157" i="12"/>
  <c r="P157" i="12"/>
  <c r="O157" i="12"/>
  <c r="N157" i="12"/>
  <c r="M157" i="12"/>
  <c r="L157" i="12"/>
  <c r="K157" i="12"/>
  <c r="I157" i="12"/>
  <c r="F157" i="12"/>
  <c r="X156" i="12"/>
  <c r="V156" i="12"/>
  <c r="U156" i="12"/>
  <c r="T156" i="12"/>
  <c r="S156" i="12"/>
  <c r="R156" i="12"/>
  <c r="Q156" i="12"/>
  <c r="P156" i="12"/>
  <c r="O156" i="12"/>
  <c r="N156" i="12"/>
  <c r="M156" i="12"/>
  <c r="L156" i="12"/>
  <c r="K156" i="12"/>
  <c r="I156" i="12"/>
  <c r="F156" i="12"/>
  <c r="X155" i="12"/>
  <c r="V155" i="12"/>
  <c r="U155" i="12"/>
  <c r="T155" i="12"/>
  <c r="S155" i="12"/>
  <c r="R155" i="12"/>
  <c r="Q155" i="12"/>
  <c r="P155" i="12"/>
  <c r="O155" i="12"/>
  <c r="N155" i="12"/>
  <c r="M155" i="12"/>
  <c r="L155" i="12"/>
  <c r="K155" i="12"/>
  <c r="I155" i="12"/>
  <c r="F155" i="12"/>
  <c r="X154" i="12"/>
  <c r="V154" i="12"/>
  <c r="U154" i="12"/>
  <c r="T154" i="12"/>
  <c r="S154" i="12"/>
  <c r="R154" i="12"/>
  <c r="Q154" i="12"/>
  <c r="P154" i="12"/>
  <c r="O154" i="12"/>
  <c r="N154" i="12"/>
  <c r="M154" i="12"/>
  <c r="L154" i="12"/>
  <c r="K154" i="12"/>
  <c r="I154" i="12"/>
  <c r="F154" i="12"/>
  <c r="X153" i="12"/>
  <c r="V153" i="12"/>
  <c r="U153" i="12"/>
  <c r="T153" i="12"/>
  <c r="S153" i="12"/>
  <c r="R153" i="12"/>
  <c r="Q153" i="12"/>
  <c r="P153" i="12"/>
  <c r="O153" i="12"/>
  <c r="N153" i="12"/>
  <c r="M153" i="12"/>
  <c r="L153" i="12"/>
  <c r="K153" i="12"/>
  <c r="I153" i="12"/>
  <c r="F153" i="12"/>
  <c r="X152" i="12"/>
  <c r="V152" i="12"/>
  <c r="U152" i="12"/>
  <c r="T152" i="12"/>
  <c r="S152" i="12"/>
  <c r="R152" i="12"/>
  <c r="Q152" i="12"/>
  <c r="P152" i="12"/>
  <c r="O152" i="12"/>
  <c r="N152" i="12"/>
  <c r="M152" i="12"/>
  <c r="L152" i="12"/>
  <c r="K152" i="12"/>
  <c r="I152" i="12"/>
  <c r="F152" i="12"/>
  <c r="X151" i="12"/>
  <c r="V151" i="12"/>
  <c r="U151" i="12"/>
  <c r="T151" i="12"/>
  <c r="S151" i="12"/>
  <c r="R151" i="12"/>
  <c r="Q151" i="12"/>
  <c r="P151" i="12"/>
  <c r="O151" i="12"/>
  <c r="N151" i="12"/>
  <c r="M151" i="12"/>
  <c r="L151" i="12"/>
  <c r="K151" i="12"/>
  <c r="I151" i="12"/>
  <c r="F151" i="12"/>
  <c r="X150" i="12"/>
  <c r="V150" i="12"/>
  <c r="U150" i="12"/>
  <c r="T150" i="12"/>
  <c r="S150" i="12"/>
  <c r="R150" i="12"/>
  <c r="Q150" i="12"/>
  <c r="P150" i="12"/>
  <c r="O150" i="12"/>
  <c r="N150" i="12"/>
  <c r="M150" i="12"/>
  <c r="L150" i="12"/>
  <c r="K150" i="12"/>
  <c r="I150" i="12"/>
  <c r="F150" i="12"/>
  <c r="X149" i="12"/>
  <c r="V149" i="12"/>
  <c r="U149" i="12"/>
  <c r="T149" i="12"/>
  <c r="S149" i="12"/>
  <c r="R149" i="12"/>
  <c r="Q149" i="12"/>
  <c r="P149" i="12"/>
  <c r="O149" i="12"/>
  <c r="N149" i="12"/>
  <c r="M149" i="12"/>
  <c r="L149" i="12"/>
  <c r="K149" i="12"/>
  <c r="I149" i="12"/>
  <c r="F149" i="12"/>
  <c r="X148" i="12"/>
  <c r="V148" i="12"/>
  <c r="U148" i="12"/>
  <c r="T148" i="12"/>
  <c r="S148" i="12"/>
  <c r="R148" i="12"/>
  <c r="Q148" i="12"/>
  <c r="P148" i="12"/>
  <c r="O148" i="12"/>
  <c r="N148" i="12"/>
  <c r="M148" i="12"/>
  <c r="L148" i="12"/>
  <c r="K148" i="12"/>
  <c r="I148" i="12"/>
  <c r="F148" i="12"/>
  <c r="X147" i="12"/>
  <c r="V147" i="12"/>
  <c r="U147" i="12"/>
  <c r="T147" i="12"/>
  <c r="S147" i="12"/>
  <c r="R147" i="12"/>
  <c r="Q147" i="12"/>
  <c r="P147" i="12"/>
  <c r="O147" i="12"/>
  <c r="N147" i="12"/>
  <c r="M147" i="12"/>
  <c r="L147" i="12"/>
  <c r="K147" i="12"/>
  <c r="I147" i="12"/>
  <c r="F147" i="12"/>
  <c r="X146" i="12"/>
  <c r="V146" i="12"/>
  <c r="U146" i="12"/>
  <c r="T146" i="12"/>
  <c r="S146" i="12"/>
  <c r="R146" i="12"/>
  <c r="Q146" i="12"/>
  <c r="P146" i="12"/>
  <c r="O146" i="12"/>
  <c r="N146" i="12"/>
  <c r="M146" i="12"/>
  <c r="L146" i="12"/>
  <c r="K146" i="12"/>
  <c r="I146" i="12"/>
  <c r="F146" i="12"/>
  <c r="X145" i="12"/>
  <c r="V145" i="12"/>
  <c r="U145" i="12"/>
  <c r="T145" i="12"/>
  <c r="S145" i="12"/>
  <c r="R145" i="12"/>
  <c r="Q145" i="12"/>
  <c r="P145" i="12"/>
  <c r="O145" i="12"/>
  <c r="N145" i="12"/>
  <c r="M145" i="12"/>
  <c r="L145" i="12"/>
  <c r="K145" i="12"/>
  <c r="I145" i="12"/>
  <c r="F145" i="12"/>
  <c r="X144" i="12"/>
  <c r="V144" i="12"/>
  <c r="U144" i="12"/>
  <c r="T144" i="12"/>
  <c r="S144" i="12"/>
  <c r="R144" i="12"/>
  <c r="Q144" i="12"/>
  <c r="P144" i="12"/>
  <c r="O144" i="12"/>
  <c r="N144" i="12"/>
  <c r="M144" i="12"/>
  <c r="L144" i="12"/>
  <c r="K144" i="12"/>
  <c r="I144" i="12"/>
  <c r="F144" i="12"/>
  <c r="X143" i="12"/>
  <c r="V143" i="12"/>
  <c r="U143" i="12"/>
  <c r="T143" i="12"/>
  <c r="S143" i="12"/>
  <c r="R143" i="12"/>
  <c r="Q143" i="12"/>
  <c r="P143" i="12"/>
  <c r="O143" i="12"/>
  <c r="N143" i="12"/>
  <c r="M143" i="12"/>
  <c r="L143" i="12"/>
  <c r="K143" i="12"/>
  <c r="I143" i="12"/>
  <c r="F143" i="12"/>
  <c r="X142" i="12"/>
  <c r="V142" i="12"/>
  <c r="U142" i="12"/>
  <c r="T142" i="12"/>
  <c r="S142" i="12"/>
  <c r="R142" i="12"/>
  <c r="Q142" i="12"/>
  <c r="P142" i="12"/>
  <c r="O142" i="12"/>
  <c r="N142" i="12"/>
  <c r="M142" i="12"/>
  <c r="L142" i="12"/>
  <c r="K142" i="12"/>
  <c r="I142" i="12"/>
  <c r="F142" i="12"/>
  <c r="X141" i="12"/>
  <c r="V141" i="12"/>
  <c r="U141" i="12"/>
  <c r="T141" i="12"/>
  <c r="S141" i="12"/>
  <c r="R141" i="12"/>
  <c r="Q141" i="12"/>
  <c r="P141" i="12"/>
  <c r="O141" i="12"/>
  <c r="N141" i="12"/>
  <c r="M141" i="12"/>
  <c r="L141" i="12"/>
  <c r="K141" i="12"/>
  <c r="I141" i="12"/>
  <c r="F141" i="12"/>
  <c r="X140" i="12"/>
  <c r="V140" i="12"/>
  <c r="U140" i="12"/>
  <c r="T140" i="12"/>
  <c r="S140" i="12"/>
  <c r="R140" i="12"/>
  <c r="Q140" i="12"/>
  <c r="P140" i="12"/>
  <c r="O140" i="12"/>
  <c r="N140" i="12"/>
  <c r="M140" i="12"/>
  <c r="L140" i="12"/>
  <c r="K140" i="12"/>
  <c r="I140" i="12"/>
  <c r="F140" i="12"/>
  <c r="X139" i="12"/>
  <c r="V139" i="12"/>
  <c r="U139" i="12"/>
  <c r="T139" i="12"/>
  <c r="S139" i="12"/>
  <c r="R139" i="12"/>
  <c r="Q139" i="12"/>
  <c r="P139" i="12"/>
  <c r="O139" i="12"/>
  <c r="N139" i="12"/>
  <c r="M139" i="12"/>
  <c r="L139" i="12"/>
  <c r="K139" i="12"/>
  <c r="I139" i="12"/>
  <c r="F139" i="12"/>
  <c r="X138" i="12"/>
  <c r="V138" i="12"/>
  <c r="U138" i="12"/>
  <c r="T138" i="12"/>
  <c r="S138" i="12"/>
  <c r="R138" i="12"/>
  <c r="Q138" i="12"/>
  <c r="P138" i="12"/>
  <c r="O138" i="12"/>
  <c r="N138" i="12"/>
  <c r="M138" i="12"/>
  <c r="L138" i="12"/>
  <c r="K138" i="12"/>
  <c r="I138" i="12"/>
  <c r="F138" i="12"/>
  <c r="X137" i="12"/>
  <c r="V137" i="12"/>
  <c r="U137" i="12"/>
  <c r="T137" i="12"/>
  <c r="S137" i="12"/>
  <c r="R137" i="12"/>
  <c r="Q137" i="12"/>
  <c r="P137" i="12"/>
  <c r="O137" i="12"/>
  <c r="N137" i="12"/>
  <c r="M137" i="12"/>
  <c r="L137" i="12"/>
  <c r="K137" i="12"/>
  <c r="I137" i="12"/>
  <c r="F137" i="12"/>
  <c r="X136" i="12"/>
  <c r="V136" i="12"/>
  <c r="U136" i="12"/>
  <c r="T136" i="12"/>
  <c r="S136" i="12"/>
  <c r="R136" i="12"/>
  <c r="Q136" i="12"/>
  <c r="P136" i="12"/>
  <c r="O136" i="12"/>
  <c r="N136" i="12"/>
  <c r="M136" i="12"/>
  <c r="L136" i="12"/>
  <c r="K136" i="12"/>
  <c r="I136" i="12"/>
  <c r="F136" i="12"/>
  <c r="X135" i="12"/>
  <c r="V135" i="12"/>
  <c r="U135" i="12"/>
  <c r="T135" i="12"/>
  <c r="S135" i="12"/>
  <c r="R135" i="12"/>
  <c r="Q135" i="12"/>
  <c r="P135" i="12"/>
  <c r="O135" i="12"/>
  <c r="N135" i="12"/>
  <c r="M135" i="12"/>
  <c r="L135" i="12"/>
  <c r="K135" i="12"/>
  <c r="I135" i="12"/>
  <c r="F135" i="12"/>
  <c r="X134" i="12"/>
  <c r="V134" i="12"/>
  <c r="U134" i="12"/>
  <c r="T134" i="12"/>
  <c r="S134" i="12"/>
  <c r="R134" i="12"/>
  <c r="Q134" i="12"/>
  <c r="P134" i="12"/>
  <c r="O134" i="12"/>
  <c r="N134" i="12"/>
  <c r="M134" i="12"/>
  <c r="L134" i="12"/>
  <c r="K134" i="12"/>
  <c r="I134" i="12"/>
  <c r="F134" i="12"/>
  <c r="X133" i="12"/>
  <c r="V133" i="12"/>
  <c r="U133" i="12"/>
  <c r="T133" i="12"/>
  <c r="S133" i="12"/>
  <c r="R133" i="12"/>
  <c r="Q133" i="12"/>
  <c r="P133" i="12"/>
  <c r="O133" i="12"/>
  <c r="N133" i="12"/>
  <c r="M133" i="12"/>
  <c r="L133" i="12"/>
  <c r="K133" i="12"/>
  <c r="I133" i="12"/>
  <c r="F133" i="12"/>
  <c r="X132" i="12"/>
  <c r="V132" i="12"/>
  <c r="U132" i="12"/>
  <c r="T132" i="12"/>
  <c r="S132" i="12"/>
  <c r="R132" i="12"/>
  <c r="Q132" i="12"/>
  <c r="P132" i="12"/>
  <c r="O132" i="12"/>
  <c r="N132" i="12"/>
  <c r="M132" i="12"/>
  <c r="L132" i="12"/>
  <c r="K132" i="12"/>
  <c r="I132" i="12"/>
  <c r="F132" i="12"/>
  <c r="X131" i="12"/>
  <c r="V131" i="12"/>
  <c r="U131" i="12"/>
  <c r="T131" i="12"/>
  <c r="S131" i="12"/>
  <c r="R131" i="12"/>
  <c r="Q131" i="12"/>
  <c r="P131" i="12"/>
  <c r="O131" i="12"/>
  <c r="N131" i="12"/>
  <c r="M131" i="12"/>
  <c r="L131" i="12"/>
  <c r="K131" i="12"/>
  <c r="I131" i="12"/>
  <c r="F131" i="12"/>
  <c r="X130" i="12"/>
  <c r="V130" i="12"/>
  <c r="U130" i="12"/>
  <c r="T130" i="12"/>
  <c r="S130" i="12"/>
  <c r="R130" i="12"/>
  <c r="Q130" i="12"/>
  <c r="P130" i="12"/>
  <c r="O130" i="12"/>
  <c r="N130" i="12"/>
  <c r="M130" i="12"/>
  <c r="L130" i="12"/>
  <c r="K130" i="12"/>
  <c r="I130" i="12"/>
  <c r="F130" i="12"/>
  <c r="X129" i="12"/>
  <c r="V129" i="12"/>
  <c r="U129" i="12"/>
  <c r="T129" i="12"/>
  <c r="S129" i="12"/>
  <c r="R129" i="12"/>
  <c r="Q129" i="12"/>
  <c r="P129" i="12"/>
  <c r="O129" i="12"/>
  <c r="N129" i="12"/>
  <c r="M129" i="12"/>
  <c r="L129" i="12"/>
  <c r="K129" i="12"/>
  <c r="I129" i="12"/>
  <c r="F129" i="12"/>
  <c r="X128" i="12"/>
  <c r="V128" i="12"/>
  <c r="U128" i="12"/>
  <c r="T128" i="12"/>
  <c r="S128" i="12"/>
  <c r="R128" i="12"/>
  <c r="Q128" i="12"/>
  <c r="P128" i="12"/>
  <c r="O128" i="12"/>
  <c r="N128" i="12"/>
  <c r="M128" i="12"/>
  <c r="L128" i="12"/>
  <c r="K128" i="12"/>
  <c r="I128" i="12"/>
  <c r="F128" i="12"/>
  <c r="X127" i="12"/>
  <c r="V127" i="12"/>
  <c r="U127" i="12"/>
  <c r="T127" i="12"/>
  <c r="S127" i="12"/>
  <c r="R127" i="12"/>
  <c r="Q127" i="12"/>
  <c r="P127" i="12"/>
  <c r="O127" i="12"/>
  <c r="N127" i="12"/>
  <c r="M127" i="12"/>
  <c r="L127" i="12"/>
  <c r="K127" i="12"/>
  <c r="I127" i="12"/>
  <c r="F127" i="12"/>
  <c r="X126" i="12"/>
  <c r="V126" i="12"/>
  <c r="U126" i="12"/>
  <c r="T126" i="12"/>
  <c r="S126" i="12"/>
  <c r="R126" i="12"/>
  <c r="Q126" i="12"/>
  <c r="P126" i="12"/>
  <c r="O126" i="12"/>
  <c r="N126" i="12"/>
  <c r="M126" i="12"/>
  <c r="L126" i="12"/>
  <c r="K126" i="12"/>
  <c r="I126" i="12"/>
  <c r="F126" i="12"/>
  <c r="X125" i="12"/>
  <c r="V125" i="12"/>
  <c r="U125" i="12"/>
  <c r="T125" i="12"/>
  <c r="S125" i="12"/>
  <c r="R125" i="12"/>
  <c r="Q125" i="12"/>
  <c r="P125" i="12"/>
  <c r="O125" i="12"/>
  <c r="N125" i="12"/>
  <c r="M125" i="12"/>
  <c r="L125" i="12"/>
  <c r="K125" i="12"/>
  <c r="I125" i="12"/>
  <c r="F125" i="12"/>
  <c r="X124" i="12"/>
  <c r="V124" i="12"/>
  <c r="U124" i="12"/>
  <c r="T124" i="12"/>
  <c r="S124" i="12"/>
  <c r="R124" i="12"/>
  <c r="Q124" i="12"/>
  <c r="P124" i="12"/>
  <c r="O124" i="12"/>
  <c r="N124" i="12"/>
  <c r="M124" i="12"/>
  <c r="L124" i="12"/>
  <c r="K124" i="12"/>
  <c r="I124" i="12"/>
  <c r="F124" i="12"/>
  <c r="X123" i="12"/>
  <c r="V123" i="12"/>
  <c r="U123" i="12"/>
  <c r="T123" i="12"/>
  <c r="S123" i="12"/>
  <c r="R123" i="12"/>
  <c r="Q123" i="12"/>
  <c r="P123" i="12"/>
  <c r="O123" i="12"/>
  <c r="N123" i="12"/>
  <c r="M123" i="12"/>
  <c r="L123" i="12"/>
  <c r="K123" i="12"/>
  <c r="I123" i="12"/>
  <c r="F123" i="12"/>
  <c r="X122" i="12"/>
  <c r="V122" i="12"/>
  <c r="U122" i="12"/>
  <c r="T122" i="12"/>
  <c r="S122" i="12"/>
  <c r="R122" i="12"/>
  <c r="Q122" i="12"/>
  <c r="P122" i="12"/>
  <c r="O122" i="12"/>
  <c r="N122" i="12"/>
  <c r="M122" i="12"/>
  <c r="L122" i="12"/>
  <c r="K122" i="12"/>
  <c r="I122" i="12"/>
  <c r="F122" i="12"/>
  <c r="X121" i="12"/>
  <c r="V121" i="12"/>
  <c r="U121" i="12"/>
  <c r="T121" i="12"/>
  <c r="S121" i="12"/>
  <c r="R121" i="12"/>
  <c r="Q121" i="12"/>
  <c r="P121" i="12"/>
  <c r="O121" i="12"/>
  <c r="N121" i="12"/>
  <c r="M121" i="12"/>
  <c r="L121" i="12"/>
  <c r="K121" i="12"/>
  <c r="I121" i="12"/>
  <c r="F121" i="12"/>
  <c r="X120" i="12"/>
  <c r="V120" i="12"/>
  <c r="U120" i="12"/>
  <c r="T120" i="12"/>
  <c r="S120" i="12"/>
  <c r="R120" i="12"/>
  <c r="Q120" i="12"/>
  <c r="P120" i="12"/>
  <c r="O120" i="12"/>
  <c r="N120" i="12"/>
  <c r="M120" i="12"/>
  <c r="L120" i="12"/>
  <c r="K120" i="12"/>
  <c r="I120" i="12"/>
  <c r="F120" i="12"/>
  <c r="X119" i="12"/>
  <c r="V119" i="12"/>
  <c r="U119" i="12"/>
  <c r="T119" i="12"/>
  <c r="S119" i="12"/>
  <c r="R119" i="12"/>
  <c r="Q119" i="12"/>
  <c r="P119" i="12"/>
  <c r="O119" i="12"/>
  <c r="N119" i="12"/>
  <c r="M119" i="12"/>
  <c r="L119" i="12"/>
  <c r="K119" i="12"/>
  <c r="I119" i="12"/>
  <c r="F119" i="12"/>
  <c r="X118" i="12"/>
  <c r="V118" i="12"/>
  <c r="U118" i="12"/>
  <c r="T118" i="12"/>
  <c r="S118" i="12"/>
  <c r="R118" i="12"/>
  <c r="Q118" i="12"/>
  <c r="P118" i="12"/>
  <c r="O118" i="12"/>
  <c r="N118" i="12"/>
  <c r="M118" i="12"/>
  <c r="L118" i="12"/>
  <c r="K118" i="12"/>
  <c r="I118" i="12"/>
  <c r="F118" i="12"/>
  <c r="X117" i="12"/>
  <c r="V117" i="12"/>
  <c r="U117" i="12"/>
  <c r="T117" i="12"/>
  <c r="S117" i="12"/>
  <c r="R117" i="12"/>
  <c r="Q117" i="12"/>
  <c r="P117" i="12"/>
  <c r="O117" i="12"/>
  <c r="N117" i="12"/>
  <c r="M117" i="12"/>
  <c r="L117" i="12"/>
  <c r="K117" i="12"/>
  <c r="I117" i="12"/>
  <c r="F117" i="12"/>
  <c r="X116" i="12"/>
  <c r="V116" i="12"/>
  <c r="U116" i="12"/>
  <c r="T116" i="12"/>
  <c r="S116" i="12"/>
  <c r="R116" i="12"/>
  <c r="Q116" i="12"/>
  <c r="P116" i="12"/>
  <c r="O116" i="12"/>
  <c r="N116" i="12"/>
  <c r="M116" i="12"/>
  <c r="L116" i="12"/>
  <c r="K116" i="12"/>
  <c r="I116" i="12"/>
  <c r="F116" i="12"/>
  <c r="X115" i="12"/>
  <c r="V115" i="12"/>
  <c r="U115" i="12"/>
  <c r="T115" i="12"/>
  <c r="S115" i="12"/>
  <c r="R115" i="12"/>
  <c r="Q115" i="12"/>
  <c r="P115" i="12"/>
  <c r="O115" i="12"/>
  <c r="N115" i="12"/>
  <c r="M115" i="12"/>
  <c r="L115" i="12"/>
  <c r="K115" i="12"/>
  <c r="I115" i="12"/>
  <c r="F115" i="12"/>
  <c r="X114" i="12"/>
  <c r="V114" i="12"/>
  <c r="U114" i="12"/>
  <c r="T114" i="12"/>
  <c r="S114" i="12"/>
  <c r="R114" i="12"/>
  <c r="Q114" i="12"/>
  <c r="P114" i="12"/>
  <c r="O114" i="12"/>
  <c r="N114" i="12"/>
  <c r="M114" i="12"/>
  <c r="L114" i="12"/>
  <c r="K114" i="12"/>
  <c r="I114" i="12"/>
  <c r="F114" i="12"/>
  <c r="X113" i="12"/>
  <c r="V113" i="12"/>
  <c r="U113" i="12"/>
  <c r="T113" i="12"/>
  <c r="S113" i="12"/>
  <c r="R113" i="12"/>
  <c r="Q113" i="12"/>
  <c r="P113" i="12"/>
  <c r="O113" i="12"/>
  <c r="N113" i="12"/>
  <c r="M113" i="12"/>
  <c r="L113" i="12"/>
  <c r="K113" i="12"/>
  <c r="I113" i="12"/>
  <c r="F113" i="12"/>
  <c r="X112" i="12"/>
  <c r="V112" i="12"/>
  <c r="U112" i="12"/>
  <c r="T112" i="12"/>
  <c r="S112" i="12"/>
  <c r="R112" i="12"/>
  <c r="Q112" i="12"/>
  <c r="P112" i="12"/>
  <c r="O112" i="12"/>
  <c r="N112" i="12"/>
  <c r="M112" i="12"/>
  <c r="L112" i="12"/>
  <c r="K112" i="12"/>
  <c r="I112" i="12"/>
  <c r="F112" i="12"/>
  <c r="X111" i="12"/>
  <c r="V111" i="12"/>
  <c r="U111" i="12"/>
  <c r="T111" i="12"/>
  <c r="S111" i="12"/>
  <c r="R111" i="12"/>
  <c r="Q111" i="12"/>
  <c r="P111" i="12"/>
  <c r="O111" i="12"/>
  <c r="N111" i="12"/>
  <c r="M111" i="12"/>
  <c r="L111" i="12"/>
  <c r="K111" i="12"/>
  <c r="I111" i="12"/>
  <c r="F111" i="12"/>
  <c r="X110" i="12"/>
  <c r="V110" i="12"/>
  <c r="U110" i="12"/>
  <c r="T110" i="12"/>
  <c r="S110" i="12"/>
  <c r="R110" i="12"/>
  <c r="Q110" i="12"/>
  <c r="P110" i="12"/>
  <c r="O110" i="12"/>
  <c r="N110" i="12"/>
  <c r="M110" i="12"/>
  <c r="L110" i="12"/>
  <c r="K110" i="12"/>
  <c r="I110" i="12"/>
  <c r="F110" i="12"/>
  <c r="X109" i="12"/>
  <c r="V109" i="12"/>
  <c r="U109" i="12"/>
  <c r="T109" i="12"/>
  <c r="S109" i="12"/>
  <c r="R109" i="12"/>
  <c r="Q109" i="12"/>
  <c r="P109" i="12"/>
  <c r="O109" i="12"/>
  <c r="N109" i="12"/>
  <c r="M109" i="12"/>
  <c r="L109" i="12"/>
  <c r="K109" i="12"/>
  <c r="I109" i="12"/>
  <c r="F109" i="12"/>
  <c r="X108" i="12"/>
  <c r="V108" i="12"/>
  <c r="U108" i="12"/>
  <c r="T108" i="12"/>
  <c r="S108" i="12"/>
  <c r="R108" i="12"/>
  <c r="Q108" i="12"/>
  <c r="P108" i="12"/>
  <c r="O108" i="12"/>
  <c r="N108" i="12"/>
  <c r="M108" i="12"/>
  <c r="L108" i="12"/>
  <c r="K108" i="12"/>
  <c r="I108" i="12"/>
  <c r="F108" i="12"/>
  <c r="X107" i="12"/>
  <c r="V107" i="12"/>
  <c r="U107" i="12"/>
  <c r="T107" i="12"/>
  <c r="S107" i="12"/>
  <c r="R107" i="12"/>
  <c r="Q107" i="12"/>
  <c r="P107" i="12"/>
  <c r="O107" i="12"/>
  <c r="N107" i="12"/>
  <c r="M107" i="12"/>
  <c r="L107" i="12"/>
  <c r="K107" i="12"/>
  <c r="I107" i="12"/>
  <c r="F107" i="12"/>
  <c r="X106" i="12"/>
  <c r="V106" i="12"/>
  <c r="U106" i="12"/>
  <c r="T106" i="12"/>
  <c r="S106" i="12"/>
  <c r="R106" i="12"/>
  <c r="Q106" i="12"/>
  <c r="P106" i="12"/>
  <c r="O106" i="12"/>
  <c r="N106" i="12"/>
  <c r="M106" i="12"/>
  <c r="L106" i="12"/>
  <c r="K106" i="12"/>
  <c r="I106" i="12"/>
  <c r="F106" i="12"/>
  <c r="X105" i="12"/>
  <c r="V105" i="12"/>
  <c r="U105" i="12"/>
  <c r="T105" i="12"/>
  <c r="S105" i="12"/>
  <c r="R105" i="12"/>
  <c r="Q105" i="12"/>
  <c r="P105" i="12"/>
  <c r="O105" i="12"/>
  <c r="N105" i="12"/>
  <c r="M105" i="12"/>
  <c r="L105" i="12"/>
  <c r="K105" i="12"/>
  <c r="I105" i="12"/>
  <c r="F105" i="12"/>
  <c r="X104" i="12"/>
  <c r="V104" i="12"/>
  <c r="U104" i="12"/>
  <c r="T104" i="12"/>
  <c r="S104" i="12"/>
  <c r="R104" i="12"/>
  <c r="Q104" i="12"/>
  <c r="P104" i="12"/>
  <c r="O104" i="12"/>
  <c r="N104" i="12"/>
  <c r="M104" i="12"/>
  <c r="L104" i="12"/>
  <c r="K104" i="12"/>
  <c r="I104" i="12"/>
  <c r="F104" i="12"/>
  <c r="X103" i="12"/>
  <c r="V103" i="12"/>
  <c r="U103" i="12"/>
  <c r="T103" i="12"/>
  <c r="S103" i="12"/>
  <c r="R103" i="12"/>
  <c r="Q103" i="12"/>
  <c r="P103" i="12"/>
  <c r="O103" i="12"/>
  <c r="N103" i="12"/>
  <c r="M103" i="12"/>
  <c r="L103" i="12"/>
  <c r="K103" i="12"/>
  <c r="I103" i="12"/>
  <c r="F103" i="12"/>
  <c r="X102" i="12"/>
  <c r="V102" i="12"/>
  <c r="U102" i="12"/>
  <c r="T102" i="12"/>
  <c r="S102" i="12"/>
  <c r="R102" i="12"/>
  <c r="Q102" i="12"/>
  <c r="P102" i="12"/>
  <c r="O102" i="12"/>
  <c r="N102" i="12"/>
  <c r="M102" i="12"/>
  <c r="L102" i="12"/>
  <c r="K102" i="12"/>
  <c r="I102" i="12"/>
  <c r="F102" i="12"/>
  <c r="X101" i="12"/>
  <c r="V101" i="12"/>
  <c r="U101" i="12"/>
  <c r="T101" i="12"/>
  <c r="S101" i="12"/>
  <c r="R101" i="12"/>
  <c r="Q101" i="12"/>
  <c r="P101" i="12"/>
  <c r="O101" i="12"/>
  <c r="N101" i="12"/>
  <c r="M101" i="12"/>
  <c r="L101" i="12"/>
  <c r="K101" i="12"/>
  <c r="I101" i="12"/>
  <c r="F101" i="12"/>
  <c r="X100" i="12"/>
  <c r="V100" i="12"/>
  <c r="U100" i="12"/>
  <c r="T100" i="12"/>
  <c r="S100" i="12"/>
  <c r="R100" i="12"/>
  <c r="Q100" i="12"/>
  <c r="P100" i="12"/>
  <c r="O100" i="12"/>
  <c r="N100" i="12"/>
  <c r="M100" i="12"/>
  <c r="L100" i="12"/>
  <c r="K100" i="12"/>
  <c r="I100" i="12"/>
  <c r="F100" i="12"/>
  <c r="X99" i="12"/>
  <c r="V99" i="12"/>
  <c r="U99" i="12"/>
  <c r="T99" i="12"/>
  <c r="S99" i="12"/>
  <c r="R99" i="12"/>
  <c r="Q99" i="12"/>
  <c r="P99" i="12"/>
  <c r="O99" i="12"/>
  <c r="N99" i="12"/>
  <c r="M99" i="12"/>
  <c r="L99" i="12"/>
  <c r="K99" i="12"/>
  <c r="I99" i="12"/>
  <c r="F99" i="12"/>
  <c r="X98" i="12"/>
  <c r="V98" i="12"/>
  <c r="U98" i="12"/>
  <c r="T98" i="12"/>
  <c r="S98" i="12"/>
  <c r="R98" i="12"/>
  <c r="Q98" i="12"/>
  <c r="P98" i="12"/>
  <c r="O98" i="12"/>
  <c r="N98" i="12"/>
  <c r="M98" i="12"/>
  <c r="L98" i="12"/>
  <c r="K98" i="12"/>
  <c r="I98" i="12"/>
  <c r="F98" i="12"/>
  <c r="X97" i="12"/>
  <c r="V97" i="12"/>
  <c r="U97" i="12"/>
  <c r="T97" i="12"/>
  <c r="S97" i="12"/>
  <c r="R97" i="12"/>
  <c r="Q97" i="12"/>
  <c r="P97" i="12"/>
  <c r="O97" i="12"/>
  <c r="N97" i="12"/>
  <c r="M97" i="12"/>
  <c r="L97" i="12"/>
  <c r="K97" i="12"/>
  <c r="I97" i="12"/>
  <c r="F97" i="12"/>
  <c r="X96" i="12"/>
  <c r="V96" i="12"/>
  <c r="U96" i="12"/>
  <c r="T96" i="12"/>
  <c r="S96" i="12"/>
  <c r="R96" i="12"/>
  <c r="Q96" i="12"/>
  <c r="P96" i="12"/>
  <c r="O96" i="12"/>
  <c r="N96" i="12"/>
  <c r="M96" i="12"/>
  <c r="L96" i="12"/>
  <c r="K96" i="12"/>
  <c r="I96" i="12"/>
  <c r="F96" i="12"/>
  <c r="X95" i="12"/>
  <c r="V95" i="12"/>
  <c r="U95" i="12"/>
  <c r="T95" i="12"/>
  <c r="S95" i="12"/>
  <c r="R95" i="12"/>
  <c r="Q95" i="12"/>
  <c r="P95" i="12"/>
  <c r="O95" i="12"/>
  <c r="N95" i="12"/>
  <c r="M95" i="12"/>
  <c r="L95" i="12"/>
  <c r="K95" i="12"/>
  <c r="I95" i="12"/>
  <c r="F95" i="12"/>
  <c r="X94" i="12"/>
  <c r="V94" i="12"/>
  <c r="U94" i="12"/>
  <c r="T94" i="12"/>
  <c r="S94" i="12"/>
  <c r="R94" i="12"/>
  <c r="Q94" i="12"/>
  <c r="P94" i="12"/>
  <c r="O94" i="12"/>
  <c r="N94" i="12"/>
  <c r="M94" i="12"/>
  <c r="L94" i="12"/>
  <c r="K94" i="12"/>
  <c r="I94" i="12"/>
  <c r="F94" i="12"/>
  <c r="X93" i="12"/>
  <c r="V93" i="12"/>
  <c r="U93" i="12"/>
  <c r="T93" i="12"/>
  <c r="S93" i="12"/>
  <c r="R93" i="12"/>
  <c r="Q93" i="12"/>
  <c r="P93" i="12"/>
  <c r="O93" i="12"/>
  <c r="N93" i="12"/>
  <c r="M93" i="12"/>
  <c r="L93" i="12"/>
  <c r="K93" i="12"/>
  <c r="I93" i="12"/>
  <c r="F93" i="12"/>
  <c r="X92" i="12"/>
  <c r="V92" i="12"/>
  <c r="U92" i="12"/>
  <c r="T92" i="12"/>
  <c r="S92" i="12"/>
  <c r="R92" i="12"/>
  <c r="Q92" i="12"/>
  <c r="P92" i="12"/>
  <c r="O92" i="12"/>
  <c r="N92" i="12"/>
  <c r="M92" i="12"/>
  <c r="L92" i="12"/>
  <c r="K92" i="12"/>
  <c r="I92" i="12"/>
  <c r="F92" i="12"/>
  <c r="X91" i="12"/>
  <c r="V91" i="12"/>
  <c r="U91" i="12"/>
  <c r="T91" i="12"/>
  <c r="S91" i="12"/>
  <c r="R91" i="12"/>
  <c r="Q91" i="12"/>
  <c r="P91" i="12"/>
  <c r="O91" i="12"/>
  <c r="N91" i="12"/>
  <c r="M91" i="12"/>
  <c r="L91" i="12"/>
  <c r="K91" i="12"/>
  <c r="I91" i="12"/>
  <c r="F91" i="12"/>
  <c r="X90" i="12"/>
  <c r="V90" i="12"/>
  <c r="U90" i="12"/>
  <c r="T90" i="12"/>
  <c r="S90" i="12"/>
  <c r="R90" i="12"/>
  <c r="Q90" i="12"/>
  <c r="P90" i="12"/>
  <c r="O90" i="12"/>
  <c r="N90" i="12"/>
  <c r="M90" i="12"/>
  <c r="L90" i="12"/>
  <c r="K90" i="12"/>
  <c r="I90" i="12"/>
  <c r="F90" i="12"/>
  <c r="X89" i="12"/>
  <c r="V89" i="12"/>
  <c r="U89" i="12"/>
  <c r="T89" i="12"/>
  <c r="S89" i="12"/>
  <c r="R89" i="12"/>
  <c r="Q89" i="12"/>
  <c r="P89" i="12"/>
  <c r="O89" i="12"/>
  <c r="N89" i="12"/>
  <c r="M89" i="12"/>
  <c r="L89" i="12"/>
  <c r="K89" i="12"/>
  <c r="I89" i="12"/>
  <c r="F89" i="12"/>
  <c r="X88" i="12"/>
  <c r="V88" i="12"/>
  <c r="U88" i="12"/>
  <c r="T88" i="12"/>
  <c r="S88" i="12"/>
  <c r="R88" i="12"/>
  <c r="Q88" i="12"/>
  <c r="P88" i="12"/>
  <c r="O88" i="12"/>
  <c r="N88" i="12"/>
  <c r="M88" i="12"/>
  <c r="L88" i="12"/>
  <c r="K88" i="12"/>
  <c r="I88" i="12"/>
  <c r="F88" i="12"/>
  <c r="X87" i="12"/>
  <c r="V87" i="12"/>
  <c r="U87" i="12"/>
  <c r="T87" i="12"/>
  <c r="S87" i="12"/>
  <c r="R87" i="12"/>
  <c r="Q87" i="12"/>
  <c r="P87" i="12"/>
  <c r="O87" i="12"/>
  <c r="N87" i="12"/>
  <c r="M87" i="12"/>
  <c r="L87" i="12"/>
  <c r="K87" i="12"/>
  <c r="I87" i="12"/>
  <c r="F87" i="12"/>
  <c r="X86" i="12"/>
  <c r="V86" i="12"/>
  <c r="U86" i="12"/>
  <c r="T86" i="12"/>
  <c r="S86" i="12"/>
  <c r="R86" i="12"/>
  <c r="Q86" i="12"/>
  <c r="P86" i="12"/>
  <c r="O86" i="12"/>
  <c r="N86" i="12"/>
  <c r="M86" i="12"/>
  <c r="L86" i="12"/>
  <c r="K86" i="12"/>
  <c r="I86" i="12"/>
  <c r="F86" i="12"/>
  <c r="X85" i="12"/>
  <c r="V85" i="12"/>
  <c r="U85" i="12"/>
  <c r="T85" i="12"/>
  <c r="S85" i="12"/>
  <c r="R85" i="12"/>
  <c r="Q85" i="12"/>
  <c r="P85" i="12"/>
  <c r="O85" i="12"/>
  <c r="N85" i="12"/>
  <c r="M85" i="12"/>
  <c r="L85" i="12"/>
  <c r="K85" i="12"/>
  <c r="I85" i="12"/>
  <c r="F85" i="12"/>
  <c r="X84" i="12"/>
  <c r="V84" i="12"/>
  <c r="U84" i="12"/>
  <c r="T84" i="12"/>
  <c r="S84" i="12"/>
  <c r="R84" i="12"/>
  <c r="Q84" i="12"/>
  <c r="P84" i="12"/>
  <c r="O84" i="12"/>
  <c r="N84" i="12"/>
  <c r="M84" i="12"/>
  <c r="L84" i="12"/>
  <c r="K84" i="12"/>
  <c r="I84" i="12"/>
  <c r="F84" i="12"/>
  <c r="X83" i="12"/>
  <c r="V83" i="12"/>
  <c r="U83" i="12"/>
  <c r="T83" i="12"/>
  <c r="S83" i="12"/>
  <c r="R83" i="12"/>
  <c r="Q83" i="12"/>
  <c r="P83" i="12"/>
  <c r="O83" i="12"/>
  <c r="N83" i="12"/>
  <c r="M83" i="12"/>
  <c r="L83" i="12"/>
  <c r="K83" i="12"/>
  <c r="I83" i="12"/>
  <c r="F83" i="12"/>
  <c r="X82" i="12"/>
  <c r="V82" i="12"/>
  <c r="U82" i="12"/>
  <c r="T82" i="12"/>
  <c r="S82" i="12"/>
  <c r="R82" i="12"/>
  <c r="Q82" i="12"/>
  <c r="P82" i="12"/>
  <c r="O82" i="12"/>
  <c r="N82" i="12"/>
  <c r="M82" i="12"/>
  <c r="L82" i="12"/>
  <c r="K82" i="12"/>
  <c r="I82" i="12"/>
  <c r="F82" i="12"/>
  <c r="X81" i="12"/>
  <c r="V81" i="12"/>
  <c r="U81" i="12"/>
  <c r="T81" i="12"/>
  <c r="S81" i="12"/>
  <c r="R81" i="12"/>
  <c r="Q81" i="12"/>
  <c r="P81" i="12"/>
  <c r="O81" i="12"/>
  <c r="N81" i="12"/>
  <c r="M81" i="12"/>
  <c r="L81" i="12"/>
  <c r="K81" i="12"/>
  <c r="I81" i="12"/>
  <c r="F81" i="12"/>
  <c r="X80" i="12"/>
  <c r="V80" i="12"/>
  <c r="U80" i="12"/>
  <c r="T80" i="12"/>
  <c r="S80" i="12"/>
  <c r="R80" i="12"/>
  <c r="Q80" i="12"/>
  <c r="P80" i="12"/>
  <c r="O80" i="12"/>
  <c r="N80" i="12"/>
  <c r="M80" i="12"/>
  <c r="L80" i="12"/>
  <c r="K80" i="12"/>
  <c r="I80" i="12"/>
  <c r="F80" i="12"/>
  <c r="X79" i="12"/>
  <c r="V79" i="12"/>
  <c r="U79" i="12"/>
  <c r="T79" i="12"/>
  <c r="S79" i="12"/>
  <c r="R79" i="12"/>
  <c r="Q79" i="12"/>
  <c r="P79" i="12"/>
  <c r="O79" i="12"/>
  <c r="N79" i="12"/>
  <c r="M79" i="12"/>
  <c r="L79" i="12"/>
  <c r="K79" i="12"/>
  <c r="I79" i="12"/>
  <c r="F79" i="12"/>
  <c r="X78" i="12"/>
  <c r="V78" i="12"/>
  <c r="U78" i="12"/>
  <c r="T78" i="12"/>
  <c r="S78" i="12"/>
  <c r="R78" i="12"/>
  <c r="Q78" i="12"/>
  <c r="P78" i="12"/>
  <c r="O78" i="12"/>
  <c r="N78" i="12"/>
  <c r="M78" i="12"/>
  <c r="L78" i="12"/>
  <c r="K78" i="12"/>
  <c r="I78" i="12"/>
  <c r="F78" i="12"/>
  <c r="X77" i="12"/>
  <c r="V77" i="12"/>
  <c r="U77" i="12"/>
  <c r="T77" i="12"/>
  <c r="S77" i="12"/>
  <c r="R77" i="12"/>
  <c r="Q77" i="12"/>
  <c r="P77" i="12"/>
  <c r="O77" i="12"/>
  <c r="N77" i="12"/>
  <c r="M77" i="12"/>
  <c r="L77" i="12"/>
  <c r="K77" i="12"/>
  <c r="I77" i="12"/>
  <c r="F77" i="12"/>
  <c r="X76" i="12"/>
  <c r="V76" i="12"/>
  <c r="U76" i="12"/>
  <c r="T76" i="12"/>
  <c r="S76" i="12"/>
  <c r="R76" i="12"/>
  <c r="Q76" i="12"/>
  <c r="P76" i="12"/>
  <c r="O76" i="12"/>
  <c r="N76" i="12"/>
  <c r="M76" i="12"/>
  <c r="L76" i="12"/>
  <c r="K76" i="12"/>
  <c r="I76" i="12"/>
  <c r="F76" i="12"/>
  <c r="X75" i="12"/>
  <c r="V75" i="12"/>
  <c r="U75" i="12"/>
  <c r="T75" i="12"/>
  <c r="S75" i="12"/>
  <c r="R75" i="12"/>
  <c r="Q75" i="12"/>
  <c r="P75" i="12"/>
  <c r="O75" i="12"/>
  <c r="N75" i="12"/>
  <c r="M75" i="12"/>
  <c r="L75" i="12"/>
  <c r="K75" i="12"/>
  <c r="I75" i="12"/>
  <c r="F75" i="12"/>
  <c r="X74" i="12"/>
  <c r="V74" i="12"/>
  <c r="U74" i="12"/>
  <c r="T74" i="12"/>
  <c r="S74" i="12"/>
  <c r="R74" i="12"/>
  <c r="Q74" i="12"/>
  <c r="P74" i="12"/>
  <c r="O74" i="12"/>
  <c r="N74" i="12"/>
  <c r="M74" i="12"/>
  <c r="L74" i="12"/>
  <c r="K74" i="12"/>
  <c r="I74" i="12"/>
  <c r="F74" i="12"/>
  <c r="X73" i="12"/>
  <c r="V73" i="12"/>
  <c r="U73" i="12"/>
  <c r="T73" i="12"/>
  <c r="S73" i="12"/>
  <c r="R73" i="12"/>
  <c r="Q73" i="12"/>
  <c r="P73" i="12"/>
  <c r="O73" i="12"/>
  <c r="N73" i="12"/>
  <c r="M73" i="12"/>
  <c r="L73" i="12"/>
  <c r="K73" i="12"/>
  <c r="I73" i="12"/>
  <c r="F73" i="12"/>
  <c r="X72" i="12"/>
  <c r="V72" i="12"/>
  <c r="U72" i="12"/>
  <c r="T72" i="12"/>
  <c r="S72" i="12"/>
  <c r="R72" i="12"/>
  <c r="Q72" i="12"/>
  <c r="P72" i="12"/>
  <c r="O72" i="12"/>
  <c r="N72" i="12"/>
  <c r="M72" i="12"/>
  <c r="L72" i="12"/>
  <c r="K72" i="12"/>
  <c r="I72" i="12"/>
  <c r="F72" i="12"/>
  <c r="X71" i="12"/>
  <c r="V71" i="12"/>
  <c r="U71" i="12"/>
  <c r="T71" i="12"/>
  <c r="S71" i="12"/>
  <c r="R71" i="12"/>
  <c r="Q71" i="12"/>
  <c r="P71" i="12"/>
  <c r="O71" i="12"/>
  <c r="N71" i="12"/>
  <c r="M71" i="12"/>
  <c r="L71" i="12"/>
  <c r="K71" i="12"/>
  <c r="I71" i="12"/>
  <c r="F71" i="12"/>
  <c r="X70" i="12"/>
  <c r="V70" i="12"/>
  <c r="U70" i="12"/>
  <c r="T70" i="12"/>
  <c r="S70" i="12"/>
  <c r="R70" i="12"/>
  <c r="Q70" i="12"/>
  <c r="P70" i="12"/>
  <c r="O70" i="12"/>
  <c r="N70" i="12"/>
  <c r="M70" i="12"/>
  <c r="L70" i="12"/>
  <c r="K70" i="12"/>
  <c r="I70" i="12"/>
  <c r="F70" i="12"/>
  <c r="X69" i="12"/>
  <c r="V69" i="12"/>
  <c r="U69" i="12"/>
  <c r="T69" i="12"/>
  <c r="S69" i="12"/>
  <c r="R69" i="12"/>
  <c r="Q69" i="12"/>
  <c r="P69" i="12"/>
  <c r="O69" i="12"/>
  <c r="N69" i="12"/>
  <c r="M69" i="12"/>
  <c r="L69" i="12"/>
  <c r="K69" i="12"/>
  <c r="I69" i="12"/>
  <c r="F69" i="12"/>
  <c r="X68" i="12"/>
  <c r="V68" i="12"/>
  <c r="U68" i="12"/>
  <c r="T68" i="12"/>
  <c r="S68" i="12"/>
  <c r="R68" i="12"/>
  <c r="Q68" i="12"/>
  <c r="P68" i="12"/>
  <c r="O68" i="12"/>
  <c r="N68" i="12"/>
  <c r="M68" i="12"/>
  <c r="L68" i="12"/>
  <c r="K68" i="12"/>
  <c r="I68" i="12"/>
  <c r="F68" i="12"/>
  <c r="X67" i="12"/>
  <c r="V67" i="12"/>
  <c r="U67" i="12"/>
  <c r="T67" i="12"/>
  <c r="S67" i="12"/>
  <c r="R67" i="12"/>
  <c r="Q67" i="12"/>
  <c r="P67" i="12"/>
  <c r="O67" i="12"/>
  <c r="N67" i="12"/>
  <c r="M67" i="12"/>
  <c r="L67" i="12"/>
  <c r="K67" i="12"/>
  <c r="I67" i="12"/>
  <c r="F67" i="12"/>
  <c r="X66" i="12"/>
  <c r="V66" i="12"/>
  <c r="U66" i="12"/>
  <c r="T66" i="12"/>
  <c r="S66" i="12"/>
  <c r="R66" i="12"/>
  <c r="Q66" i="12"/>
  <c r="P66" i="12"/>
  <c r="O66" i="12"/>
  <c r="N66" i="12"/>
  <c r="M66" i="12"/>
  <c r="L66" i="12"/>
  <c r="K66" i="12"/>
  <c r="I66" i="12"/>
  <c r="F66" i="12"/>
  <c r="X65" i="12"/>
  <c r="V65" i="12"/>
  <c r="U65" i="12"/>
  <c r="T65" i="12"/>
  <c r="S65" i="12"/>
  <c r="R65" i="12"/>
  <c r="Q65" i="12"/>
  <c r="P65" i="12"/>
  <c r="O65" i="12"/>
  <c r="N65" i="12"/>
  <c r="M65" i="12"/>
  <c r="L65" i="12"/>
  <c r="K65" i="12"/>
  <c r="I65" i="12"/>
  <c r="F65" i="12"/>
  <c r="X64" i="12"/>
  <c r="V64" i="12"/>
  <c r="U64" i="12"/>
  <c r="T64" i="12"/>
  <c r="S64" i="12"/>
  <c r="R64" i="12"/>
  <c r="Q64" i="12"/>
  <c r="P64" i="12"/>
  <c r="O64" i="12"/>
  <c r="N64" i="12"/>
  <c r="M64" i="12"/>
  <c r="L64" i="12"/>
  <c r="K64" i="12"/>
  <c r="I64" i="12"/>
  <c r="F64" i="12"/>
  <c r="X63" i="12"/>
  <c r="V63" i="12"/>
  <c r="U63" i="12"/>
  <c r="T63" i="12"/>
  <c r="S63" i="12"/>
  <c r="R63" i="12"/>
  <c r="Q63" i="12"/>
  <c r="P63" i="12"/>
  <c r="O63" i="12"/>
  <c r="N63" i="12"/>
  <c r="M63" i="12"/>
  <c r="L63" i="12"/>
  <c r="K63" i="12"/>
  <c r="I63" i="12"/>
  <c r="F63" i="12"/>
  <c r="X62" i="12"/>
  <c r="V62" i="12"/>
  <c r="U62" i="12"/>
  <c r="T62" i="12"/>
  <c r="S62" i="12"/>
  <c r="R62" i="12"/>
  <c r="Q62" i="12"/>
  <c r="P62" i="12"/>
  <c r="O62" i="12"/>
  <c r="N62" i="12"/>
  <c r="M62" i="12"/>
  <c r="L62" i="12"/>
  <c r="K62" i="12"/>
  <c r="I62" i="12"/>
  <c r="F62" i="12"/>
  <c r="X61" i="12"/>
  <c r="V61" i="12"/>
  <c r="U61" i="12"/>
  <c r="T61" i="12"/>
  <c r="S61" i="12"/>
  <c r="R61" i="12"/>
  <c r="Q61" i="12"/>
  <c r="P61" i="12"/>
  <c r="O61" i="12"/>
  <c r="N61" i="12"/>
  <c r="M61" i="12"/>
  <c r="L61" i="12"/>
  <c r="K61" i="12"/>
  <c r="I61" i="12"/>
  <c r="F61" i="12"/>
  <c r="X60" i="12"/>
  <c r="V60" i="12"/>
  <c r="U60" i="12"/>
  <c r="T60" i="12"/>
  <c r="S60" i="12"/>
  <c r="R60" i="12"/>
  <c r="Q60" i="12"/>
  <c r="P60" i="12"/>
  <c r="O60" i="12"/>
  <c r="N60" i="12"/>
  <c r="M60" i="12"/>
  <c r="L60" i="12"/>
  <c r="K60" i="12"/>
  <c r="I60" i="12"/>
  <c r="F60" i="12"/>
  <c r="X59" i="12"/>
  <c r="V59" i="12"/>
  <c r="U59" i="12"/>
  <c r="T59" i="12"/>
  <c r="S59" i="12"/>
  <c r="R59" i="12"/>
  <c r="Q59" i="12"/>
  <c r="P59" i="12"/>
  <c r="O59" i="12"/>
  <c r="N59" i="12"/>
  <c r="M59" i="12"/>
  <c r="L59" i="12"/>
  <c r="K59" i="12"/>
  <c r="I59" i="12"/>
  <c r="F59" i="12"/>
  <c r="X58" i="12"/>
  <c r="V58" i="12"/>
  <c r="U58" i="12"/>
  <c r="T58" i="12"/>
  <c r="S58" i="12"/>
  <c r="R58" i="12"/>
  <c r="Q58" i="12"/>
  <c r="P58" i="12"/>
  <c r="O58" i="12"/>
  <c r="N58" i="12"/>
  <c r="M58" i="12"/>
  <c r="L58" i="12"/>
  <c r="K58" i="12"/>
  <c r="I58" i="12"/>
  <c r="F58" i="12"/>
  <c r="X57" i="12"/>
  <c r="V57" i="12"/>
  <c r="U57" i="12"/>
  <c r="T57" i="12"/>
  <c r="S57" i="12"/>
  <c r="R57" i="12"/>
  <c r="Q57" i="12"/>
  <c r="P57" i="12"/>
  <c r="O57" i="12"/>
  <c r="N57" i="12"/>
  <c r="M57" i="12"/>
  <c r="L57" i="12"/>
  <c r="K57" i="12"/>
  <c r="I57" i="12"/>
  <c r="F57" i="12"/>
  <c r="X56" i="12"/>
  <c r="V56" i="12"/>
  <c r="U56" i="12"/>
  <c r="T56" i="12"/>
  <c r="S56" i="12"/>
  <c r="R56" i="12"/>
  <c r="Q56" i="12"/>
  <c r="P56" i="12"/>
  <c r="O56" i="12"/>
  <c r="N56" i="12"/>
  <c r="M56" i="12"/>
  <c r="L56" i="12"/>
  <c r="K56" i="12"/>
  <c r="I56" i="12"/>
  <c r="F56" i="12"/>
  <c r="X55" i="12"/>
  <c r="V55" i="12"/>
  <c r="U55" i="12"/>
  <c r="T55" i="12"/>
  <c r="S55" i="12"/>
  <c r="R55" i="12"/>
  <c r="Q55" i="12"/>
  <c r="P55" i="12"/>
  <c r="O55" i="12"/>
  <c r="N55" i="12"/>
  <c r="M55" i="12"/>
  <c r="L55" i="12"/>
  <c r="K55" i="12"/>
  <c r="I55" i="12"/>
  <c r="F55" i="12"/>
  <c r="X54" i="12"/>
  <c r="V54" i="12"/>
  <c r="U54" i="12"/>
  <c r="T54" i="12"/>
  <c r="S54" i="12"/>
  <c r="R54" i="12"/>
  <c r="Q54" i="12"/>
  <c r="P54" i="12"/>
  <c r="O54" i="12"/>
  <c r="N54" i="12"/>
  <c r="M54" i="12"/>
  <c r="L54" i="12"/>
  <c r="K54" i="12"/>
  <c r="I54" i="12"/>
  <c r="F54" i="12"/>
  <c r="X53" i="12"/>
  <c r="V53" i="12"/>
  <c r="U53" i="12"/>
  <c r="T53" i="12"/>
  <c r="S53" i="12"/>
  <c r="R53" i="12"/>
  <c r="Q53" i="12"/>
  <c r="P53" i="12"/>
  <c r="O53" i="12"/>
  <c r="N53" i="12"/>
  <c r="M53" i="12"/>
  <c r="L53" i="12"/>
  <c r="K53" i="12"/>
  <c r="I53" i="12"/>
  <c r="F53" i="12"/>
  <c r="X52" i="12"/>
  <c r="V52" i="12"/>
  <c r="U52" i="12"/>
  <c r="T52" i="12"/>
  <c r="S52" i="12"/>
  <c r="R52" i="12"/>
  <c r="Q52" i="12"/>
  <c r="P52" i="12"/>
  <c r="O52" i="12"/>
  <c r="N52" i="12"/>
  <c r="M52" i="12"/>
  <c r="L52" i="12"/>
  <c r="K52" i="12"/>
  <c r="I52" i="12"/>
  <c r="F52" i="12"/>
  <c r="X51" i="12"/>
  <c r="V51" i="12"/>
  <c r="U51" i="12"/>
  <c r="T51" i="12"/>
  <c r="S51" i="12"/>
  <c r="R51" i="12"/>
  <c r="Q51" i="12"/>
  <c r="P51" i="12"/>
  <c r="O51" i="12"/>
  <c r="N51" i="12"/>
  <c r="M51" i="12"/>
  <c r="L51" i="12"/>
  <c r="K51" i="12"/>
  <c r="I51" i="12"/>
  <c r="F51" i="12"/>
  <c r="X50" i="12"/>
  <c r="V50" i="12"/>
  <c r="U50" i="12"/>
  <c r="T50" i="12"/>
  <c r="S50" i="12"/>
  <c r="R50" i="12"/>
  <c r="Q50" i="12"/>
  <c r="P50" i="12"/>
  <c r="O50" i="12"/>
  <c r="N50" i="12"/>
  <c r="M50" i="12"/>
  <c r="L50" i="12"/>
  <c r="K50" i="12"/>
  <c r="I50" i="12"/>
  <c r="F50" i="12"/>
  <c r="X49" i="12"/>
  <c r="V49" i="12"/>
  <c r="U49" i="12"/>
  <c r="T49" i="12"/>
  <c r="S49" i="12"/>
  <c r="R49" i="12"/>
  <c r="Q49" i="12"/>
  <c r="P49" i="12"/>
  <c r="O49" i="12"/>
  <c r="N49" i="12"/>
  <c r="M49" i="12"/>
  <c r="L49" i="12"/>
  <c r="K49" i="12"/>
  <c r="I49" i="12"/>
  <c r="F49" i="12"/>
  <c r="X48" i="12"/>
  <c r="V48" i="12"/>
  <c r="U48" i="12"/>
  <c r="T48" i="12"/>
  <c r="S48" i="12"/>
  <c r="R48" i="12"/>
  <c r="Q48" i="12"/>
  <c r="P48" i="12"/>
  <c r="O48" i="12"/>
  <c r="N48" i="12"/>
  <c r="M48" i="12"/>
  <c r="L48" i="12"/>
  <c r="K48" i="12"/>
  <c r="I48" i="12"/>
  <c r="F48" i="12"/>
  <c r="X47" i="12"/>
  <c r="V47" i="12"/>
  <c r="U47" i="12"/>
  <c r="T47" i="12"/>
  <c r="S47" i="12"/>
  <c r="R47" i="12"/>
  <c r="Q47" i="12"/>
  <c r="P47" i="12"/>
  <c r="O47" i="12"/>
  <c r="N47" i="12"/>
  <c r="M47" i="12"/>
  <c r="L47" i="12"/>
  <c r="K47" i="12"/>
  <c r="I47" i="12"/>
  <c r="F47" i="12"/>
  <c r="X46" i="12"/>
  <c r="V46" i="12"/>
  <c r="U46" i="12"/>
  <c r="T46" i="12"/>
  <c r="S46" i="12"/>
  <c r="R46" i="12"/>
  <c r="Q46" i="12"/>
  <c r="P46" i="12"/>
  <c r="O46" i="12"/>
  <c r="N46" i="12"/>
  <c r="M46" i="12"/>
  <c r="L46" i="12"/>
  <c r="K46" i="12"/>
  <c r="I46" i="12"/>
  <c r="F46" i="12"/>
  <c r="X45" i="12"/>
  <c r="V45" i="12"/>
  <c r="U45" i="12"/>
  <c r="T45" i="12"/>
  <c r="S45" i="12"/>
  <c r="R45" i="12"/>
  <c r="Q45" i="12"/>
  <c r="P45" i="12"/>
  <c r="O45" i="12"/>
  <c r="N45" i="12"/>
  <c r="M45" i="12"/>
  <c r="L45" i="12"/>
  <c r="K45" i="12"/>
  <c r="I45" i="12"/>
  <c r="F45" i="12"/>
  <c r="X44" i="12"/>
  <c r="V44" i="12"/>
  <c r="U44" i="12"/>
  <c r="T44" i="12"/>
  <c r="S44" i="12"/>
  <c r="R44" i="12"/>
  <c r="Q44" i="12"/>
  <c r="P44" i="12"/>
  <c r="O44" i="12"/>
  <c r="N44" i="12"/>
  <c r="M44" i="12"/>
  <c r="L44" i="12"/>
  <c r="K44" i="12"/>
  <c r="I44" i="12"/>
  <c r="F44" i="12"/>
  <c r="X43" i="12"/>
  <c r="V43" i="12"/>
  <c r="U43" i="12"/>
  <c r="T43" i="12"/>
  <c r="S43" i="12"/>
  <c r="R43" i="12"/>
  <c r="Q43" i="12"/>
  <c r="P43" i="12"/>
  <c r="O43" i="12"/>
  <c r="N43" i="12"/>
  <c r="M43" i="12"/>
  <c r="L43" i="12"/>
  <c r="K43" i="12"/>
  <c r="I43" i="12"/>
  <c r="F43" i="12"/>
  <c r="X42" i="12"/>
  <c r="V42" i="12"/>
  <c r="U42" i="12"/>
  <c r="T42" i="12"/>
  <c r="S42" i="12"/>
  <c r="R42" i="12"/>
  <c r="Q42" i="12"/>
  <c r="P42" i="12"/>
  <c r="O42" i="12"/>
  <c r="N42" i="12"/>
  <c r="M42" i="12"/>
  <c r="L42" i="12"/>
  <c r="K42" i="12"/>
  <c r="I42" i="12"/>
  <c r="F42" i="12"/>
  <c r="X41" i="12"/>
  <c r="V41" i="12"/>
  <c r="U41" i="12"/>
  <c r="T41" i="12"/>
  <c r="S41" i="12"/>
  <c r="R41" i="12"/>
  <c r="Q41" i="12"/>
  <c r="P41" i="12"/>
  <c r="O41" i="12"/>
  <c r="N41" i="12"/>
  <c r="M41" i="12"/>
  <c r="L41" i="12"/>
  <c r="K41" i="12"/>
  <c r="I41" i="12"/>
  <c r="F41" i="12"/>
  <c r="X40" i="12"/>
  <c r="V40" i="12"/>
  <c r="U40" i="12"/>
  <c r="T40" i="12"/>
  <c r="S40" i="12"/>
  <c r="R40" i="12"/>
  <c r="Q40" i="12"/>
  <c r="P40" i="12"/>
  <c r="O40" i="12"/>
  <c r="N40" i="12"/>
  <c r="M40" i="12"/>
  <c r="L40" i="12"/>
  <c r="K40" i="12"/>
  <c r="I40" i="12"/>
  <c r="F40" i="12"/>
  <c r="X39" i="12"/>
  <c r="V39" i="12"/>
  <c r="U39" i="12"/>
  <c r="T39" i="12"/>
  <c r="S39" i="12"/>
  <c r="R39" i="12"/>
  <c r="Q39" i="12"/>
  <c r="P39" i="12"/>
  <c r="O39" i="12"/>
  <c r="N39" i="12"/>
  <c r="M39" i="12"/>
  <c r="L39" i="12"/>
  <c r="K39" i="12"/>
  <c r="I39" i="12"/>
  <c r="F39" i="12"/>
  <c r="X38" i="12"/>
  <c r="V38" i="12"/>
  <c r="U38" i="12"/>
  <c r="T38" i="12"/>
  <c r="S38" i="12"/>
  <c r="R38" i="12"/>
  <c r="Q38" i="12"/>
  <c r="P38" i="12"/>
  <c r="O38" i="12"/>
  <c r="N38" i="12"/>
  <c r="M38" i="12"/>
  <c r="L38" i="12"/>
  <c r="K38" i="12"/>
  <c r="I38" i="12"/>
  <c r="F38" i="12"/>
  <c r="X37" i="12"/>
  <c r="V37" i="12"/>
  <c r="U37" i="12"/>
  <c r="T37" i="12"/>
  <c r="S37" i="12"/>
  <c r="R37" i="12"/>
  <c r="Q37" i="12"/>
  <c r="P37" i="12"/>
  <c r="O37" i="12"/>
  <c r="N37" i="12"/>
  <c r="M37" i="12"/>
  <c r="L37" i="12"/>
  <c r="K37" i="12"/>
  <c r="I37" i="12"/>
  <c r="F37" i="12"/>
  <c r="X36" i="12"/>
  <c r="V36" i="12"/>
  <c r="U36" i="12"/>
  <c r="T36" i="12"/>
  <c r="S36" i="12"/>
  <c r="R36" i="12"/>
  <c r="Q36" i="12"/>
  <c r="P36" i="12"/>
  <c r="O36" i="12"/>
  <c r="N36" i="12"/>
  <c r="M36" i="12"/>
  <c r="L36" i="12"/>
  <c r="K36" i="12"/>
  <c r="I36" i="12"/>
  <c r="F36" i="12"/>
  <c r="X35" i="12"/>
  <c r="V35" i="12"/>
  <c r="U35" i="12"/>
  <c r="T35" i="12"/>
  <c r="S35" i="12"/>
  <c r="R35" i="12"/>
  <c r="Q35" i="12"/>
  <c r="P35" i="12"/>
  <c r="O35" i="12"/>
  <c r="N35" i="12"/>
  <c r="M35" i="12"/>
  <c r="L35" i="12"/>
  <c r="K35" i="12"/>
  <c r="I35" i="12"/>
  <c r="F35" i="12"/>
  <c r="X34" i="12"/>
  <c r="V34" i="12"/>
  <c r="U34" i="12"/>
  <c r="T34" i="12"/>
  <c r="S34" i="12"/>
  <c r="R34" i="12"/>
  <c r="Q34" i="12"/>
  <c r="P34" i="12"/>
  <c r="O34" i="12"/>
  <c r="N34" i="12"/>
  <c r="M34" i="12"/>
  <c r="L34" i="12"/>
  <c r="K34" i="12"/>
  <c r="I34" i="12"/>
  <c r="F34" i="12"/>
  <c r="X33" i="12"/>
  <c r="V33" i="12"/>
  <c r="U33" i="12"/>
  <c r="T33" i="12"/>
  <c r="S33" i="12"/>
  <c r="R33" i="12"/>
  <c r="Q33" i="12"/>
  <c r="P33" i="12"/>
  <c r="O33" i="12"/>
  <c r="N33" i="12"/>
  <c r="M33" i="12"/>
  <c r="L33" i="12"/>
  <c r="K33" i="12"/>
  <c r="I33" i="12"/>
  <c r="F33" i="12"/>
  <c r="X32" i="12"/>
  <c r="V32" i="12"/>
  <c r="U32" i="12"/>
  <c r="T32" i="12"/>
  <c r="S32" i="12"/>
  <c r="R32" i="12"/>
  <c r="Q32" i="12"/>
  <c r="P32" i="12"/>
  <c r="O32" i="12"/>
  <c r="N32" i="12"/>
  <c r="M32" i="12"/>
  <c r="L32" i="12"/>
  <c r="K32" i="12"/>
  <c r="I32" i="12"/>
  <c r="F32" i="12"/>
  <c r="X31" i="12"/>
  <c r="V31" i="12"/>
  <c r="U31" i="12"/>
  <c r="T31" i="12"/>
  <c r="S31" i="12"/>
  <c r="R31" i="12"/>
  <c r="Q31" i="12"/>
  <c r="P31" i="12"/>
  <c r="O31" i="12"/>
  <c r="N31" i="12"/>
  <c r="M31" i="12"/>
  <c r="L31" i="12"/>
  <c r="K31" i="12"/>
  <c r="I31" i="12"/>
  <c r="F31" i="12"/>
  <c r="X30" i="12"/>
  <c r="V30" i="12"/>
  <c r="U30" i="12"/>
  <c r="T30" i="12"/>
  <c r="S30" i="12"/>
  <c r="R30" i="12"/>
  <c r="Q30" i="12"/>
  <c r="P30" i="12"/>
  <c r="O30" i="12"/>
  <c r="N30" i="12"/>
  <c r="M30" i="12"/>
  <c r="L30" i="12"/>
  <c r="K30" i="12"/>
  <c r="I30" i="12"/>
  <c r="F30" i="12"/>
  <c r="X29" i="12"/>
  <c r="V29" i="12"/>
  <c r="U29" i="12"/>
  <c r="T29" i="12"/>
  <c r="S29" i="12"/>
  <c r="R29" i="12"/>
  <c r="Q29" i="12"/>
  <c r="P29" i="12"/>
  <c r="O29" i="12"/>
  <c r="N29" i="12"/>
  <c r="M29" i="12"/>
  <c r="L29" i="12"/>
  <c r="K29" i="12"/>
  <c r="I29" i="12"/>
  <c r="F29" i="12"/>
  <c r="X28" i="12"/>
  <c r="V28" i="12"/>
  <c r="U28" i="12"/>
  <c r="T28" i="12"/>
  <c r="S28" i="12"/>
  <c r="R28" i="12"/>
  <c r="Q28" i="12"/>
  <c r="P28" i="12"/>
  <c r="O28" i="12"/>
  <c r="N28" i="12"/>
  <c r="M28" i="12"/>
  <c r="L28" i="12"/>
  <c r="K28" i="12"/>
  <c r="I28" i="12"/>
  <c r="F28" i="12"/>
  <c r="X27" i="12"/>
  <c r="V27" i="12"/>
  <c r="U27" i="12"/>
  <c r="T27" i="12"/>
  <c r="S27" i="12"/>
  <c r="R27" i="12"/>
  <c r="Q27" i="12"/>
  <c r="P27" i="12"/>
  <c r="O27" i="12"/>
  <c r="N27" i="12"/>
  <c r="M27" i="12"/>
  <c r="L27" i="12"/>
  <c r="K27" i="12"/>
  <c r="I27" i="12"/>
  <c r="F27" i="12"/>
  <c r="X26" i="12"/>
  <c r="V26" i="12"/>
  <c r="U26" i="12"/>
  <c r="T26" i="12"/>
  <c r="S26" i="12"/>
  <c r="R26" i="12"/>
  <c r="Q26" i="12"/>
  <c r="P26" i="12"/>
  <c r="O26" i="12"/>
  <c r="N26" i="12"/>
  <c r="M26" i="12"/>
  <c r="L26" i="12"/>
  <c r="K26" i="12"/>
  <c r="I26" i="12"/>
  <c r="F26" i="12"/>
  <c r="X25" i="12"/>
  <c r="V25" i="12"/>
  <c r="U25" i="12"/>
  <c r="T25" i="12"/>
  <c r="S25" i="12"/>
  <c r="R25" i="12"/>
  <c r="Q25" i="12"/>
  <c r="P25" i="12"/>
  <c r="O25" i="12"/>
  <c r="N25" i="12"/>
  <c r="M25" i="12"/>
  <c r="L25" i="12"/>
  <c r="K25" i="12"/>
  <c r="I25" i="12"/>
  <c r="F25" i="12"/>
  <c r="X24" i="12"/>
  <c r="V24" i="12"/>
  <c r="U24" i="12"/>
  <c r="T24" i="12"/>
  <c r="S24" i="12"/>
  <c r="R24" i="12"/>
  <c r="Q24" i="12"/>
  <c r="P24" i="12"/>
  <c r="O24" i="12"/>
  <c r="N24" i="12"/>
  <c r="M24" i="12"/>
  <c r="L24" i="12"/>
  <c r="K24" i="12"/>
  <c r="I24" i="12"/>
  <c r="F24" i="12"/>
  <c r="X23" i="12"/>
  <c r="V23" i="12"/>
  <c r="U23" i="12"/>
  <c r="T23" i="12"/>
  <c r="S23" i="12"/>
  <c r="R23" i="12"/>
  <c r="Q23" i="12"/>
  <c r="P23" i="12"/>
  <c r="O23" i="12"/>
  <c r="N23" i="12"/>
  <c r="M23" i="12"/>
  <c r="L23" i="12"/>
  <c r="K23" i="12"/>
  <c r="I23" i="12"/>
  <c r="F23" i="12"/>
  <c r="X22" i="12"/>
  <c r="V22" i="12"/>
  <c r="U22" i="12"/>
  <c r="T22" i="12"/>
  <c r="S22" i="12"/>
  <c r="R22" i="12"/>
  <c r="Q22" i="12"/>
  <c r="P22" i="12"/>
  <c r="O22" i="12"/>
  <c r="N22" i="12"/>
  <c r="M22" i="12"/>
  <c r="L22" i="12"/>
  <c r="K22" i="12"/>
  <c r="I22" i="12"/>
  <c r="F22" i="12"/>
  <c r="X21" i="12"/>
  <c r="V21" i="12"/>
  <c r="U21" i="12"/>
  <c r="T21" i="12"/>
  <c r="S21" i="12"/>
  <c r="R21" i="12"/>
  <c r="Q21" i="12"/>
  <c r="P21" i="12"/>
  <c r="O21" i="12"/>
  <c r="N21" i="12"/>
  <c r="M21" i="12"/>
  <c r="L21" i="12"/>
  <c r="K21" i="12"/>
  <c r="I21" i="12"/>
  <c r="F21" i="12"/>
  <c r="X20" i="12"/>
  <c r="V20" i="12"/>
  <c r="U20" i="12"/>
  <c r="T20" i="12"/>
  <c r="S20" i="12"/>
  <c r="R20" i="12"/>
  <c r="Q20" i="12"/>
  <c r="P20" i="12"/>
  <c r="O20" i="12"/>
  <c r="N20" i="12"/>
  <c r="M20" i="12"/>
  <c r="L20" i="12"/>
  <c r="K20" i="12"/>
  <c r="I20" i="12"/>
  <c r="F20" i="12"/>
  <c r="X19" i="12"/>
  <c r="V19" i="12"/>
  <c r="U19" i="12"/>
  <c r="T19" i="12"/>
  <c r="S19" i="12"/>
  <c r="R19" i="12"/>
  <c r="Q19" i="12"/>
  <c r="P19" i="12"/>
  <c r="O19" i="12"/>
  <c r="N19" i="12"/>
  <c r="M19" i="12"/>
  <c r="L19" i="12"/>
  <c r="K19" i="12"/>
  <c r="I19" i="12"/>
  <c r="F19" i="12"/>
  <c r="X18" i="12"/>
  <c r="V18" i="12"/>
  <c r="U18" i="12"/>
  <c r="T18" i="12"/>
  <c r="S18" i="12"/>
  <c r="R18" i="12"/>
  <c r="Q18" i="12"/>
  <c r="P18" i="12"/>
  <c r="O18" i="12"/>
  <c r="N18" i="12"/>
  <c r="M18" i="12"/>
  <c r="L18" i="12"/>
  <c r="K18" i="12"/>
  <c r="I18" i="12"/>
  <c r="F18" i="12"/>
  <c r="X17" i="12"/>
  <c r="V17" i="12"/>
  <c r="U17" i="12"/>
  <c r="T17" i="12"/>
  <c r="S17" i="12"/>
  <c r="R17" i="12"/>
  <c r="Q17" i="12"/>
  <c r="P17" i="12"/>
  <c r="O17" i="12"/>
  <c r="N17" i="12"/>
  <c r="M17" i="12"/>
  <c r="L17" i="12"/>
  <c r="K17" i="12"/>
  <c r="I17" i="12"/>
  <c r="F17" i="12"/>
  <c r="X16" i="12"/>
  <c r="V16" i="12"/>
  <c r="U16" i="12"/>
  <c r="T16" i="12"/>
  <c r="S16" i="12"/>
  <c r="R16" i="12"/>
  <c r="Q16" i="12"/>
  <c r="P16" i="12"/>
  <c r="O16" i="12"/>
  <c r="N16" i="12"/>
  <c r="M16" i="12"/>
  <c r="L16" i="12"/>
  <c r="K16" i="12"/>
  <c r="I16" i="12"/>
  <c r="F16" i="12"/>
  <c r="X15" i="12"/>
  <c r="V15" i="12"/>
  <c r="U15" i="12"/>
  <c r="T15" i="12"/>
  <c r="S15" i="12"/>
  <c r="R15" i="12"/>
  <c r="Q15" i="12"/>
  <c r="P15" i="12"/>
  <c r="O15" i="12"/>
  <c r="N15" i="12"/>
  <c r="M15" i="12"/>
  <c r="L15" i="12"/>
  <c r="K15" i="12"/>
  <c r="I15" i="12"/>
  <c r="F15" i="12"/>
  <c r="X14" i="12"/>
  <c r="V14" i="12"/>
  <c r="U14" i="12"/>
  <c r="T14" i="12"/>
  <c r="S14" i="12"/>
  <c r="R14" i="12"/>
  <c r="Q14" i="12"/>
  <c r="P14" i="12"/>
  <c r="O14" i="12"/>
  <c r="N14" i="12"/>
  <c r="M14" i="12"/>
  <c r="L14" i="12"/>
  <c r="K14" i="12"/>
  <c r="I14" i="12"/>
  <c r="F14" i="12"/>
  <c r="X13" i="12"/>
  <c r="V13" i="12"/>
  <c r="U13" i="12"/>
  <c r="T13" i="12"/>
  <c r="S13" i="12"/>
  <c r="R13" i="12"/>
  <c r="Q13" i="12"/>
  <c r="P13" i="12"/>
  <c r="O13" i="12"/>
  <c r="N13" i="12"/>
  <c r="M13" i="12"/>
  <c r="L13" i="12"/>
  <c r="K13" i="12"/>
  <c r="I13" i="12"/>
  <c r="F13" i="12"/>
  <c r="X12" i="12"/>
  <c r="V12" i="12"/>
  <c r="U12" i="12"/>
  <c r="T12" i="12"/>
  <c r="S12" i="12"/>
  <c r="R12" i="12"/>
  <c r="Q12" i="12"/>
  <c r="P12" i="12"/>
  <c r="O12" i="12"/>
  <c r="N12" i="12"/>
  <c r="M12" i="12"/>
  <c r="L12" i="12"/>
  <c r="K12" i="12"/>
  <c r="I12" i="12"/>
  <c r="F12" i="12"/>
  <c r="X11" i="12"/>
  <c r="V11" i="12"/>
  <c r="U11" i="12"/>
  <c r="T11" i="12"/>
  <c r="S11" i="12"/>
  <c r="R11" i="12"/>
  <c r="Q11" i="12"/>
  <c r="P11" i="12"/>
  <c r="O11" i="12"/>
  <c r="N11" i="12"/>
  <c r="M11" i="12"/>
  <c r="L11" i="12"/>
  <c r="K11" i="12"/>
  <c r="I11" i="12"/>
  <c r="F11" i="12"/>
  <c r="X10" i="12"/>
  <c r="V10" i="12"/>
  <c r="U10" i="12"/>
  <c r="T10" i="12"/>
  <c r="S10" i="12"/>
  <c r="R10" i="12"/>
  <c r="Q10" i="12"/>
  <c r="P10" i="12"/>
  <c r="O10" i="12"/>
  <c r="N10" i="12"/>
  <c r="M10" i="12"/>
  <c r="L10" i="12"/>
  <c r="K10" i="12"/>
  <c r="I10" i="12"/>
  <c r="F10" i="12"/>
  <c r="X9" i="12"/>
  <c r="V9" i="12"/>
  <c r="U9" i="12"/>
  <c r="T9" i="12"/>
  <c r="S9" i="12"/>
  <c r="R9" i="12"/>
  <c r="Q9" i="12"/>
  <c r="P9" i="12"/>
  <c r="O9" i="12"/>
  <c r="N9" i="12"/>
  <c r="M9" i="12"/>
  <c r="L9" i="12"/>
  <c r="K9" i="12"/>
  <c r="I9" i="12"/>
  <c r="F9" i="12"/>
  <c r="X8" i="12"/>
  <c r="V8" i="12"/>
  <c r="U8" i="12"/>
  <c r="T8" i="12"/>
  <c r="S8" i="12"/>
  <c r="R8" i="12"/>
  <c r="Q8" i="12"/>
  <c r="P8" i="12"/>
  <c r="O8" i="12"/>
  <c r="N8" i="12"/>
  <c r="M8" i="12"/>
  <c r="L8" i="12"/>
  <c r="K8" i="12"/>
  <c r="I8" i="12"/>
  <c r="F8" i="12"/>
  <c r="X7" i="12"/>
  <c r="V7" i="12"/>
  <c r="U7" i="12"/>
  <c r="T7" i="12"/>
  <c r="S7" i="12"/>
  <c r="R7" i="12"/>
  <c r="Q7" i="12"/>
  <c r="P7" i="12"/>
  <c r="O7" i="12"/>
  <c r="N7" i="12"/>
  <c r="M7" i="12"/>
  <c r="L7" i="12"/>
  <c r="K7" i="12"/>
  <c r="I7" i="12"/>
  <c r="F7" i="12"/>
  <c r="C4" i="12"/>
  <c r="C3" i="12"/>
  <c r="C2" i="12"/>
  <c r="Y587" i="11"/>
  <c r="W587" i="11"/>
  <c r="X585" i="11"/>
  <c r="V585" i="11"/>
  <c r="U585" i="11"/>
  <c r="T585" i="11"/>
  <c r="S585" i="11"/>
  <c r="R585" i="11"/>
  <c r="Q585" i="11"/>
  <c r="P585" i="11"/>
  <c r="O585" i="11"/>
  <c r="N585" i="11"/>
  <c r="M585" i="11"/>
  <c r="L585" i="11"/>
  <c r="K585" i="11"/>
  <c r="I585" i="11"/>
  <c r="F585" i="11"/>
  <c r="X584" i="11"/>
  <c r="V584" i="11"/>
  <c r="U584" i="11"/>
  <c r="T584" i="11"/>
  <c r="S584" i="11"/>
  <c r="R584" i="11"/>
  <c r="Q584" i="11"/>
  <c r="P584" i="11"/>
  <c r="O584" i="11"/>
  <c r="N584" i="11"/>
  <c r="M584" i="11"/>
  <c r="L584" i="11"/>
  <c r="K584" i="11"/>
  <c r="I584" i="11"/>
  <c r="F584" i="11"/>
  <c r="X583" i="11"/>
  <c r="V583" i="11"/>
  <c r="U583" i="11"/>
  <c r="T583" i="11"/>
  <c r="S583" i="11"/>
  <c r="R583" i="11"/>
  <c r="Q583" i="11"/>
  <c r="P583" i="11"/>
  <c r="O583" i="11"/>
  <c r="N583" i="11"/>
  <c r="M583" i="11"/>
  <c r="L583" i="11"/>
  <c r="K583" i="11"/>
  <c r="I583" i="11"/>
  <c r="F583" i="11"/>
  <c r="X582" i="11"/>
  <c r="V582" i="11"/>
  <c r="U582" i="11"/>
  <c r="T582" i="11"/>
  <c r="S582" i="11"/>
  <c r="R582" i="11"/>
  <c r="Q582" i="11"/>
  <c r="P582" i="11"/>
  <c r="O582" i="11"/>
  <c r="N582" i="11"/>
  <c r="M582" i="11"/>
  <c r="L582" i="11"/>
  <c r="K582" i="11"/>
  <c r="I582" i="11"/>
  <c r="F582" i="11"/>
  <c r="X581" i="11"/>
  <c r="V581" i="11"/>
  <c r="U581" i="11"/>
  <c r="T581" i="11"/>
  <c r="S581" i="11"/>
  <c r="R581" i="11"/>
  <c r="Q581" i="11"/>
  <c r="P581" i="11"/>
  <c r="O581" i="11"/>
  <c r="N581" i="11"/>
  <c r="M581" i="11"/>
  <c r="L581" i="11"/>
  <c r="K581" i="11"/>
  <c r="I581" i="11"/>
  <c r="F581" i="11"/>
  <c r="X580" i="11"/>
  <c r="V580" i="11"/>
  <c r="U580" i="11"/>
  <c r="T580" i="11"/>
  <c r="S580" i="11"/>
  <c r="R580" i="11"/>
  <c r="Q580" i="11"/>
  <c r="P580" i="11"/>
  <c r="O580" i="11"/>
  <c r="N580" i="11"/>
  <c r="M580" i="11"/>
  <c r="L580" i="11"/>
  <c r="K580" i="11"/>
  <c r="I580" i="11"/>
  <c r="F580" i="11"/>
  <c r="X579" i="11"/>
  <c r="V579" i="11"/>
  <c r="U579" i="11"/>
  <c r="T579" i="11"/>
  <c r="S579" i="11"/>
  <c r="R579" i="11"/>
  <c r="Q579" i="11"/>
  <c r="P579" i="11"/>
  <c r="O579" i="11"/>
  <c r="N579" i="11"/>
  <c r="M579" i="11"/>
  <c r="L579" i="11"/>
  <c r="K579" i="11"/>
  <c r="I579" i="11"/>
  <c r="F579" i="11"/>
  <c r="X578" i="11"/>
  <c r="V578" i="11"/>
  <c r="U578" i="11"/>
  <c r="T578" i="11"/>
  <c r="S578" i="11"/>
  <c r="R578" i="11"/>
  <c r="Q578" i="11"/>
  <c r="P578" i="11"/>
  <c r="O578" i="11"/>
  <c r="N578" i="11"/>
  <c r="M578" i="11"/>
  <c r="L578" i="11"/>
  <c r="K578" i="11"/>
  <c r="I578" i="11"/>
  <c r="F578" i="11"/>
  <c r="X577" i="11"/>
  <c r="V577" i="11"/>
  <c r="U577" i="11"/>
  <c r="T577" i="11"/>
  <c r="S577" i="11"/>
  <c r="R577" i="11"/>
  <c r="Q577" i="11"/>
  <c r="P577" i="11"/>
  <c r="O577" i="11"/>
  <c r="N577" i="11"/>
  <c r="M577" i="11"/>
  <c r="L577" i="11"/>
  <c r="K577" i="11"/>
  <c r="I577" i="11"/>
  <c r="F577" i="11"/>
  <c r="X576" i="11"/>
  <c r="V576" i="11"/>
  <c r="U576" i="11"/>
  <c r="T576" i="11"/>
  <c r="S576" i="11"/>
  <c r="R576" i="11"/>
  <c r="Q576" i="11"/>
  <c r="P576" i="11"/>
  <c r="O576" i="11"/>
  <c r="N576" i="11"/>
  <c r="M576" i="11"/>
  <c r="L576" i="11"/>
  <c r="K576" i="11"/>
  <c r="I576" i="11"/>
  <c r="F576" i="11"/>
  <c r="X575" i="11"/>
  <c r="V575" i="11"/>
  <c r="U575" i="11"/>
  <c r="T575" i="11"/>
  <c r="S575" i="11"/>
  <c r="R575" i="11"/>
  <c r="Q575" i="11"/>
  <c r="P575" i="11"/>
  <c r="O575" i="11"/>
  <c r="N575" i="11"/>
  <c r="M575" i="11"/>
  <c r="L575" i="11"/>
  <c r="K575" i="11"/>
  <c r="I575" i="11"/>
  <c r="F575" i="11"/>
  <c r="X574" i="11"/>
  <c r="V574" i="11"/>
  <c r="U574" i="11"/>
  <c r="T574" i="11"/>
  <c r="S574" i="11"/>
  <c r="R574" i="11"/>
  <c r="Q574" i="11"/>
  <c r="P574" i="11"/>
  <c r="O574" i="11"/>
  <c r="N574" i="11"/>
  <c r="M574" i="11"/>
  <c r="L574" i="11"/>
  <c r="K574" i="11"/>
  <c r="I574" i="11"/>
  <c r="F574" i="11"/>
  <c r="X573" i="11"/>
  <c r="V573" i="11"/>
  <c r="U573" i="11"/>
  <c r="T573" i="11"/>
  <c r="S573" i="11"/>
  <c r="R573" i="11"/>
  <c r="Q573" i="11"/>
  <c r="P573" i="11"/>
  <c r="O573" i="11"/>
  <c r="N573" i="11"/>
  <c r="M573" i="11"/>
  <c r="L573" i="11"/>
  <c r="K573" i="11"/>
  <c r="I573" i="11"/>
  <c r="F573" i="11"/>
  <c r="X572" i="11"/>
  <c r="V572" i="11"/>
  <c r="U572" i="11"/>
  <c r="T572" i="11"/>
  <c r="S572" i="11"/>
  <c r="R572" i="11"/>
  <c r="Q572" i="11"/>
  <c r="P572" i="11"/>
  <c r="O572" i="11"/>
  <c r="N572" i="11"/>
  <c r="M572" i="11"/>
  <c r="L572" i="11"/>
  <c r="K572" i="11"/>
  <c r="I572" i="11"/>
  <c r="F572" i="11"/>
  <c r="X571" i="11"/>
  <c r="V571" i="11"/>
  <c r="U571" i="11"/>
  <c r="T571" i="11"/>
  <c r="S571" i="11"/>
  <c r="R571" i="11"/>
  <c r="Q571" i="11"/>
  <c r="P571" i="11"/>
  <c r="O571" i="11"/>
  <c r="N571" i="11"/>
  <c r="M571" i="11"/>
  <c r="L571" i="11"/>
  <c r="K571" i="11"/>
  <c r="I571" i="11"/>
  <c r="F571" i="11"/>
  <c r="X570" i="11"/>
  <c r="V570" i="11"/>
  <c r="U570" i="11"/>
  <c r="T570" i="11"/>
  <c r="S570" i="11"/>
  <c r="R570" i="11"/>
  <c r="Q570" i="11"/>
  <c r="P570" i="11"/>
  <c r="O570" i="11"/>
  <c r="N570" i="11"/>
  <c r="M570" i="11"/>
  <c r="L570" i="11"/>
  <c r="K570" i="11"/>
  <c r="I570" i="11"/>
  <c r="F570" i="11"/>
  <c r="X569" i="11"/>
  <c r="V569" i="11"/>
  <c r="U569" i="11"/>
  <c r="T569" i="11"/>
  <c r="S569" i="11"/>
  <c r="R569" i="11"/>
  <c r="Q569" i="11"/>
  <c r="P569" i="11"/>
  <c r="O569" i="11"/>
  <c r="N569" i="11"/>
  <c r="M569" i="11"/>
  <c r="L569" i="11"/>
  <c r="K569" i="11"/>
  <c r="I569" i="11"/>
  <c r="F569" i="11"/>
  <c r="X568" i="11"/>
  <c r="V568" i="11"/>
  <c r="U568" i="11"/>
  <c r="T568" i="11"/>
  <c r="S568" i="11"/>
  <c r="R568" i="11"/>
  <c r="Q568" i="11"/>
  <c r="P568" i="11"/>
  <c r="O568" i="11"/>
  <c r="N568" i="11"/>
  <c r="M568" i="11"/>
  <c r="L568" i="11"/>
  <c r="K568" i="11"/>
  <c r="I568" i="11"/>
  <c r="F568" i="11"/>
  <c r="X567" i="11"/>
  <c r="V567" i="11"/>
  <c r="U567" i="11"/>
  <c r="T567" i="11"/>
  <c r="S567" i="11"/>
  <c r="R567" i="11"/>
  <c r="Q567" i="11"/>
  <c r="P567" i="11"/>
  <c r="O567" i="11"/>
  <c r="N567" i="11"/>
  <c r="M567" i="11"/>
  <c r="L567" i="11"/>
  <c r="K567" i="11"/>
  <c r="I567" i="11"/>
  <c r="F567" i="11"/>
  <c r="X566" i="11"/>
  <c r="V566" i="11"/>
  <c r="U566" i="11"/>
  <c r="T566" i="11"/>
  <c r="S566" i="11"/>
  <c r="R566" i="11"/>
  <c r="Q566" i="11"/>
  <c r="P566" i="11"/>
  <c r="O566" i="11"/>
  <c r="N566" i="11"/>
  <c r="M566" i="11"/>
  <c r="L566" i="11"/>
  <c r="K566" i="11"/>
  <c r="I566" i="11"/>
  <c r="F566" i="11"/>
  <c r="X565" i="11"/>
  <c r="V565" i="11"/>
  <c r="U565" i="11"/>
  <c r="T565" i="11"/>
  <c r="S565" i="11"/>
  <c r="R565" i="11"/>
  <c r="Q565" i="11"/>
  <c r="P565" i="11"/>
  <c r="O565" i="11"/>
  <c r="N565" i="11"/>
  <c r="M565" i="11"/>
  <c r="L565" i="11"/>
  <c r="K565" i="11"/>
  <c r="I565" i="11"/>
  <c r="F565" i="11"/>
  <c r="X564" i="11"/>
  <c r="V564" i="11"/>
  <c r="U564" i="11"/>
  <c r="T564" i="11"/>
  <c r="S564" i="11"/>
  <c r="R564" i="11"/>
  <c r="Q564" i="11"/>
  <c r="P564" i="11"/>
  <c r="O564" i="11"/>
  <c r="N564" i="11"/>
  <c r="M564" i="11"/>
  <c r="L564" i="11"/>
  <c r="K564" i="11"/>
  <c r="I564" i="11"/>
  <c r="F564" i="11"/>
  <c r="X563" i="11"/>
  <c r="V563" i="11"/>
  <c r="U563" i="11"/>
  <c r="T563" i="11"/>
  <c r="S563" i="11"/>
  <c r="R563" i="11"/>
  <c r="Q563" i="11"/>
  <c r="P563" i="11"/>
  <c r="O563" i="11"/>
  <c r="N563" i="11"/>
  <c r="M563" i="11"/>
  <c r="L563" i="11"/>
  <c r="K563" i="11"/>
  <c r="I563" i="11"/>
  <c r="F563" i="11"/>
  <c r="X562" i="11"/>
  <c r="V562" i="11"/>
  <c r="U562" i="11"/>
  <c r="T562" i="11"/>
  <c r="S562" i="11"/>
  <c r="R562" i="11"/>
  <c r="Q562" i="11"/>
  <c r="P562" i="11"/>
  <c r="O562" i="11"/>
  <c r="N562" i="11"/>
  <c r="M562" i="11"/>
  <c r="L562" i="11"/>
  <c r="K562" i="11"/>
  <c r="I562" i="11"/>
  <c r="F562" i="11"/>
  <c r="X561" i="11"/>
  <c r="V561" i="11"/>
  <c r="U561" i="11"/>
  <c r="T561" i="11"/>
  <c r="S561" i="11"/>
  <c r="R561" i="11"/>
  <c r="Q561" i="11"/>
  <c r="P561" i="11"/>
  <c r="O561" i="11"/>
  <c r="N561" i="11"/>
  <c r="M561" i="11"/>
  <c r="L561" i="11"/>
  <c r="K561" i="11"/>
  <c r="I561" i="11"/>
  <c r="F561" i="11"/>
  <c r="X560" i="11"/>
  <c r="V560" i="11"/>
  <c r="U560" i="11"/>
  <c r="T560" i="11"/>
  <c r="S560" i="11"/>
  <c r="R560" i="11"/>
  <c r="Q560" i="11"/>
  <c r="P560" i="11"/>
  <c r="O560" i="11"/>
  <c r="N560" i="11"/>
  <c r="M560" i="11"/>
  <c r="L560" i="11"/>
  <c r="K560" i="11"/>
  <c r="I560" i="11"/>
  <c r="F560" i="11"/>
  <c r="X559" i="11"/>
  <c r="V559" i="11"/>
  <c r="U559" i="11"/>
  <c r="T559" i="11"/>
  <c r="S559" i="11"/>
  <c r="R559" i="11"/>
  <c r="Q559" i="11"/>
  <c r="P559" i="11"/>
  <c r="O559" i="11"/>
  <c r="N559" i="11"/>
  <c r="M559" i="11"/>
  <c r="L559" i="11"/>
  <c r="K559" i="11"/>
  <c r="I559" i="11"/>
  <c r="F559" i="11"/>
  <c r="X558" i="11"/>
  <c r="V558" i="11"/>
  <c r="U558" i="11"/>
  <c r="T558" i="11"/>
  <c r="S558" i="11"/>
  <c r="R558" i="11"/>
  <c r="Q558" i="11"/>
  <c r="P558" i="11"/>
  <c r="O558" i="11"/>
  <c r="N558" i="11"/>
  <c r="M558" i="11"/>
  <c r="L558" i="11"/>
  <c r="K558" i="11"/>
  <c r="I558" i="11"/>
  <c r="F558" i="11"/>
  <c r="X557" i="11"/>
  <c r="V557" i="11"/>
  <c r="U557" i="11"/>
  <c r="T557" i="11"/>
  <c r="S557" i="11"/>
  <c r="R557" i="11"/>
  <c r="Q557" i="11"/>
  <c r="P557" i="11"/>
  <c r="O557" i="11"/>
  <c r="N557" i="11"/>
  <c r="M557" i="11"/>
  <c r="L557" i="11"/>
  <c r="K557" i="11"/>
  <c r="I557" i="11"/>
  <c r="F557" i="11"/>
  <c r="X556" i="11"/>
  <c r="V556" i="11"/>
  <c r="U556" i="11"/>
  <c r="T556" i="11"/>
  <c r="S556" i="11"/>
  <c r="R556" i="11"/>
  <c r="Q556" i="11"/>
  <c r="P556" i="11"/>
  <c r="O556" i="11"/>
  <c r="N556" i="11"/>
  <c r="M556" i="11"/>
  <c r="L556" i="11"/>
  <c r="K556" i="11"/>
  <c r="I556" i="11"/>
  <c r="F556" i="11"/>
  <c r="X555" i="11"/>
  <c r="V555" i="11"/>
  <c r="U555" i="11"/>
  <c r="T555" i="11"/>
  <c r="S555" i="11"/>
  <c r="R555" i="11"/>
  <c r="Q555" i="11"/>
  <c r="P555" i="11"/>
  <c r="O555" i="11"/>
  <c r="N555" i="11"/>
  <c r="M555" i="11"/>
  <c r="L555" i="11"/>
  <c r="K555" i="11"/>
  <c r="I555" i="11"/>
  <c r="F555" i="11"/>
  <c r="X554" i="11"/>
  <c r="V554" i="11"/>
  <c r="U554" i="11"/>
  <c r="T554" i="11"/>
  <c r="S554" i="11"/>
  <c r="R554" i="11"/>
  <c r="Q554" i="11"/>
  <c r="P554" i="11"/>
  <c r="O554" i="11"/>
  <c r="N554" i="11"/>
  <c r="M554" i="11"/>
  <c r="L554" i="11"/>
  <c r="K554" i="11"/>
  <c r="I554" i="11"/>
  <c r="F554" i="11"/>
  <c r="X553" i="11"/>
  <c r="V553" i="11"/>
  <c r="U553" i="11"/>
  <c r="T553" i="11"/>
  <c r="S553" i="11"/>
  <c r="R553" i="11"/>
  <c r="Q553" i="11"/>
  <c r="P553" i="11"/>
  <c r="O553" i="11"/>
  <c r="N553" i="11"/>
  <c r="M553" i="11"/>
  <c r="L553" i="11"/>
  <c r="K553" i="11"/>
  <c r="I553" i="11"/>
  <c r="F553" i="11"/>
  <c r="X552" i="11"/>
  <c r="V552" i="11"/>
  <c r="U552" i="11"/>
  <c r="T552" i="11"/>
  <c r="S552" i="11"/>
  <c r="R552" i="11"/>
  <c r="Q552" i="11"/>
  <c r="P552" i="11"/>
  <c r="O552" i="11"/>
  <c r="N552" i="11"/>
  <c r="M552" i="11"/>
  <c r="L552" i="11"/>
  <c r="K552" i="11"/>
  <c r="I552" i="11"/>
  <c r="F552" i="11"/>
  <c r="X551" i="11"/>
  <c r="V551" i="11"/>
  <c r="U551" i="11"/>
  <c r="T551" i="11"/>
  <c r="S551" i="11"/>
  <c r="R551" i="11"/>
  <c r="Q551" i="11"/>
  <c r="P551" i="11"/>
  <c r="O551" i="11"/>
  <c r="N551" i="11"/>
  <c r="M551" i="11"/>
  <c r="L551" i="11"/>
  <c r="K551" i="11"/>
  <c r="I551" i="11"/>
  <c r="F551" i="11"/>
  <c r="X550" i="11"/>
  <c r="V550" i="11"/>
  <c r="U550" i="11"/>
  <c r="T550" i="11"/>
  <c r="S550" i="11"/>
  <c r="R550" i="11"/>
  <c r="Q550" i="11"/>
  <c r="P550" i="11"/>
  <c r="O550" i="11"/>
  <c r="N550" i="11"/>
  <c r="M550" i="11"/>
  <c r="L550" i="11"/>
  <c r="K550" i="11"/>
  <c r="I550" i="11"/>
  <c r="F550" i="11"/>
  <c r="X549" i="11"/>
  <c r="V549" i="11"/>
  <c r="U549" i="11"/>
  <c r="T549" i="11"/>
  <c r="S549" i="11"/>
  <c r="R549" i="11"/>
  <c r="Q549" i="11"/>
  <c r="P549" i="11"/>
  <c r="O549" i="11"/>
  <c r="N549" i="11"/>
  <c r="M549" i="11"/>
  <c r="L549" i="11"/>
  <c r="K549" i="11"/>
  <c r="I549" i="11"/>
  <c r="F549" i="11"/>
  <c r="X548" i="11"/>
  <c r="V548" i="11"/>
  <c r="U548" i="11"/>
  <c r="T548" i="11"/>
  <c r="S548" i="11"/>
  <c r="R548" i="11"/>
  <c r="Q548" i="11"/>
  <c r="P548" i="11"/>
  <c r="O548" i="11"/>
  <c r="N548" i="11"/>
  <c r="M548" i="11"/>
  <c r="L548" i="11"/>
  <c r="K548" i="11"/>
  <c r="I548" i="11"/>
  <c r="F548" i="11"/>
  <c r="X547" i="11"/>
  <c r="V547" i="11"/>
  <c r="U547" i="11"/>
  <c r="T547" i="11"/>
  <c r="S547" i="11"/>
  <c r="R547" i="11"/>
  <c r="Q547" i="11"/>
  <c r="P547" i="11"/>
  <c r="O547" i="11"/>
  <c r="N547" i="11"/>
  <c r="M547" i="11"/>
  <c r="L547" i="11"/>
  <c r="K547" i="11"/>
  <c r="I547" i="11"/>
  <c r="F547" i="11"/>
  <c r="X546" i="11"/>
  <c r="V546" i="11"/>
  <c r="U546" i="11"/>
  <c r="T546" i="11"/>
  <c r="S546" i="11"/>
  <c r="R546" i="11"/>
  <c r="Q546" i="11"/>
  <c r="P546" i="11"/>
  <c r="O546" i="11"/>
  <c r="N546" i="11"/>
  <c r="M546" i="11"/>
  <c r="L546" i="11"/>
  <c r="K546" i="11"/>
  <c r="I546" i="11"/>
  <c r="F546" i="11"/>
  <c r="X545" i="11"/>
  <c r="V545" i="11"/>
  <c r="U545" i="11"/>
  <c r="T545" i="11"/>
  <c r="S545" i="11"/>
  <c r="R545" i="11"/>
  <c r="Q545" i="11"/>
  <c r="P545" i="11"/>
  <c r="O545" i="11"/>
  <c r="N545" i="11"/>
  <c r="M545" i="11"/>
  <c r="L545" i="11"/>
  <c r="K545" i="11"/>
  <c r="I545" i="11"/>
  <c r="F545" i="11"/>
  <c r="X544" i="11"/>
  <c r="V544" i="11"/>
  <c r="U544" i="11"/>
  <c r="T544" i="11"/>
  <c r="S544" i="11"/>
  <c r="R544" i="11"/>
  <c r="Q544" i="11"/>
  <c r="P544" i="11"/>
  <c r="O544" i="11"/>
  <c r="N544" i="11"/>
  <c r="M544" i="11"/>
  <c r="L544" i="11"/>
  <c r="K544" i="11"/>
  <c r="I544" i="11"/>
  <c r="F544" i="11"/>
  <c r="X543" i="11"/>
  <c r="V543" i="11"/>
  <c r="U543" i="11"/>
  <c r="T543" i="11"/>
  <c r="S543" i="11"/>
  <c r="R543" i="11"/>
  <c r="Q543" i="11"/>
  <c r="P543" i="11"/>
  <c r="O543" i="11"/>
  <c r="N543" i="11"/>
  <c r="M543" i="11"/>
  <c r="L543" i="11"/>
  <c r="K543" i="11"/>
  <c r="I543" i="11"/>
  <c r="F543" i="11"/>
  <c r="X542" i="11"/>
  <c r="V542" i="11"/>
  <c r="U542" i="11"/>
  <c r="T542" i="11"/>
  <c r="S542" i="11"/>
  <c r="R542" i="11"/>
  <c r="Q542" i="11"/>
  <c r="P542" i="11"/>
  <c r="O542" i="11"/>
  <c r="N542" i="11"/>
  <c r="M542" i="11"/>
  <c r="L542" i="11"/>
  <c r="K542" i="11"/>
  <c r="I542" i="11"/>
  <c r="F542" i="11"/>
  <c r="X541" i="11"/>
  <c r="V541" i="11"/>
  <c r="U541" i="11"/>
  <c r="T541" i="11"/>
  <c r="S541" i="11"/>
  <c r="R541" i="11"/>
  <c r="Q541" i="11"/>
  <c r="P541" i="11"/>
  <c r="O541" i="11"/>
  <c r="N541" i="11"/>
  <c r="M541" i="11"/>
  <c r="L541" i="11"/>
  <c r="K541" i="11"/>
  <c r="I541" i="11"/>
  <c r="F541" i="11"/>
  <c r="X540" i="11"/>
  <c r="V540" i="11"/>
  <c r="U540" i="11"/>
  <c r="T540" i="11"/>
  <c r="S540" i="11"/>
  <c r="R540" i="11"/>
  <c r="Q540" i="11"/>
  <c r="P540" i="11"/>
  <c r="O540" i="11"/>
  <c r="N540" i="11"/>
  <c r="M540" i="11"/>
  <c r="L540" i="11"/>
  <c r="K540" i="11"/>
  <c r="I540" i="11"/>
  <c r="F540" i="11"/>
  <c r="X539" i="11"/>
  <c r="V539" i="11"/>
  <c r="U539" i="11"/>
  <c r="T539" i="11"/>
  <c r="S539" i="11"/>
  <c r="R539" i="11"/>
  <c r="Q539" i="11"/>
  <c r="P539" i="11"/>
  <c r="O539" i="11"/>
  <c r="N539" i="11"/>
  <c r="M539" i="11"/>
  <c r="L539" i="11"/>
  <c r="K539" i="11"/>
  <c r="I539" i="11"/>
  <c r="F539" i="11"/>
  <c r="X538" i="11"/>
  <c r="V538" i="11"/>
  <c r="U538" i="11"/>
  <c r="T538" i="11"/>
  <c r="S538" i="11"/>
  <c r="R538" i="11"/>
  <c r="Q538" i="11"/>
  <c r="P538" i="11"/>
  <c r="O538" i="11"/>
  <c r="N538" i="11"/>
  <c r="M538" i="11"/>
  <c r="L538" i="11"/>
  <c r="K538" i="11"/>
  <c r="I538" i="11"/>
  <c r="F538" i="11"/>
  <c r="X537" i="11"/>
  <c r="V537" i="11"/>
  <c r="U537" i="11"/>
  <c r="T537" i="11"/>
  <c r="S537" i="11"/>
  <c r="R537" i="11"/>
  <c r="Q537" i="11"/>
  <c r="P537" i="11"/>
  <c r="O537" i="11"/>
  <c r="N537" i="11"/>
  <c r="M537" i="11"/>
  <c r="L537" i="11"/>
  <c r="K537" i="11"/>
  <c r="I537" i="11"/>
  <c r="F537" i="11"/>
  <c r="X536" i="11"/>
  <c r="V536" i="11"/>
  <c r="U536" i="11"/>
  <c r="T536" i="11"/>
  <c r="S536" i="11"/>
  <c r="R536" i="11"/>
  <c r="Q536" i="11"/>
  <c r="P536" i="11"/>
  <c r="O536" i="11"/>
  <c r="N536" i="11"/>
  <c r="M536" i="11"/>
  <c r="L536" i="11"/>
  <c r="K536" i="11"/>
  <c r="I536" i="11"/>
  <c r="F536" i="11"/>
  <c r="X535" i="11"/>
  <c r="V535" i="11"/>
  <c r="U535" i="11"/>
  <c r="T535" i="11"/>
  <c r="S535" i="11"/>
  <c r="R535" i="11"/>
  <c r="Q535" i="11"/>
  <c r="P535" i="11"/>
  <c r="O535" i="11"/>
  <c r="N535" i="11"/>
  <c r="M535" i="11"/>
  <c r="L535" i="11"/>
  <c r="K535" i="11"/>
  <c r="I535" i="11"/>
  <c r="F535" i="11"/>
  <c r="X534" i="11"/>
  <c r="V534" i="11"/>
  <c r="U534" i="11"/>
  <c r="T534" i="11"/>
  <c r="S534" i="11"/>
  <c r="R534" i="11"/>
  <c r="Q534" i="11"/>
  <c r="P534" i="11"/>
  <c r="O534" i="11"/>
  <c r="N534" i="11"/>
  <c r="M534" i="11"/>
  <c r="L534" i="11"/>
  <c r="K534" i="11"/>
  <c r="I534" i="11"/>
  <c r="F534" i="11"/>
  <c r="X533" i="11"/>
  <c r="V533" i="11"/>
  <c r="U533" i="11"/>
  <c r="T533" i="11"/>
  <c r="S533" i="11"/>
  <c r="R533" i="11"/>
  <c r="Q533" i="11"/>
  <c r="P533" i="11"/>
  <c r="O533" i="11"/>
  <c r="N533" i="11"/>
  <c r="M533" i="11"/>
  <c r="L533" i="11"/>
  <c r="K533" i="11"/>
  <c r="I533" i="11"/>
  <c r="F533" i="11"/>
  <c r="X532" i="11"/>
  <c r="V532" i="11"/>
  <c r="U532" i="11"/>
  <c r="T532" i="11"/>
  <c r="S532" i="11"/>
  <c r="R532" i="11"/>
  <c r="Q532" i="11"/>
  <c r="P532" i="11"/>
  <c r="O532" i="11"/>
  <c r="N532" i="11"/>
  <c r="M532" i="11"/>
  <c r="L532" i="11"/>
  <c r="K532" i="11"/>
  <c r="I532" i="11"/>
  <c r="F532" i="11"/>
  <c r="X531" i="11"/>
  <c r="V531" i="11"/>
  <c r="U531" i="11"/>
  <c r="T531" i="11"/>
  <c r="S531" i="11"/>
  <c r="R531" i="11"/>
  <c r="Q531" i="11"/>
  <c r="P531" i="11"/>
  <c r="O531" i="11"/>
  <c r="N531" i="11"/>
  <c r="M531" i="11"/>
  <c r="L531" i="11"/>
  <c r="K531" i="11"/>
  <c r="I531" i="11"/>
  <c r="F531" i="11"/>
  <c r="X530" i="11"/>
  <c r="V530" i="11"/>
  <c r="U530" i="11"/>
  <c r="T530" i="11"/>
  <c r="S530" i="11"/>
  <c r="R530" i="11"/>
  <c r="Q530" i="11"/>
  <c r="P530" i="11"/>
  <c r="O530" i="11"/>
  <c r="N530" i="11"/>
  <c r="M530" i="11"/>
  <c r="L530" i="11"/>
  <c r="K530" i="11"/>
  <c r="I530" i="11"/>
  <c r="F530" i="11"/>
  <c r="X529" i="11"/>
  <c r="V529" i="11"/>
  <c r="U529" i="11"/>
  <c r="T529" i="11"/>
  <c r="S529" i="11"/>
  <c r="R529" i="11"/>
  <c r="Q529" i="11"/>
  <c r="P529" i="11"/>
  <c r="O529" i="11"/>
  <c r="N529" i="11"/>
  <c r="M529" i="11"/>
  <c r="L529" i="11"/>
  <c r="K529" i="11"/>
  <c r="I529" i="11"/>
  <c r="F529" i="11"/>
  <c r="X528" i="11"/>
  <c r="V528" i="11"/>
  <c r="U528" i="11"/>
  <c r="T528" i="11"/>
  <c r="S528" i="11"/>
  <c r="R528" i="11"/>
  <c r="Q528" i="11"/>
  <c r="P528" i="11"/>
  <c r="O528" i="11"/>
  <c r="N528" i="11"/>
  <c r="M528" i="11"/>
  <c r="L528" i="11"/>
  <c r="K528" i="11"/>
  <c r="I528" i="11"/>
  <c r="F528" i="11"/>
  <c r="X527" i="11"/>
  <c r="V527" i="11"/>
  <c r="U527" i="11"/>
  <c r="T527" i="11"/>
  <c r="S527" i="11"/>
  <c r="R527" i="11"/>
  <c r="Q527" i="11"/>
  <c r="P527" i="11"/>
  <c r="O527" i="11"/>
  <c r="N527" i="11"/>
  <c r="M527" i="11"/>
  <c r="L527" i="11"/>
  <c r="K527" i="11"/>
  <c r="I527" i="11"/>
  <c r="F527" i="11"/>
  <c r="X526" i="11"/>
  <c r="V526" i="11"/>
  <c r="U526" i="11"/>
  <c r="T526" i="11"/>
  <c r="S526" i="11"/>
  <c r="R526" i="11"/>
  <c r="Q526" i="11"/>
  <c r="P526" i="11"/>
  <c r="O526" i="11"/>
  <c r="N526" i="11"/>
  <c r="M526" i="11"/>
  <c r="L526" i="11"/>
  <c r="K526" i="11"/>
  <c r="I526" i="11"/>
  <c r="F526" i="11"/>
  <c r="X525" i="11"/>
  <c r="V525" i="11"/>
  <c r="U525" i="11"/>
  <c r="T525" i="11"/>
  <c r="S525" i="11"/>
  <c r="R525" i="11"/>
  <c r="Q525" i="11"/>
  <c r="P525" i="11"/>
  <c r="O525" i="11"/>
  <c r="N525" i="11"/>
  <c r="M525" i="11"/>
  <c r="L525" i="11"/>
  <c r="K525" i="11"/>
  <c r="I525" i="11"/>
  <c r="F525" i="11"/>
  <c r="X524" i="11"/>
  <c r="V524" i="11"/>
  <c r="U524" i="11"/>
  <c r="T524" i="11"/>
  <c r="S524" i="11"/>
  <c r="R524" i="11"/>
  <c r="Q524" i="11"/>
  <c r="P524" i="11"/>
  <c r="O524" i="11"/>
  <c r="N524" i="11"/>
  <c r="M524" i="11"/>
  <c r="L524" i="11"/>
  <c r="K524" i="11"/>
  <c r="I524" i="11"/>
  <c r="F524" i="11"/>
  <c r="X523" i="11"/>
  <c r="V523" i="11"/>
  <c r="U523" i="11"/>
  <c r="T523" i="11"/>
  <c r="S523" i="11"/>
  <c r="R523" i="11"/>
  <c r="Q523" i="11"/>
  <c r="P523" i="11"/>
  <c r="O523" i="11"/>
  <c r="N523" i="11"/>
  <c r="M523" i="11"/>
  <c r="L523" i="11"/>
  <c r="K523" i="11"/>
  <c r="I523" i="11"/>
  <c r="F523" i="11"/>
  <c r="X522" i="11"/>
  <c r="V522" i="11"/>
  <c r="U522" i="11"/>
  <c r="T522" i="11"/>
  <c r="S522" i="11"/>
  <c r="R522" i="11"/>
  <c r="Q522" i="11"/>
  <c r="P522" i="11"/>
  <c r="O522" i="11"/>
  <c r="N522" i="11"/>
  <c r="M522" i="11"/>
  <c r="L522" i="11"/>
  <c r="K522" i="11"/>
  <c r="I522" i="11"/>
  <c r="F522" i="11"/>
  <c r="X521" i="11"/>
  <c r="V521" i="11"/>
  <c r="U521" i="11"/>
  <c r="T521" i="11"/>
  <c r="S521" i="11"/>
  <c r="R521" i="11"/>
  <c r="Q521" i="11"/>
  <c r="P521" i="11"/>
  <c r="O521" i="11"/>
  <c r="N521" i="11"/>
  <c r="M521" i="11"/>
  <c r="L521" i="11"/>
  <c r="K521" i="11"/>
  <c r="I521" i="11"/>
  <c r="F521" i="11"/>
  <c r="X520" i="11"/>
  <c r="V520" i="11"/>
  <c r="U520" i="11"/>
  <c r="T520" i="11"/>
  <c r="S520" i="11"/>
  <c r="R520" i="11"/>
  <c r="Q520" i="11"/>
  <c r="P520" i="11"/>
  <c r="O520" i="11"/>
  <c r="N520" i="11"/>
  <c r="M520" i="11"/>
  <c r="L520" i="11"/>
  <c r="K520" i="11"/>
  <c r="I520" i="11"/>
  <c r="F520" i="11"/>
  <c r="X519" i="11"/>
  <c r="V519" i="11"/>
  <c r="U519" i="11"/>
  <c r="T519" i="11"/>
  <c r="S519" i="11"/>
  <c r="R519" i="11"/>
  <c r="Q519" i="11"/>
  <c r="P519" i="11"/>
  <c r="O519" i="11"/>
  <c r="N519" i="11"/>
  <c r="M519" i="11"/>
  <c r="L519" i="11"/>
  <c r="K519" i="11"/>
  <c r="I519" i="11"/>
  <c r="F519" i="11"/>
  <c r="X518" i="11"/>
  <c r="V518" i="11"/>
  <c r="U518" i="11"/>
  <c r="T518" i="11"/>
  <c r="S518" i="11"/>
  <c r="R518" i="11"/>
  <c r="Q518" i="11"/>
  <c r="P518" i="11"/>
  <c r="O518" i="11"/>
  <c r="N518" i="11"/>
  <c r="M518" i="11"/>
  <c r="L518" i="11"/>
  <c r="K518" i="11"/>
  <c r="I518" i="11"/>
  <c r="F518" i="11"/>
  <c r="X517" i="11"/>
  <c r="V517" i="11"/>
  <c r="U517" i="11"/>
  <c r="T517" i="11"/>
  <c r="S517" i="11"/>
  <c r="R517" i="11"/>
  <c r="Q517" i="11"/>
  <c r="P517" i="11"/>
  <c r="O517" i="11"/>
  <c r="N517" i="11"/>
  <c r="M517" i="11"/>
  <c r="L517" i="11"/>
  <c r="K517" i="11"/>
  <c r="I517" i="11"/>
  <c r="F517" i="11"/>
  <c r="X516" i="11"/>
  <c r="V516" i="11"/>
  <c r="U516" i="11"/>
  <c r="T516" i="11"/>
  <c r="S516" i="11"/>
  <c r="R516" i="11"/>
  <c r="Q516" i="11"/>
  <c r="P516" i="11"/>
  <c r="O516" i="11"/>
  <c r="N516" i="11"/>
  <c r="M516" i="11"/>
  <c r="L516" i="11"/>
  <c r="K516" i="11"/>
  <c r="I516" i="11"/>
  <c r="F516" i="11"/>
  <c r="X515" i="11"/>
  <c r="V515" i="11"/>
  <c r="U515" i="11"/>
  <c r="T515" i="11"/>
  <c r="S515" i="11"/>
  <c r="R515" i="11"/>
  <c r="Q515" i="11"/>
  <c r="P515" i="11"/>
  <c r="O515" i="11"/>
  <c r="N515" i="11"/>
  <c r="M515" i="11"/>
  <c r="L515" i="11"/>
  <c r="K515" i="11"/>
  <c r="I515" i="11"/>
  <c r="F515" i="11"/>
  <c r="X514" i="11"/>
  <c r="V514" i="11"/>
  <c r="U514" i="11"/>
  <c r="T514" i="11"/>
  <c r="S514" i="11"/>
  <c r="R514" i="11"/>
  <c r="Q514" i="11"/>
  <c r="P514" i="11"/>
  <c r="O514" i="11"/>
  <c r="N514" i="11"/>
  <c r="M514" i="11"/>
  <c r="L514" i="11"/>
  <c r="K514" i="11"/>
  <c r="I514" i="11"/>
  <c r="F514" i="11"/>
  <c r="X513" i="11"/>
  <c r="V513" i="11"/>
  <c r="U513" i="11"/>
  <c r="T513" i="11"/>
  <c r="S513" i="11"/>
  <c r="R513" i="11"/>
  <c r="Q513" i="11"/>
  <c r="P513" i="11"/>
  <c r="O513" i="11"/>
  <c r="N513" i="11"/>
  <c r="M513" i="11"/>
  <c r="L513" i="11"/>
  <c r="K513" i="11"/>
  <c r="I513" i="11"/>
  <c r="F513" i="11"/>
  <c r="X512" i="11"/>
  <c r="V512" i="11"/>
  <c r="U512" i="11"/>
  <c r="T512" i="11"/>
  <c r="S512" i="11"/>
  <c r="R512" i="11"/>
  <c r="Q512" i="11"/>
  <c r="P512" i="11"/>
  <c r="O512" i="11"/>
  <c r="N512" i="11"/>
  <c r="M512" i="11"/>
  <c r="L512" i="11"/>
  <c r="K512" i="11"/>
  <c r="I512" i="11"/>
  <c r="F512" i="11"/>
  <c r="X511" i="11"/>
  <c r="V511" i="11"/>
  <c r="U511" i="11"/>
  <c r="T511" i="11"/>
  <c r="S511" i="11"/>
  <c r="R511" i="11"/>
  <c r="Q511" i="11"/>
  <c r="P511" i="11"/>
  <c r="O511" i="11"/>
  <c r="N511" i="11"/>
  <c r="M511" i="11"/>
  <c r="L511" i="11"/>
  <c r="K511" i="11"/>
  <c r="I511" i="11"/>
  <c r="F511" i="11"/>
  <c r="X510" i="11"/>
  <c r="V510" i="11"/>
  <c r="U510" i="11"/>
  <c r="T510" i="11"/>
  <c r="S510" i="11"/>
  <c r="R510" i="11"/>
  <c r="Q510" i="11"/>
  <c r="P510" i="11"/>
  <c r="O510" i="11"/>
  <c r="N510" i="11"/>
  <c r="M510" i="11"/>
  <c r="L510" i="11"/>
  <c r="K510" i="11"/>
  <c r="I510" i="11"/>
  <c r="F510" i="11"/>
  <c r="X509" i="11"/>
  <c r="V509" i="11"/>
  <c r="U509" i="11"/>
  <c r="T509" i="11"/>
  <c r="S509" i="11"/>
  <c r="R509" i="11"/>
  <c r="Q509" i="11"/>
  <c r="P509" i="11"/>
  <c r="O509" i="11"/>
  <c r="N509" i="11"/>
  <c r="M509" i="11"/>
  <c r="L509" i="11"/>
  <c r="K509" i="11"/>
  <c r="I509" i="11"/>
  <c r="F509" i="11"/>
  <c r="X508" i="11"/>
  <c r="V508" i="11"/>
  <c r="U508" i="11"/>
  <c r="T508" i="11"/>
  <c r="S508" i="11"/>
  <c r="R508" i="11"/>
  <c r="Q508" i="11"/>
  <c r="P508" i="11"/>
  <c r="O508" i="11"/>
  <c r="N508" i="11"/>
  <c r="M508" i="11"/>
  <c r="L508" i="11"/>
  <c r="K508" i="11"/>
  <c r="I508" i="11"/>
  <c r="F508" i="11"/>
  <c r="X507" i="11"/>
  <c r="V507" i="11"/>
  <c r="U507" i="11"/>
  <c r="T507" i="11"/>
  <c r="S507" i="11"/>
  <c r="R507" i="11"/>
  <c r="Q507" i="11"/>
  <c r="P507" i="11"/>
  <c r="O507" i="11"/>
  <c r="N507" i="11"/>
  <c r="M507" i="11"/>
  <c r="L507" i="11"/>
  <c r="K507" i="11"/>
  <c r="I507" i="11"/>
  <c r="F507" i="11"/>
  <c r="X506" i="11"/>
  <c r="V506" i="11"/>
  <c r="U506" i="11"/>
  <c r="T506" i="11"/>
  <c r="S506" i="11"/>
  <c r="R506" i="11"/>
  <c r="Q506" i="11"/>
  <c r="P506" i="11"/>
  <c r="O506" i="11"/>
  <c r="N506" i="11"/>
  <c r="M506" i="11"/>
  <c r="L506" i="11"/>
  <c r="K506" i="11"/>
  <c r="I506" i="11"/>
  <c r="F506" i="11"/>
  <c r="X505" i="11"/>
  <c r="V505" i="11"/>
  <c r="U505" i="11"/>
  <c r="T505" i="11"/>
  <c r="S505" i="11"/>
  <c r="R505" i="11"/>
  <c r="Q505" i="11"/>
  <c r="P505" i="11"/>
  <c r="O505" i="11"/>
  <c r="N505" i="11"/>
  <c r="M505" i="11"/>
  <c r="L505" i="11"/>
  <c r="K505" i="11"/>
  <c r="I505" i="11"/>
  <c r="F505" i="11"/>
  <c r="X504" i="11"/>
  <c r="V504" i="11"/>
  <c r="U504" i="11"/>
  <c r="T504" i="11"/>
  <c r="S504" i="11"/>
  <c r="R504" i="11"/>
  <c r="Q504" i="11"/>
  <c r="P504" i="11"/>
  <c r="O504" i="11"/>
  <c r="N504" i="11"/>
  <c r="M504" i="11"/>
  <c r="L504" i="11"/>
  <c r="K504" i="11"/>
  <c r="I504" i="11"/>
  <c r="F504" i="11"/>
  <c r="X503" i="11"/>
  <c r="V503" i="11"/>
  <c r="U503" i="11"/>
  <c r="T503" i="11"/>
  <c r="S503" i="11"/>
  <c r="R503" i="11"/>
  <c r="Q503" i="11"/>
  <c r="P503" i="11"/>
  <c r="O503" i="11"/>
  <c r="N503" i="11"/>
  <c r="M503" i="11"/>
  <c r="L503" i="11"/>
  <c r="K503" i="11"/>
  <c r="I503" i="11"/>
  <c r="F503" i="11"/>
  <c r="X502" i="11"/>
  <c r="V502" i="11"/>
  <c r="U502" i="11"/>
  <c r="T502" i="11"/>
  <c r="S502" i="11"/>
  <c r="R502" i="11"/>
  <c r="Q502" i="11"/>
  <c r="P502" i="11"/>
  <c r="O502" i="11"/>
  <c r="N502" i="11"/>
  <c r="M502" i="11"/>
  <c r="L502" i="11"/>
  <c r="K502" i="11"/>
  <c r="I502" i="11"/>
  <c r="F502" i="11"/>
  <c r="X501" i="11"/>
  <c r="V501" i="11"/>
  <c r="U501" i="11"/>
  <c r="T501" i="11"/>
  <c r="S501" i="11"/>
  <c r="R501" i="11"/>
  <c r="Q501" i="11"/>
  <c r="P501" i="11"/>
  <c r="O501" i="11"/>
  <c r="N501" i="11"/>
  <c r="M501" i="11"/>
  <c r="L501" i="11"/>
  <c r="K501" i="11"/>
  <c r="I501" i="11"/>
  <c r="F501" i="11"/>
  <c r="X500" i="11"/>
  <c r="V500" i="11"/>
  <c r="U500" i="11"/>
  <c r="T500" i="11"/>
  <c r="S500" i="11"/>
  <c r="R500" i="11"/>
  <c r="Q500" i="11"/>
  <c r="P500" i="11"/>
  <c r="O500" i="11"/>
  <c r="N500" i="11"/>
  <c r="M500" i="11"/>
  <c r="L500" i="11"/>
  <c r="K500" i="11"/>
  <c r="I500" i="11"/>
  <c r="F500" i="11"/>
  <c r="X499" i="11"/>
  <c r="V499" i="11"/>
  <c r="U499" i="11"/>
  <c r="T499" i="11"/>
  <c r="S499" i="11"/>
  <c r="R499" i="11"/>
  <c r="Q499" i="11"/>
  <c r="P499" i="11"/>
  <c r="O499" i="11"/>
  <c r="N499" i="11"/>
  <c r="M499" i="11"/>
  <c r="L499" i="11"/>
  <c r="K499" i="11"/>
  <c r="I499" i="11"/>
  <c r="F499" i="11"/>
  <c r="X498" i="11"/>
  <c r="V498" i="11"/>
  <c r="U498" i="11"/>
  <c r="T498" i="11"/>
  <c r="S498" i="11"/>
  <c r="R498" i="11"/>
  <c r="Q498" i="11"/>
  <c r="P498" i="11"/>
  <c r="O498" i="11"/>
  <c r="N498" i="11"/>
  <c r="M498" i="11"/>
  <c r="L498" i="11"/>
  <c r="K498" i="11"/>
  <c r="I498" i="11"/>
  <c r="F498" i="11"/>
  <c r="X497" i="11"/>
  <c r="V497" i="11"/>
  <c r="U497" i="11"/>
  <c r="T497" i="11"/>
  <c r="S497" i="11"/>
  <c r="R497" i="11"/>
  <c r="Q497" i="11"/>
  <c r="P497" i="11"/>
  <c r="O497" i="11"/>
  <c r="N497" i="11"/>
  <c r="M497" i="11"/>
  <c r="L497" i="11"/>
  <c r="K497" i="11"/>
  <c r="I497" i="11"/>
  <c r="F497" i="11"/>
  <c r="X496" i="11"/>
  <c r="V496" i="11"/>
  <c r="U496" i="11"/>
  <c r="T496" i="11"/>
  <c r="S496" i="11"/>
  <c r="R496" i="11"/>
  <c r="Q496" i="11"/>
  <c r="P496" i="11"/>
  <c r="O496" i="11"/>
  <c r="N496" i="11"/>
  <c r="M496" i="11"/>
  <c r="L496" i="11"/>
  <c r="K496" i="11"/>
  <c r="I496" i="11"/>
  <c r="F496" i="11"/>
  <c r="X495" i="11"/>
  <c r="V495" i="11"/>
  <c r="U495" i="11"/>
  <c r="T495" i="11"/>
  <c r="S495" i="11"/>
  <c r="R495" i="11"/>
  <c r="Q495" i="11"/>
  <c r="P495" i="11"/>
  <c r="O495" i="11"/>
  <c r="N495" i="11"/>
  <c r="M495" i="11"/>
  <c r="L495" i="11"/>
  <c r="K495" i="11"/>
  <c r="I495" i="11"/>
  <c r="F495" i="11"/>
  <c r="X494" i="11"/>
  <c r="V494" i="11"/>
  <c r="U494" i="11"/>
  <c r="T494" i="11"/>
  <c r="S494" i="11"/>
  <c r="R494" i="11"/>
  <c r="Q494" i="11"/>
  <c r="P494" i="11"/>
  <c r="O494" i="11"/>
  <c r="N494" i="11"/>
  <c r="M494" i="11"/>
  <c r="L494" i="11"/>
  <c r="K494" i="11"/>
  <c r="I494" i="11"/>
  <c r="F494" i="11"/>
  <c r="X493" i="11"/>
  <c r="V493" i="11"/>
  <c r="U493" i="11"/>
  <c r="T493" i="11"/>
  <c r="S493" i="11"/>
  <c r="R493" i="11"/>
  <c r="Q493" i="11"/>
  <c r="P493" i="11"/>
  <c r="O493" i="11"/>
  <c r="N493" i="11"/>
  <c r="M493" i="11"/>
  <c r="L493" i="11"/>
  <c r="K493" i="11"/>
  <c r="I493" i="11"/>
  <c r="F493" i="11"/>
  <c r="X492" i="11"/>
  <c r="V492" i="11"/>
  <c r="U492" i="11"/>
  <c r="T492" i="11"/>
  <c r="S492" i="11"/>
  <c r="R492" i="11"/>
  <c r="Q492" i="11"/>
  <c r="P492" i="11"/>
  <c r="O492" i="11"/>
  <c r="N492" i="11"/>
  <c r="M492" i="11"/>
  <c r="L492" i="11"/>
  <c r="K492" i="11"/>
  <c r="I492" i="11"/>
  <c r="F492" i="11"/>
  <c r="X491" i="11"/>
  <c r="V491" i="11"/>
  <c r="U491" i="11"/>
  <c r="T491" i="11"/>
  <c r="S491" i="11"/>
  <c r="R491" i="11"/>
  <c r="Q491" i="11"/>
  <c r="P491" i="11"/>
  <c r="O491" i="11"/>
  <c r="N491" i="11"/>
  <c r="M491" i="11"/>
  <c r="L491" i="11"/>
  <c r="K491" i="11"/>
  <c r="I491" i="11"/>
  <c r="F491" i="11"/>
  <c r="X490" i="11"/>
  <c r="V490" i="11"/>
  <c r="U490" i="11"/>
  <c r="T490" i="11"/>
  <c r="S490" i="11"/>
  <c r="R490" i="11"/>
  <c r="Q490" i="11"/>
  <c r="P490" i="11"/>
  <c r="O490" i="11"/>
  <c r="N490" i="11"/>
  <c r="M490" i="11"/>
  <c r="L490" i="11"/>
  <c r="K490" i="11"/>
  <c r="I490" i="11"/>
  <c r="F490" i="11"/>
  <c r="X489" i="11"/>
  <c r="V489" i="11"/>
  <c r="U489" i="11"/>
  <c r="T489" i="11"/>
  <c r="S489" i="11"/>
  <c r="R489" i="11"/>
  <c r="Q489" i="11"/>
  <c r="P489" i="11"/>
  <c r="O489" i="11"/>
  <c r="N489" i="11"/>
  <c r="M489" i="11"/>
  <c r="L489" i="11"/>
  <c r="K489" i="11"/>
  <c r="I489" i="11"/>
  <c r="F489" i="11"/>
  <c r="X488" i="11"/>
  <c r="V488" i="11"/>
  <c r="U488" i="11"/>
  <c r="T488" i="11"/>
  <c r="S488" i="11"/>
  <c r="R488" i="11"/>
  <c r="Q488" i="11"/>
  <c r="P488" i="11"/>
  <c r="O488" i="11"/>
  <c r="N488" i="11"/>
  <c r="M488" i="11"/>
  <c r="L488" i="11"/>
  <c r="K488" i="11"/>
  <c r="I488" i="11"/>
  <c r="F488" i="11"/>
  <c r="X487" i="11"/>
  <c r="V487" i="11"/>
  <c r="U487" i="11"/>
  <c r="T487" i="11"/>
  <c r="S487" i="11"/>
  <c r="R487" i="11"/>
  <c r="Q487" i="11"/>
  <c r="P487" i="11"/>
  <c r="O487" i="11"/>
  <c r="N487" i="11"/>
  <c r="M487" i="11"/>
  <c r="L487" i="11"/>
  <c r="K487" i="11"/>
  <c r="I487" i="11"/>
  <c r="F487" i="11"/>
  <c r="X486" i="11"/>
  <c r="V486" i="11"/>
  <c r="U486" i="11"/>
  <c r="T486" i="11"/>
  <c r="S486" i="11"/>
  <c r="R486" i="11"/>
  <c r="Q486" i="11"/>
  <c r="P486" i="11"/>
  <c r="O486" i="11"/>
  <c r="N486" i="11"/>
  <c r="M486" i="11"/>
  <c r="L486" i="11"/>
  <c r="K486" i="11"/>
  <c r="I486" i="11"/>
  <c r="F486" i="11"/>
  <c r="X485" i="11"/>
  <c r="V485" i="11"/>
  <c r="U485" i="11"/>
  <c r="T485" i="11"/>
  <c r="S485" i="11"/>
  <c r="R485" i="11"/>
  <c r="Q485" i="11"/>
  <c r="P485" i="11"/>
  <c r="O485" i="11"/>
  <c r="N485" i="11"/>
  <c r="M485" i="11"/>
  <c r="L485" i="11"/>
  <c r="K485" i="11"/>
  <c r="I485" i="11"/>
  <c r="F485" i="11"/>
  <c r="X484" i="11"/>
  <c r="V484" i="11"/>
  <c r="U484" i="11"/>
  <c r="T484" i="11"/>
  <c r="S484" i="11"/>
  <c r="R484" i="11"/>
  <c r="Q484" i="11"/>
  <c r="P484" i="11"/>
  <c r="O484" i="11"/>
  <c r="N484" i="11"/>
  <c r="M484" i="11"/>
  <c r="L484" i="11"/>
  <c r="K484" i="11"/>
  <c r="I484" i="11"/>
  <c r="F484" i="11"/>
  <c r="X483" i="11"/>
  <c r="V483" i="11"/>
  <c r="U483" i="11"/>
  <c r="T483" i="11"/>
  <c r="S483" i="11"/>
  <c r="R483" i="11"/>
  <c r="Q483" i="11"/>
  <c r="P483" i="11"/>
  <c r="O483" i="11"/>
  <c r="N483" i="11"/>
  <c r="M483" i="11"/>
  <c r="L483" i="11"/>
  <c r="K483" i="11"/>
  <c r="I483" i="11"/>
  <c r="F483" i="11"/>
  <c r="X482" i="11"/>
  <c r="V482" i="11"/>
  <c r="U482" i="11"/>
  <c r="T482" i="11"/>
  <c r="S482" i="11"/>
  <c r="R482" i="11"/>
  <c r="Q482" i="11"/>
  <c r="P482" i="11"/>
  <c r="O482" i="11"/>
  <c r="N482" i="11"/>
  <c r="M482" i="11"/>
  <c r="L482" i="11"/>
  <c r="K482" i="11"/>
  <c r="I482" i="11"/>
  <c r="F482" i="11"/>
  <c r="X481" i="11"/>
  <c r="V481" i="11"/>
  <c r="U481" i="11"/>
  <c r="T481" i="11"/>
  <c r="S481" i="11"/>
  <c r="R481" i="11"/>
  <c r="Q481" i="11"/>
  <c r="P481" i="11"/>
  <c r="O481" i="11"/>
  <c r="N481" i="11"/>
  <c r="M481" i="11"/>
  <c r="L481" i="11"/>
  <c r="K481" i="11"/>
  <c r="I481" i="11"/>
  <c r="F481" i="11"/>
  <c r="X480" i="11"/>
  <c r="V480" i="11"/>
  <c r="U480" i="11"/>
  <c r="T480" i="11"/>
  <c r="S480" i="11"/>
  <c r="R480" i="11"/>
  <c r="Q480" i="11"/>
  <c r="P480" i="11"/>
  <c r="O480" i="11"/>
  <c r="N480" i="11"/>
  <c r="M480" i="11"/>
  <c r="L480" i="11"/>
  <c r="K480" i="11"/>
  <c r="I480" i="11"/>
  <c r="F480" i="11"/>
  <c r="X479" i="11"/>
  <c r="V479" i="11"/>
  <c r="U479" i="11"/>
  <c r="T479" i="11"/>
  <c r="S479" i="11"/>
  <c r="R479" i="11"/>
  <c r="Q479" i="11"/>
  <c r="P479" i="11"/>
  <c r="O479" i="11"/>
  <c r="N479" i="11"/>
  <c r="M479" i="11"/>
  <c r="L479" i="11"/>
  <c r="K479" i="11"/>
  <c r="I479" i="11"/>
  <c r="F479" i="11"/>
  <c r="X478" i="11"/>
  <c r="V478" i="11"/>
  <c r="U478" i="11"/>
  <c r="T478" i="11"/>
  <c r="S478" i="11"/>
  <c r="R478" i="11"/>
  <c r="Q478" i="11"/>
  <c r="P478" i="11"/>
  <c r="O478" i="11"/>
  <c r="N478" i="11"/>
  <c r="M478" i="11"/>
  <c r="L478" i="11"/>
  <c r="K478" i="11"/>
  <c r="I478" i="11"/>
  <c r="F478" i="11"/>
  <c r="X477" i="11"/>
  <c r="V477" i="11"/>
  <c r="U477" i="11"/>
  <c r="T477" i="11"/>
  <c r="S477" i="11"/>
  <c r="R477" i="11"/>
  <c r="Q477" i="11"/>
  <c r="P477" i="11"/>
  <c r="O477" i="11"/>
  <c r="N477" i="11"/>
  <c r="M477" i="11"/>
  <c r="L477" i="11"/>
  <c r="K477" i="11"/>
  <c r="I477" i="11"/>
  <c r="F477" i="11"/>
  <c r="X476" i="11"/>
  <c r="V476" i="11"/>
  <c r="U476" i="11"/>
  <c r="T476" i="11"/>
  <c r="S476" i="11"/>
  <c r="R476" i="11"/>
  <c r="Q476" i="11"/>
  <c r="P476" i="11"/>
  <c r="O476" i="11"/>
  <c r="N476" i="11"/>
  <c r="M476" i="11"/>
  <c r="L476" i="11"/>
  <c r="K476" i="11"/>
  <c r="I476" i="11"/>
  <c r="F476" i="11"/>
  <c r="X475" i="11"/>
  <c r="V475" i="11"/>
  <c r="U475" i="11"/>
  <c r="T475" i="11"/>
  <c r="S475" i="11"/>
  <c r="R475" i="11"/>
  <c r="Q475" i="11"/>
  <c r="P475" i="11"/>
  <c r="O475" i="11"/>
  <c r="N475" i="11"/>
  <c r="M475" i="11"/>
  <c r="L475" i="11"/>
  <c r="K475" i="11"/>
  <c r="I475" i="11"/>
  <c r="F475" i="11"/>
  <c r="X474" i="11"/>
  <c r="V474" i="11"/>
  <c r="U474" i="11"/>
  <c r="T474" i="11"/>
  <c r="S474" i="11"/>
  <c r="R474" i="11"/>
  <c r="Q474" i="11"/>
  <c r="P474" i="11"/>
  <c r="O474" i="11"/>
  <c r="N474" i="11"/>
  <c r="M474" i="11"/>
  <c r="L474" i="11"/>
  <c r="K474" i="11"/>
  <c r="I474" i="11"/>
  <c r="F474" i="11"/>
  <c r="X473" i="11"/>
  <c r="V473" i="11"/>
  <c r="U473" i="11"/>
  <c r="T473" i="11"/>
  <c r="S473" i="11"/>
  <c r="R473" i="11"/>
  <c r="Q473" i="11"/>
  <c r="P473" i="11"/>
  <c r="O473" i="11"/>
  <c r="N473" i="11"/>
  <c r="M473" i="11"/>
  <c r="L473" i="11"/>
  <c r="K473" i="11"/>
  <c r="I473" i="11"/>
  <c r="F473" i="11"/>
  <c r="X472" i="11"/>
  <c r="V472" i="11"/>
  <c r="U472" i="11"/>
  <c r="T472" i="11"/>
  <c r="S472" i="11"/>
  <c r="R472" i="11"/>
  <c r="Q472" i="11"/>
  <c r="P472" i="11"/>
  <c r="O472" i="11"/>
  <c r="N472" i="11"/>
  <c r="M472" i="11"/>
  <c r="L472" i="11"/>
  <c r="K472" i="11"/>
  <c r="I472" i="11"/>
  <c r="F472" i="11"/>
  <c r="X471" i="11"/>
  <c r="V471" i="11"/>
  <c r="U471" i="11"/>
  <c r="T471" i="11"/>
  <c r="S471" i="11"/>
  <c r="R471" i="11"/>
  <c r="Q471" i="11"/>
  <c r="P471" i="11"/>
  <c r="O471" i="11"/>
  <c r="N471" i="11"/>
  <c r="M471" i="11"/>
  <c r="L471" i="11"/>
  <c r="K471" i="11"/>
  <c r="I471" i="11"/>
  <c r="F471" i="11"/>
  <c r="X470" i="11"/>
  <c r="V470" i="11"/>
  <c r="U470" i="11"/>
  <c r="T470" i="11"/>
  <c r="S470" i="11"/>
  <c r="R470" i="11"/>
  <c r="Q470" i="11"/>
  <c r="P470" i="11"/>
  <c r="O470" i="11"/>
  <c r="N470" i="11"/>
  <c r="M470" i="11"/>
  <c r="L470" i="11"/>
  <c r="K470" i="11"/>
  <c r="I470" i="11"/>
  <c r="F470" i="11"/>
  <c r="X469" i="11"/>
  <c r="V469" i="11"/>
  <c r="U469" i="11"/>
  <c r="T469" i="11"/>
  <c r="S469" i="11"/>
  <c r="R469" i="11"/>
  <c r="Q469" i="11"/>
  <c r="P469" i="11"/>
  <c r="O469" i="11"/>
  <c r="N469" i="11"/>
  <c r="M469" i="11"/>
  <c r="L469" i="11"/>
  <c r="K469" i="11"/>
  <c r="I469" i="11"/>
  <c r="F469" i="11"/>
  <c r="X468" i="11"/>
  <c r="V468" i="11"/>
  <c r="U468" i="11"/>
  <c r="T468" i="11"/>
  <c r="S468" i="11"/>
  <c r="R468" i="11"/>
  <c r="Q468" i="11"/>
  <c r="P468" i="11"/>
  <c r="O468" i="11"/>
  <c r="N468" i="11"/>
  <c r="M468" i="11"/>
  <c r="L468" i="11"/>
  <c r="K468" i="11"/>
  <c r="I468" i="11"/>
  <c r="F468" i="11"/>
  <c r="X467" i="11"/>
  <c r="V467" i="11"/>
  <c r="U467" i="11"/>
  <c r="T467" i="11"/>
  <c r="S467" i="11"/>
  <c r="R467" i="11"/>
  <c r="Q467" i="11"/>
  <c r="P467" i="11"/>
  <c r="O467" i="11"/>
  <c r="N467" i="11"/>
  <c r="M467" i="11"/>
  <c r="L467" i="11"/>
  <c r="K467" i="11"/>
  <c r="I467" i="11"/>
  <c r="F467" i="11"/>
  <c r="X466" i="11"/>
  <c r="V466" i="11"/>
  <c r="U466" i="11"/>
  <c r="T466" i="11"/>
  <c r="S466" i="11"/>
  <c r="R466" i="11"/>
  <c r="Q466" i="11"/>
  <c r="P466" i="11"/>
  <c r="O466" i="11"/>
  <c r="N466" i="11"/>
  <c r="M466" i="11"/>
  <c r="L466" i="11"/>
  <c r="K466" i="11"/>
  <c r="I466" i="11"/>
  <c r="F466" i="11"/>
  <c r="X465" i="11"/>
  <c r="V465" i="11"/>
  <c r="U465" i="11"/>
  <c r="T465" i="11"/>
  <c r="S465" i="11"/>
  <c r="R465" i="11"/>
  <c r="Q465" i="11"/>
  <c r="P465" i="11"/>
  <c r="O465" i="11"/>
  <c r="N465" i="11"/>
  <c r="M465" i="11"/>
  <c r="L465" i="11"/>
  <c r="K465" i="11"/>
  <c r="I465" i="11"/>
  <c r="F465" i="11"/>
  <c r="X464" i="11"/>
  <c r="V464" i="11"/>
  <c r="U464" i="11"/>
  <c r="T464" i="11"/>
  <c r="S464" i="11"/>
  <c r="R464" i="11"/>
  <c r="Q464" i="11"/>
  <c r="P464" i="11"/>
  <c r="O464" i="11"/>
  <c r="N464" i="11"/>
  <c r="M464" i="11"/>
  <c r="L464" i="11"/>
  <c r="K464" i="11"/>
  <c r="I464" i="11"/>
  <c r="F464" i="11"/>
  <c r="X463" i="11"/>
  <c r="V463" i="11"/>
  <c r="U463" i="11"/>
  <c r="T463" i="11"/>
  <c r="S463" i="11"/>
  <c r="R463" i="11"/>
  <c r="Q463" i="11"/>
  <c r="P463" i="11"/>
  <c r="O463" i="11"/>
  <c r="N463" i="11"/>
  <c r="M463" i="11"/>
  <c r="L463" i="11"/>
  <c r="K463" i="11"/>
  <c r="I463" i="11"/>
  <c r="F463" i="11"/>
  <c r="X462" i="11"/>
  <c r="V462" i="11"/>
  <c r="U462" i="11"/>
  <c r="T462" i="11"/>
  <c r="S462" i="11"/>
  <c r="R462" i="11"/>
  <c r="Q462" i="11"/>
  <c r="P462" i="11"/>
  <c r="O462" i="11"/>
  <c r="N462" i="11"/>
  <c r="M462" i="11"/>
  <c r="L462" i="11"/>
  <c r="K462" i="11"/>
  <c r="I462" i="11"/>
  <c r="F462" i="11"/>
  <c r="X461" i="11"/>
  <c r="V461" i="11"/>
  <c r="U461" i="11"/>
  <c r="T461" i="11"/>
  <c r="S461" i="11"/>
  <c r="R461" i="11"/>
  <c r="Q461" i="11"/>
  <c r="P461" i="11"/>
  <c r="O461" i="11"/>
  <c r="N461" i="11"/>
  <c r="M461" i="11"/>
  <c r="L461" i="11"/>
  <c r="K461" i="11"/>
  <c r="I461" i="11"/>
  <c r="F461" i="11"/>
  <c r="X460" i="11"/>
  <c r="V460" i="11"/>
  <c r="U460" i="11"/>
  <c r="T460" i="11"/>
  <c r="S460" i="11"/>
  <c r="R460" i="11"/>
  <c r="Q460" i="11"/>
  <c r="P460" i="11"/>
  <c r="O460" i="11"/>
  <c r="N460" i="11"/>
  <c r="M460" i="11"/>
  <c r="L460" i="11"/>
  <c r="K460" i="11"/>
  <c r="I460" i="11"/>
  <c r="F460" i="11"/>
  <c r="X459" i="11"/>
  <c r="V459" i="11"/>
  <c r="U459" i="11"/>
  <c r="T459" i="11"/>
  <c r="S459" i="11"/>
  <c r="R459" i="11"/>
  <c r="Q459" i="11"/>
  <c r="P459" i="11"/>
  <c r="O459" i="11"/>
  <c r="N459" i="11"/>
  <c r="M459" i="11"/>
  <c r="L459" i="11"/>
  <c r="K459" i="11"/>
  <c r="I459" i="11"/>
  <c r="F459" i="11"/>
  <c r="X458" i="11"/>
  <c r="V458" i="11"/>
  <c r="U458" i="11"/>
  <c r="T458" i="11"/>
  <c r="S458" i="11"/>
  <c r="R458" i="11"/>
  <c r="Q458" i="11"/>
  <c r="P458" i="11"/>
  <c r="O458" i="11"/>
  <c r="N458" i="11"/>
  <c r="M458" i="11"/>
  <c r="L458" i="11"/>
  <c r="K458" i="11"/>
  <c r="I458" i="11"/>
  <c r="F458" i="11"/>
  <c r="X457" i="11"/>
  <c r="V457" i="11"/>
  <c r="U457" i="11"/>
  <c r="T457" i="11"/>
  <c r="S457" i="11"/>
  <c r="R457" i="11"/>
  <c r="Q457" i="11"/>
  <c r="P457" i="11"/>
  <c r="O457" i="11"/>
  <c r="N457" i="11"/>
  <c r="M457" i="11"/>
  <c r="L457" i="11"/>
  <c r="K457" i="11"/>
  <c r="I457" i="11"/>
  <c r="F457" i="11"/>
  <c r="X456" i="11"/>
  <c r="V456" i="11"/>
  <c r="U456" i="11"/>
  <c r="T456" i="11"/>
  <c r="S456" i="11"/>
  <c r="R456" i="11"/>
  <c r="Q456" i="11"/>
  <c r="P456" i="11"/>
  <c r="O456" i="11"/>
  <c r="N456" i="11"/>
  <c r="M456" i="11"/>
  <c r="L456" i="11"/>
  <c r="K456" i="11"/>
  <c r="I456" i="11"/>
  <c r="F456" i="11"/>
  <c r="X455" i="11"/>
  <c r="V455" i="11"/>
  <c r="U455" i="11"/>
  <c r="T455" i="11"/>
  <c r="S455" i="11"/>
  <c r="R455" i="11"/>
  <c r="Q455" i="11"/>
  <c r="P455" i="11"/>
  <c r="O455" i="11"/>
  <c r="N455" i="11"/>
  <c r="M455" i="11"/>
  <c r="L455" i="11"/>
  <c r="K455" i="11"/>
  <c r="I455" i="11"/>
  <c r="F455" i="11"/>
  <c r="X454" i="11"/>
  <c r="V454" i="11"/>
  <c r="U454" i="11"/>
  <c r="T454" i="11"/>
  <c r="S454" i="11"/>
  <c r="R454" i="11"/>
  <c r="Q454" i="11"/>
  <c r="P454" i="11"/>
  <c r="O454" i="11"/>
  <c r="N454" i="11"/>
  <c r="M454" i="11"/>
  <c r="L454" i="11"/>
  <c r="K454" i="11"/>
  <c r="I454" i="11"/>
  <c r="F454" i="11"/>
  <c r="X453" i="11"/>
  <c r="V453" i="11"/>
  <c r="U453" i="11"/>
  <c r="T453" i="11"/>
  <c r="S453" i="11"/>
  <c r="R453" i="11"/>
  <c r="Q453" i="11"/>
  <c r="P453" i="11"/>
  <c r="O453" i="11"/>
  <c r="N453" i="11"/>
  <c r="M453" i="11"/>
  <c r="L453" i="11"/>
  <c r="K453" i="11"/>
  <c r="I453" i="11"/>
  <c r="F453" i="11"/>
  <c r="X452" i="11"/>
  <c r="V452" i="11"/>
  <c r="U452" i="11"/>
  <c r="T452" i="11"/>
  <c r="S452" i="11"/>
  <c r="R452" i="11"/>
  <c r="Q452" i="11"/>
  <c r="P452" i="11"/>
  <c r="O452" i="11"/>
  <c r="N452" i="11"/>
  <c r="M452" i="11"/>
  <c r="L452" i="11"/>
  <c r="K452" i="11"/>
  <c r="I452" i="11"/>
  <c r="F452" i="11"/>
  <c r="X451" i="11"/>
  <c r="V451" i="11"/>
  <c r="U451" i="11"/>
  <c r="T451" i="11"/>
  <c r="S451" i="11"/>
  <c r="R451" i="11"/>
  <c r="Q451" i="11"/>
  <c r="P451" i="11"/>
  <c r="O451" i="11"/>
  <c r="N451" i="11"/>
  <c r="M451" i="11"/>
  <c r="L451" i="11"/>
  <c r="K451" i="11"/>
  <c r="I451" i="11"/>
  <c r="F451" i="11"/>
  <c r="X450" i="11"/>
  <c r="V450" i="11"/>
  <c r="U450" i="11"/>
  <c r="T450" i="11"/>
  <c r="S450" i="11"/>
  <c r="R450" i="11"/>
  <c r="Q450" i="11"/>
  <c r="P450" i="11"/>
  <c r="O450" i="11"/>
  <c r="N450" i="11"/>
  <c r="M450" i="11"/>
  <c r="L450" i="11"/>
  <c r="K450" i="11"/>
  <c r="I450" i="11"/>
  <c r="F450" i="11"/>
  <c r="X449" i="11"/>
  <c r="V449" i="11"/>
  <c r="U449" i="11"/>
  <c r="T449" i="11"/>
  <c r="S449" i="11"/>
  <c r="R449" i="11"/>
  <c r="Q449" i="11"/>
  <c r="P449" i="11"/>
  <c r="O449" i="11"/>
  <c r="N449" i="11"/>
  <c r="M449" i="11"/>
  <c r="L449" i="11"/>
  <c r="K449" i="11"/>
  <c r="I449" i="11"/>
  <c r="F449" i="11"/>
  <c r="X448" i="11"/>
  <c r="V448" i="11"/>
  <c r="U448" i="11"/>
  <c r="T448" i="11"/>
  <c r="S448" i="11"/>
  <c r="R448" i="11"/>
  <c r="Q448" i="11"/>
  <c r="P448" i="11"/>
  <c r="O448" i="11"/>
  <c r="N448" i="11"/>
  <c r="M448" i="11"/>
  <c r="L448" i="11"/>
  <c r="K448" i="11"/>
  <c r="I448" i="11"/>
  <c r="F448" i="11"/>
  <c r="X447" i="11"/>
  <c r="V447" i="11"/>
  <c r="U447" i="11"/>
  <c r="T447" i="11"/>
  <c r="S447" i="11"/>
  <c r="R447" i="11"/>
  <c r="Q447" i="11"/>
  <c r="P447" i="11"/>
  <c r="O447" i="11"/>
  <c r="N447" i="11"/>
  <c r="M447" i="11"/>
  <c r="L447" i="11"/>
  <c r="K447" i="11"/>
  <c r="I447" i="11"/>
  <c r="F447" i="11"/>
  <c r="X446" i="11"/>
  <c r="V446" i="11"/>
  <c r="U446" i="11"/>
  <c r="T446" i="11"/>
  <c r="S446" i="11"/>
  <c r="R446" i="11"/>
  <c r="Q446" i="11"/>
  <c r="P446" i="11"/>
  <c r="O446" i="11"/>
  <c r="N446" i="11"/>
  <c r="M446" i="11"/>
  <c r="L446" i="11"/>
  <c r="K446" i="11"/>
  <c r="I446" i="11"/>
  <c r="F446" i="11"/>
  <c r="X445" i="11"/>
  <c r="V445" i="11"/>
  <c r="U445" i="11"/>
  <c r="T445" i="11"/>
  <c r="S445" i="11"/>
  <c r="R445" i="11"/>
  <c r="Q445" i="11"/>
  <c r="P445" i="11"/>
  <c r="O445" i="11"/>
  <c r="N445" i="11"/>
  <c r="M445" i="11"/>
  <c r="L445" i="11"/>
  <c r="K445" i="11"/>
  <c r="I445" i="11"/>
  <c r="F445" i="11"/>
  <c r="X444" i="11"/>
  <c r="V444" i="11"/>
  <c r="U444" i="11"/>
  <c r="T444" i="11"/>
  <c r="S444" i="11"/>
  <c r="R444" i="11"/>
  <c r="Q444" i="11"/>
  <c r="P444" i="11"/>
  <c r="O444" i="11"/>
  <c r="N444" i="11"/>
  <c r="M444" i="11"/>
  <c r="L444" i="11"/>
  <c r="K444" i="11"/>
  <c r="I444" i="11"/>
  <c r="F444" i="11"/>
  <c r="X443" i="11"/>
  <c r="V443" i="11"/>
  <c r="U443" i="11"/>
  <c r="T443" i="11"/>
  <c r="S443" i="11"/>
  <c r="R443" i="11"/>
  <c r="Q443" i="11"/>
  <c r="P443" i="11"/>
  <c r="O443" i="11"/>
  <c r="N443" i="11"/>
  <c r="M443" i="11"/>
  <c r="L443" i="11"/>
  <c r="K443" i="11"/>
  <c r="I443" i="11"/>
  <c r="F443" i="11"/>
  <c r="X442" i="11"/>
  <c r="V442" i="11"/>
  <c r="U442" i="11"/>
  <c r="T442" i="11"/>
  <c r="S442" i="11"/>
  <c r="R442" i="11"/>
  <c r="Q442" i="11"/>
  <c r="P442" i="11"/>
  <c r="O442" i="11"/>
  <c r="N442" i="11"/>
  <c r="M442" i="11"/>
  <c r="L442" i="11"/>
  <c r="K442" i="11"/>
  <c r="I442" i="11"/>
  <c r="F442" i="11"/>
  <c r="X441" i="11"/>
  <c r="V441" i="11"/>
  <c r="U441" i="11"/>
  <c r="T441" i="11"/>
  <c r="S441" i="11"/>
  <c r="R441" i="11"/>
  <c r="Q441" i="11"/>
  <c r="P441" i="11"/>
  <c r="O441" i="11"/>
  <c r="N441" i="11"/>
  <c r="M441" i="11"/>
  <c r="L441" i="11"/>
  <c r="K441" i="11"/>
  <c r="I441" i="11"/>
  <c r="F441" i="11"/>
  <c r="X440" i="11"/>
  <c r="V440" i="11"/>
  <c r="U440" i="11"/>
  <c r="T440" i="11"/>
  <c r="S440" i="11"/>
  <c r="R440" i="11"/>
  <c r="Q440" i="11"/>
  <c r="P440" i="11"/>
  <c r="O440" i="11"/>
  <c r="N440" i="11"/>
  <c r="M440" i="11"/>
  <c r="L440" i="11"/>
  <c r="K440" i="11"/>
  <c r="I440" i="11"/>
  <c r="F440" i="11"/>
  <c r="X439" i="11"/>
  <c r="V439" i="11"/>
  <c r="U439" i="11"/>
  <c r="T439" i="11"/>
  <c r="S439" i="11"/>
  <c r="R439" i="11"/>
  <c r="Q439" i="11"/>
  <c r="P439" i="11"/>
  <c r="O439" i="11"/>
  <c r="N439" i="11"/>
  <c r="M439" i="11"/>
  <c r="L439" i="11"/>
  <c r="K439" i="11"/>
  <c r="I439" i="11"/>
  <c r="F439" i="11"/>
  <c r="X438" i="11"/>
  <c r="V438" i="11"/>
  <c r="U438" i="11"/>
  <c r="T438" i="11"/>
  <c r="S438" i="11"/>
  <c r="R438" i="11"/>
  <c r="Q438" i="11"/>
  <c r="P438" i="11"/>
  <c r="O438" i="11"/>
  <c r="N438" i="11"/>
  <c r="M438" i="11"/>
  <c r="L438" i="11"/>
  <c r="K438" i="11"/>
  <c r="I438" i="11"/>
  <c r="F438" i="11"/>
  <c r="X437" i="11"/>
  <c r="V437" i="11"/>
  <c r="U437" i="11"/>
  <c r="T437" i="11"/>
  <c r="S437" i="11"/>
  <c r="R437" i="11"/>
  <c r="Q437" i="11"/>
  <c r="P437" i="11"/>
  <c r="O437" i="11"/>
  <c r="N437" i="11"/>
  <c r="M437" i="11"/>
  <c r="L437" i="11"/>
  <c r="K437" i="11"/>
  <c r="I437" i="11"/>
  <c r="F437" i="11"/>
  <c r="X436" i="11"/>
  <c r="V436" i="11"/>
  <c r="U436" i="11"/>
  <c r="T436" i="11"/>
  <c r="S436" i="11"/>
  <c r="R436" i="11"/>
  <c r="Q436" i="11"/>
  <c r="P436" i="11"/>
  <c r="O436" i="11"/>
  <c r="N436" i="11"/>
  <c r="M436" i="11"/>
  <c r="L436" i="11"/>
  <c r="K436" i="11"/>
  <c r="I436" i="11"/>
  <c r="F436" i="11"/>
  <c r="X435" i="11"/>
  <c r="V435" i="11"/>
  <c r="U435" i="11"/>
  <c r="T435" i="11"/>
  <c r="S435" i="11"/>
  <c r="R435" i="11"/>
  <c r="Q435" i="11"/>
  <c r="P435" i="11"/>
  <c r="O435" i="11"/>
  <c r="N435" i="11"/>
  <c r="M435" i="11"/>
  <c r="L435" i="11"/>
  <c r="K435" i="11"/>
  <c r="I435" i="11"/>
  <c r="F435" i="11"/>
  <c r="X434" i="11"/>
  <c r="V434" i="11"/>
  <c r="U434" i="11"/>
  <c r="T434" i="11"/>
  <c r="S434" i="11"/>
  <c r="R434" i="11"/>
  <c r="Q434" i="11"/>
  <c r="P434" i="11"/>
  <c r="O434" i="11"/>
  <c r="N434" i="11"/>
  <c r="M434" i="11"/>
  <c r="L434" i="11"/>
  <c r="K434" i="11"/>
  <c r="I434" i="11"/>
  <c r="F434" i="11"/>
  <c r="X433" i="11"/>
  <c r="V433" i="11"/>
  <c r="U433" i="11"/>
  <c r="T433" i="11"/>
  <c r="S433" i="11"/>
  <c r="R433" i="11"/>
  <c r="Q433" i="11"/>
  <c r="P433" i="11"/>
  <c r="O433" i="11"/>
  <c r="N433" i="11"/>
  <c r="M433" i="11"/>
  <c r="L433" i="11"/>
  <c r="K433" i="11"/>
  <c r="I433" i="11"/>
  <c r="F433" i="11"/>
  <c r="X432" i="11"/>
  <c r="V432" i="11"/>
  <c r="U432" i="11"/>
  <c r="T432" i="11"/>
  <c r="S432" i="11"/>
  <c r="R432" i="11"/>
  <c r="Q432" i="11"/>
  <c r="P432" i="11"/>
  <c r="O432" i="11"/>
  <c r="N432" i="11"/>
  <c r="M432" i="11"/>
  <c r="L432" i="11"/>
  <c r="K432" i="11"/>
  <c r="I432" i="11"/>
  <c r="F432" i="11"/>
  <c r="X431" i="11"/>
  <c r="V431" i="11"/>
  <c r="U431" i="11"/>
  <c r="T431" i="11"/>
  <c r="S431" i="11"/>
  <c r="R431" i="11"/>
  <c r="Q431" i="11"/>
  <c r="P431" i="11"/>
  <c r="O431" i="11"/>
  <c r="N431" i="11"/>
  <c r="M431" i="11"/>
  <c r="L431" i="11"/>
  <c r="K431" i="11"/>
  <c r="I431" i="11"/>
  <c r="F431" i="11"/>
  <c r="X430" i="11"/>
  <c r="V430" i="11"/>
  <c r="U430" i="11"/>
  <c r="T430" i="11"/>
  <c r="S430" i="11"/>
  <c r="R430" i="11"/>
  <c r="Q430" i="11"/>
  <c r="P430" i="11"/>
  <c r="O430" i="11"/>
  <c r="N430" i="11"/>
  <c r="M430" i="11"/>
  <c r="L430" i="11"/>
  <c r="K430" i="11"/>
  <c r="I430" i="11"/>
  <c r="F430" i="11"/>
  <c r="X429" i="11"/>
  <c r="V429" i="11"/>
  <c r="U429" i="11"/>
  <c r="T429" i="11"/>
  <c r="S429" i="11"/>
  <c r="R429" i="11"/>
  <c r="Q429" i="11"/>
  <c r="P429" i="11"/>
  <c r="O429" i="11"/>
  <c r="N429" i="11"/>
  <c r="M429" i="11"/>
  <c r="L429" i="11"/>
  <c r="K429" i="11"/>
  <c r="I429" i="11"/>
  <c r="F429" i="11"/>
  <c r="X428" i="11"/>
  <c r="V428" i="11"/>
  <c r="U428" i="11"/>
  <c r="T428" i="11"/>
  <c r="S428" i="11"/>
  <c r="R428" i="11"/>
  <c r="Q428" i="11"/>
  <c r="P428" i="11"/>
  <c r="O428" i="11"/>
  <c r="N428" i="11"/>
  <c r="M428" i="11"/>
  <c r="L428" i="11"/>
  <c r="K428" i="11"/>
  <c r="I428" i="11"/>
  <c r="F428" i="11"/>
  <c r="X427" i="11"/>
  <c r="V427" i="11"/>
  <c r="U427" i="11"/>
  <c r="T427" i="11"/>
  <c r="S427" i="11"/>
  <c r="R427" i="11"/>
  <c r="Q427" i="11"/>
  <c r="P427" i="11"/>
  <c r="O427" i="11"/>
  <c r="N427" i="11"/>
  <c r="M427" i="11"/>
  <c r="L427" i="11"/>
  <c r="K427" i="11"/>
  <c r="I427" i="11"/>
  <c r="F427" i="11"/>
  <c r="X426" i="11"/>
  <c r="V426" i="11"/>
  <c r="U426" i="11"/>
  <c r="T426" i="11"/>
  <c r="S426" i="11"/>
  <c r="R426" i="11"/>
  <c r="Q426" i="11"/>
  <c r="P426" i="11"/>
  <c r="O426" i="11"/>
  <c r="N426" i="11"/>
  <c r="M426" i="11"/>
  <c r="L426" i="11"/>
  <c r="K426" i="11"/>
  <c r="I426" i="11"/>
  <c r="F426" i="11"/>
  <c r="X425" i="11"/>
  <c r="V425" i="11"/>
  <c r="U425" i="11"/>
  <c r="T425" i="11"/>
  <c r="S425" i="11"/>
  <c r="R425" i="11"/>
  <c r="Q425" i="11"/>
  <c r="P425" i="11"/>
  <c r="O425" i="11"/>
  <c r="N425" i="11"/>
  <c r="M425" i="11"/>
  <c r="L425" i="11"/>
  <c r="K425" i="11"/>
  <c r="I425" i="11"/>
  <c r="F425" i="11"/>
  <c r="X424" i="11"/>
  <c r="V424" i="11"/>
  <c r="U424" i="11"/>
  <c r="T424" i="11"/>
  <c r="S424" i="11"/>
  <c r="R424" i="11"/>
  <c r="Q424" i="11"/>
  <c r="P424" i="11"/>
  <c r="O424" i="11"/>
  <c r="N424" i="11"/>
  <c r="M424" i="11"/>
  <c r="L424" i="11"/>
  <c r="K424" i="11"/>
  <c r="I424" i="11"/>
  <c r="F424" i="11"/>
  <c r="X423" i="11"/>
  <c r="V423" i="11"/>
  <c r="U423" i="11"/>
  <c r="T423" i="11"/>
  <c r="S423" i="11"/>
  <c r="R423" i="11"/>
  <c r="Q423" i="11"/>
  <c r="P423" i="11"/>
  <c r="O423" i="11"/>
  <c r="N423" i="11"/>
  <c r="M423" i="11"/>
  <c r="L423" i="11"/>
  <c r="K423" i="11"/>
  <c r="I423" i="11"/>
  <c r="F423" i="11"/>
  <c r="X422" i="11"/>
  <c r="V422" i="11"/>
  <c r="U422" i="11"/>
  <c r="T422" i="11"/>
  <c r="S422" i="11"/>
  <c r="R422" i="11"/>
  <c r="Q422" i="11"/>
  <c r="P422" i="11"/>
  <c r="O422" i="11"/>
  <c r="N422" i="11"/>
  <c r="M422" i="11"/>
  <c r="L422" i="11"/>
  <c r="K422" i="11"/>
  <c r="I422" i="11"/>
  <c r="F422" i="11"/>
  <c r="X421" i="11"/>
  <c r="V421" i="11"/>
  <c r="U421" i="11"/>
  <c r="T421" i="11"/>
  <c r="S421" i="11"/>
  <c r="R421" i="11"/>
  <c r="Q421" i="11"/>
  <c r="P421" i="11"/>
  <c r="O421" i="11"/>
  <c r="N421" i="11"/>
  <c r="M421" i="11"/>
  <c r="L421" i="11"/>
  <c r="K421" i="11"/>
  <c r="I421" i="11"/>
  <c r="F421" i="11"/>
  <c r="X420" i="11"/>
  <c r="V420" i="11"/>
  <c r="U420" i="11"/>
  <c r="T420" i="11"/>
  <c r="S420" i="11"/>
  <c r="R420" i="11"/>
  <c r="Q420" i="11"/>
  <c r="P420" i="11"/>
  <c r="O420" i="11"/>
  <c r="N420" i="11"/>
  <c r="M420" i="11"/>
  <c r="L420" i="11"/>
  <c r="K420" i="11"/>
  <c r="I420" i="11"/>
  <c r="F420" i="11"/>
  <c r="X419" i="11"/>
  <c r="V419" i="11"/>
  <c r="U419" i="11"/>
  <c r="T419" i="11"/>
  <c r="S419" i="11"/>
  <c r="R419" i="11"/>
  <c r="Q419" i="11"/>
  <c r="P419" i="11"/>
  <c r="O419" i="11"/>
  <c r="N419" i="11"/>
  <c r="M419" i="11"/>
  <c r="L419" i="11"/>
  <c r="K419" i="11"/>
  <c r="I419" i="11"/>
  <c r="F419" i="11"/>
  <c r="X418" i="11"/>
  <c r="V418" i="11"/>
  <c r="U418" i="11"/>
  <c r="T418" i="11"/>
  <c r="S418" i="11"/>
  <c r="R418" i="11"/>
  <c r="Q418" i="11"/>
  <c r="P418" i="11"/>
  <c r="O418" i="11"/>
  <c r="N418" i="11"/>
  <c r="M418" i="11"/>
  <c r="L418" i="11"/>
  <c r="K418" i="11"/>
  <c r="I418" i="11"/>
  <c r="F418" i="11"/>
  <c r="X417" i="11"/>
  <c r="V417" i="11"/>
  <c r="U417" i="11"/>
  <c r="T417" i="11"/>
  <c r="S417" i="11"/>
  <c r="R417" i="11"/>
  <c r="Q417" i="11"/>
  <c r="P417" i="11"/>
  <c r="O417" i="11"/>
  <c r="N417" i="11"/>
  <c r="M417" i="11"/>
  <c r="L417" i="11"/>
  <c r="K417" i="11"/>
  <c r="I417" i="11"/>
  <c r="F417" i="11"/>
  <c r="X416" i="11"/>
  <c r="V416" i="11"/>
  <c r="U416" i="11"/>
  <c r="T416" i="11"/>
  <c r="S416" i="11"/>
  <c r="R416" i="11"/>
  <c r="Q416" i="11"/>
  <c r="P416" i="11"/>
  <c r="O416" i="11"/>
  <c r="N416" i="11"/>
  <c r="M416" i="11"/>
  <c r="L416" i="11"/>
  <c r="K416" i="11"/>
  <c r="I416" i="11"/>
  <c r="F416" i="11"/>
  <c r="X415" i="11"/>
  <c r="V415" i="11"/>
  <c r="U415" i="11"/>
  <c r="T415" i="11"/>
  <c r="S415" i="11"/>
  <c r="R415" i="11"/>
  <c r="Q415" i="11"/>
  <c r="P415" i="11"/>
  <c r="O415" i="11"/>
  <c r="N415" i="11"/>
  <c r="M415" i="11"/>
  <c r="L415" i="11"/>
  <c r="K415" i="11"/>
  <c r="I415" i="11"/>
  <c r="F415" i="11"/>
  <c r="X414" i="11"/>
  <c r="V414" i="11"/>
  <c r="U414" i="11"/>
  <c r="T414" i="11"/>
  <c r="S414" i="11"/>
  <c r="R414" i="11"/>
  <c r="Q414" i="11"/>
  <c r="P414" i="11"/>
  <c r="O414" i="11"/>
  <c r="N414" i="11"/>
  <c r="M414" i="11"/>
  <c r="L414" i="11"/>
  <c r="K414" i="11"/>
  <c r="I414" i="11"/>
  <c r="F414" i="11"/>
  <c r="X413" i="11"/>
  <c r="V413" i="11"/>
  <c r="U413" i="11"/>
  <c r="T413" i="11"/>
  <c r="S413" i="11"/>
  <c r="R413" i="11"/>
  <c r="Q413" i="11"/>
  <c r="P413" i="11"/>
  <c r="O413" i="11"/>
  <c r="N413" i="11"/>
  <c r="M413" i="11"/>
  <c r="L413" i="11"/>
  <c r="K413" i="11"/>
  <c r="I413" i="11"/>
  <c r="F413" i="11"/>
  <c r="X412" i="11"/>
  <c r="V412" i="11"/>
  <c r="U412" i="11"/>
  <c r="T412" i="11"/>
  <c r="S412" i="11"/>
  <c r="R412" i="11"/>
  <c r="Q412" i="11"/>
  <c r="P412" i="11"/>
  <c r="O412" i="11"/>
  <c r="N412" i="11"/>
  <c r="M412" i="11"/>
  <c r="L412" i="11"/>
  <c r="K412" i="11"/>
  <c r="I412" i="11"/>
  <c r="F412" i="11"/>
  <c r="X411" i="11"/>
  <c r="V411" i="11"/>
  <c r="U411" i="11"/>
  <c r="T411" i="11"/>
  <c r="S411" i="11"/>
  <c r="R411" i="11"/>
  <c r="Q411" i="11"/>
  <c r="P411" i="11"/>
  <c r="O411" i="11"/>
  <c r="N411" i="11"/>
  <c r="M411" i="11"/>
  <c r="L411" i="11"/>
  <c r="K411" i="11"/>
  <c r="I411" i="11"/>
  <c r="F411" i="11"/>
  <c r="X410" i="11"/>
  <c r="V410" i="11"/>
  <c r="U410" i="11"/>
  <c r="T410" i="11"/>
  <c r="S410" i="11"/>
  <c r="R410" i="11"/>
  <c r="Q410" i="11"/>
  <c r="P410" i="11"/>
  <c r="O410" i="11"/>
  <c r="N410" i="11"/>
  <c r="M410" i="11"/>
  <c r="L410" i="11"/>
  <c r="K410" i="11"/>
  <c r="I410" i="11"/>
  <c r="F410" i="11"/>
  <c r="X409" i="11"/>
  <c r="V409" i="11"/>
  <c r="U409" i="11"/>
  <c r="T409" i="11"/>
  <c r="S409" i="11"/>
  <c r="R409" i="11"/>
  <c r="Q409" i="11"/>
  <c r="P409" i="11"/>
  <c r="O409" i="11"/>
  <c r="N409" i="11"/>
  <c r="M409" i="11"/>
  <c r="L409" i="11"/>
  <c r="K409" i="11"/>
  <c r="I409" i="11"/>
  <c r="F409" i="11"/>
  <c r="X408" i="11"/>
  <c r="V408" i="11"/>
  <c r="U408" i="11"/>
  <c r="T408" i="11"/>
  <c r="S408" i="11"/>
  <c r="R408" i="11"/>
  <c r="Q408" i="11"/>
  <c r="P408" i="11"/>
  <c r="O408" i="11"/>
  <c r="N408" i="11"/>
  <c r="M408" i="11"/>
  <c r="L408" i="11"/>
  <c r="K408" i="11"/>
  <c r="I408" i="11"/>
  <c r="F408" i="11"/>
  <c r="X407" i="11"/>
  <c r="V407" i="11"/>
  <c r="U407" i="11"/>
  <c r="T407" i="11"/>
  <c r="S407" i="11"/>
  <c r="R407" i="11"/>
  <c r="Q407" i="11"/>
  <c r="P407" i="11"/>
  <c r="O407" i="11"/>
  <c r="N407" i="11"/>
  <c r="M407" i="11"/>
  <c r="L407" i="11"/>
  <c r="K407" i="11"/>
  <c r="I407" i="11"/>
  <c r="F407" i="11"/>
  <c r="X406" i="11"/>
  <c r="V406" i="11"/>
  <c r="U406" i="11"/>
  <c r="T406" i="11"/>
  <c r="S406" i="11"/>
  <c r="R406" i="11"/>
  <c r="Q406" i="11"/>
  <c r="P406" i="11"/>
  <c r="O406" i="11"/>
  <c r="N406" i="11"/>
  <c r="M406" i="11"/>
  <c r="L406" i="11"/>
  <c r="K406" i="11"/>
  <c r="I406" i="11"/>
  <c r="F406" i="11"/>
  <c r="X405" i="11"/>
  <c r="V405" i="11"/>
  <c r="U405" i="11"/>
  <c r="T405" i="11"/>
  <c r="S405" i="11"/>
  <c r="R405" i="11"/>
  <c r="Q405" i="11"/>
  <c r="P405" i="11"/>
  <c r="O405" i="11"/>
  <c r="N405" i="11"/>
  <c r="M405" i="11"/>
  <c r="L405" i="11"/>
  <c r="K405" i="11"/>
  <c r="I405" i="11"/>
  <c r="F405" i="11"/>
  <c r="X404" i="11"/>
  <c r="V404" i="11"/>
  <c r="U404" i="11"/>
  <c r="T404" i="11"/>
  <c r="S404" i="11"/>
  <c r="R404" i="11"/>
  <c r="Q404" i="11"/>
  <c r="P404" i="11"/>
  <c r="O404" i="11"/>
  <c r="N404" i="11"/>
  <c r="M404" i="11"/>
  <c r="L404" i="11"/>
  <c r="K404" i="11"/>
  <c r="I404" i="11"/>
  <c r="F404" i="11"/>
  <c r="X403" i="11"/>
  <c r="V403" i="11"/>
  <c r="U403" i="11"/>
  <c r="T403" i="11"/>
  <c r="S403" i="11"/>
  <c r="R403" i="11"/>
  <c r="Q403" i="11"/>
  <c r="P403" i="11"/>
  <c r="O403" i="11"/>
  <c r="N403" i="11"/>
  <c r="M403" i="11"/>
  <c r="L403" i="11"/>
  <c r="K403" i="11"/>
  <c r="I403" i="11"/>
  <c r="F403" i="11"/>
  <c r="X402" i="11"/>
  <c r="V402" i="11"/>
  <c r="U402" i="11"/>
  <c r="T402" i="11"/>
  <c r="S402" i="11"/>
  <c r="R402" i="11"/>
  <c r="Q402" i="11"/>
  <c r="P402" i="11"/>
  <c r="O402" i="11"/>
  <c r="N402" i="11"/>
  <c r="M402" i="11"/>
  <c r="L402" i="11"/>
  <c r="K402" i="11"/>
  <c r="I402" i="11"/>
  <c r="F402" i="11"/>
  <c r="X401" i="11"/>
  <c r="V401" i="11"/>
  <c r="U401" i="11"/>
  <c r="T401" i="11"/>
  <c r="S401" i="11"/>
  <c r="R401" i="11"/>
  <c r="Q401" i="11"/>
  <c r="P401" i="11"/>
  <c r="O401" i="11"/>
  <c r="N401" i="11"/>
  <c r="M401" i="11"/>
  <c r="L401" i="11"/>
  <c r="K401" i="11"/>
  <c r="I401" i="11"/>
  <c r="F401" i="11"/>
  <c r="X400" i="11"/>
  <c r="V400" i="11"/>
  <c r="U400" i="11"/>
  <c r="T400" i="11"/>
  <c r="S400" i="11"/>
  <c r="R400" i="11"/>
  <c r="Q400" i="11"/>
  <c r="P400" i="11"/>
  <c r="O400" i="11"/>
  <c r="N400" i="11"/>
  <c r="M400" i="11"/>
  <c r="L400" i="11"/>
  <c r="K400" i="11"/>
  <c r="I400" i="11"/>
  <c r="F400" i="11"/>
  <c r="X399" i="11"/>
  <c r="V399" i="11"/>
  <c r="U399" i="11"/>
  <c r="T399" i="11"/>
  <c r="S399" i="11"/>
  <c r="R399" i="11"/>
  <c r="Q399" i="11"/>
  <c r="P399" i="11"/>
  <c r="O399" i="11"/>
  <c r="N399" i="11"/>
  <c r="M399" i="11"/>
  <c r="L399" i="11"/>
  <c r="K399" i="11"/>
  <c r="I399" i="11"/>
  <c r="F399" i="11"/>
  <c r="X398" i="11"/>
  <c r="V398" i="11"/>
  <c r="U398" i="11"/>
  <c r="T398" i="11"/>
  <c r="S398" i="11"/>
  <c r="R398" i="11"/>
  <c r="Q398" i="11"/>
  <c r="P398" i="11"/>
  <c r="O398" i="11"/>
  <c r="N398" i="11"/>
  <c r="M398" i="11"/>
  <c r="L398" i="11"/>
  <c r="K398" i="11"/>
  <c r="I398" i="11"/>
  <c r="F398" i="11"/>
  <c r="X397" i="11"/>
  <c r="V397" i="11"/>
  <c r="U397" i="11"/>
  <c r="T397" i="11"/>
  <c r="S397" i="11"/>
  <c r="R397" i="11"/>
  <c r="Q397" i="11"/>
  <c r="P397" i="11"/>
  <c r="O397" i="11"/>
  <c r="N397" i="11"/>
  <c r="M397" i="11"/>
  <c r="L397" i="11"/>
  <c r="K397" i="11"/>
  <c r="I397" i="11"/>
  <c r="F397" i="11"/>
  <c r="X396" i="11"/>
  <c r="V396" i="11"/>
  <c r="U396" i="11"/>
  <c r="T396" i="11"/>
  <c r="S396" i="11"/>
  <c r="R396" i="11"/>
  <c r="Q396" i="11"/>
  <c r="P396" i="11"/>
  <c r="O396" i="11"/>
  <c r="N396" i="11"/>
  <c r="M396" i="11"/>
  <c r="L396" i="11"/>
  <c r="K396" i="11"/>
  <c r="I396" i="11"/>
  <c r="F396" i="11"/>
  <c r="X395" i="11"/>
  <c r="V395" i="11"/>
  <c r="U395" i="11"/>
  <c r="T395" i="11"/>
  <c r="S395" i="11"/>
  <c r="R395" i="11"/>
  <c r="Q395" i="11"/>
  <c r="P395" i="11"/>
  <c r="O395" i="11"/>
  <c r="N395" i="11"/>
  <c r="M395" i="11"/>
  <c r="L395" i="11"/>
  <c r="K395" i="11"/>
  <c r="I395" i="11"/>
  <c r="F395" i="11"/>
  <c r="X394" i="11"/>
  <c r="V394" i="11"/>
  <c r="U394" i="11"/>
  <c r="T394" i="11"/>
  <c r="S394" i="11"/>
  <c r="R394" i="11"/>
  <c r="Q394" i="11"/>
  <c r="P394" i="11"/>
  <c r="O394" i="11"/>
  <c r="N394" i="11"/>
  <c r="M394" i="11"/>
  <c r="L394" i="11"/>
  <c r="K394" i="11"/>
  <c r="I394" i="11"/>
  <c r="F394" i="11"/>
  <c r="X393" i="11"/>
  <c r="V393" i="11"/>
  <c r="U393" i="11"/>
  <c r="T393" i="11"/>
  <c r="S393" i="11"/>
  <c r="R393" i="11"/>
  <c r="Q393" i="11"/>
  <c r="P393" i="11"/>
  <c r="O393" i="11"/>
  <c r="N393" i="11"/>
  <c r="M393" i="11"/>
  <c r="L393" i="11"/>
  <c r="K393" i="11"/>
  <c r="I393" i="11"/>
  <c r="F393" i="11"/>
  <c r="X392" i="11"/>
  <c r="V392" i="11"/>
  <c r="U392" i="11"/>
  <c r="T392" i="11"/>
  <c r="S392" i="11"/>
  <c r="R392" i="11"/>
  <c r="Q392" i="11"/>
  <c r="P392" i="11"/>
  <c r="O392" i="11"/>
  <c r="N392" i="11"/>
  <c r="M392" i="11"/>
  <c r="L392" i="11"/>
  <c r="K392" i="11"/>
  <c r="I392" i="11"/>
  <c r="F392" i="11"/>
  <c r="X391" i="11"/>
  <c r="V391" i="11"/>
  <c r="U391" i="11"/>
  <c r="T391" i="11"/>
  <c r="S391" i="11"/>
  <c r="R391" i="11"/>
  <c r="Q391" i="11"/>
  <c r="P391" i="11"/>
  <c r="O391" i="11"/>
  <c r="N391" i="11"/>
  <c r="M391" i="11"/>
  <c r="L391" i="11"/>
  <c r="K391" i="11"/>
  <c r="I391" i="11"/>
  <c r="F391" i="11"/>
  <c r="X390" i="11"/>
  <c r="V390" i="11"/>
  <c r="U390" i="11"/>
  <c r="T390" i="11"/>
  <c r="S390" i="11"/>
  <c r="R390" i="11"/>
  <c r="Q390" i="11"/>
  <c r="P390" i="11"/>
  <c r="O390" i="11"/>
  <c r="N390" i="11"/>
  <c r="M390" i="11"/>
  <c r="L390" i="11"/>
  <c r="K390" i="11"/>
  <c r="I390" i="11"/>
  <c r="F390" i="11"/>
  <c r="X389" i="11"/>
  <c r="V389" i="11"/>
  <c r="U389" i="11"/>
  <c r="T389" i="11"/>
  <c r="S389" i="11"/>
  <c r="R389" i="11"/>
  <c r="Q389" i="11"/>
  <c r="P389" i="11"/>
  <c r="O389" i="11"/>
  <c r="N389" i="11"/>
  <c r="M389" i="11"/>
  <c r="L389" i="11"/>
  <c r="K389" i="11"/>
  <c r="I389" i="11"/>
  <c r="F389" i="11"/>
  <c r="X388" i="11"/>
  <c r="V388" i="11"/>
  <c r="U388" i="11"/>
  <c r="T388" i="11"/>
  <c r="S388" i="11"/>
  <c r="R388" i="11"/>
  <c r="Q388" i="11"/>
  <c r="P388" i="11"/>
  <c r="O388" i="11"/>
  <c r="N388" i="11"/>
  <c r="M388" i="11"/>
  <c r="L388" i="11"/>
  <c r="K388" i="11"/>
  <c r="I388" i="11"/>
  <c r="F388" i="11"/>
  <c r="X387" i="11"/>
  <c r="V387" i="11"/>
  <c r="U387" i="11"/>
  <c r="T387" i="11"/>
  <c r="S387" i="11"/>
  <c r="R387" i="11"/>
  <c r="Q387" i="11"/>
  <c r="P387" i="11"/>
  <c r="O387" i="11"/>
  <c r="N387" i="11"/>
  <c r="M387" i="11"/>
  <c r="L387" i="11"/>
  <c r="K387" i="11"/>
  <c r="I387" i="11"/>
  <c r="F387" i="11"/>
  <c r="X386" i="11"/>
  <c r="V386" i="11"/>
  <c r="U386" i="11"/>
  <c r="T386" i="11"/>
  <c r="S386" i="11"/>
  <c r="R386" i="11"/>
  <c r="Q386" i="11"/>
  <c r="P386" i="11"/>
  <c r="O386" i="11"/>
  <c r="N386" i="11"/>
  <c r="M386" i="11"/>
  <c r="L386" i="11"/>
  <c r="K386" i="11"/>
  <c r="I386" i="11"/>
  <c r="F386" i="11"/>
  <c r="X385" i="11"/>
  <c r="V385" i="11"/>
  <c r="U385" i="11"/>
  <c r="T385" i="11"/>
  <c r="S385" i="11"/>
  <c r="R385" i="11"/>
  <c r="Q385" i="11"/>
  <c r="P385" i="11"/>
  <c r="O385" i="11"/>
  <c r="N385" i="11"/>
  <c r="M385" i="11"/>
  <c r="L385" i="11"/>
  <c r="K385" i="11"/>
  <c r="I385" i="11"/>
  <c r="F385" i="11"/>
  <c r="X384" i="11"/>
  <c r="V384" i="11"/>
  <c r="U384" i="11"/>
  <c r="T384" i="11"/>
  <c r="S384" i="11"/>
  <c r="R384" i="11"/>
  <c r="Q384" i="11"/>
  <c r="P384" i="11"/>
  <c r="O384" i="11"/>
  <c r="N384" i="11"/>
  <c r="M384" i="11"/>
  <c r="L384" i="11"/>
  <c r="K384" i="11"/>
  <c r="I384" i="11"/>
  <c r="F384" i="11"/>
  <c r="X383" i="11"/>
  <c r="V383" i="11"/>
  <c r="U383" i="11"/>
  <c r="T383" i="11"/>
  <c r="S383" i="11"/>
  <c r="R383" i="11"/>
  <c r="Q383" i="11"/>
  <c r="P383" i="11"/>
  <c r="O383" i="11"/>
  <c r="N383" i="11"/>
  <c r="M383" i="11"/>
  <c r="L383" i="11"/>
  <c r="K383" i="11"/>
  <c r="I383" i="11"/>
  <c r="F383" i="11"/>
  <c r="X382" i="11"/>
  <c r="V382" i="11"/>
  <c r="U382" i="11"/>
  <c r="T382" i="11"/>
  <c r="S382" i="11"/>
  <c r="R382" i="11"/>
  <c r="Q382" i="11"/>
  <c r="P382" i="11"/>
  <c r="O382" i="11"/>
  <c r="N382" i="11"/>
  <c r="M382" i="11"/>
  <c r="L382" i="11"/>
  <c r="K382" i="11"/>
  <c r="I382" i="11"/>
  <c r="F382" i="11"/>
  <c r="X381" i="11"/>
  <c r="V381" i="11"/>
  <c r="U381" i="11"/>
  <c r="T381" i="11"/>
  <c r="S381" i="11"/>
  <c r="R381" i="11"/>
  <c r="Q381" i="11"/>
  <c r="P381" i="11"/>
  <c r="O381" i="11"/>
  <c r="N381" i="11"/>
  <c r="M381" i="11"/>
  <c r="L381" i="11"/>
  <c r="K381" i="11"/>
  <c r="I381" i="11"/>
  <c r="F381" i="11"/>
  <c r="X380" i="11"/>
  <c r="V380" i="11"/>
  <c r="U380" i="11"/>
  <c r="T380" i="11"/>
  <c r="S380" i="11"/>
  <c r="R380" i="11"/>
  <c r="Q380" i="11"/>
  <c r="P380" i="11"/>
  <c r="O380" i="11"/>
  <c r="N380" i="11"/>
  <c r="M380" i="11"/>
  <c r="L380" i="11"/>
  <c r="K380" i="11"/>
  <c r="I380" i="11"/>
  <c r="F380" i="11"/>
  <c r="X379" i="11"/>
  <c r="V379" i="11"/>
  <c r="U379" i="11"/>
  <c r="T379" i="11"/>
  <c r="S379" i="11"/>
  <c r="R379" i="11"/>
  <c r="Q379" i="11"/>
  <c r="P379" i="11"/>
  <c r="O379" i="11"/>
  <c r="N379" i="11"/>
  <c r="M379" i="11"/>
  <c r="L379" i="11"/>
  <c r="K379" i="11"/>
  <c r="I379" i="11"/>
  <c r="F379" i="11"/>
  <c r="X378" i="11"/>
  <c r="V378" i="11"/>
  <c r="U378" i="11"/>
  <c r="T378" i="11"/>
  <c r="S378" i="11"/>
  <c r="R378" i="11"/>
  <c r="Q378" i="11"/>
  <c r="P378" i="11"/>
  <c r="O378" i="11"/>
  <c r="N378" i="11"/>
  <c r="M378" i="11"/>
  <c r="L378" i="11"/>
  <c r="K378" i="11"/>
  <c r="I378" i="11"/>
  <c r="F378" i="11"/>
  <c r="X377" i="11"/>
  <c r="V377" i="11"/>
  <c r="U377" i="11"/>
  <c r="T377" i="11"/>
  <c r="S377" i="11"/>
  <c r="R377" i="11"/>
  <c r="Q377" i="11"/>
  <c r="P377" i="11"/>
  <c r="O377" i="11"/>
  <c r="N377" i="11"/>
  <c r="M377" i="11"/>
  <c r="L377" i="11"/>
  <c r="K377" i="11"/>
  <c r="I377" i="11"/>
  <c r="F377" i="11"/>
  <c r="X376" i="11"/>
  <c r="V376" i="11"/>
  <c r="U376" i="11"/>
  <c r="T376" i="11"/>
  <c r="S376" i="11"/>
  <c r="R376" i="11"/>
  <c r="Q376" i="11"/>
  <c r="P376" i="11"/>
  <c r="O376" i="11"/>
  <c r="N376" i="11"/>
  <c r="M376" i="11"/>
  <c r="L376" i="11"/>
  <c r="K376" i="11"/>
  <c r="I376" i="11"/>
  <c r="F376" i="11"/>
  <c r="X375" i="11"/>
  <c r="V375" i="11"/>
  <c r="U375" i="11"/>
  <c r="T375" i="11"/>
  <c r="S375" i="11"/>
  <c r="R375" i="11"/>
  <c r="Q375" i="11"/>
  <c r="P375" i="11"/>
  <c r="O375" i="11"/>
  <c r="N375" i="11"/>
  <c r="M375" i="11"/>
  <c r="L375" i="11"/>
  <c r="K375" i="11"/>
  <c r="I375" i="11"/>
  <c r="F375" i="11"/>
  <c r="X374" i="11"/>
  <c r="V374" i="11"/>
  <c r="U374" i="11"/>
  <c r="T374" i="11"/>
  <c r="S374" i="11"/>
  <c r="R374" i="11"/>
  <c r="Q374" i="11"/>
  <c r="P374" i="11"/>
  <c r="O374" i="11"/>
  <c r="N374" i="11"/>
  <c r="M374" i="11"/>
  <c r="L374" i="11"/>
  <c r="K374" i="11"/>
  <c r="I374" i="11"/>
  <c r="F374" i="11"/>
  <c r="X373" i="11"/>
  <c r="V373" i="11"/>
  <c r="U373" i="11"/>
  <c r="T373" i="11"/>
  <c r="S373" i="11"/>
  <c r="R373" i="11"/>
  <c r="Q373" i="11"/>
  <c r="P373" i="11"/>
  <c r="O373" i="11"/>
  <c r="N373" i="11"/>
  <c r="M373" i="11"/>
  <c r="L373" i="11"/>
  <c r="K373" i="11"/>
  <c r="I373" i="11"/>
  <c r="F373" i="11"/>
  <c r="X372" i="11"/>
  <c r="V372" i="11"/>
  <c r="U372" i="11"/>
  <c r="T372" i="11"/>
  <c r="S372" i="11"/>
  <c r="R372" i="11"/>
  <c r="Q372" i="11"/>
  <c r="P372" i="11"/>
  <c r="O372" i="11"/>
  <c r="N372" i="11"/>
  <c r="M372" i="11"/>
  <c r="L372" i="11"/>
  <c r="K372" i="11"/>
  <c r="I372" i="11"/>
  <c r="F372" i="11"/>
  <c r="X371" i="11"/>
  <c r="V371" i="11"/>
  <c r="U371" i="11"/>
  <c r="T371" i="11"/>
  <c r="S371" i="11"/>
  <c r="R371" i="11"/>
  <c r="Q371" i="11"/>
  <c r="P371" i="11"/>
  <c r="O371" i="11"/>
  <c r="N371" i="11"/>
  <c r="M371" i="11"/>
  <c r="L371" i="11"/>
  <c r="K371" i="11"/>
  <c r="I371" i="11"/>
  <c r="F371" i="11"/>
  <c r="X370" i="11"/>
  <c r="V370" i="11"/>
  <c r="U370" i="11"/>
  <c r="T370" i="11"/>
  <c r="S370" i="11"/>
  <c r="R370" i="11"/>
  <c r="Q370" i="11"/>
  <c r="P370" i="11"/>
  <c r="O370" i="11"/>
  <c r="N370" i="11"/>
  <c r="M370" i="11"/>
  <c r="L370" i="11"/>
  <c r="K370" i="11"/>
  <c r="I370" i="11"/>
  <c r="F370" i="11"/>
  <c r="X369" i="11"/>
  <c r="V369" i="11"/>
  <c r="U369" i="11"/>
  <c r="T369" i="11"/>
  <c r="S369" i="11"/>
  <c r="R369" i="11"/>
  <c r="Q369" i="11"/>
  <c r="P369" i="11"/>
  <c r="O369" i="11"/>
  <c r="N369" i="11"/>
  <c r="M369" i="11"/>
  <c r="L369" i="11"/>
  <c r="K369" i="11"/>
  <c r="I369" i="11"/>
  <c r="F369" i="11"/>
  <c r="X368" i="11"/>
  <c r="V368" i="11"/>
  <c r="U368" i="11"/>
  <c r="T368" i="11"/>
  <c r="S368" i="11"/>
  <c r="R368" i="11"/>
  <c r="Q368" i="11"/>
  <c r="P368" i="11"/>
  <c r="O368" i="11"/>
  <c r="N368" i="11"/>
  <c r="M368" i="11"/>
  <c r="L368" i="11"/>
  <c r="K368" i="11"/>
  <c r="I368" i="11"/>
  <c r="F368" i="11"/>
  <c r="X367" i="11"/>
  <c r="V367" i="11"/>
  <c r="U367" i="11"/>
  <c r="T367" i="11"/>
  <c r="S367" i="11"/>
  <c r="R367" i="11"/>
  <c r="Q367" i="11"/>
  <c r="P367" i="11"/>
  <c r="O367" i="11"/>
  <c r="N367" i="11"/>
  <c r="M367" i="11"/>
  <c r="L367" i="11"/>
  <c r="K367" i="11"/>
  <c r="I367" i="11"/>
  <c r="F367" i="11"/>
  <c r="X366" i="11"/>
  <c r="V366" i="11"/>
  <c r="U366" i="11"/>
  <c r="T366" i="11"/>
  <c r="S366" i="11"/>
  <c r="R366" i="11"/>
  <c r="Q366" i="11"/>
  <c r="P366" i="11"/>
  <c r="O366" i="11"/>
  <c r="N366" i="11"/>
  <c r="M366" i="11"/>
  <c r="L366" i="11"/>
  <c r="K366" i="11"/>
  <c r="I366" i="11"/>
  <c r="F366" i="11"/>
  <c r="X365" i="11"/>
  <c r="V365" i="11"/>
  <c r="U365" i="11"/>
  <c r="T365" i="11"/>
  <c r="S365" i="11"/>
  <c r="R365" i="11"/>
  <c r="Q365" i="11"/>
  <c r="P365" i="11"/>
  <c r="O365" i="11"/>
  <c r="N365" i="11"/>
  <c r="M365" i="11"/>
  <c r="L365" i="11"/>
  <c r="K365" i="11"/>
  <c r="I365" i="11"/>
  <c r="F365" i="11"/>
  <c r="X364" i="11"/>
  <c r="V364" i="11"/>
  <c r="U364" i="11"/>
  <c r="T364" i="11"/>
  <c r="S364" i="11"/>
  <c r="R364" i="11"/>
  <c r="Q364" i="11"/>
  <c r="P364" i="11"/>
  <c r="O364" i="11"/>
  <c r="N364" i="11"/>
  <c r="M364" i="11"/>
  <c r="L364" i="11"/>
  <c r="K364" i="11"/>
  <c r="I364" i="11"/>
  <c r="F364" i="11"/>
  <c r="X363" i="11"/>
  <c r="V363" i="11"/>
  <c r="U363" i="11"/>
  <c r="T363" i="11"/>
  <c r="S363" i="11"/>
  <c r="R363" i="11"/>
  <c r="Q363" i="11"/>
  <c r="P363" i="11"/>
  <c r="O363" i="11"/>
  <c r="N363" i="11"/>
  <c r="M363" i="11"/>
  <c r="L363" i="11"/>
  <c r="K363" i="11"/>
  <c r="I363" i="11"/>
  <c r="F363" i="11"/>
  <c r="X362" i="11"/>
  <c r="V362" i="11"/>
  <c r="U362" i="11"/>
  <c r="T362" i="11"/>
  <c r="S362" i="11"/>
  <c r="R362" i="11"/>
  <c r="Q362" i="11"/>
  <c r="P362" i="11"/>
  <c r="O362" i="11"/>
  <c r="N362" i="11"/>
  <c r="M362" i="11"/>
  <c r="L362" i="11"/>
  <c r="K362" i="11"/>
  <c r="I362" i="11"/>
  <c r="F362" i="11"/>
  <c r="X361" i="11"/>
  <c r="V361" i="11"/>
  <c r="U361" i="11"/>
  <c r="T361" i="11"/>
  <c r="S361" i="11"/>
  <c r="R361" i="11"/>
  <c r="Q361" i="11"/>
  <c r="P361" i="11"/>
  <c r="O361" i="11"/>
  <c r="N361" i="11"/>
  <c r="M361" i="11"/>
  <c r="L361" i="11"/>
  <c r="K361" i="11"/>
  <c r="I361" i="11"/>
  <c r="F361" i="11"/>
  <c r="X360" i="11"/>
  <c r="V360" i="11"/>
  <c r="U360" i="11"/>
  <c r="T360" i="11"/>
  <c r="S360" i="11"/>
  <c r="R360" i="11"/>
  <c r="Q360" i="11"/>
  <c r="P360" i="11"/>
  <c r="O360" i="11"/>
  <c r="N360" i="11"/>
  <c r="M360" i="11"/>
  <c r="L360" i="11"/>
  <c r="K360" i="11"/>
  <c r="I360" i="11"/>
  <c r="F360" i="11"/>
  <c r="X359" i="11"/>
  <c r="V359" i="11"/>
  <c r="U359" i="11"/>
  <c r="T359" i="11"/>
  <c r="S359" i="11"/>
  <c r="R359" i="11"/>
  <c r="Q359" i="11"/>
  <c r="P359" i="11"/>
  <c r="O359" i="11"/>
  <c r="N359" i="11"/>
  <c r="M359" i="11"/>
  <c r="L359" i="11"/>
  <c r="K359" i="11"/>
  <c r="I359" i="11"/>
  <c r="F359" i="11"/>
  <c r="X358" i="11"/>
  <c r="V358" i="11"/>
  <c r="U358" i="11"/>
  <c r="T358" i="11"/>
  <c r="S358" i="11"/>
  <c r="R358" i="11"/>
  <c r="Q358" i="11"/>
  <c r="P358" i="11"/>
  <c r="O358" i="11"/>
  <c r="N358" i="11"/>
  <c r="M358" i="11"/>
  <c r="L358" i="11"/>
  <c r="K358" i="11"/>
  <c r="I358" i="11"/>
  <c r="F358" i="11"/>
  <c r="X357" i="11"/>
  <c r="V357" i="11"/>
  <c r="U357" i="11"/>
  <c r="T357" i="11"/>
  <c r="S357" i="11"/>
  <c r="R357" i="11"/>
  <c r="Q357" i="11"/>
  <c r="P357" i="11"/>
  <c r="O357" i="11"/>
  <c r="N357" i="11"/>
  <c r="M357" i="11"/>
  <c r="L357" i="11"/>
  <c r="K357" i="11"/>
  <c r="I357" i="11"/>
  <c r="F357" i="11"/>
  <c r="X356" i="11"/>
  <c r="V356" i="11"/>
  <c r="U356" i="11"/>
  <c r="T356" i="11"/>
  <c r="S356" i="11"/>
  <c r="R356" i="11"/>
  <c r="Q356" i="11"/>
  <c r="P356" i="11"/>
  <c r="O356" i="11"/>
  <c r="N356" i="11"/>
  <c r="M356" i="11"/>
  <c r="L356" i="11"/>
  <c r="K356" i="11"/>
  <c r="I356" i="11"/>
  <c r="F356" i="11"/>
  <c r="X355" i="11"/>
  <c r="V355" i="11"/>
  <c r="U355" i="11"/>
  <c r="T355" i="11"/>
  <c r="S355" i="11"/>
  <c r="R355" i="11"/>
  <c r="Q355" i="11"/>
  <c r="P355" i="11"/>
  <c r="O355" i="11"/>
  <c r="N355" i="11"/>
  <c r="M355" i="11"/>
  <c r="L355" i="11"/>
  <c r="K355" i="11"/>
  <c r="I355" i="11"/>
  <c r="F355" i="11"/>
  <c r="X354" i="11"/>
  <c r="V354" i="11"/>
  <c r="U354" i="11"/>
  <c r="T354" i="11"/>
  <c r="S354" i="11"/>
  <c r="R354" i="11"/>
  <c r="Q354" i="11"/>
  <c r="P354" i="11"/>
  <c r="O354" i="11"/>
  <c r="N354" i="11"/>
  <c r="M354" i="11"/>
  <c r="L354" i="11"/>
  <c r="K354" i="11"/>
  <c r="I354" i="11"/>
  <c r="F354" i="11"/>
  <c r="X353" i="11"/>
  <c r="V353" i="11"/>
  <c r="U353" i="11"/>
  <c r="T353" i="11"/>
  <c r="S353" i="11"/>
  <c r="R353" i="11"/>
  <c r="Q353" i="11"/>
  <c r="P353" i="11"/>
  <c r="O353" i="11"/>
  <c r="N353" i="11"/>
  <c r="M353" i="11"/>
  <c r="L353" i="11"/>
  <c r="K353" i="11"/>
  <c r="I353" i="11"/>
  <c r="F353" i="11"/>
  <c r="X352" i="11"/>
  <c r="V352" i="11"/>
  <c r="U352" i="11"/>
  <c r="T352" i="11"/>
  <c r="S352" i="11"/>
  <c r="R352" i="11"/>
  <c r="Q352" i="11"/>
  <c r="P352" i="11"/>
  <c r="O352" i="11"/>
  <c r="N352" i="11"/>
  <c r="M352" i="11"/>
  <c r="L352" i="11"/>
  <c r="K352" i="11"/>
  <c r="I352" i="11"/>
  <c r="F352" i="11"/>
  <c r="X351" i="11"/>
  <c r="V351" i="11"/>
  <c r="U351" i="11"/>
  <c r="T351" i="11"/>
  <c r="S351" i="11"/>
  <c r="R351" i="11"/>
  <c r="Q351" i="11"/>
  <c r="P351" i="11"/>
  <c r="O351" i="11"/>
  <c r="N351" i="11"/>
  <c r="M351" i="11"/>
  <c r="L351" i="11"/>
  <c r="K351" i="11"/>
  <c r="I351" i="11"/>
  <c r="F351" i="11"/>
  <c r="X350" i="11"/>
  <c r="V350" i="11"/>
  <c r="U350" i="11"/>
  <c r="T350" i="11"/>
  <c r="S350" i="11"/>
  <c r="R350" i="11"/>
  <c r="Q350" i="11"/>
  <c r="P350" i="11"/>
  <c r="O350" i="11"/>
  <c r="N350" i="11"/>
  <c r="M350" i="11"/>
  <c r="L350" i="11"/>
  <c r="K350" i="11"/>
  <c r="I350" i="11"/>
  <c r="F350" i="11"/>
  <c r="X349" i="11"/>
  <c r="V349" i="11"/>
  <c r="U349" i="11"/>
  <c r="T349" i="11"/>
  <c r="S349" i="11"/>
  <c r="R349" i="11"/>
  <c r="Q349" i="11"/>
  <c r="P349" i="11"/>
  <c r="O349" i="11"/>
  <c r="N349" i="11"/>
  <c r="M349" i="11"/>
  <c r="L349" i="11"/>
  <c r="K349" i="11"/>
  <c r="I349" i="11"/>
  <c r="F349" i="11"/>
  <c r="X348" i="11"/>
  <c r="V348" i="11"/>
  <c r="U348" i="11"/>
  <c r="T348" i="11"/>
  <c r="S348" i="11"/>
  <c r="R348" i="11"/>
  <c r="Q348" i="11"/>
  <c r="P348" i="11"/>
  <c r="O348" i="11"/>
  <c r="N348" i="11"/>
  <c r="M348" i="11"/>
  <c r="L348" i="11"/>
  <c r="K348" i="11"/>
  <c r="I348" i="11"/>
  <c r="F348" i="11"/>
  <c r="X347" i="11"/>
  <c r="V347" i="11"/>
  <c r="U347" i="11"/>
  <c r="T347" i="11"/>
  <c r="S347" i="11"/>
  <c r="R347" i="11"/>
  <c r="Q347" i="11"/>
  <c r="P347" i="11"/>
  <c r="O347" i="11"/>
  <c r="N347" i="11"/>
  <c r="M347" i="11"/>
  <c r="L347" i="11"/>
  <c r="K347" i="11"/>
  <c r="I347" i="11"/>
  <c r="F347" i="11"/>
  <c r="X346" i="11"/>
  <c r="V346" i="11"/>
  <c r="U346" i="11"/>
  <c r="T346" i="11"/>
  <c r="S346" i="11"/>
  <c r="R346" i="11"/>
  <c r="Q346" i="11"/>
  <c r="P346" i="11"/>
  <c r="O346" i="11"/>
  <c r="N346" i="11"/>
  <c r="M346" i="11"/>
  <c r="L346" i="11"/>
  <c r="K346" i="11"/>
  <c r="I346" i="11"/>
  <c r="F346" i="11"/>
  <c r="X345" i="11"/>
  <c r="V345" i="11"/>
  <c r="U345" i="11"/>
  <c r="T345" i="11"/>
  <c r="S345" i="11"/>
  <c r="R345" i="11"/>
  <c r="Q345" i="11"/>
  <c r="P345" i="11"/>
  <c r="O345" i="11"/>
  <c r="N345" i="11"/>
  <c r="M345" i="11"/>
  <c r="L345" i="11"/>
  <c r="K345" i="11"/>
  <c r="I345" i="11"/>
  <c r="F345" i="11"/>
  <c r="X344" i="11"/>
  <c r="V344" i="11"/>
  <c r="U344" i="11"/>
  <c r="T344" i="11"/>
  <c r="S344" i="11"/>
  <c r="R344" i="11"/>
  <c r="Q344" i="11"/>
  <c r="P344" i="11"/>
  <c r="O344" i="11"/>
  <c r="N344" i="11"/>
  <c r="M344" i="11"/>
  <c r="L344" i="11"/>
  <c r="K344" i="11"/>
  <c r="I344" i="11"/>
  <c r="F344" i="11"/>
  <c r="X343" i="11"/>
  <c r="V343" i="11"/>
  <c r="U343" i="11"/>
  <c r="T343" i="11"/>
  <c r="S343" i="11"/>
  <c r="R343" i="11"/>
  <c r="Q343" i="11"/>
  <c r="P343" i="11"/>
  <c r="O343" i="11"/>
  <c r="N343" i="11"/>
  <c r="M343" i="11"/>
  <c r="L343" i="11"/>
  <c r="K343" i="11"/>
  <c r="I343" i="11"/>
  <c r="F343" i="11"/>
  <c r="X342" i="11"/>
  <c r="V342" i="11"/>
  <c r="U342" i="11"/>
  <c r="T342" i="11"/>
  <c r="S342" i="11"/>
  <c r="R342" i="11"/>
  <c r="Q342" i="11"/>
  <c r="P342" i="11"/>
  <c r="O342" i="11"/>
  <c r="N342" i="11"/>
  <c r="M342" i="11"/>
  <c r="L342" i="11"/>
  <c r="K342" i="11"/>
  <c r="I342" i="11"/>
  <c r="F342" i="11"/>
  <c r="X341" i="11"/>
  <c r="V341" i="11"/>
  <c r="U341" i="11"/>
  <c r="T341" i="11"/>
  <c r="S341" i="11"/>
  <c r="R341" i="11"/>
  <c r="Q341" i="11"/>
  <c r="P341" i="11"/>
  <c r="O341" i="11"/>
  <c r="N341" i="11"/>
  <c r="M341" i="11"/>
  <c r="L341" i="11"/>
  <c r="K341" i="11"/>
  <c r="I341" i="11"/>
  <c r="F341" i="11"/>
  <c r="X340" i="11"/>
  <c r="V340" i="11"/>
  <c r="U340" i="11"/>
  <c r="T340" i="11"/>
  <c r="S340" i="11"/>
  <c r="R340" i="11"/>
  <c r="Q340" i="11"/>
  <c r="P340" i="11"/>
  <c r="O340" i="11"/>
  <c r="N340" i="11"/>
  <c r="M340" i="11"/>
  <c r="L340" i="11"/>
  <c r="K340" i="11"/>
  <c r="I340" i="11"/>
  <c r="F340" i="11"/>
  <c r="X339" i="11"/>
  <c r="V339" i="11"/>
  <c r="U339" i="11"/>
  <c r="T339" i="11"/>
  <c r="S339" i="11"/>
  <c r="R339" i="11"/>
  <c r="Q339" i="11"/>
  <c r="P339" i="11"/>
  <c r="O339" i="11"/>
  <c r="N339" i="11"/>
  <c r="M339" i="11"/>
  <c r="L339" i="11"/>
  <c r="K339" i="11"/>
  <c r="I339" i="11"/>
  <c r="F339" i="11"/>
  <c r="X338" i="11"/>
  <c r="V338" i="11"/>
  <c r="U338" i="11"/>
  <c r="T338" i="11"/>
  <c r="S338" i="11"/>
  <c r="R338" i="11"/>
  <c r="Q338" i="11"/>
  <c r="P338" i="11"/>
  <c r="O338" i="11"/>
  <c r="N338" i="11"/>
  <c r="M338" i="11"/>
  <c r="L338" i="11"/>
  <c r="K338" i="11"/>
  <c r="I338" i="11"/>
  <c r="F338" i="11"/>
  <c r="X337" i="11"/>
  <c r="V337" i="11"/>
  <c r="U337" i="11"/>
  <c r="T337" i="11"/>
  <c r="S337" i="11"/>
  <c r="R337" i="11"/>
  <c r="Q337" i="11"/>
  <c r="P337" i="11"/>
  <c r="O337" i="11"/>
  <c r="N337" i="11"/>
  <c r="M337" i="11"/>
  <c r="L337" i="11"/>
  <c r="K337" i="11"/>
  <c r="I337" i="11"/>
  <c r="F337" i="11"/>
  <c r="X336" i="11"/>
  <c r="V336" i="11"/>
  <c r="U336" i="11"/>
  <c r="T336" i="11"/>
  <c r="S336" i="11"/>
  <c r="R336" i="11"/>
  <c r="Q336" i="11"/>
  <c r="P336" i="11"/>
  <c r="O336" i="11"/>
  <c r="N336" i="11"/>
  <c r="M336" i="11"/>
  <c r="L336" i="11"/>
  <c r="K336" i="11"/>
  <c r="I336" i="11"/>
  <c r="F336" i="11"/>
  <c r="X335" i="11"/>
  <c r="V335" i="11"/>
  <c r="U335" i="11"/>
  <c r="T335" i="11"/>
  <c r="S335" i="11"/>
  <c r="R335" i="11"/>
  <c r="Q335" i="11"/>
  <c r="P335" i="11"/>
  <c r="O335" i="11"/>
  <c r="N335" i="11"/>
  <c r="M335" i="11"/>
  <c r="L335" i="11"/>
  <c r="K335" i="11"/>
  <c r="I335" i="11"/>
  <c r="F335" i="11"/>
  <c r="X334" i="11"/>
  <c r="V334" i="11"/>
  <c r="U334" i="11"/>
  <c r="T334" i="11"/>
  <c r="S334" i="11"/>
  <c r="R334" i="11"/>
  <c r="Q334" i="11"/>
  <c r="P334" i="11"/>
  <c r="O334" i="11"/>
  <c r="N334" i="11"/>
  <c r="M334" i="11"/>
  <c r="L334" i="11"/>
  <c r="K334" i="11"/>
  <c r="I334" i="11"/>
  <c r="F334" i="11"/>
  <c r="X333" i="11"/>
  <c r="V333" i="11"/>
  <c r="U333" i="11"/>
  <c r="T333" i="11"/>
  <c r="S333" i="11"/>
  <c r="R333" i="11"/>
  <c r="Q333" i="11"/>
  <c r="P333" i="11"/>
  <c r="O333" i="11"/>
  <c r="N333" i="11"/>
  <c r="M333" i="11"/>
  <c r="L333" i="11"/>
  <c r="K333" i="11"/>
  <c r="I333" i="11"/>
  <c r="F333" i="11"/>
  <c r="X332" i="11"/>
  <c r="V332" i="11"/>
  <c r="U332" i="11"/>
  <c r="T332" i="11"/>
  <c r="S332" i="11"/>
  <c r="R332" i="11"/>
  <c r="Q332" i="11"/>
  <c r="P332" i="11"/>
  <c r="O332" i="11"/>
  <c r="N332" i="11"/>
  <c r="M332" i="11"/>
  <c r="L332" i="11"/>
  <c r="K332" i="11"/>
  <c r="I332" i="11"/>
  <c r="F332" i="11"/>
  <c r="X331" i="11"/>
  <c r="V331" i="11"/>
  <c r="U331" i="11"/>
  <c r="T331" i="11"/>
  <c r="S331" i="11"/>
  <c r="R331" i="11"/>
  <c r="Q331" i="11"/>
  <c r="P331" i="11"/>
  <c r="O331" i="11"/>
  <c r="N331" i="11"/>
  <c r="M331" i="11"/>
  <c r="L331" i="11"/>
  <c r="K331" i="11"/>
  <c r="I331" i="11"/>
  <c r="F331" i="11"/>
  <c r="X330" i="11"/>
  <c r="V330" i="11"/>
  <c r="U330" i="11"/>
  <c r="T330" i="11"/>
  <c r="S330" i="11"/>
  <c r="R330" i="11"/>
  <c r="Q330" i="11"/>
  <c r="P330" i="11"/>
  <c r="O330" i="11"/>
  <c r="N330" i="11"/>
  <c r="M330" i="11"/>
  <c r="L330" i="11"/>
  <c r="K330" i="11"/>
  <c r="I330" i="11"/>
  <c r="F330" i="11"/>
  <c r="X329" i="11"/>
  <c r="V329" i="11"/>
  <c r="U329" i="11"/>
  <c r="T329" i="11"/>
  <c r="S329" i="11"/>
  <c r="R329" i="11"/>
  <c r="Q329" i="11"/>
  <c r="P329" i="11"/>
  <c r="O329" i="11"/>
  <c r="N329" i="11"/>
  <c r="M329" i="11"/>
  <c r="L329" i="11"/>
  <c r="K329" i="11"/>
  <c r="I329" i="11"/>
  <c r="F329" i="11"/>
  <c r="X328" i="11"/>
  <c r="V328" i="11"/>
  <c r="U328" i="11"/>
  <c r="T328" i="11"/>
  <c r="S328" i="11"/>
  <c r="R328" i="11"/>
  <c r="Q328" i="11"/>
  <c r="P328" i="11"/>
  <c r="O328" i="11"/>
  <c r="N328" i="11"/>
  <c r="M328" i="11"/>
  <c r="L328" i="11"/>
  <c r="K328" i="11"/>
  <c r="I328" i="11"/>
  <c r="F328" i="11"/>
  <c r="X327" i="11"/>
  <c r="V327" i="11"/>
  <c r="U327" i="11"/>
  <c r="T327" i="11"/>
  <c r="S327" i="11"/>
  <c r="R327" i="11"/>
  <c r="Q327" i="11"/>
  <c r="P327" i="11"/>
  <c r="O327" i="11"/>
  <c r="N327" i="11"/>
  <c r="M327" i="11"/>
  <c r="L327" i="11"/>
  <c r="K327" i="11"/>
  <c r="I327" i="11"/>
  <c r="F327" i="11"/>
  <c r="X326" i="11"/>
  <c r="V326" i="11"/>
  <c r="U326" i="11"/>
  <c r="T326" i="11"/>
  <c r="S326" i="11"/>
  <c r="R326" i="11"/>
  <c r="Q326" i="11"/>
  <c r="P326" i="11"/>
  <c r="O326" i="11"/>
  <c r="N326" i="11"/>
  <c r="M326" i="11"/>
  <c r="L326" i="11"/>
  <c r="K326" i="11"/>
  <c r="I326" i="11"/>
  <c r="F326" i="11"/>
  <c r="X325" i="11"/>
  <c r="V325" i="11"/>
  <c r="U325" i="11"/>
  <c r="T325" i="11"/>
  <c r="S325" i="11"/>
  <c r="R325" i="11"/>
  <c r="Q325" i="11"/>
  <c r="P325" i="11"/>
  <c r="O325" i="11"/>
  <c r="N325" i="11"/>
  <c r="M325" i="11"/>
  <c r="L325" i="11"/>
  <c r="K325" i="11"/>
  <c r="I325" i="11"/>
  <c r="F325" i="11"/>
  <c r="X324" i="11"/>
  <c r="V324" i="11"/>
  <c r="U324" i="11"/>
  <c r="T324" i="11"/>
  <c r="S324" i="11"/>
  <c r="R324" i="11"/>
  <c r="Q324" i="11"/>
  <c r="P324" i="11"/>
  <c r="O324" i="11"/>
  <c r="N324" i="11"/>
  <c r="M324" i="11"/>
  <c r="L324" i="11"/>
  <c r="K324" i="11"/>
  <c r="I324" i="11"/>
  <c r="F324" i="11"/>
  <c r="X323" i="11"/>
  <c r="V323" i="11"/>
  <c r="U323" i="11"/>
  <c r="T323" i="11"/>
  <c r="S323" i="11"/>
  <c r="R323" i="11"/>
  <c r="Q323" i="11"/>
  <c r="P323" i="11"/>
  <c r="O323" i="11"/>
  <c r="N323" i="11"/>
  <c r="M323" i="11"/>
  <c r="L323" i="11"/>
  <c r="K323" i="11"/>
  <c r="I323" i="11"/>
  <c r="F323" i="11"/>
  <c r="X322" i="11"/>
  <c r="V322" i="11"/>
  <c r="U322" i="11"/>
  <c r="T322" i="11"/>
  <c r="S322" i="11"/>
  <c r="R322" i="11"/>
  <c r="Q322" i="11"/>
  <c r="P322" i="11"/>
  <c r="O322" i="11"/>
  <c r="N322" i="11"/>
  <c r="M322" i="11"/>
  <c r="L322" i="11"/>
  <c r="K322" i="11"/>
  <c r="I322" i="11"/>
  <c r="F322" i="11"/>
  <c r="X321" i="11"/>
  <c r="V321" i="11"/>
  <c r="U321" i="11"/>
  <c r="T321" i="11"/>
  <c r="S321" i="11"/>
  <c r="R321" i="11"/>
  <c r="Q321" i="11"/>
  <c r="P321" i="11"/>
  <c r="O321" i="11"/>
  <c r="N321" i="11"/>
  <c r="M321" i="11"/>
  <c r="L321" i="11"/>
  <c r="K321" i="11"/>
  <c r="I321" i="11"/>
  <c r="F321" i="11"/>
  <c r="X320" i="11"/>
  <c r="V320" i="11"/>
  <c r="U320" i="11"/>
  <c r="T320" i="11"/>
  <c r="S320" i="11"/>
  <c r="R320" i="11"/>
  <c r="Q320" i="11"/>
  <c r="P320" i="11"/>
  <c r="O320" i="11"/>
  <c r="N320" i="11"/>
  <c r="M320" i="11"/>
  <c r="L320" i="11"/>
  <c r="K320" i="11"/>
  <c r="I320" i="11"/>
  <c r="F320" i="11"/>
  <c r="X319" i="11"/>
  <c r="V319" i="11"/>
  <c r="U319" i="11"/>
  <c r="T319" i="11"/>
  <c r="S319" i="11"/>
  <c r="R319" i="11"/>
  <c r="Q319" i="11"/>
  <c r="P319" i="11"/>
  <c r="O319" i="11"/>
  <c r="N319" i="11"/>
  <c r="M319" i="11"/>
  <c r="L319" i="11"/>
  <c r="K319" i="11"/>
  <c r="I319" i="11"/>
  <c r="F319" i="11"/>
  <c r="X318" i="11"/>
  <c r="V318" i="11"/>
  <c r="U318" i="11"/>
  <c r="T318" i="11"/>
  <c r="S318" i="11"/>
  <c r="R318" i="11"/>
  <c r="Q318" i="11"/>
  <c r="P318" i="11"/>
  <c r="O318" i="11"/>
  <c r="N318" i="11"/>
  <c r="M318" i="11"/>
  <c r="L318" i="11"/>
  <c r="K318" i="11"/>
  <c r="I318" i="11"/>
  <c r="F318" i="11"/>
  <c r="X317" i="11"/>
  <c r="V317" i="11"/>
  <c r="U317" i="11"/>
  <c r="T317" i="11"/>
  <c r="S317" i="11"/>
  <c r="R317" i="11"/>
  <c r="Q317" i="11"/>
  <c r="P317" i="11"/>
  <c r="O317" i="11"/>
  <c r="N317" i="11"/>
  <c r="M317" i="11"/>
  <c r="L317" i="11"/>
  <c r="K317" i="11"/>
  <c r="I317" i="11"/>
  <c r="F317" i="11"/>
  <c r="X316" i="11"/>
  <c r="V316" i="11"/>
  <c r="U316" i="11"/>
  <c r="T316" i="11"/>
  <c r="S316" i="11"/>
  <c r="R316" i="11"/>
  <c r="Q316" i="11"/>
  <c r="P316" i="11"/>
  <c r="O316" i="11"/>
  <c r="N316" i="11"/>
  <c r="M316" i="11"/>
  <c r="L316" i="11"/>
  <c r="K316" i="11"/>
  <c r="I316" i="11"/>
  <c r="F316" i="11"/>
  <c r="X315" i="11"/>
  <c r="V315" i="11"/>
  <c r="U315" i="11"/>
  <c r="T315" i="11"/>
  <c r="S315" i="11"/>
  <c r="R315" i="11"/>
  <c r="Q315" i="11"/>
  <c r="P315" i="11"/>
  <c r="O315" i="11"/>
  <c r="N315" i="11"/>
  <c r="M315" i="11"/>
  <c r="L315" i="11"/>
  <c r="K315" i="11"/>
  <c r="I315" i="11"/>
  <c r="F315" i="11"/>
  <c r="X314" i="11"/>
  <c r="V314" i="11"/>
  <c r="U314" i="11"/>
  <c r="T314" i="11"/>
  <c r="S314" i="11"/>
  <c r="R314" i="11"/>
  <c r="Q314" i="11"/>
  <c r="P314" i="11"/>
  <c r="O314" i="11"/>
  <c r="N314" i="11"/>
  <c r="M314" i="11"/>
  <c r="L314" i="11"/>
  <c r="K314" i="11"/>
  <c r="I314" i="11"/>
  <c r="F314" i="11"/>
  <c r="X313" i="11"/>
  <c r="V313" i="11"/>
  <c r="U313" i="11"/>
  <c r="T313" i="11"/>
  <c r="S313" i="11"/>
  <c r="R313" i="11"/>
  <c r="Q313" i="11"/>
  <c r="P313" i="11"/>
  <c r="O313" i="11"/>
  <c r="N313" i="11"/>
  <c r="M313" i="11"/>
  <c r="L313" i="11"/>
  <c r="K313" i="11"/>
  <c r="I313" i="11"/>
  <c r="F313" i="11"/>
  <c r="X312" i="11"/>
  <c r="V312" i="11"/>
  <c r="U312" i="11"/>
  <c r="T312" i="11"/>
  <c r="S312" i="11"/>
  <c r="R312" i="11"/>
  <c r="Q312" i="11"/>
  <c r="P312" i="11"/>
  <c r="O312" i="11"/>
  <c r="N312" i="11"/>
  <c r="M312" i="11"/>
  <c r="L312" i="11"/>
  <c r="K312" i="11"/>
  <c r="I312" i="11"/>
  <c r="F312" i="11"/>
  <c r="X311" i="11"/>
  <c r="V311" i="11"/>
  <c r="U311" i="11"/>
  <c r="T311" i="11"/>
  <c r="S311" i="11"/>
  <c r="R311" i="11"/>
  <c r="Q311" i="11"/>
  <c r="P311" i="11"/>
  <c r="O311" i="11"/>
  <c r="N311" i="11"/>
  <c r="M311" i="11"/>
  <c r="L311" i="11"/>
  <c r="K311" i="11"/>
  <c r="I311" i="11"/>
  <c r="F311" i="11"/>
  <c r="X310" i="11"/>
  <c r="V310" i="11"/>
  <c r="U310" i="11"/>
  <c r="T310" i="11"/>
  <c r="S310" i="11"/>
  <c r="R310" i="11"/>
  <c r="Q310" i="11"/>
  <c r="P310" i="11"/>
  <c r="O310" i="11"/>
  <c r="N310" i="11"/>
  <c r="M310" i="11"/>
  <c r="L310" i="11"/>
  <c r="K310" i="11"/>
  <c r="I310" i="11"/>
  <c r="F310" i="11"/>
  <c r="X309" i="11"/>
  <c r="V309" i="11"/>
  <c r="U309" i="11"/>
  <c r="T309" i="11"/>
  <c r="S309" i="11"/>
  <c r="R309" i="11"/>
  <c r="Q309" i="11"/>
  <c r="P309" i="11"/>
  <c r="O309" i="11"/>
  <c r="N309" i="11"/>
  <c r="M309" i="11"/>
  <c r="L309" i="11"/>
  <c r="K309" i="11"/>
  <c r="I309" i="11"/>
  <c r="F309" i="11"/>
  <c r="X308" i="11"/>
  <c r="V308" i="11"/>
  <c r="U308" i="11"/>
  <c r="T308" i="11"/>
  <c r="S308" i="11"/>
  <c r="R308" i="11"/>
  <c r="Q308" i="11"/>
  <c r="P308" i="11"/>
  <c r="O308" i="11"/>
  <c r="N308" i="11"/>
  <c r="M308" i="11"/>
  <c r="L308" i="11"/>
  <c r="K308" i="11"/>
  <c r="I308" i="11"/>
  <c r="F308" i="11"/>
  <c r="X307" i="11"/>
  <c r="V307" i="11"/>
  <c r="U307" i="11"/>
  <c r="T307" i="11"/>
  <c r="S307" i="11"/>
  <c r="R307" i="11"/>
  <c r="Q307" i="11"/>
  <c r="P307" i="11"/>
  <c r="O307" i="11"/>
  <c r="N307" i="11"/>
  <c r="M307" i="11"/>
  <c r="L307" i="11"/>
  <c r="K307" i="11"/>
  <c r="I307" i="11"/>
  <c r="F307" i="11"/>
  <c r="X306" i="11"/>
  <c r="V306" i="11"/>
  <c r="U306" i="11"/>
  <c r="T306" i="11"/>
  <c r="S306" i="11"/>
  <c r="R306" i="11"/>
  <c r="Q306" i="11"/>
  <c r="P306" i="11"/>
  <c r="O306" i="11"/>
  <c r="N306" i="11"/>
  <c r="M306" i="11"/>
  <c r="L306" i="11"/>
  <c r="K306" i="11"/>
  <c r="I306" i="11"/>
  <c r="F306" i="11"/>
  <c r="X305" i="11"/>
  <c r="V305" i="11"/>
  <c r="U305" i="11"/>
  <c r="T305" i="11"/>
  <c r="S305" i="11"/>
  <c r="R305" i="11"/>
  <c r="Q305" i="11"/>
  <c r="P305" i="11"/>
  <c r="O305" i="11"/>
  <c r="N305" i="11"/>
  <c r="M305" i="11"/>
  <c r="L305" i="11"/>
  <c r="K305" i="11"/>
  <c r="I305" i="11"/>
  <c r="F305" i="11"/>
  <c r="X304" i="11"/>
  <c r="V304" i="11"/>
  <c r="U304" i="11"/>
  <c r="T304" i="11"/>
  <c r="S304" i="11"/>
  <c r="R304" i="11"/>
  <c r="Q304" i="11"/>
  <c r="P304" i="11"/>
  <c r="O304" i="11"/>
  <c r="N304" i="11"/>
  <c r="M304" i="11"/>
  <c r="L304" i="11"/>
  <c r="K304" i="11"/>
  <c r="I304" i="11"/>
  <c r="F304" i="11"/>
  <c r="X303" i="11"/>
  <c r="V303" i="11"/>
  <c r="U303" i="11"/>
  <c r="T303" i="11"/>
  <c r="S303" i="11"/>
  <c r="R303" i="11"/>
  <c r="Q303" i="11"/>
  <c r="P303" i="11"/>
  <c r="O303" i="11"/>
  <c r="N303" i="11"/>
  <c r="M303" i="11"/>
  <c r="L303" i="11"/>
  <c r="K303" i="11"/>
  <c r="I303" i="11"/>
  <c r="F303" i="11"/>
  <c r="X302" i="11"/>
  <c r="V302" i="11"/>
  <c r="U302" i="11"/>
  <c r="T302" i="11"/>
  <c r="S302" i="11"/>
  <c r="R302" i="11"/>
  <c r="Q302" i="11"/>
  <c r="P302" i="11"/>
  <c r="O302" i="11"/>
  <c r="N302" i="11"/>
  <c r="M302" i="11"/>
  <c r="L302" i="11"/>
  <c r="K302" i="11"/>
  <c r="I302" i="11"/>
  <c r="F302" i="11"/>
  <c r="X301" i="11"/>
  <c r="V301" i="11"/>
  <c r="U301" i="11"/>
  <c r="T301" i="11"/>
  <c r="S301" i="11"/>
  <c r="R301" i="11"/>
  <c r="Q301" i="11"/>
  <c r="P301" i="11"/>
  <c r="O301" i="11"/>
  <c r="N301" i="11"/>
  <c r="M301" i="11"/>
  <c r="L301" i="11"/>
  <c r="K301" i="11"/>
  <c r="I301" i="11"/>
  <c r="F301" i="11"/>
  <c r="X300" i="11"/>
  <c r="V300" i="11"/>
  <c r="U300" i="11"/>
  <c r="T300" i="11"/>
  <c r="S300" i="11"/>
  <c r="R300" i="11"/>
  <c r="Q300" i="11"/>
  <c r="P300" i="11"/>
  <c r="O300" i="11"/>
  <c r="N300" i="11"/>
  <c r="M300" i="11"/>
  <c r="L300" i="11"/>
  <c r="K300" i="11"/>
  <c r="I300" i="11"/>
  <c r="F300" i="11"/>
  <c r="X299" i="11"/>
  <c r="V299" i="11"/>
  <c r="U299" i="11"/>
  <c r="T299" i="11"/>
  <c r="S299" i="11"/>
  <c r="R299" i="11"/>
  <c r="Q299" i="11"/>
  <c r="P299" i="11"/>
  <c r="O299" i="11"/>
  <c r="N299" i="11"/>
  <c r="M299" i="11"/>
  <c r="L299" i="11"/>
  <c r="K299" i="11"/>
  <c r="I299" i="11"/>
  <c r="F299" i="11"/>
  <c r="X298" i="11"/>
  <c r="V298" i="11"/>
  <c r="U298" i="11"/>
  <c r="T298" i="11"/>
  <c r="S298" i="11"/>
  <c r="R298" i="11"/>
  <c r="Q298" i="11"/>
  <c r="P298" i="11"/>
  <c r="O298" i="11"/>
  <c r="N298" i="11"/>
  <c r="M298" i="11"/>
  <c r="L298" i="11"/>
  <c r="K298" i="11"/>
  <c r="I298" i="11"/>
  <c r="F298" i="11"/>
  <c r="X297" i="11"/>
  <c r="V297" i="11"/>
  <c r="U297" i="11"/>
  <c r="T297" i="11"/>
  <c r="S297" i="11"/>
  <c r="R297" i="11"/>
  <c r="Q297" i="11"/>
  <c r="P297" i="11"/>
  <c r="O297" i="11"/>
  <c r="N297" i="11"/>
  <c r="M297" i="11"/>
  <c r="L297" i="11"/>
  <c r="K297" i="11"/>
  <c r="I297" i="11"/>
  <c r="F297" i="11"/>
  <c r="X296" i="11"/>
  <c r="V296" i="11"/>
  <c r="U296" i="11"/>
  <c r="T296" i="11"/>
  <c r="S296" i="11"/>
  <c r="R296" i="11"/>
  <c r="Q296" i="11"/>
  <c r="P296" i="11"/>
  <c r="O296" i="11"/>
  <c r="N296" i="11"/>
  <c r="M296" i="11"/>
  <c r="L296" i="11"/>
  <c r="K296" i="11"/>
  <c r="I296" i="11"/>
  <c r="F296" i="11"/>
  <c r="X295" i="11"/>
  <c r="V295" i="11"/>
  <c r="U295" i="11"/>
  <c r="T295" i="11"/>
  <c r="S295" i="11"/>
  <c r="R295" i="11"/>
  <c r="Q295" i="11"/>
  <c r="P295" i="11"/>
  <c r="O295" i="11"/>
  <c r="N295" i="11"/>
  <c r="M295" i="11"/>
  <c r="L295" i="11"/>
  <c r="K295" i="11"/>
  <c r="I295" i="11"/>
  <c r="F295" i="11"/>
  <c r="X294" i="11"/>
  <c r="V294" i="11"/>
  <c r="U294" i="11"/>
  <c r="T294" i="11"/>
  <c r="S294" i="11"/>
  <c r="R294" i="11"/>
  <c r="Q294" i="11"/>
  <c r="P294" i="11"/>
  <c r="O294" i="11"/>
  <c r="N294" i="11"/>
  <c r="M294" i="11"/>
  <c r="L294" i="11"/>
  <c r="K294" i="11"/>
  <c r="I294" i="11"/>
  <c r="F294" i="11"/>
  <c r="X293" i="11"/>
  <c r="V293" i="11"/>
  <c r="U293" i="11"/>
  <c r="T293" i="11"/>
  <c r="S293" i="11"/>
  <c r="R293" i="11"/>
  <c r="Q293" i="11"/>
  <c r="P293" i="11"/>
  <c r="O293" i="11"/>
  <c r="N293" i="11"/>
  <c r="M293" i="11"/>
  <c r="L293" i="11"/>
  <c r="K293" i="11"/>
  <c r="I293" i="11"/>
  <c r="F293" i="11"/>
  <c r="X292" i="11"/>
  <c r="V292" i="11"/>
  <c r="U292" i="11"/>
  <c r="T292" i="11"/>
  <c r="S292" i="11"/>
  <c r="R292" i="11"/>
  <c r="Q292" i="11"/>
  <c r="P292" i="11"/>
  <c r="O292" i="11"/>
  <c r="N292" i="11"/>
  <c r="M292" i="11"/>
  <c r="L292" i="11"/>
  <c r="K292" i="11"/>
  <c r="I292" i="11"/>
  <c r="F292" i="11"/>
  <c r="X291" i="11"/>
  <c r="V291" i="11"/>
  <c r="U291" i="11"/>
  <c r="T291" i="11"/>
  <c r="S291" i="11"/>
  <c r="R291" i="11"/>
  <c r="Q291" i="11"/>
  <c r="P291" i="11"/>
  <c r="O291" i="11"/>
  <c r="N291" i="11"/>
  <c r="M291" i="11"/>
  <c r="L291" i="11"/>
  <c r="K291" i="11"/>
  <c r="I291" i="11"/>
  <c r="F291" i="11"/>
  <c r="X290" i="11"/>
  <c r="V290" i="11"/>
  <c r="U290" i="11"/>
  <c r="T290" i="11"/>
  <c r="S290" i="11"/>
  <c r="R290" i="11"/>
  <c r="Q290" i="11"/>
  <c r="P290" i="11"/>
  <c r="O290" i="11"/>
  <c r="N290" i="11"/>
  <c r="M290" i="11"/>
  <c r="L290" i="11"/>
  <c r="K290" i="11"/>
  <c r="I290" i="11"/>
  <c r="F290" i="11"/>
  <c r="X289" i="11"/>
  <c r="V289" i="11"/>
  <c r="U289" i="11"/>
  <c r="T289" i="11"/>
  <c r="S289" i="11"/>
  <c r="R289" i="11"/>
  <c r="Q289" i="11"/>
  <c r="P289" i="11"/>
  <c r="O289" i="11"/>
  <c r="N289" i="11"/>
  <c r="M289" i="11"/>
  <c r="L289" i="11"/>
  <c r="K289" i="11"/>
  <c r="I289" i="11"/>
  <c r="F289" i="11"/>
  <c r="X288" i="11"/>
  <c r="V288" i="11"/>
  <c r="U288" i="11"/>
  <c r="T288" i="11"/>
  <c r="S288" i="11"/>
  <c r="R288" i="11"/>
  <c r="Q288" i="11"/>
  <c r="P288" i="11"/>
  <c r="O288" i="11"/>
  <c r="N288" i="11"/>
  <c r="M288" i="11"/>
  <c r="L288" i="11"/>
  <c r="K288" i="11"/>
  <c r="I288" i="11"/>
  <c r="F288" i="11"/>
  <c r="X287" i="11"/>
  <c r="V287" i="11"/>
  <c r="U287" i="11"/>
  <c r="T287" i="11"/>
  <c r="S287" i="11"/>
  <c r="R287" i="11"/>
  <c r="Q287" i="11"/>
  <c r="P287" i="11"/>
  <c r="O287" i="11"/>
  <c r="N287" i="11"/>
  <c r="M287" i="11"/>
  <c r="L287" i="11"/>
  <c r="K287" i="11"/>
  <c r="I287" i="11"/>
  <c r="F287" i="11"/>
  <c r="X286" i="11"/>
  <c r="V286" i="11"/>
  <c r="U286" i="11"/>
  <c r="T286" i="11"/>
  <c r="S286" i="11"/>
  <c r="R286" i="11"/>
  <c r="Q286" i="11"/>
  <c r="P286" i="11"/>
  <c r="O286" i="11"/>
  <c r="N286" i="11"/>
  <c r="M286" i="11"/>
  <c r="L286" i="11"/>
  <c r="K286" i="11"/>
  <c r="I286" i="11"/>
  <c r="F286" i="11"/>
  <c r="X285" i="11"/>
  <c r="V285" i="11"/>
  <c r="U285" i="11"/>
  <c r="T285" i="11"/>
  <c r="S285" i="11"/>
  <c r="R285" i="11"/>
  <c r="Q285" i="11"/>
  <c r="P285" i="11"/>
  <c r="O285" i="11"/>
  <c r="N285" i="11"/>
  <c r="M285" i="11"/>
  <c r="L285" i="11"/>
  <c r="K285" i="11"/>
  <c r="I285" i="11"/>
  <c r="F285" i="11"/>
  <c r="X284" i="11"/>
  <c r="V284" i="11"/>
  <c r="U284" i="11"/>
  <c r="T284" i="11"/>
  <c r="S284" i="11"/>
  <c r="R284" i="11"/>
  <c r="Q284" i="11"/>
  <c r="P284" i="11"/>
  <c r="O284" i="11"/>
  <c r="N284" i="11"/>
  <c r="M284" i="11"/>
  <c r="L284" i="11"/>
  <c r="K284" i="11"/>
  <c r="I284" i="11"/>
  <c r="F284" i="11"/>
  <c r="X283" i="11"/>
  <c r="V283" i="11"/>
  <c r="U283" i="11"/>
  <c r="T283" i="11"/>
  <c r="S283" i="11"/>
  <c r="R283" i="11"/>
  <c r="Q283" i="11"/>
  <c r="P283" i="11"/>
  <c r="O283" i="11"/>
  <c r="N283" i="11"/>
  <c r="M283" i="11"/>
  <c r="L283" i="11"/>
  <c r="K283" i="11"/>
  <c r="I283" i="11"/>
  <c r="F283" i="11"/>
  <c r="X282" i="11"/>
  <c r="V282" i="11"/>
  <c r="U282" i="11"/>
  <c r="T282" i="11"/>
  <c r="S282" i="11"/>
  <c r="R282" i="11"/>
  <c r="Q282" i="11"/>
  <c r="P282" i="11"/>
  <c r="O282" i="11"/>
  <c r="N282" i="11"/>
  <c r="M282" i="11"/>
  <c r="L282" i="11"/>
  <c r="K282" i="11"/>
  <c r="I282" i="11"/>
  <c r="F282" i="11"/>
  <c r="X281" i="11"/>
  <c r="V281" i="11"/>
  <c r="U281" i="11"/>
  <c r="T281" i="11"/>
  <c r="S281" i="11"/>
  <c r="R281" i="11"/>
  <c r="Q281" i="11"/>
  <c r="P281" i="11"/>
  <c r="O281" i="11"/>
  <c r="N281" i="11"/>
  <c r="M281" i="11"/>
  <c r="L281" i="11"/>
  <c r="K281" i="11"/>
  <c r="I281" i="11"/>
  <c r="F281" i="11"/>
  <c r="X280" i="11"/>
  <c r="V280" i="11"/>
  <c r="U280" i="11"/>
  <c r="T280" i="11"/>
  <c r="S280" i="11"/>
  <c r="R280" i="11"/>
  <c r="Q280" i="11"/>
  <c r="P280" i="11"/>
  <c r="O280" i="11"/>
  <c r="N280" i="11"/>
  <c r="M280" i="11"/>
  <c r="L280" i="11"/>
  <c r="K280" i="11"/>
  <c r="I280" i="11"/>
  <c r="F280" i="11"/>
  <c r="X279" i="11"/>
  <c r="V279" i="11"/>
  <c r="U279" i="11"/>
  <c r="T279" i="11"/>
  <c r="S279" i="11"/>
  <c r="R279" i="11"/>
  <c r="Q279" i="11"/>
  <c r="P279" i="11"/>
  <c r="O279" i="11"/>
  <c r="N279" i="11"/>
  <c r="M279" i="11"/>
  <c r="L279" i="11"/>
  <c r="K279" i="11"/>
  <c r="I279" i="11"/>
  <c r="F279" i="11"/>
  <c r="X278" i="11"/>
  <c r="V278" i="11"/>
  <c r="U278" i="11"/>
  <c r="T278" i="11"/>
  <c r="S278" i="11"/>
  <c r="R278" i="11"/>
  <c r="Q278" i="11"/>
  <c r="P278" i="11"/>
  <c r="O278" i="11"/>
  <c r="N278" i="11"/>
  <c r="M278" i="11"/>
  <c r="L278" i="11"/>
  <c r="K278" i="11"/>
  <c r="I278" i="11"/>
  <c r="F278" i="11"/>
  <c r="X277" i="11"/>
  <c r="V277" i="11"/>
  <c r="U277" i="11"/>
  <c r="T277" i="11"/>
  <c r="S277" i="11"/>
  <c r="R277" i="11"/>
  <c r="Q277" i="11"/>
  <c r="P277" i="11"/>
  <c r="O277" i="11"/>
  <c r="N277" i="11"/>
  <c r="M277" i="11"/>
  <c r="L277" i="11"/>
  <c r="K277" i="11"/>
  <c r="I277" i="11"/>
  <c r="F277" i="11"/>
  <c r="X276" i="11"/>
  <c r="V276" i="11"/>
  <c r="U276" i="11"/>
  <c r="T276" i="11"/>
  <c r="S276" i="11"/>
  <c r="R276" i="11"/>
  <c r="Q276" i="11"/>
  <c r="P276" i="11"/>
  <c r="O276" i="11"/>
  <c r="N276" i="11"/>
  <c r="M276" i="11"/>
  <c r="L276" i="11"/>
  <c r="K276" i="11"/>
  <c r="I276" i="11"/>
  <c r="F276" i="11"/>
  <c r="X275" i="11"/>
  <c r="V275" i="11"/>
  <c r="U275" i="11"/>
  <c r="T275" i="11"/>
  <c r="S275" i="11"/>
  <c r="R275" i="11"/>
  <c r="Q275" i="11"/>
  <c r="P275" i="11"/>
  <c r="O275" i="11"/>
  <c r="N275" i="11"/>
  <c r="M275" i="11"/>
  <c r="L275" i="11"/>
  <c r="K275" i="11"/>
  <c r="I275" i="11"/>
  <c r="F275" i="11"/>
  <c r="X274" i="11"/>
  <c r="V274" i="11"/>
  <c r="U274" i="11"/>
  <c r="T274" i="11"/>
  <c r="S274" i="11"/>
  <c r="R274" i="11"/>
  <c r="Q274" i="11"/>
  <c r="P274" i="11"/>
  <c r="O274" i="11"/>
  <c r="N274" i="11"/>
  <c r="M274" i="11"/>
  <c r="L274" i="11"/>
  <c r="K274" i="11"/>
  <c r="I274" i="11"/>
  <c r="F274" i="11"/>
  <c r="X273" i="11"/>
  <c r="V273" i="11"/>
  <c r="U273" i="11"/>
  <c r="T273" i="11"/>
  <c r="S273" i="11"/>
  <c r="R273" i="11"/>
  <c r="Q273" i="11"/>
  <c r="P273" i="11"/>
  <c r="O273" i="11"/>
  <c r="N273" i="11"/>
  <c r="M273" i="11"/>
  <c r="L273" i="11"/>
  <c r="K273" i="11"/>
  <c r="I273" i="11"/>
  <c r="F273" i="11"/>
  <c r="X272" i="11"/>
  <c r="V272" i="11"/>
  <c r="U272" i="11"/>
  <c r="T272" i="11"/>
  <c r="S272" i="11"/>
  <c r="R272" i="11"/>
  <c r="Q272" i="11"/>
  <c r="P272" i="11"/>
  <c r="O272" i="11"/>
  <c r="N272" i="11"/>
  <c r="M272" i="11"/>
  <c r="L272" i="11"/>
  <c r="K272" i="11"/>
  <c r="I272" i="11"/>
  <c r="F272" i="11"/>
  <c r="X271" i="11"/>
  <c r="V271" i="11"/>
  <c r="U271" i="11"/>
  <c r="T271" i="11"/>
  <c r="S271" i="11"/>
  <c r="R271" i="11"/>
  <c r="Q271" i="11"/>
  <c r="P271" i="11"/>
  <c r="O271" i="11"/>
  <c r="N271" i="11"/>
  <c r="M271" i="11"/>
  <c r="L271" i="11"/>
  <c r="K271" i="11"/>
  <c r="I271" i="11"/>
  <c r="F271" i="11"/>
  <c r="X270" i="11"/>
  <c r="V270" i="11"/>
  <c r="U270" i="11"/>
  <c r="T270" i="11"/>
  <c r="S270" i="11"/>
  <c r="R270" i="11"/>
  <c r="Q270" i="11"/>
  <c r="P270" i="11"/>
  <c r="O270" i="11"/>
  <c r="N270" i="11"/>
  <c r="M270" i="11"/>
  <c r="L270" i="11"/>
  <c r="K270" i="11"/>
  <c r="I270" i="11"/>
  <c r="F270" i="11"/>
  <c r="X269" i="11"/>
  <c r="V269" i="11"/>
  <c r="U269" i="11"/>
  <c r="T269" i="11"/>
  <c r="S269" i="11"/>
  <c r="R269" i="11"/>
  <c r="Q269" i="11"/>
  <c r="P269" i="11"/>
  <c r="O269" i="11"/>
  <c r="N269" i="11"/>
  <c r="M269" i="11"/>
  <c r="L269" i="11"/>
  <c r="K269" i="11"/>
  <c r="I269" i="11"/>
  <c r="F269" i="11"/>
  <c r="X268" i="11"/>
  <c r="V268" i="11"/>
  <c r="U268" i="11"/>
  <c r="T268" i="11"/>
  <c r="S268" i="11"/>
  <c r="R268" i="11"/>
  <c r="Q268" i="11"/>
  <c r="P268" i="11"/>
  <c r="O268" i="11"/>
  <c r="N268" i="11"/>
  <c r="M268" i="11"/>
  <c r="L268" i="11"/>
  <c r="K268" i="11"/>
  <c r="I268" i="11"/>
  <c r="F268" i="11"/>
  <c r="X267" i="11"/>
  <c r="V267" i="11"/>
  <c r="U267" i="11"/>
  <c r="T267" i="11"/>
  <c r="S267" i="11"/>
  <c r="R267" i="11"/>
  <c r="Q267" i="11"/>
  <c r="P267" i="11"/>
  <c r="O267" i="11"/>
  <c r="N267" i="11"/>
  <c r="M267" i="11"/>
  <c r="L267" i="11"/>
  <c r="K267" i="11"/>
  <c r="I267" i="11"/>
  <c r="F267" i="11"/>
  <c r="X266" i="11"/>
  <c r="V266" i="11"/>
  <c r="U266" i="11"/>
  <c r="T266" i="11"/>
  <c r="S266" i="11"/>
  <c r="R266" i="11"/>
  <c r="Q266" i="11"/>
  <c r="P266" i="11"/>
  <c r="O266" i="11"/>
  <c r="N266" i="11"/>
  <c r="M266" i="11"/>
  <c r="L266" i="11"/>
  <c r="K266" i="11"/>
  <c r="I266" i="11"/>
  <c r="F266" i="11"/>
  <c r="X265" i="11"/>
  <c r="V265" i="11"/>
  <c r="U265" i="11"/>
  <c r="T265" i="11"/>
  <c r="S265" i="11"/>
  <c r="R265" i="11"/>
  <c r="Q265" i="11"/>
  <c r="P265" i="11"/>
  <c r="O265" i="11"/>
  <c r="N265" i="11"/>
  <c r="M265" i="11"/>
  <c r="L265" i="11"/>
  <c r="K265" i="11"/>
  <c r="I265" i="11"/>
  <c r="F265" i="11"/>
  <c r="X264" i="11"/>
  <c r="V264" i="11"/>
  <c r="U264" i="11"/>
  <c r="T264" i="11"/>
  <c r="S264" i="11"/>
  <c r="R264" i="11"/>
  <c r="Q264" i="11"/>
  <c r="P264" i="11"/>
  <c r="O264" i="11"/>
  <c r="N264" i="11"/>
  <c r="M264" i="11"/>
  <c r="L264" i="11"/>
  <c r="K264" i="11"/>
  <c r="I264" i="11"/>
  <c r="F264" i="11"/>
  <c r="X263" i="11"/>
  <c r="V263" i="11"/>
  <c r="U263" i="11"/>
  <c r="T263" i="11"/>
  <c r="S263" i="11"/>
  <c r="R263" i="11"/>
  <c r="Q263" i="11"/>
  <c r="P263" i="11"/>
  <c r="O263" i="11"/>
  <c r="N263" i="11"/>
  <c r="M263" i="11"/>
  <c r="L263" i="11"/>
  <c r="K263" i="11"/>
  <c r="I263" i="11"/>
  <c r="F263" i="11"/>
  <c r="X262" i="11"/>
  <c r="V262" i="11"/>
  <c r="U262" i="11"/>
  <c r="T262" i="11"/>
  <c r="S262" i="11"/>
  <c r="R262" i="11"/>
  <c r="Q262" i="11"/>
  <c r="P262" i="11"/>
  <c r="O262" i="11"/>
  <c r="N262" i="11"/>
  <c r="M262" i="11"/>
  <c r="L262" i="11"/>
  <c r="K262" i="11"/>
  <c r="I262" i="11"/>
  <c r="F262" i="11"/>
  <c r="X261" i="11"/>
  <c r="V261" i="11"/>
  <c r="U261" i="11"/>
  <c r="T261" i="11"/>
  <c r="S261" i="11"/>
  <c r="R261" i="11"/>
  <c r="Q261" i="11"/>
  <c r="P261" i="11"/>
  <c r="O261" i="11"/>
  <c r="N261" i="11"/>
  <c r="M261" i="11"/>
  <c r="L261" i="11"/>
  <c r="K261" i="11"/>
  <c r="I261" i="11"/>
  <c r="F261" i="11"/>
  <c r="X260" i="11"/>
  <c r="V260" i="11"/>
  <c r="U260" i="11"/>
  <c r="T260" i="11"/>
  <c r="S260" i="11"/>
  <c r="R260" i="11"/>
  <c r="Q260" i="11"/>
  <c r="P260" i="11"/>
  <c r="O260" i="11"/>
  <c r="N260" i="11"/>
  <c r="M260" i="11"/>
  <c r="L260" i="11"/>
  <c r="K260" i="11"/>
  <c r="I260" i="11"/>
  <c r="F260" i="11"/>
  <c r="X259" i="11"/>
  <c r="V259" i="11"/>
  <c r="U259" i="11"/>
  <c r="T259" i="11"/>
  <c r="S259" i="11"/>
  <c r="R259" i="11"/>
  <c r="Q259" i="11"/>
  <c r="P259" i="11"/>
  <c r="O259" i="11"/>
  <c r="N259" i="11"/>
  <c r="M259" i="11"/>
  <c r="L259" i="11"/>
  <c r="K259" i="11"/>
  <c r="I259" i="11"/>
  <c r="F259" i="11"/>
  <c r="X258" i="11"/>
  <c r="V258" i="11"/>
  <c r="U258" i="11"/>
  <c r="T258" i="11"/>
  <c r="S258" i="11"/>
  <c r="R258" i="11"/>
  <c r="Q258" i="11"/>
  <c r="P258" i="11"/>
  <c r="O258" i="11"/>
  <c r="N258" i="11"/>
  <c r="M258" i="11"/>
  <c r="L258" i="11"/>
  <c r="K258" i="11"/>
  <c r="I258" i="11"/>
  <c r="F258" i="11"/>
  <c r="X257" i="11"/>
  <c r="V257" i="11"/>
  <c r="U257" i="11"/>
  <c r="T257" i="11"/>
  <c r="S257" i="11"/>
  <c r="R257" i="11"/>
  <c r="Q257" i="11"/>
  <c r="P257" i="11"/>
  <c r="O257" i="11"/>
  <c r="N257" i="11"/>
  <c r="M257" i="11"/>
  <c r="L257" i="11"/>
  <c r="K257" i="11"/>
  <c r="I257" i="11"/>
  <c r="F257" i="11"/>
  <c r="X256" i="11"/>
  <c r="V256" i="11"/>
  <c r="U256" i="11"/>
  <c r="T256" i="11"/>
  <c r="S256" i="11"/>
  <c r="R256" i="11"/>
  <c r="Q256" i="11"/>
  <c r="P256" i="11"/>
  <c r="O256" i="11"/>
  <c r="N256" i="11"/>
  <c r="M256" i="11"/>
  <c r="L256" i="11"/>
  <c r="K256" i="11"/>
  <c r="I256" i="11"/>
  <c r="F256" i="11"/>
  <c r="X255" i="11"/>
  <c r="V255" i="11"/>
  <c r="U255" i="11"/>
  <c r="T255" i="11"/>
  <c r="S255" i="11"/>
  <c r="R255" i="11"/>
  <c r="Q255" i="11"/>
  <c r="P255" i="11"/>
  <c r="O255" i="11"/>
  <c r="N255" i="11"/>
  <c r="M255" i="11"/>
  <c r="L255" i="11"/>
  <c r="K255" i="11"/>
  <c r="I255" i="11"/>
  <c r="F255" i="11"/>
  <c r="X254" i="11"/>
  <c r="V254" i="11"/>
  <c r="U254" i="11"/>
  <c r="T254" i="11"/>
  <c r="S254" i="11"/>
  <c r="R254" i="11"/>
  <c r="Q254" i="11"/>
  <c r="P254" i="11"/>
  <c r="O254" i="11"/>
  <c r="N254" i="11"/>
  <c r="M254" i="11"/>
  <c r="L254" i="11"/>
  <c r="K254" i="11"/>
  <c r="I254" i="11"/>
  <c r="F254" i="11"/>
  <c r="X253" i="11"/>
  <c r="V253" i="11"/>
  <c r="U253" i="11"/>
  <c r="T253" i="11"/>
  <c r="S253" i="11"/>
  <c r="R253" i="11"/>
  <c r="Q253" i="11"/>
  <c r="P253" i="11"/>
  <c r="O253" i="11"/>
  <c r="N253" i="11"/>
  <c r="M253" i="11"/>
  <c r="L253" i="11"/>
  <c r="K253" i="11"/>
  <c r="I253" i="11"/>
  <c r="F253" i="11"/>
  <c r="X252" i="11"/>
  <c r="V252" i="11"/>
  <c r="U252" i="11"/>
  <c r="T252" i="11"/>
  <c r="S252" i="11"/>
  <c r="R252" i="11"/>
  <c r="Q252" i="11"/>
  <c r="P252" i="11"/>
  <c r="O252" i="11"/>
  <c r="N252" i="11"/>
  <c r="M252" i="11"/>
  <c r="L252" i="11"/>
  <c r="K252" i="11"/>
  <c r="I252" i="11"/>
  <c r="F252" i="11"/>
  <c r="X251" i="11"/>
  <c r="V251" i="11"/>
  <c r="U251" i="11"/>
  <c r="T251" i="11"/>
  <c r="S251" i="11"/>
  <c r="R251" i="11"/>
  <c r="Q251" i="11"/>
  <c r="P251" i="11"/>
  <c r="O251" i="11"/>
  <c r="N251" i="11"/>
  <c r="M251" i="11"/>
  <c r="L251" i="11"/>
  <c r="K251" i="11"/>
  <c r="I251" i="11"/>
  <c r="F251" i="11"/>
  <c r="X250" i="11"/>
  <c r="V250" i="11"/>
  <c r="U250" i="11"/>
  <c r="T250" i="11"/>
  <c r="S250" i="11"/>
  <c r="R250" i="11"/>
  <c r="Q250" i="11"/>
  <c r="P250" i="11"/>
  <c r="O250" i="11"/>
  <c r="N250" i="11"/>
  <c r="M250" i="11"/>
  <c r="L250" i="11"/>
  <c r="K250" i="11"/>
  <c r="I250" i="11"/>
  <c r="F250" i="11"/>
  <c r="X249" i="11"/>
  <c r="V249" i="11"/>
  <c r="U249" i="11"/>
  <c r="T249" i="11"/>
  <c r="S249" i="11"/>
  <c r="R249" i="11"/>
  <c r="Q249" i="11"/>
  <c r="P249" i="11"/>
  <c r="O249" i="11"/>
  <c r="N249" i="11"/>
  <c r="M249" i="11"/>
  <c r="L249" i="11"/>
  <c r="K249" i="11"/>
  <c r="I249" i="11"/>
  <c r="F249" i="11"/>
  <c r="X248" i="11"/>
  <c r="V248" i="11"/>
  <c r="U248" i="11"/>
  <c r="T248" i="11"/>
  <c r="S248" i="11"/>
  <c r="R248" i="11"/>
  <c r="Q248" i="11"/>
  <c r="P248" i="11"/>
  <c r="O248" i="11"/>
  <c r="N248" i="11"/>
  <c r="M248" i="11"/>
  <c r="L248" i="11"/>
  <c r="K248" i="11"/>
  <c r="I248" i="11"/>
  <c r="F248" i="11"/>
  <c r="X247" i="11"/>
  <c r="V247" i="11"/>
  <c r="U247" i="11"/>
  <c r="T247" i="11"/>
  <c r="S247" i="11"/>
  <c r="R247" i="11"/>
  <c r="Q247" i="11"/>
  <c r="P247" i="11"/>
  <c r="O247" i="11"/>
  <c r="N247" i="11"/>
  <c r="M247" i="11"/>
  <c r="L247" i="11"/>
  <c r="K247" i="11"/>
  <c r="I247" i="11"/>
  <c r="F247" i="11"/>
  <c r="X246" i="11"/>
  <c r="V246" i="11"/>
  <c r="U246" i="11"/>
  <c r="T246" i="11"/>
  <c r="S246" i="11"/>
  <c r="R246" i="11"/>
  <c r="Q246" i="11"/>
  <c r="P246" i="11"/>
  <c r="O246" i="11"/>
  <c r="N246" i="11"/>
  <c r="M246" i="11"/>
  <c r="L246" i="11"/>
  <c r="K246" i="11"/>
  <c r="I246" i="11"/>
  <c r="F246" i="11"/>
  <c r="X245" i="11"/>
  <c r="V245" i="11"/>
  <c r="U245" i="11"/>
  <c r="T245" i="11"/>
  <c r="S245" i="11"/>
  <c r="R245" i="11"/>
  <c r="Q245" i="11"/>
  <c r="P245" i="11"/>
  <c r="O245" i="11"/>
  <c r="N245" i="11"/>
  <c r="M245" i="11"/>
  <c r="L245" i="11"/>
  <c r="K245" i="11"/>
  <c r="I245" i="11"/>
  <c r="F245" i="11"/>
  <c r="X244" i="11"/>
  <c r="V244" i="11"/>
  <c r="U244" i="11"/>
  <c r="T244" i="11"/>
  <c r="S244" i="11"/>
  <c r="R244" i="11"/>
  <c r="Q244" i="11"/>
  <c r="P244" i="11"/>
  <c r="O244" i="11"/>
  <c r="N244" i="11"/>
  <c r="M244" i="11"/>
  <c r="L244" i="11"/>
  <c r="K244" i="11"/>
  <c r="I244" i="11"/>
  <c r="F244" i="11"/>
  <c r="X243" i="11"/>
  <c r="V243" i="11"/>
  <c r="U243" i="11"/>
  <c r="T243" i="11"/>
  <c r="S243" i="11"/>
  <c r="R243" i="11"/>
  <c r="Q243" i="11"/>
  <c r="P243" i="11"/>
  <c r="O243" i="11"/>
  <c r="N243" i="11"/>
  <c r="M243" i="11"/>
  <c r="L243" i="11"/>
  <c r="K243" i="11"/>
  <c r="I243" i="11"/>
  <c r="F243" i="11"/>
  <c r="X242" i="11"/>
  <c r="V242" i="11"/>
  <c r="U242" i="11"/>
  <c r="T242" i="11"/>
  <c r="S242" i="11"/>
  <c r="R242" i="11"/>
  <c r="Q242" i="11"/>
  <c r="P242" i="11"/>
  <c r="O242" i="11"/>
  <c r="N242" i="11"/>
  <c r="M242" i="11"/>
  <c r="L242" i="11"/>
  <c r="K242" i="11"/>
  <c r="I242" i="11"/>
  <c r="F242" i="11"/>
  <c r="X241" i="11"/>
  <c r="V241" i="11"/>
  <c r="U241" i="11"/>
  <c r="T241" i="11"/>
  <c r="S241" i="11"/>
  <c r="R241" i="11"/>
  <c r="Q241" i="11"/>
  <c r="P241" i="11"/>
  <c r="O241" i="11"/>
  <c r="N241" i="11"/>
  <c r="M241" i="11"/>
  <c r="L241" i="11"/>
  <c r="K241" i="11"/>
  <c r="I241" i="11"/>
  <c r="F241" i="11"/>
  <c r="X240" i="11"/>
  <c r="V240" i="11"/>
  <c r="U240" i="11"/>
  <c r="T240" i="11"/>
  <c r="S240" i="11"/>
  <c r="R240" i="11"/>
  <c r="Q240" i="11"/>
  <c r="P240" i="11"/>
  <c r="O240" i="11"/>
  <c r="N240" i="11"/>
  <c r="M240" i="11"/>
  <c r="L240" i="11"/>
  <c r="K240" i="11"/>
  <c r="I240" i="11"/>
  <c r="F240" i="11"/>
  <c r="X239" i="11"/>
  <c r="V239" i="11"/>
  <c r="U239" i="11"/>
  <c r="T239" i="11"/>
  <c r="S239" i="11"/>
  <c r="R239" i="11"/>
  <c r="Q239" i="11"/>
  <c r="P239" i="11"/>
  <c r="O239" i="11"/>
  <c r="N239" i="11"/>
  <c r="M239" i="11"/>
  <c r="L239" i="11"/>
  <c r="K239" i="11"/>
  <c r="I239" i="11"/>
  <c r="F239" i="11"/>
  <c r="X238" i="11"/>
  <c r="V238" i="11"/>
  <c r="U238" i="11"/>
  <c r="T238" i="11"/>
  <c r="S238" i="11"/>
  <c r="R238" i="11"/>
  <c r="Q238" i="11"/>
  <c r="P238" i="11"/>
  <c r="O238" i="11"/>
  <c r="N238" i="11"/>
  <c r="M238" i="11"/>
  <c r="L238" i="11"/>
  <c r="K238" i="11"/>
  <c r="I238" i="11"/>
  <c r="F238" i="11"/>
  <c r="X237" i="11"/>
  <c r="V237" i="11"/>
  <c r="U237" i="11"/>
  <c r="T237" i="11"/>
  <c r="S237" i="11"/>
  <c r="R237" i="11"/>
  <c r="Q237" i="11"/>
  <c r="P237" i="11"/>
  <c r="O237" i="11"/>
  <c r="N237" i="11"/>
  <c r="M237" i="11"/>
  <c r="L237" i="11"/>
  <c r="K237" i="11"/>
  <c r="I237" i="11"/>
  <c r="F237" i="11"/>
  <c r="X236" i="11"/>
  <c r="V236" i="11"/>
  <c r="U236" i="11"/>
  <c r="T236" i="11"/>
  <c r="S236" i="11"/>
  <c r="R236" i="11"/>
  <c r="Q236" i="11"/>
  <c r="P236" i="11"/>
  <c r="O236" i="11"/>
  <c r="N236" i="11"/>
  <c r="M236" i="11"/>
  <c r="L236" i="11"/>
  <c r="K236" i="11"/>
  <c r="I236" i="11"/>
  <c r="F236" i="11"/>
  <c r="X235" i="11"/>
  <c r="V235" i="11"/>
  <c r="U235" i="11"/>
  <c r="T235" i="11"/>
  <c r="S235" i="11"/>
  <c r="R235" i="11"/>
  <c r="Q235" i="11"/>
  <c r="P235" i="11"/>
  <c r="O235" i="11"/>
  <c r="N235" i="11"/>
  <c r="M235" i="11"/>
  <c r="L235" i="11"/>
  <c r="K235" i="11"/>
  <c r="I235" i="11"/>
  <c r="F235" i="11"/>
  <c r="X234" i="11"/>
  <c r="V234" i="11"/>
  <c r="U234" i="11"/>
  <c r="T234" i="11"/>
  <c r="S234" i="11"/>
  <c r="R234" i="11"/>
  <c r="Q234" i="11"/>
  <c r="P234" i="11"/>
  <c r="O234" i="11"/>
  <c r="N234" i="11"/>
  <c r="M234" i="11"/>
  <c r="L234" i="11"/>
  <c r="K234" i="11"/>
  <c r="I234" i="11"/>
  <c r="F234" i="11"/>
  <c r="X233" i="11"/>
  <c r="V233" i="11"/>
  <c r="U233" i="11"/>
  <c r="T233" i="11"/>
  <c r="S233" i="11"/>
  <c r="R233" i="11"/>
  <c r="Q233" i="11"/>
  <c r="P233" i="11"/>
  <c r="O233" i="11"/>
  <c r="N233" i="11"/>
  <c r="M233" i="11"/>
  <c r="L233" i="11"/>
  <c r="K233" i="11"/>
  <c r="I233" i="11"/>
  <c r="F233" i="11"/>
  <c r="X232" i="11"/>
  <c r="V232" i="11"/>
  <c r="U232" i="11"/>
  <c r="T232" i="11"/>
  <c r="S232" i="11"/>
  <c r="R232" i="11"/>
  <c r="Q232" i="11"/>
  <c r="P232" i="11"/>
  <c r="O232" i="11"/>
  <c r="N232" i="11"/>
  <c r="M232" i="11"/>
  <c r="L232" i="11"/>
  <c r="K232" i="11"/>
  <c r="I232" i="11"/>
  <c r="F232" i="11"/>
  <c r="X231" i="11"/>
  <c r="V231" i="11"/>
  <c r="U231" i="11"/>
  <c r="T231" i="11"/>
  <c r="S231" i="11"/>
  <c r="R231" i="11"/>
  <c r="Q231" i="11"/>
  <c r="P231" i="11"/>
  <c r="O231" i="11"/>
  <c r="N231" i="11"/>
  <c r="M231" i="11"/>
  <c r="L231" i="11"/>
  <c r="K231" i="11"/>
  <c r="I231" i="11"/>
  <c r="F231" i="11"/>
  <c r="X230" i="11"/>
  <c r="V230" i="11"/>
  <c r="U230" i="11"/>
  <c r="T230" i="11"/>
  <c r="S230" i="11"/>
  <c r="R230" i="11"/>
  <c r="Q230" i="11"/>
  <c r="P230" i="11"/>
  <c r="O230" i="11"/>
  <c r="N230" i="11"/>
  <c r="M230" i="11"/>
  <c r="L230" i="11"/>
  <c r="K230" i="11"/>
  <c r="I230" i="11"/>
  <c r="F230" i="11"/>
  <c r="X229" i="11"/>
  <c r="V229" i="11"/>
  <c r="U229" i="11"/>
  <c r="T229" i="11"/>
  <c r="S229" i="11"/>
  <c r="R229" i="11"/>
  <c r="Q229" i="11"/>
  <c r="P229" i="11"/>
  <c r="O229" i="11"/>
  <c r="N229" i="11"/>
  <c r="M229" i="11"/>
  <c r="L229" i="11"/>
  <c r="K229" i="11"/>
  <c r="I229" i="11"/>
  <c r="F229" i="11"/>
  <c r="X228" i="11"/>
  <c r="V228" i="11"/>
  <c r="U228" i="11"/>
  <c r="T228" i="11"/>
  <c r="S228" i="11"/>
  <c r="R228" i="11"/>
  <c r="Q228" i="11"/>
  <c r="P228" i="11"/>
  <c r="O228" i="11"/>
  <c r="N228" i="11"/>
  <c r="M228" i="11"/>
  <c r="L228" i="11"/>
  <c r="K228" i="11"/>
  <c r="I228" i="11"/>
  <c r="F228" i="11"/>
  <c r="X227" i="11"/>
  <c r="V227" i="11"/>
  <c r="U227" i="11"/>
  <c r="T227" i="11"/>
  <c r="S227" i="11"/>
  <c r="R227" i="11"/>
  <c r="Q227" i="11"/>
  <c r="P227" i="11"/>
  <c r="O227" i="11"/>
  <c r="N227" i="11"/>
  <c r="M227" i="11"/>
  <c r="L227" i="11"/>
  <c r="K227" i="11"/>
  <c r="I227" i="11"/>
  <c r="F227" i="11"/>
  <c r="X226" i="11"/>
  <c r="V226" i="11"/>
  <c r="U226" i="11"/>
  <c r="T226" i="11"/>
  <c r="S226" i="11"/>
  <c r="R226" i="11"/>
  <c r="Q226" i="11"/>
  <c r="P226" i="11"/>
  <c r="O226" i="11"/>
  <c r="N226" i="11"/>
  <c r="M226" i="11"/>
  <c r="L226" i="11"/>
  <c r="K226" i="11"/>
  <c r="I226" i="11"/>
  <c r="F226" i="11"/>
  <c r="X225" i="11"/>
  <c r="V225" i="11"/>
  <c r="U225" i="11"/>
  <c r="T225" i="11"/>
  <c r="S225" i="11"/>
  <c r="R225" i="11"/>
  <c r="Q225" i="11"/>
  <c r="P225" i="11"/>
  <c r="O225" i="11"/>
  <c r="N225" i="11"/>
  <c r="M225" i="11"/>
  <c r="L225" i="11"/>
  <c r="K225" i="11"/>
  <c r="I225" i="11"/>
  <c r="F225" i="11"/>
  <c r="X224" i="11"/>
  <c r="V224" i="11"/>
  <c r="U224" i="11"/>
  <c r="T224" i="11"/>
  <c r="S224" i="11"/>
  <c r="R224" i="11"/>
  <c r="Q224" i="11"/>
  <c r="P224" i="11"/>
  <c r="O224" i="11"/>
  <c r="N224" i="11"/>
  <c r="M224" i="11"/>
  <c r="L224" i="11"/>
  <c r="K224" i="11"/>
  <c r="I224" i="11"/>
  <c r="F224" i="11"/>
  <c r="X223" i="11"/>
  <c r="V223" i="11"/>
  <c r="U223" i="11"/>
  <c r="T223" i="11"/>
  <c r="S223" i="11"/>
  <c r="R223" i="11"/>
  <c r="Q223" i="11"/>
  <c r="P223" i="11"/>
  <c r="O223" i="11"/>
  <c r="N223" i="11"/>
  <c r="M223" i="11"/>
  <c r="L223" i="11"/>
  <c r="K223" i="11"/>
  <c r="I223" i="11"/>
  <c r="F223" i="11"/>
  <c r="X222" i="11"/>
  <c r="V222" i="11"/>
  <c r="U222" i="11"/>
  <c r="T222" i="11"/>
  <c r="S222" i="11"/>
  <c r="R222" i="11"/>
  <c r="Q222" i="11"/>
  <c r="P222" i="11"/>
  <c r="O222" i="11"/>
  <c r="N222" i="11"/>
  <c r="M222" i="11"/>
  <c r="L222" i="11"/>
  <c r="K222" i="11"/>
  <c r="I222" i="11"/>
  <c r="F222" i="11"/>
  <c r="X221" i="11"/>
  <c r="V221" i="11"/>
  <c r="U221" i="11"/>
  <c r="T221" i="11"/>
  <c r="S221" i="11"/>
  <c r="R221" i="11"/>
  <c r="Q221" i="11"/>
  <c r="P221" i="11"/>
  <c r="O221" i="11"/>
  <c r="N221" i="11"/>
  <c r="M221" i="11"/>
  <c r="L221" i="11"/>
  <c r="K221" i="11"/>
  <c r="I221" i="11"/>
  <c r="F221" i="11"/>
  <c r="X220" i="11"/>
  <c r="V220" i="11"/>
  <c r="U220" i="11"/>
  <c r="T220" i="11"/>
  <c r="S220" i="11"/>
  <c r="R220" i="11"/>
  <c r="Q220" i="11"/>
  <c r="P220" i="11"/>
  <c r="O220" i="11"/>
  <c r="N220" i="11"/>
  <c r="M220" i="11"/>
  <c r="L220" i="11"/>
  <c r="K220" i="11"/>
  <c r="I220" i="11"/>
  <c r="F220" i="11"/>
  <c r="X219" i="11"/>
  <c r="V219" i="11"/>
  <c r="U219" i="11"/>
  <c r="T219" i="11"/>
  <c r="S219" i="11"/>
  <c r="R219" i="11"/>
  <c r="Q219" i="11"/>
  <c r="P219" i="11"/>
  <c r="O219" i="11"/>
  <c r="N219" i="11"/>
  <c r="M219" i="11"/>
  <c r="L219" i="11"/>
  <c r="K219" i="11"/>
  <c r="I219" i="11"/>
  <c r="F219" i="11"/>
  <c r="X218" i="11"/>
  <c r="V218" i="11"/>
  <c r="U218" i="11"/>
  <c r="T218" i="11"/>
  <c r="S218" i="11"/>
  <c r="R218" i="11"/>
  <c r="Q218" i="11"/>
  <c r="P218" i="11"/>
  <c r="O218" i="11"/>
  <c r="N218" i="11"/>
  <c r="M218" i="11"/>
  <c r="L218" i="11"/>
  <c r="K218" i="11"/>
  <c r="I218" i="11"/>
  <c r="F218" i="11"/>
  <c r="X217" i="11"/>
  <c r="V217" i="11"/>
  <c r="U217" i="11"/>
  <c r="T217" i="11"/>
  <c r="S217" i="11"/>
  <c r="R217" i="11"/>
  <c r="Q217" i="11"/>
  <c r="P217" i="11"/>
  <c r="O217" i="11"/>
  <c r="N217" i="11"/>
  <c r="M217" i="11"/>
  <c r="L217" i="11"/>
  <c r="K217" i="11"/>
  <c r="I217" i="11"/>
  <c r="F217" i="11"/>
  <c r="X216" i="11"/>
  <c r="V216" i="11"/>
  <c r="U216" i="11"/>
  <c r="T216" i="11"/>
  <c r="S216" i="11"/>
  <c r="R216" i="11"/>
  <c r="Q216" i="11"/>
  <c r="P216" i="11"/>
  <c r="O216" i="11"/>
  <c r="N216" i="11"/>
  <c r="M216" i="11"/>
  <c r="L216" i="11"/>
  <c r="K216" i="11"/>
  <c r="I216" i="11"/>
  <c r="F216" i="11"/>
  <c r="X215" i="11"/>
  <c r="V215" i="11"/>
  <c r="U215" i="11"/>
  <c r="T215" i="11"/>
  <c r="S215" i="11"/>
  <c r="R215" i="11"/>
  <c r="Q215" i="11"/>
  <c r="P215" i="11"/>
  <c r="O215" i="11"/>
  <c r="N215" i="11"/>
  <c r="M215" i="11"/>
  <c r="L215" i="11"/>
  <c r="K215" i="11"/>
  <c r="I215" i="11"/>
  <c r="F215" i="11"/>
  <c r="X214" i="11"/>
  <c r="V214" i="11"/>
  <c r="U214" i="11"/>
  <c r="T214" i="11"/>
  <c r="S214" i="11"/>
  <c r="R214" i="11"/>
  <c r="Q214" i="11"/>
  <c r="P214" i="11"/>
  <c r="O214" i="11"/>
  <c r="N214" i="11"/>
  <c r="M214" i="11"/>
  <c r="L214" i="11"/>
  <c r="K214" i="11"/>
  <c r="I214" i="11"/>
  <c r="F214" i="11"/>
  <c r="X213" i="11"/>
  <c r="V213" i="11"/>
  <c r="U213" i="11"/>
  <c r="T213" i="11"/>
  <c r="S213" i="11"/>
  <c r="R213" i="11"/>
  <c r="Q213" i="11"/>
  <c r="P213" i="11"/>
  <c r="O213" i="11"/>
  <c r="N213" i="11"/>
  <c r="M213" i="11"/>
  <c r="L213" i="11"/>
  <c r="K213" i="11"/>
  <c r="I213" i="11"/>
  <c r="F213" i="11"/>
  <c r="X212" i="11"/>
  <c r="V212" i="11"/>
  <c r="U212" i="11"/>
  <c r="T212" i="11"/>
  <c r="S212" i="11"/>
  <c r="R212" i="11"/>
  <c r="Q212" i="11"/>
  <c r="P212" i="11"/>
  <c r="O212" i="11"/>
  <c r="N212" i="11"/>
  <c r="M212" i="11"/>
  <c r="L212" i="11"/>
  <c r="K212" i="11"/>
  <c r="I212" i="11"/>
  <c r="F212" i="11"/>
  <c r="X211" i="11"/>
  <c r="V211" i="11"/>
  <c r="U211" i="11"/>
  <c r="T211" i="11"/>
  <c r="S211" i="11"/>
  <c r="R211" i="11"/>
  <c r="Q211" i="11"/>
  <c r="P211" i="11"/>
  <c r="O211" i="11"/>
  <c r="N211" i="11"/>
  <c r="M211" i="11"/>
  <c r="L211" i="11"/>
  <c r="K211" i="11"/>
  <c r="I211" i="11"/>
  <c r="F211" i="11"/>
  <c r="X210" i="11"/>
  <c r="V210" i="11"/>
  <c r="U210" i="11"/>
  <c r="T210" i="11"/>
  <c r="S210" i="11"/>
  <c r="R210" i="11"/>
  <c r="Q210" i="11"/>
  <c r="P210" i="11"/>
  <c r="O210" i="11"/>
  <c r="N210" i="11"/>
  <c r="M210" i="11"/>
  <c r="L210" i="11"/>
  <c r="K210" i="11"/>
  <c r="I210" i="11"/>
  <c r="F210" i="11"/>
  <c r="X209" i="11"/>
  <c r="V209" i="11"/>
  <c r="U209" i="11"/>
  <c r="T209" i="11"/>
  <c r="S209" i="11"/>
  <c r="R209" i="11"/>
  <c r="Q209" i="11"/>
  <c r="P209" i="11"/>
  <c r="O209" i="11"/>
  <c r="N209" i="11"/>
  <c r="M209" i="11"/>
  <c r="L209" i="11"/>
  <c r="K209" i="11"/>
  <c r="I209" i="11"/>
  <c r="F209" i="11"/>
  <c r="X208" i="11"/>
  <c r="V208" i="11"/>
  <c r="U208" i="11"/>
  <c r="T208" i="11"/>
  <c r="S208" i="11"/>
  <c r="R208" i="11"/>
  <c r="Q208" i="11"/>
  <c r="P208" i="11"/>
  <c r="O208" i="11"/>
  <c r="N208" i="11"/>
  <c r="M208" i="11"/>
  <c r="L208" i="11"/>
  <c r="K208" i="11"/>
  <c r="I208" i="11"/>
  <c r="F208" i="11"/>
  <c r="X207" i="11"/>
  <c r="V207" i="11"/>
  <c r="U207" i="11"/>
  <c r="T207" i="11"/>
  <c r="S207" i="11"/>
  <c r="R207" i="11"/>
  <c r="Q207" i="11"/>
  <c r="P207" i="11"/>
  <c r="O207" i="11"/>
  <c r="N207" i="11"/>
  <c r="M207" i="11"/>
  <c r="L207" i="11"/>
  <c r="K207" i="11"/>
  <c r="I207" i="11"/>
  <c r="F207" i="11"/>
  <c r="X206" i="11"/>
  <c r="V206" i="11"/>
  <c r="U206" i="11"/>
  <c r="T206" i="11"/>
  <c r="S206" i="11"/>
  <c r="R206" i="11"/>
  <c r="Q206" i="11"/>
  <c r="P206" i="11"/>
  <c r="O206" i="11"/>
  <c r="N206" i="11"/>
  <c r="M206" i="11"/>
  <c r="L206" i="11"/>
  <c r="K206" i="11"/>
  <c r="I206" i="11"/>
  <c r="F206" i="11"/>
  <c r="X205" i="11"/>
  <c r="V205" i="11"/>
  <c r="U205" i="11"/>
  <c r="T205" i="11"/>
  <c r="S205" i="11"/>
  <c r="R205" i="11"/>
  <c r="Q205" i="11"/>
  <c r="P205" i="11"/>
  <c r="O205" i="11"/>
  <c r="N205" i="11"/>
  <c r="M205" i="11"/>
  <c r="L205" i="11"/>
  <c r="K205" i="11"/>
  <c r="I205" i="11"/>
  <c r="F205" i="11"/>
  <c r="X204" i="11"/>
  <c r="V204" i="11"/>
  <c r="U204" i="11"/>
  <c r="T204" i="11"/>
  <c r="S204" i="11"/>
  <c r="R204" i="11"/>
  <c r="Q204" i="11"/>
  <c r="P204" i="11"/>
  <c r="O204" i="11"/>
  <c r="N204" i="11"/>
  <c r="M204" i="11"/>
  <c r="L204" i="11"/>
  <c r="K204" i="11"/>
  <c r="I204" i="11"/>
  <c r="F204" i="11"/>
  <c r="X203" i="11"/>
  <c r="V203" i="11"/>
  <c r="U203" i="11"/>
  <c r="T203" i="11"/>
  <c r="S203" i="11"/>
  <c r="R203" i="11"/>
  <c r="Q203" i="11"/>
  <c r="P203" i="11"/>
  <c r="O203" i="11"/>
  <c r="N203" i="11"/>
  <c r="M203" i="11"/>
  <c r="L203" i="11"/>
  <c r="K203" i="11"/>
  <c r="I203" i="11"/>
  <c r="F203" i="11"/>
  <c r="X202" i="11"/>
  <c r="V202" i="11"/>
  <c r="U202" i="11"/>
  <c r="T202" i="11"/>
  <c r="S202" i="11"/>
  <c r="R202" i="11"/>
  <c r="Q202" i="11"/>
  <c r="P202" i="11"/>
  <c r="O202" i="11"/>
  <c r="N202" i="11"/>
  <c r="M202" i="11"/>
  <c r="L202" i="11"/>
  <c r="K202" i="11"/>
  <c r="I202" i="11"/>
  <c r="F202" i="11"/>
  <c r="X201" i="11"/>
  <c r="V201" i="11"/>
  <c r="U201" i="11"/>
  <c r="T201" i="11"/>
  <c r="S201" i="11"/>
  <c r="R201" i="11"/>
  <c r="Q201" i="11"/>
  <c r="P201" i="11"/>
  <c r="O201" i="11"/>
  <c r="N201" i="11"/>
  <c r="M201" i="11"/>
  <c r="L201" i="11"/>
  <c r="K201" i="11"/>
  <c r="I201" i="11"/>
  <c r="F201" i="11"/>
  <c r="X200" i="11"/>
  <c r="V200" i="11"/>
  <c r="U200" i="11"/>
  <c r="T200" i="11"/>
  <c r="S200" i="11"/>
  <c r="R200" i="11"/>
  <c r="Q200" i="11"/>
  <c r="P200" i="11"/>
  <c r="O200" i="11"/>
  <c r="N200" i="11"/>
  <c r="M200" i="11"/>
  <c r="L200" i="11"/>
  <c r="K200" i="11"/>
  <c r="I200" i="11"/>
  <c r="F200" i="11"/>
  <c r="X199" i="11"/>
  <c r="V199" i="11"/>
  <c r="U199" i="11"/>
  <c r="T199" i="11"/>
  <c r="S199" i="11"/>
  <c r="R199" i="11"/>
  <c r="Q199" i="11"/>
  <c r="P199" i="11"/>
  <c r="O199" i="11"/>
  <c r="N199" i="11"/>
  <c r="M199" i="11"/>
  <c r="L199" i="11"/>
  <c r="K199" i="11"/>
  <c r="I199" i="11"/>
  <c r="F199" i="11"/>
  <c r="X198" i="11"/>
  <c r="V198" i="11"/>
  <c r="U198" i="11"/>
  <c r="T198" i="11"/>
  <c r="S198" i="11"/>
  <c r="R198" i="11"/>
  <c r="Q198" i="11"/>
  <c r="P198" i="11"/>
  <c r="O198" i="11"/>
  <c r="N198" i="11"/>
  <c r="M198" i="11"/>
  <c r="L198" i="11"/>
  <c r="K198" i="11"/>
  <c r="I198" i="11"/>
  <c r="F198" i="11"/>
  <c r="X197" i="11"/>
  <c r="V197" i="11"/>
  <c r="U197" i="11"/>
  <c r="T197" i="11"/>
  <c r="S197" i="11"/>
  <c r="R197" i="11"/>
  <c r="Q197" i="11"/>
  <c r="P197" i="11"/>
  <c r="O197" i="11"/>
  <c r="N197" i="11"/>
  <c r="M197" i="11"/>
  <c r="L197" i="11"/>
  <c r="K197" i="11"/>
  <c r="I197" i="11"/>
  <c r="F197" i="11"/>
  <c r="X196" i="11"/>
  <c r="V196" i="11"/>
  <c r="U196" i="11"/>
  <c r="T196" i="11"/>
  <c r="S196" i="11"/>
  <c r="R196" i="11"/>
  <c r="Q196" i="11"/>
  <c r="P196" i="11"/>
  <c r="O196" i="11"/>
  <c r="N196" i="11"/>
  <c r="M196" i="11"/>
  <c r="L196" i="11"/>
  <c r="K196" i="11"/>
  <c r="I196" i="11"/>
  <c r="F196" i="11"/>
  <c r="X195" i="11"/>
  <c r="V195" i="11"/>
  <c r="U195" i="11"/>
  <c r="T195" i="11"/>
  <c r="S195" i="11"/>
  <c r="R195" i="11"/>
  <c r="Q195" i="11"/>
  <c r="P195" i="11"/>
  <c r="O195" i="11"/>
  <c r="N195" i="11"/>
  <c r="M195" i="11"/>
  <c r="L195" i="11"/>
  <c r="K195" i="11"/>
  <c r="I195" i="11"/>
  <c r="F195" i="11"/>
  <c r="X194" i="11"/>
  <c r="V194" i="11"/>
  <c r="U194" i="11"/>
  <c r="T194" i="11"/>
  <c r="S194" i="11"/>
  <c r="R194" i="11"/>
  <c r="Q194" i="11"/>
  <c r="P194" i="11"/>
  <c r="O194" i="11"/>
  <c r="N194" i="11"/>
  <c r="M194" i="11"/>
  <c r="L194" i="11"/>
  <c r="K194" i="11"/>
  <c r="I194" i="11"/>
  <c r="F194" i="11"/>
  <c r="X193" i="11"/>
  <c r="V193" i="11"/>
  <c r="U193" i="11"/>
  <c r="T193" i="11"/>
  <c r="S193" i="11"/>
  <c r="R193" i="11"/>
  <c r="Q193" i="11"/>
  <c r="P193" i="11"/>
  <c r="O193" i="11"/>
  <c r="N193" i="11"/>
  <c r="M193" i="11"/>
  <c r="L193" i="11"/>
  <c r="K193" i="11"/>
  <c r="I193" i="11"/>
  <c r="F193" i="11"/>
  <c r="X192" i="11"/>
  <c r="V192" i="11"/>
  <c r="U192" i="11"/>
  <c r="T192" i="11"/>
  <c r="S192" i="11"/>
  <c r="R192" i="11"/>
  <c r="Q192" i="11"/>
  <c r="P192" i="11"/>
  <c r="O192" i="11"/>
  <c r="N192" i="11"/>
  <c r="M192" i="11"/>
  <c r="L192" i="11"/>
  <c r="K192" i="11"/>
  <c r="I192" i="11"/>
  <c r="F192" i="11"/>
  <c r="X191" i="11"/>
  <c r="V191" i="11"/>
  <c r="U191" i="11"/>
  <c r="T191" i="11"/>
  <c r="S191" i="11"/>
  <c r="R191" i="11"/>
  <c r="Q191" i="11"/>
  <c r="P191" i="11"/>
  <c r="O191" i="11"/>
  <c r="N191" i="11"/>
  <c r="M191" i="11"/>
  <c r="L191" i="11"/>
  <c r="K191" i="11"/>
  <c r="I191" i="11"/>
  <c r="F191" i="11"/>
  <c r="X190" i="11"/>
  <c r="V190" i="11"/>
  <c r="U190" i="11"/>
  <c r="T190" i="11"/>
  <c r="S190" i="11"/>
  <c r="R190" i="11"/>
  <c r="Q190" i="11"/>
  <c r="P190" i="11"/>
  <c r="O190" i="11"/>
  <c r="N190" i="11"/>
  <c r="M190" i="11"/>
  <c r="L190" i="11"/>
  <c r="K190" i="11"/>
  <c r="I190" i="11"/>
  <c r="F190" i="11"/>
  <c r="X189" i="11"/>
  <c r="V189" i="11"/>
  <c r="U189" i="11"/>
  <c r="T189" i="11"/>
  <c r="S189" i="11"/>
  <c r="R189" i="11"/>
  <c r="Q189" i="11"/>
  <c r="P189" i="11"/>
  <c r="O189" i="11"/>
  <c r="N189" i="11"/>
  <c r="M189" i="11"/>
  <c r="L189" i="11"/>
  <c r="K189" i="11"/>
  <c r="I189" i="11"/>
  <c r="F189" i="11"/>
  <c r="X188" i="11"/>
  <c r="V188" i="11"/>
  <c r="U188" i="11"/>
  <c r="T188" i="11"/>
  <c r="S188" i="11"/>
  <c r="R188" i="11"/>
  <c r="Q188" i="11"/>
  <c r="P188" i="11"/>
  <c r="O188" i="11"/>
  <c r="N188" i="11"/>
  <c r="M188" i="11"/>
  <c r="L188" i="11"/>
  <c r="K188" i="11"/>
  <c r="I188" i="11"/>
  <c r="F188" i="11"/>
  <c r="X187" i="11"/>
  <c r="V187" i="11"/>
  <c r="U187" i="11"/>
  <c r="T187" i="11"/>
  <c r="S187" i="11"/>
  <c r="R187" i="11"/>
  <c r="Q187" i="11"/>
  <c r="P187" i="11"/>
  <c r="O187" i="11"/>
  <c r="N187" i="11"/>
  <c r="M187" i="11"/>
  <c r="L187" i="11"/>
  <c r="K187" i="11"/>
  <c r="I187" i="11"/>
  <c r="F187" i="11"/>
  <c r="X186" i="11"/>
  <c r="V186" i="11"/>
  <c r="U186" i="11"/>
  <c r="T186" i="11"/>
  <c r="S186" i="11"/>
  <c r="R186" i="11"/>
  <c r="Q186" i="11"/>
  <c r="P186" i="11"/>
  <c r="O186" i="11"/>
  <c r="N186" i="11"/>
  <c r="M186" i="11"/>
  <c r="L186" i="11"/>
  <c r="K186" i="11"/>
  <c r="I186" i="11"/>
  <c r="F186" i="11"/>
  <c r="X185" i="11"/>
  <c r="V185" i="11"/>
  <c r="U185" i="11"/>
  <c r="T185" i="11"/>
  <c r="S185" i="11"/>
  <c r="R185" i="11"/>
  <c r="Q185" i="11"/>
  <c r="P185" i="11"/>
  <c r="O185" i="11"/>
  <c r="N185" i="11"/>
  <c r="M185" i="11"/>
  <c r="L185" i="11"/>
  <c r="K185" i="11"/>
  <c r="I185" i="11"/>
  <c r="F185" i="11"/>
  <c r="X184" i="11"/>
  <c r="V184" i="11"/>
  <c r="U184" i="11"/>
  <c r="T184" i="11"/>
  <c r="S184" i="11"/>
  <c r="R184" i="11"/>
  <c r="Q184" i="11"/>
  <c r="P184" i="11"/>
  <c r="O184" i="11"/>
  <c r="N184" i="11"/>
  <c r="M184" i="11"/>
  <c r="L184" i="11"/>
  <c r="K184" i="11"/>
  <c r="I184" i="11"/>
  <c r="F184" i="11"/>
  <c r="X183" i="11"/>
  <c r="V183" i="11"/>
  <c r="U183" i="11"/>
  <c r="T183" i="11"/>
  <c r="S183" i="11"/>
  <c r="R183" i="11"/>
  <c r="Q183" i="11"/>
  <c r="P183" i="11"/>
  <c r="O183" i="11"/>
  <c r="N183" i="11"/>
  <c r="M183" i="11"/>
  <c r="L183" i="11"/>
  <c r="K183" i="11"/>
  <c r="I183" i="11"/>
  <c r="F183" i="11"/>
  <c r="X182" i="11"/>
  <c r="V182" i="11"/>
  <c r="U182" i="11"/>
  <c r="T182" i="11"/>
  <c r="S182" i="11"/>
  <c r="R182" i="11"/>
  <c r="Q182" i="11"/>
  <c r="P182" i="11"/>
  <c r="O182" i="11"/>
  <c r="N182" i="11"/>
  <c r="M182" i="11"/>
  <c r="L182" i="11"/>
  <c r="K182" i="11"/>
  <c r="I182" i="11"/>
  <c r="F182" i="11"/>
  <c r="X181" i="11"/>
  <c r="V181" i="11"/>
  <c r="U181" i="11"/>
  <c r="T181" i="11"/>
  <c r="S181" i="11"/>
  <c r="R181" i="11"/>
  <c r="Q181" i="11"/>
  <c r="P181" i="11"/>
  <c r="O181" i="11"/>
  <c r="N181" i="11"/>
  <c r="M181" i="11"/>
  <c r="L181" i="11"/>
  <c r="K181" i="11"/>
  <c r="I181" i="11"/>
  <c r="F181" i="11"/>
  <c r="X180" i="11"/>
  <c r="V180" i="11"/>
  <c r="U180" i="11"/>
  <c r="T180" i="11"/>
  <c r="S180" i="11"/>
  <c r="R180" i="11"/>
  <c r="Q180" i="11"/>
  <c r="P180" i="11"/>
  <c r="O180" i="11"/>
  <c r="N180" i="11"/>
  <c r="M180" i="11"/>
  <c r="L180" i="11"/>
  <c r="K180" i="11"/>
  <c r="I180" i="11"/>
  <c r="F180" i="11"/>
  <c r="X179" i="11"/>
  <c r="V179" i="11"/>
  <c r="U179" i="11"/>
  <c r="T179" i="11"/>
  <c r="S179" i="11"/>
  <c r="R179" i="11"/>
  <c r="Q179" i="11"/>
  <c r="P179" i="11"/>
  <c r="O179" i="11"/>
  <c r="N179" i="11"/>
  <c r="M179" i="11"/>
  <c r="L179" i="11"/>
  <c r="K179" i="11"/>
  <c r="I179" i="11"/>
  <c r="F179" i="11"/>
  <c r="X178" i="11"/>
  <c r="V178" i="11"/>
  <c r="U178" i="11"/>
  <c r="T178" i="11"/>
  <c r="S178" i="11"/>
  <c r="R178" i="11"/>
  <c r="Q178" i="11"/>
  <c r="P178" i="11"/>
  <c r="O178" i="11"/>
  <c r="N178" i="11"/>
  <c r="M178" i="11"/>
  <c r="L178" i="11"/>
  <c r="K178" i="11"/>
  <c r="I178" i="11"/>
  <c r="F178" i="11"/>
  <c r="X177" i="11"/>
  <c r="V177" i="11"/>
  <c r="U177" i="11"/>
  <c r="T177" i="11"/>
  <c r="S177" i="11"/>
  <c r="R177" i="11"/>
  <c r="Q177" i="11"/>
  <c r="P177" i="11"/>
  <c r="O177" i="11"/>
  <c r="N177" i="11"/>
  <c r="M177" i="11"/>
  <c r="L177" i="11"/>
  <c r="K177" i="11"/>
  <c r="I177" i="11"/>
  <c r="F177" i="11"/>
  <c r="X176" i="11"/>
  <c r="V176" i="11"/>
  <c r="U176" i="11"/>
  <c r="T176" i="11"/>
  <c r="S176" i="11"/>
  <c r="R176" i="11"/>
  <c r="Q176" i="11"/>
  <c r="P176" i="11"/>
  <c r="O176" i="11"/>
  <c r="N176" i="11"/>
  <c r="M176" i="11"/>
  <c r="L176" i="11"/>
  <c r="K176" i="11"/>
  <c r="I176" i="11"/>
  <c r="F176" i="11"/>
  <c r="X175" i="11"/>
  <c r="V175" i="11"/>
  <c r="U175" i="11"/>
  <c r="T175" i="11"/>
  <c r="S175" i="11"/>
  <c r="R175" i="11"/>
  <c r="Q175" i="11"/>
  <c r="P175" i="11"/>
  <c r="O175" i="11"/>
  <c r="N175" i="11"/>
  <c r="M175" i="11"/>
  <c r="L175" i="11"/>
  <c r="K175" i="11"/>
  <c r="I175" i="11"/>
  <c r="F175" i="11"/>
  <c r="X174" i="11"/>
  <c r="V174" i="11"/>
  <c r="U174" i="11"/>
  <c r="T174" i="11"/>
  <c r="S174" i="11"/>
  <c r="R174" i="11"/>
  <c r="Q174" i="11"/>
  <c r="P174" i="11"/>
  <c r="O174" i="11"/>
  <c r="N174" i="11"/>
  <c r="M174" i="11"/>
  <c r="L174" i="11"/>
  <c r="K174" i="11"/>
  <c r="I174" i="11"/>
  <c r="F174" i="11"/>
  <c r="X173" i="11"/>
  <c r="V173" i="11"/>
  <c r="U173" i="11"/>
  <c r="T173" i="11"/>
  <c r="S173" i="11"/>
  <c r="R173" i="11"/>
  <c r="Q173" i="11"/>
  <c r="P173" i="11"/>
  <c r="O173" i="11"/>
  <c r="N173" i="11"/>
  <c r="M173" i="11"/>
  <c r="L173" i="11"/>
  <c r="K173" i="11"/>
  <c r="I173" i="11"/>
  <c r="F173" i="11"/>
  <c r="X172" i="11"/>
  <c r="V172" i="11"/>
  <c r="U172" i="11"/>
  <c r="T172" i="11"/>
  <c r="S172" i="11"/>
  <c r="R172" i="11"/>
  <c r="Q172" i="11"/>
  <c r="P172" i="11"/>
  <c r="O172" i="11"/>
  <c r="N172" i="11"/>
  <c r="M172" i="11"/>
  <c r="L172" i="11"/>
  <c r="K172" i="11"/>
  <c r="I172" i="11"/>
  <c r="F172" i="11"/>
  <c r="X171" i="11"/>
  <c r="V171" i="11"/>
  <c r="U171" i="11"/>
  <c r="T171" i="11"/>
  <c r="S171" i="11"/>
  <c r="R171" i="11"/>
  <c r="Q171" i="11"/>
  <c r="P171" i="11"/>
  <c r="O171" i="11"/>
  <c r="N171" i="11"/>
  <c r="M171" i="11"/>
  <c r="L171" i="11"/>
  <c r="K171" i="11"/>
  <c r="I171" i="11"/>
  <c r="F171" i="11"/>
  <c r="X170" i="11"/>
  <c r="V170" i="11"/>
  <c r="U170" i="11"/>
  <c r="T170" i="11"/>
  <c r="S170" i="11"/>
  <c r="R170" i="11"/>
  <c r="Q170" i="11"/>
  <c r="P170" i="11"/>
  <c r="O170" i="11"/>
  <c r="N170" i="11"/>
  <c r="M170" i="11"/>
  <c r="L170" i="11"/>
  <c r="K170" i="11"/>
  <c r="I170" i="11"/>
  <c r="F170" i="11"/>
  <c r="X169" i="11"/>
  <c r="V169" i="11"/>
  <c r="U169" i="11"/>
  <c r="T169" i="11"/>
  <c r="S169" i="11"/>
  <c r="R169" i="11"/>
  <c r="Q169" i="11"/>
  <c r="P169" i="11"/>
  <c r="O169" i="11"/>
  <c r="N169" i="11"/>
  <c r="M169" i="11"/>
  <c r="L169" i="11"/>
  <c r="K169" i="11"/>
  <c r="I169" i="11"/>
  <c r="F169" i="11"/>
  <c r="X168" i="11"/>
  <c r="V168" i="11"/>
  <c r="U168" i="11"/>
  <c r="T168" i="11"/>
  <c r="S168" i="11"/>
  <c r="R168" i="11"/>
  <c r="Q168" i="11"/>
  <c r="P168" i="11"/>
  <c r="O168" i="11"/>
  <c r="N168" i="11"/>
  <c r="M168" i="11"/>
  <c r="L168" i="11"/>
  <c r="K168" i="11"/>
  <c r="I168" i="11"/>
  <c r="F168" i="11"/>
  <c r="X167" i="11"/>
  <c r="V167" i="11"/>
  <c r="U167" i="11"/>
  <c r="T167" i="11"/>
  <c r="S167" i="11"/>
  <c r="R167" i="11"/>
  <c r="Q167" i="11"/>
  <c r="P167" i="11"/>
  <c r="O167" i="11"/>
  <c r="N167" i="11"/>
  <c r="M167" i="11"/>
  <c r="L167" i="11"/>
  <c r="K167" i="11"/>
  <c r="I167" i="11"/>
  <c r="F167" i="11"/>
  <c r="X166" i="11"/>
  <c r="V166" i="11"/>
  <c r="U166" i="11"/>
  <c r="T166" i="11"/>
  <c r="S166" i="11"/>
  <c r="R166" i="11"/>
  <c r="Q166" i="11"/>
  <c r="P166" i="11"/>
  <c r="O166" i="11"/>
  <c r="N166" i="11"/>
  <c r="M166" i="11"/>
  <c r="L166" i="11"/>
  <c r="K166" i="11"/>
  <c r="I166" i="11"/>
  <c r="F166" i="11"/>
  <c r="X165" i="11"/>
  <c r="V165" i="11"/>
  <c r="U165" i="11"/>
  <c r="T165" i="11"/>
  <c r="S165" i="11"/>
  <c r="R165" i="11"/>
  <c r="Q165" i="11"/>
  <c r="P165" i="11"/>
  <c r="O165" i="11"/>
  <c r="N165" i="11"/>
  <c r="M165" i="11"/>
  <c r="L165" i="11"/>
  <c r="K165" i="11"/>
  <c r="I165" i="11"/>
  <c r="F165" i="11"/>
  <c r="X164" i="11"/>
  <c r="V164" i="11"/>
  <c r="U164" i="11"/>
  <c r="T164" i="11"/>
  <c r="S164" i="11"/>
  <c r="R164" i="11"/>
  <c r="Q164" i="11"/>
  <c r="P164" i="11"/>
  <c r="O164" i="11"/>
  <c r="N164" i="11"/>
  <c r="M164" i="11"/>
  <c r="L164" i="11"/>
  <c r="K164" i="11"/>
  <c r="I164" i="11"/>
  <c r="F164" i="11"/>
  <c r="X163" i="11"/>
  <c r="V163" i="11"/>
  <c r="U163" i="11"/>
  <c r="T163" i="11"/>
  <c r="S163" i="11"/>
  <c r="R163" i="11"/>
  <c r="Q163" i="11"/>
  <c r="P163" i="11"/>
  <c r="O163" i="11"/>
  <c r="N163" i="11"/>
  <c r="M163" i="11"/>
  <c r="L163" i="11"/>
  <c r="K163" i="11"/>
  <c r="I163" i="11"/>
  <c r="F163" i="11"/>
  <c r="X162" i="11"/>
  <c r="V162" i="11"/>
  <c r="U162" i="11"/>
  <c r="T162" i="11"/>
  <c r="S162" i="11"/>
  <c r="R162" i="11"/>
  <c r="Q162" i="11"/>
  <c r="P162" i="11"/>
  <c r="O162" i="11"/>
  <c r="N162" i="11"/>
  <c r="M162" i="11"/>
  <c r="L162" i="11"/>
  <c r="K162" i="11"/>
  <c r="I162" i="11"/>
  <c r="F162" i="11"/>
  <c r="X161" i="11"/>
  <c r="V161" i="11"/>
  <c r="U161" i="11"/>
  <c r="T161" i="11"/>
  <c r="S161" i="11"/>
  <c r="R161" i="11"/>
  <c r="Q161" i="11"/>
  <c r="P161" i="11"/>
  <c r="O161" i="11"/>
  <c r="N161" i="11"/>
  <c r="M161" i="11"/>
  <c r="L161" i="11"/>
  <c r="K161" i="11"/>
  <c r="I161" i="11"/>
  <c r="F161" i="11"/>
  <c r="X160" i="11"/>
  <c r="V160" i="11"/>
  <c r="U160" i="11"/>
  <c r="T160" i="11"/>
  <c r="S160" i="11"/>
  <c r="R160" i="11"/>
  <c r="Q160" i="11"/>
  <c r="P160" i="11"/>
  <c r="O160" i="11"/>
  <c r="N160" i="11"/>
  <c r="M160" i="11"/>
  <c r="L160" i="11"/>
  <c r="K160" i="11"/>
  <c r="I160" i="11"/>
  <c r="F160" i="11"/>
  <c r="X159" i="11"/>
  <c r="V159" i="11"/>
  <c r="U159" i="11"/>
  <c r="T159" i="11"/>
  <c r="S159" i="11"/>
  <c r="R159" i="11"/>
  <c r="Q159" i="11"/>
  <c r="P159" i="11"/>
  <c r="O159" i="11"/>
  <c r="N159" i="11"/>
  <c r="M159" i="11"/>
  <c r="L159" i="11"/>
  <c r="K159" i="11"/>
  <c r="I159" i="11"/>
  <c r="F159" i="11"/>
  <c r="X158" i="11"/>
  <c r="V158" i="11"/>
  <c r="U158" i="11"/>
  <c r="T158" i="11"/>
  <c r="S158" i="11"/>
  <c r="R158" i="11"/>
  <c r="Q158" i="11"/>
  <c r="P158" i="11"/>
  <c r="O158" i="11"/>
  <c r="N158" i="11"/>
  <c r="M158" i="11"/>
  <c r="L158" i="11"/>
  <c r="K158" i="11"/>
  <c r="I158" i="11"/>
  <c r="F158" i="11"/>
  <c r="X157" i="11"/>
  <c r="V157" i="11"/>
  <c r="U157" i="11"/>
  <c r="T157" i="11"/>
  <c r="S157" i="11"/>
  <c r="R157" i="11"/>
  <c r="Q157" i="11"/>
  <c r="P157" i="11"/>
  <c r="O157" i="11"/>
  <c r="N157" i="11"/>
  <c r="M157" i="11"/>
  <c r="L157" i="11"/>
  <c r="K157" i="11"/>
  <c r="I157" i="11"/>
  <c r="F157" i="11"/>
  <c r="X156" i="11"/>
  <c r="V156" i="11"/>
  <c r="U156" i="11"/>
  <c r="T156" i="11"/>
  <c r="S156" i="11"/>
  <c r="R156" i="11"/>
  <c r="Q156" i="11"/>
  <c r="P156" i="11"/>
  <c r="O156" i="11"/>
  <c r="N156" i="11"/>
  <c r="M156" i="11"/>
  <c r="L156" i="11"/>
  <c r="K156" i="11"/>
  <c r="I156" i="11"/>
  <c r="F156" i="11"/>
  <c r="X155" i="11"/>
  <c r="V155" i="11"/>
  <c r="U155" i="11"/>
  <c r="T155" i="11"/>
  <c r="S155" i="11"/>
  <c r="R155" i="11"/>
  <c r="Q155" i="11"/>
  <c r="P155" i="11"/>
  <c r="O155" i="11"/>
  <c r="N155" i="11"/>
  <c r="M155" i="11"/>
  <c r="L155" i="11"/>
  <c r="K155" i="11"/>
  <c r="I155" i="11"/>
  <c r="F155" i="11"/>
  <c r="X154" i="11"/>
  <c r="V154" i="11"/>
  <c r="U154" i="11"/>
  <c r="T154" i="11"/>
  <c r="S154" i="11"/>
  <c r="R154" i="11"/>
  <c r="Q154" i="11"/>
  <c r="P154" i="11"/>
  <c r="O154" i="11"/>
  <c r="N154" i="11"/>
  <c r="M154" i="11"/>
  <c r="L154" i="11"/>
  <c r="K154" i="11"/>
  <c r="I154" i="11"/>
  <c r="F154" i="11"/>
  <c r="X153" i="11"/>
  <c r="V153" i="11"/>
  <c r="U153" i="11"/>
  <c r="T153" i="11"/>
  <c r="S153" i="11"/>
  <c r="R153" i="11"/>
  <c r="Q153" i="11"/>
  <c r="P153" i="11"/>
  <c r="O153" i="11"/>
  <c r="N153" i="11"/>
  <c r="M153" i="11"/>
  <c r="L153" i="11"/>
  <c r="K153" i="11"/>
  <c r="I153" i="11"/>
  <c r="F153" i="11"/>
  <c r="X152" i="11"/>
  <c r="V152" i="11"/>
  <c r="U152" i="11"/>
  <c r="T152" i="11"/>
  <c r="S152" i="11"/>
  <c r="R152" i="11"/>
  <c r="Q152" i="11"/>
  <c r="P152" i="11"/>
  <c r="O152" i="11"/>
  <c r="N152" i="11"/>
  <c r="M152" i="11"/>
  <c r="L152" i="11"/>
  <c r="K152" i="11"/>
  <c r="I152" i="11"/>
  <c r="F152" i="11"/>
  <c r="X151" i="11"/>
  <c r="V151" i="11"/>
  <c r="U151" i="11"/>
  <c r="T151" i="11"/>
  <c r="S151" i="11"/>
  <c r="R151" i="11"/>
  <c r="Q151" i="11"/>
  <c r="P151" i="11"/>
  <c r="O151" i="11"/>
  <c r="N151" i="11"/>
  <c r="M151" i="11"/>
  <c r="L151" i="11"/>
  <c r="K151" i="11"/>
  <c r="I151" i="11"/>
  <c r="F151" i="11"/>
  <c r="X150" i="11"/>
  <c r="V150" i="11"/>
  <c r="U150" i="11"/>
  <c r="T150" i="11"/>
  <c r="S150" i="11"/>
  <c r="R150" i="11"/>
  <c r="Q150" i="11"/>
  <c r="P150" i="11"/>
  <c r="O150" i="11"/>
  <c r="N150" i="11"/>
  <c r="M150" i="11"/>
  <c r="L150" i="11"/>
  <c r="K150" i="11"/>
  <c r="I150" i="11"/>
  <c r="F150" i="11"/>
  <c r="X149" i="11"/>
  <c r="V149" i="11"/>
  <c r="U149" i="11"/>
  <c r="T149" i="11"/>
  <c r="S149" i="11"/>
  <c r="R149" i="11"/>
  <c r="Q149" i="11"/>
  <c r="P149" i="11"/>
  <c r="O149" i="11"/>
  <c r="N149" i="11"/>
  <c r="M149" i="11"/>
  <c r="L149" i="11"/>
  <c r="K149" i="11"/>
  <c r="I149" i="11"/>
  <c r="F149" i="11"/>
  <c r="X148" i="11"/>
  <c r="V148" i="11"/>
  <c r="U148" i="11"/>
  <c r="T148" i="11"/>
  <c r="S148" i="11"/>
  <c r="R148" i="11"/>
  <c r="Q148" i="11"/>
  <c r="P148" i="11"/>
  <c r="O148" i="11"/>
  <c r="N148" i="11"/>
  <c r="M148" i="11"/>
  <c r="L148" i="11"/>
  <c r="K148" i="11"/>
  <c r="I148" i="11"/>
  <c r="F148" i="11"/>
  <c r="X147" i="11"/>
  <c r="V147" i="11"/>
  <c r="U147" i="11"/>
  <c r="T147" i="11"/>
  <c r="S147" i="11"/>
  <c r="R147" i="11"/>
  <c r="Q147" i="11"/>
  <c r="P147" i="11"/>
  <c r="O147" i="11"/>
  <c r="N147" i="11"/>
  <c r="M147" i="11"/>
  <c r="L147" i="11"/>
  <c r="K147" i="11"/>
  <c r="I147" i="11"/>
  <c r="F147" i="11"/>
  <c r="X146" i="11"/>
  <c r="V146" i="11"/>
  <c r="U146" i="11"/>
  <c r="T146" i="11"/>
  <c r="S146" i="11"/>
  <c r="R146" i="11"/>
  <c r="Q146" i="11"/>
  <c r="P146" i="11"/>
  <c r="O146" i="11"/>
  <c r="N146" i="11"/>
  <c r="M146" i="11"/>
  <c r="L146" i="11"/>
  <c r="K146" i="11"/>
  <c r="I146" i="11"/>
  <c r="F146" i="11"/>
  <c r="X145" i="11"/>
  <c r="V145" i="11"/>
  <c r="U145" i="11"/>
  <c r="T145" i="11"/>
  <c r="S145" i="11"/>
  <c r="R145" i="11"/>
  <c r="Q145" i="11"/>
  <c r="P145" i="11"/>
  <c r="O145" i="11"/>
  <c r="N145" i="11"/>
  <c r="M145" i="11"/>
  <c r="L145" i="11"/>
  <c r="K145" i="11"/>
  <c r="I145" i="11"/>
  <c r="F145" i="11"/>
  <c r="X144" i="11"/>
  <c r="V144" i="11"/>
  <c r="U144" i="11"/>
  <c r="T144" i="11"/>
  <c r="S144" i="11"/>
  <c r="R144" i="11"/>
  <c r="Q144" i="11"/>
  <c r="P144" i="11"/>
  <c r="O144" i="11"/>
  <c r="N144" i="11"/>
  <c r="M144" i="11"/>
  <c r="L144" i="11"/>
  <c r="K144" i="11"/>
  <c r="I144" i="11"/>
  <c r="F144" i="11"/>
  <c r="X143" i="11"/>
  <c r="V143" i="11"/>
  <c r="U143" i="11"/>
  <c r="T143" i="11"/>
  <c r="S143" i="11"/>
  <c r="R143" i="11"/>
  <c r="Q143" i="11"/>
  <c r="P143" i="11"/>
  <c r="O143" i="11"/>
  <c r="N143" i="11"/>
  <c r="M143" i="11"/>
  <c r="L143" i="11"/>
  <c r="K143" i="11"/>
  <c r="I143" i="11"/>
  <c r="F143" i="11"/>
  <c r="X142" i="11"/>
  <c r="V142" i="11"/>
  <c r="U142" i="11"/>
  <c r="T142" i="11"/>
  <c r="S142" i="11"/>
  <c r="R142" i="11"/>
  <c r="Q142" i="11"/>
  <c r="P142" i="11"/>
  <c r="O142" i="11"/>
  <c r="N142" i="11"/>
  <c r="M142" i="11"/>
  <c r="L142" i="11"/>
  <c r="K142" i="11"/>
  <c r="I142" i="11"/>
  <c r="F142" i="11"/>
  <c r="X141" i="11"/>
  <c r="V141" i="11"/>
  <c r="U141" i="11"/>
  <c r="T141" i="11"/>
  <c r="S141" i="11"/>
  <c r="R141" i="11"/>
  <c r="Q141" i="11"/>
  <c r="P141" i="11"/>
  <c r="O141" i="11"/>
  <c r="N141" i="11"/>
  <c r="M141" i="11"/>
  <c r="L141" i="11"/>
  <c r="K141" i="11"/>
  <c r="I141" i="11"/>
  <c r="F141" i="11"/>
  <c r="X140" i="11"/>
  <c r="V140" i="11"/>
  <c r="U140" i="11"/>
  <c r="T140" i="11"/>
  <c r="S140" i="11"/>
  <c r="R140" i="11"/>
  <c r="Q140" i="11"/>
  <c r="P140" i="11"/>
  <c r="O140" i="11"/>
  <c r="N140" i="11"/>
  <c r="M140" i="11"/>
  <c r="L140" i="11"/>
  <c r="K140" i="11"/>
  <c r="I140" i="11"/>
  <c r="F140" i="11"/>
  <c r="X139" i="11"/>
  <c r="V139" i="11"/>
  <c r="U139" i="11"/>
  <c r="T139" i="11"/>
  <c r="S139" i="11"/>
  <c r="R139" i="11"/>
  <c r="Q139" i="11"/>
  <c r="P139" i="11"/>
  <c r="O139" i="11"/>
  <c r="N139" i="11"/>
  <c r="M139" i="11"/>
  <c r="L139" i="11"/>
  <c r="K139" i="11"/>
  <c r="I139" i="11"/>
  <c r="F139" i="11"/>
  <c r="X138" i="11"/>
  <c r="V138" i="11"/>
  <c r="U138" i="11"/>
  <c r="T138" i="11"/>
  <c r="S138" i="11"/>
  <c r="R138" i="11"/>
  <c r="Q138" i="11"/>
  <c r="P138" i="11"/>
  <c r="O138" i="11"/>
  <c r="N138" i="11"/>
  <c r="M138" i="11"/>
  <c r="L138" i="11"/>
  <c r="K138" i="11"/>
  <c r="I138" i="11"/>
  <c r="F138" i="11"/>
  <c r="X137" i="11"/>
  <c r="V137" i="11"/>
  <c r="U137" i="11"/>
  <c r="T137" i="11"/>
  <c r="S137" i="11"/>
  <c r="R137" i="11"/>
  <c r="Q137" i="11"/>
  <c r="P137" i="11"/>
  <c r="O137" i="11"/>
  <c r="N137" i="11"/>
  <c r="M137" i="11"/>
  <c r="L137" i="11"/>
  <c r="K137" i="11"/>
  <c r="I137" i="11"/>
  <c r="F137" i="11"/>
  <c r="X136" i="11"/>
  <c r="V136" i="11"/>
  <c r="U136" i="11"/>
  <c r="T136" i="11"/>
  <c r="S136" i="11"/>
  <c r="R136" i="11"/>
  <c r="Q136" i="11"/>
  <c r="P136" i="11"/>
  <c r="O136" i="11"/>
  <c r="N136" i="11"/>
  <c r="M136" i="11"/>
  <c r="L136" i="11"/>
  <c r="K136" i="11"/>
  <c r="I136" i="11"/>
  <c r="F136" i="11"/>
  <c r="X135" i="11"/>
  <c r="V135" i="11"/>
  <c r="U135" i="11"/>
  <c r="T135" i="11"/>
  <c r="S135" i="11"/>
  <c r="R135" i="11"/>
  <c r="Q135" i="11"/>
  <c r="P135" i="11"/>
  <c r="O135" i="11"/>
  <c r="N135" i="11"/>
  <c r="M135" i="11"/>
  <c r="L135" i="11"/>
  <c r="K135" i="11"/>
  <c r="I135" i="11"/>
  <c r="F135" i="11"/>
  <c r="X134" i="11"/>
  <c r="V134" i="11"/>
  <c r="U134" i="11"/>
  <c r="T134" i="11"/>
  <c r="S134" i="11"/>
  <c r="R134" i="11"/>
  <c r="Q134" i="11"/>
  <c r="P134" i="11"/>
  <c r="O134" i="11"/>
  <c r="N134" i="11"/>
  <c r="M134" i="11"/>
  <c r="L134" i="11"/>
  <c r="K134" i="11"/>
  <c r="I134" i="11"/>
  <c r="F134" i="11"/>
  <c r="X133" i="11"/>
  <c r="V133" i="11"/>
  <c r="U133" i="11"/>
  <c r="T133" i="11"/>
  <c r="S133" i="11"/>
  <c r="R133" i="11"/>
  <c r="Q133" i="11"/>
  <c r="P133" i="11"/>
  <c r="O133" i="11"/>
  <c r="N133" i="11"/>
  <c r="M133" i="11"/>
  <c r="L133" i="11"/>
  <c r="K133" i="11"/>
  <c r="I133" i="11"/>
  <c r="F133" i="11"/>
  <c r="X132" i="11"/>
  <c r="V132" i="11"/>
  <c r="U132" i="11"/>
  <c r="T132" i="11"/>
  <c r="S132" i="11"/>
  <c r="R132" i="11"/>
  <c r="Q132" i="11"/>
  <c r="P132" i="11"/>
  <c r="O132" i="11"/>
  <c r="N132" i="11"/>
  <c r="M132" i="11"/>
  <c r="L132" i="11"/>
  <c r="K132" i="11"/>
  <c r="I132" i="11"/>
  <c r="F132" i="11"/>
  <c r="X131" i="11"/>
  <c r="V131" i="11"/>
  <c r="U131" i="11"/>
  <c r="T131" i="11"/>
  <c r="S131" i="11"/>
  <c r="R131" i="11"/>
  <c r="Q131" i="11"/>
  <c r="P131" i="11"/>
  <c r="O131" i="11"/>
  <c r="N131" i="11"/>
  <c r="M131" i="11"/>
  <c r="L131" i="11"/>
  <c r="K131" i="11"/>
  <c r="I131" i="11"/>
  <c r="F131" i="11"/>
  <c r="X130" i="11"/>
  <c r="V130" i="11"/>
  <c r="U130" i="11"/>
  <c r="T130" i="11"/>
  <c r="S130" i="11"/>
  <c r="R130" i="11"/>
  <c r="Q130" i="11"/>
  <c r="P130" i="11"/>
  <c r="O130" i="11"/>
  <c r="N130" i="11"/>
  <c r="M130" i="11"/>
  <c r="L130" i="11"/>
  <c r="K130" i="11"/>
  <c r="I130" i="11"/>
  <c r="F130" i="11"/>
  <c r="X129" i="11"/>
  <c r="V129" i="11"/>
  <c r="U129" i="11"/>
  <c r="T129" i="11"/>
  <c r="S129" i="11"/>
  <c r="R129" i="11"/>
  <c r="Q129" i="11"/>
  <c r="P129" i="11"/>
  <c r="O129" i="11"/>
  <c r="N129" i="11"/>
  <c r="M129" i="11"/>
  <c r="L129" i="11"/>
  <c r="K129" i="11"/>
  <c r="I129" i="11"/>
  <c r="F129" i="11"/>
  <c r="X128" i="11"/>
  <c r="V128" i="11"/>
  <c r="U128" i="11"/>
  <c r="T128" i="11"/>
  <c r="S128" i="11"/>
  <c r="R128" i="11"/>
  <c r="Q128" i="11"/>
  <c r="P128" i="11"/>
  <c r="O128" i="11"/>
  <c r="N128" i="11"/>
  <c r="M128" i="11"/>
  <c r="L128" i="11"/>
  <c r="K128" i="11"/>
  <c r="I128" i="11"/>
  <c r="F128" i="11"/>
  <c r="X127" i="11"/>
  <c r="V127" i="11"/>
  <c r="U127" i="11"/>
  <c r="T127" i="11"/>
  <c r="S127" i="11"/>
  <c r="R127" i="11"/>
  <c r="Q127" i="11"/>
  <c r="P127" i="11"/>
  <c r="O127" i="11"/>
  <c r="N127" i="11"/>
  <c r="M127" i="11"/>
  <c r="L127" i="11"/>
  <c r="K127" i="11"/>
  <c r="I127" i="11"/>
  <c r="F127" i="11"/>
  <c r="X126" i="11"/>
  <c r="V126" i="11"/>
  <c r="U126" i="11"/>
  <c r="T126" i="11"/>
  <c r="S126" i="11"/>
  <c r="R126" i="11"/>
  <c r="Q126" i="11"/>
  <c r="P126" i="11"/>
  <c r="O126" i="11"/>
  <c r="N126" i="11"/>
  <c r="M126" i="11"/>
  <c r="L126" i="11"/>
  <c r="K126" i="11"/>
  <c r="I126" i="11"/>
  <c r="F126" i="11"/>
  <c r="X125" i="11"/>
  <c r="V125" i="11"/>
  <c r="U125" i="11"/>
  <c r="T125" i="11"/>
  <c r="S125" i="11"/>
  <c r="R125" i="11"/>
  <c r="Q125" i="11"/>
  <c r="P125" i="11"/>
  <c r="O125" i="11"/>
  <c r="N125" i="11"/>
  <c r="M125" i="11"/>
  <c r="L125" i="11"/>
  <c r="K125" i="11"/>
  <c r="I125" i="11"/>
  <c r="F125" i="11"/>
  <c r="X124" i="11"/>
  <c r="V124" i="11"/>
  <c r="U124" i="11"/>
  <c r="T124" i="11"/>
  <c r="S124" i="11"/>
  <c r="R124" i="11"/>
  <c r="Q124" i="11"/>
  <c r="P124" i="11"/>
  <c r="O124" i="11"/>
  <c r="N124" i="11"/>
  <c r="M124" i="11"/>
  <c r="L124" i="11"/>
  <c r="K124" i="11"/>
  <c r="I124" i="11"/>
  <c r="F124" i="11"/>
  <c r="X123" i="11"/>
  <c r="V123" i="11"/>
  <c r="U123" i="11"/>
  <c r="T123" i="11"/>
  <c r="S123" i="11"/>
  <c r="R123" i="11"/>
  <c r="Q123" i="11"/>
  <c r="P123" i="11"/>
  <c r="O123" i="11"/>
  <c r="N123" i="11"/>
  <c r="M123" i="11"/>
  <c r="L123" i="11"/>
  <c r="K123" i="11"/>
  <c r="I123" i="11"/>
  <c r="F123" i="11"/>
  <c r="X122" i="11"/>
  <c r="V122" i="11"/>
  <c r="U122" i="11"/>
  <c r="T122" i="11"/>
  <c r="S122" i="11"/>
  <c r="R122" i="11"/>
  <c r="Q122" i="11"/>
  <c r="P122" i="11"/>
  <c r="O122" i="11"/>
  <c r="N122" i="11"/>
  <c r="M122" i="11"/>
  <c r="L122" i="11"/>
  <c r="K122" i="11"/>
  <c r="I122" i="11"/>
  <c r="F122" i="11"/>
  <c r="X121" i="11"/>
  <c r="V121" i="11"/>
  <c r="U121" i="11"/>
  <c r="T121" i="11"/>
  <c r="S121" i="11"/>
  <c r="R121" i="11"/>
  <c r="Q121" i="11"/>
  <c r="P121" i="11"/>
  <c r="O121" i="11"/>
  <c r="N121" i="11"/>
  <c r="M121" i="11"/>
  <c r="L121" i="11"/>
  <c r="K121" i="11"/>
  <c r="I121" i="11"/>
  <c r="F121" i="11"/>
  <c r="X120" i="11"/>
  <c r="V120" i="11"/>
  <c r="U120" i="11"/>
  <c r="T120" i="11"/>
  <c r="S120" i="11"/>
  <c r="R120" i="11"/>
  <c r="Q120" i="11"/>
  <c r="P120" i="11"/>
  <c r="O120" i="11"/>
  <c r="N120" i="11"/>
  <c r="M120" i="11"/>
  <c r="L120" i="11"/>
  <c r="K120" i="11"/>
  <c r="I120" i="11"/>
  <c r="F120" i="11"/>
  <c r="X119" i="11"/>
  <c r="V119" i="11"/>
  <c r="U119" i="11"/>
  <c r="T119" i="11"/>
  <c r="S119" i="11"/>
  <c r="R119" i="11"/>
  <c r="Q119" i="11"/>
  <c r="P119" i="11"/>
  <c r="O119" i="11"/>
  <c r="N119" i="11"/>
  <c r="M119" i="11"/>
  <c r="L119" i="11"/>
  <c r="K119" i="11"/>
  <c r="I119" i="11"/>
  <c r="F119" i="11"/>
  <c r="X118" i="11"/>
  <c r="V118" i="11"/>
  <c r="U118" i="11"/>
  <c r="T118" i="11"/>
  <c r="S118" i="11"/>
  <c r="R118" i="11"/>
  <c r="Q118" i="11"/>
  <c r="P118" i="11"/>
  <c r="O118" i="11"/>
  <c r="N118" i="11"/>
  <c r="M118" i="11"/>
  <c r="L118" i="11"/>
  <c r="K118" i="11"/>
  <c r="I118" i="11"/>
  <c r="F118" i="11"/>
  <c r="X117" i="11"/>
  <c r="V117" i="11"/>
  <c r="U117" i="11"/>
  <c r="T117" i="11"/>
  <c r="S117" i="11"/>
  <c r="R117" i="11"/>
  <c r="Q117" i="11"/>
  <c r="P117" i="11"/>
  <c r="O117" i="11"/>
  <c r="N117" i="11"/>
  <c r="M117" i="11"/>
  <c r="L117" i="11"/>
  <c r="K117" i="11"/>
  <c r="I117" i="11"/>
  <c r="F117" i="11"/>
  <c r="X116" i="11"/>
  <c r="V116" i="11"/>
  <c r="U116" i="11"/>
  <c r="T116" i="11"/>
  <c r="S116" i="11"/>
  <c r="R116" i="11"/>
  <c r="Q116" i="11"/>
  <c r="P116" i="11"/>
  <c r="O116" i="11"/>
  <c r="N116" i="11"/>
  <c r="M116" i="11"/>
  <c r="L116" i="11"/>
  <c r="K116" i="11"/>
  <c r="I116" i="11"/>
  <c r="F116" i="11"/>
  <c r="X115" i="11"/>
  <c r="V115" i="11"/>
  <c r="U115" i="11"/>
  <c r="T115" i="11"/>
  <c r="S115" i="11"/>
  <c r="R115" i="11"/>
  <c r="Q115" i="11"/>
  <c r="P115" i="11"/>
  <c r="O115" i="11"/>
  <c r="N115" i="11"/>
  <c r="M115" i="11"/>
  <c r="L115" i="11"/>
  <c r="K115" i="11"/>
  <c r="I115" i="11"/>
  <c r="F115" i="11"/>
  <c r="X114" i="11"/>
  <c r="V114" i="11"/>
  <c r="U114" i="11"/>
  <c r="T114" i="11"/>
  <c r="S114" i="11"/>
  <c r="R114" i="11"/>
  <c r="Q114" i="11"/>
  <c r="P114" i="11"/>
  <c r="O114" i="11"/>
  <c r="N114" i="11"/>
  <c r="M114" i="11"/>
  <c r="L114" i="11"/>
  <c r="K114" i="11"/>
  <c r="I114" i="11"/>
  <c r="F114" i="11"/>
  <c r="X113" i="11"/>
  <c r="V113" i="11"/>
  <c r="U113" i="11"/>
  <c r="T113" i="11"/>
  <c r="S113" i="11"/>
  <c r="R113" i="11"/>
  <c r="Q113" i="11"/>
  <c r="P113" i="11"/>
  <c r="O113" i="11"/>
  <c r="N113" i="11"/>
  <c r="M113" i="11"/>
  <c r="L113" i="11"/>
  <c r="K113" i="11"/>
  <c r="I113" i="11"/>
  <c r="F113" i="11"/>
  <c r="X112" i="11"/>
  <c r="V112" i="11"/>
  <c r="U112" i="11"/>
  <c r="T112" i="11"/>
  <c r="S112" i="11"/>
  <c r="R112" i="11"/>
  <c r="Q112" i="11"/>
  <c r="P112" i="11"/>
  <c r="O112" i="11"/>
  <c r="N112" i="11"/>
  <c r="M112" i="11"/>
  <c r="L112" i="11"/>
  <c r="K112" i="11"/>
  <c r="I112" i="11"/>
  <c r="F112" i="11"/>
  <c r="X111" i="11"/>
  <c r="V111" i="11"/>
  <c r="U111" i="11"/>
  <c r="T111" i="11"/>
  <c r="S111" i="11"/>
  <c r="R111" i="11"/>
  <c r="Q111" i="11"/>
  <c r="P111" i="11"/>
  <c r="O111" i="11"/>
  <c r="N111" i="11"/>
  <c r="M111" i="11"/>
  <c r="L111" i="11"/>
  <c r="K111" i="11"/>
  <c r="I111" i="11"/>
  <c r="F111" i="11"/>
  <c r="X110" i="11"/>
  <c r="V110" i="11"/>
  <c r="U110" i="11"/>
  <c r="T110" i="11"/>
  <c r="S110" i="11"/>
  <c r="R110" i="11"/>
  <c r="Q110" i="11"/>
  <c r="P110" i="11"/>
  <c r="O110" i="11"/>
  <c r="N110" i="11"/>
  <c r="M110" i="11"/>
  <c r="L110" i="11"/>
  <c r="K110" i="11"/>
  <c r="I110" i="11"/>
  <c r="F110" i="11"/>
  <c r="X109" i="11"/>
  <c r="V109" i="11"/>
  <c r="U109" i="11"/>
  <c r="T109" i="11"/>
  <c r="S109" i="11"/>
  <c r="R109" i="11"/>
  <c r="Q109" i="11"/>
  <c r="P109" i="11"/>
  <c r="O109" i="11"/>
  <c r="N109" i="11"/>
  <c r="M109" i="11"/>
  <c r="L109" i="11"/>
  <c r="K109" i="11"/>
  <c r="I109" i="11"/>
  <c r="F109" i="11"/>
  <c r="X108" i="11"/>
  <c r="V108" i="11"/>
  <c r="U108" i="11"/>
  <c r="T108" i="11"/>
  <c r="S108" i="11"/>
  <c r="R108" i="11"/>
  <c r="Q108" i="11"/>
  <c r="P108" i="11"/>
  <c r="O108" i="11"/>
  <c r="N108" i="11"/>
  <c r="M108" i="11"/>
  <c r="L108" i="11"/>
  <c r="K108" i="11"/>
  <c r="I108" i="11"/>
  <c r="F108" i="11"/>
  <c r="X107" i="11"/>
  <c r="V107" i="11"/>
  <c r="U107" i="11"/>
  <c r="T107" i="11"/>
  <c r="S107" i="11"/>
  <c r="R107" i="11"/>
  <c r="Q107" i="11"/>
  <c r="P107" i="11"/>
  <c r="O107" i="11"/>
  <c r="N107" i="11"/>
  <c r="M107" i="11"/>
  <c r="L107" i="11"/>
  <c r="K107" i="11"/>
  <c r="I107" i="11"/>
  <c r="F107" i="11"/>
  <c r="X106" i="11"/>
  <c r="V106" i="11"/>
  <c r="U106" i="11"/>
  <c r="T106" i="11"/>
  <c r="S106" i="11"/>
  <c r="R106" i="11"/>
  <c r="Q106" i="11"/>
  <c r="P106" i="11"/>
  <c r="O106" i="11"/>
  <c r="N106" i="11"/>
  <c r="M106" i="11"/>
  <c r="L106" i="11"/>
  <c r="K106" i="11"/>
  <c r="I106" i="11"/>
  <c r="F106" i="11"/>
  <c r="X105" i="11"/>
  <c r="V105" i="11"/>
  <c r="U105" i="11"/>
  <c r="T105" i="11"/>
  <c r="S105" i="11"/>
  <c r="R105" i="11"/>
  <c r="Q105" i="11"/>
  <c r="P105" i="11"/>
  <c r="O105" i="11"/>
  <c r="N105" i="11"/>
  <c r="M105" i="11"/>
  <c r="L105" i="11"/>
  <c r="K105" i="11"/>
  <c r="I105" i="11"/>
  <c r="F105" i="11"/>
  <c r="X104" i="11"/>
  <c r="V104" i="11"/>
  <c r="U104" i="11"/>
  <c r="T104" i="11"/>
  <c r="S104" i="11"/>
  <c r="R104" i="11"/>
  <c r="Q104" i="11"/>
  <c r="P104" i="11"/>
  <c r="O104" i="11"/>
  <c r="N104" i="11"/>
  <c r="M104" i="11"/>
  <c r="L104" i="11"/>
  <c r="K104" i="11"/>
  <c r="I104" i="11"/>
  <c r="F104" i="11"/>
  <c r="X103" i="11"/>
  <c r="V103" i="11"/>
  <c r="U103" i="11"/>
  <c r="T103" i="11"/>
  <c r="S103" i="11"/>
  <c r="R103" i="11"/>
  <c r="Q103" i="11"/>
  <c r="P103" i="11"/>
  <c r="O103" i="11"/>
  <c r="N103" i="11"/>
  <c r="M103" i="11"/>
  <c r="L103" i="11"/>
  <c r="K103" i="11"/>
  <c r="I103" i="11"/>
  <c r="F103" i="11"/>
  <c r="X102" i="11"/>
  <c r="V102" i="11"/>
  <c r="U102" i="11"/>
  <c r="T102" i="11"/>
  <c r="S102" i="11"/>
  <c r="R102" i="11"/>
  <c r="Q102" i="11"/>
  <c r="P102" i="11"/>
  <c r="O102" i="11"/>
  <c r="N102" i="11"/>
  <c r="M102" i="11"/>
  <c r="L102" i="11"/>
  <c r="K102" i="11"/>
  <c r="I102" i="11"/>
  <c r="F102" i="11"/>
  <c r="X101" i="11"/>
  <c r="V101" i="11"/>
  <c r="U101" i="11"/>
  <c r="T101" i="11"/>
  <c r="S101" i="11"/>
  <c r="R101" i="11"/>
  <c r="Q101" i="11"/>
  <c r="P101" i="11"/>
  <c r="O101" i="11"/>
  <c r="N101" i="11"/>
  <c r="M101" i="11"/>
  <c r="L101" i="11"/>
  <c r="K101" i="11"/>
  <c r="I101" i="11"/>
  <c r="F101" i="11"/>
  <c r="X100" i="11"/>
  <c r="V100" i="11"/>
  <c r="U100" i="11"/>
  <c r="T100" i="11"/>
  <c r="S100" i="11"/>
  <c r="R100" i="11"/>
  <c r="Q100" i="11"/>
  <c r="P100" i="11"/>
  <c r="O100" i="11"/>
  <c r="N100" i="11"/>
  <c r="M100" i="11"/>
  <c r="L100" i="11"/>
  <c r="K100" i="11"/>
  <c r="I100" i="11"/>
  <c r="F100" i="11"/>
  <c r="X99" i="11"/>
  <c r="V99" i="11"/>
  <c r="U99" i="11"/>
  <c r="T99" i="11"/>
  <c r="S99" i="11"/>
  <c r="R99" i="11"/>
  <c r="Q99" i="11"/>
  <c r="P99" i="11"/>
  <c r="O99" i="11"/>
  <c r="N99" i="11"/>
  <c r="M99" i="11"/>
  <c r="L99" i="11"/>
  <c r="K99" i="11"/>
  <c r="I99" i="11"/>
  <c r="F99" i="11"/>
  <c r="X98" i="11"/>
  <c r="V98" i="11"/>
  <c r="U98" i="11"/>
  <c r="T98" i="11"/>
  <c r="S98" i="11"/>
  <c r="R98" i="11"/>
  <c r="Q98" i="11"/>
  <c r="P98" i="11"/>
  <c r="O98" i="11"/>
  <c r="N98" i="11"/>
  <c r="M98" i="11"/>
  <c r="L98" i="11"/>
  <c r="K98" i="11"/>
  <c r="I98" i="11"/>
  <c r="F98" i="11"/>
  <c r="X97" i="11"/>
  <c r="V97" i="11"/>
  <c r="U97" i="11"/>
  <c r="T97" i="11"/>
  <c r="S97" i="11"/>
  <c r="R97" i="11"/>
  <c r="Q97" i="11"/>
  <c r="P97" i="11"/>
  <c r="O97" i="11"/>
  <c r="N97" i="11"/>
  <c r="M97" i="11"/>
  <c r="L97" i="11"/>
  <c r="K97" i="11"/>
  <c r="I97" i="11"/>
  <c r="F97" i="11"/>
  <c r="X96" i="11"/>
  <c r="V96" i="11"/>
  <c r="U96" i="11"/>
  <c r="T96" i="11"/>
  <c r="S96" i="11"/>
  <c r="R96" i="11"/>
  <c r="Q96" i="11"/>
  <c r="P96" i="11"/>
  <c r="O96" i="11"/>
  <c r="N96" i="11"/>
  <c r="M96" i="11"/>
  <c r="L96" i="11"/>
  <c r="K96" i="11"/>
  <c r="I96" i="11"/>
  <c r="F96" i="11"/>
  <c r="X95" i="11"/>
  <c r="V95" i="11"/>
  <c r="U95" i="11"/>
  <c r="T95" i="11"/>
  <c r="S95" i="11"/>
  <c r="R95" i="11"/>
  <c r="Q95" i="11"/>
  <c r="P95" i="11"/>
  <c r="O95" i="11"/>
  <c r="N95" i="11"/>
  <c r="M95" i="11"/>
  <c r="L95" i="11"/>
  <c r="K95" i="11"/>
  <c r="I95" i="11"/>
  <c r="F95" i="11"/>
  <c r="X94" i="11"/>
  <c r="V94" i="11"/>
  <c r="U94" i="11"/>
  <c r="T94" i="11"/>
  <c r="S94" i="11"/>
  <c r="R94" i="11"/>
  <c r="Q94" i="11"/>
  <c r="P94" i="11"/>
  <c r="O94" i="11"/>
  <c r="N94" i="11"/>
  <c r="M94" i="11"/>
  <c r="L94" i="11"/>
  <c r="K94" i="11"/>
  <c r="I94" i="11"/>
  <c r="F94" i="11"/>
  <c r="X93" i="11"/>
  <c r="V93" i="11"/>
  <c r="U93" i="11"/>
  <c r="T93" i="11"/>
  <c r="S93" i="11"/>
  <c r="R93" i="11"/>
  <c r="Q93" i="11"/>
  <c r="P93" i="11"/>
  <c r="O93" i="11"/>
  <c r="N93" i="11"/>
  <c r="M93" i="11"/>
  <c r="L93" i="11"/>
  <c r="K93" i="11"/>
  <c r="I93" i="11"/>
  <c r="F93" i="11"/>
  <c r="X92" i="11"/>
  <c r="V92" i="11"/>
  <c r="U92" i="11"/>
  <c r="T92" i="11"/>
  <c r="S92" i="11"/>
  <c r="R92" i="11"/>
  <c r="Q92" i="11"/>
  <c r="P92" i="11"/>
  <c r="O92" i="11"/>
  <c r="N92" i="11"/>
  <c r="M92" i="11"/>
  <c r="L92" i="11"/>
  <c r="K92" i="11"/>
  <c r="I92" i="11"/>
  <c r="F92" i="11"/>
  <c r="X91" i="11"/>
  <c r="V91" i="11"/>
  <c r="U91" i="11"/>
  <c r="T91" i="11"/>
  <c r="S91" i="11"/>
  <c r="R91" i="11"/>
  <c r="Q91" i="11"/>
  <c r="P91" i="11"/>
  <c r="O91" i="11"/>
  <c r="N91" i="11"/>
  <c r="M91" i="11"/>
  <c r="L91" i="11"/>
  <c r="K91" i="11"/>
  <c r="I91" i="11"/>
  <c r="F91" i="11"/>
  <c r="X90" i="11"/>
  <c r="V90" i="11"/>
  <c r="U90" i="11"/>
  <c r="T90" i="11"/>
  <c r="S90" i="11"/>
  <c r="R90" i="11"/>
  <c r="Q90" i="11"/>
  <c r="P90" i="11"/>
  <c r="O90" i="11"/>
  <c r="N90" i="11"/>
  <c r="M90" i="11"/>
  <c r="L90" i="11"/>
  <c r="K90" i="11"/>
  <c r="I90" i="11"/>
  <c r="F90" i="11"/>
  <c r="X89" i="11"/>
  <c r="V89" i="11"/>
  <c r="U89" i="11"/>
  <c r="T89" i="11"/>
  <c r="S89" i="11"/>
  <c r="R89" i="11"/>
  <c r="Q89" i="11"/>
  <c r="P89" i="11"/>
  <c r="O89" i="11"/>
  <c r="N89" i="11"/>
  <c r="M89" i="11"/>
  <c r="L89" i="11"/>
  <c r="K89" i="11"/>
  <c r="I89" i="11"/>
  <c r="F89" i="11"/>
  <c r="X88" i="11"/>
  <c r="V88" i="11"/>
  <c r="U88" i="11"/>
  <c r="T88" i="11"/>
  <c r="S88" i="11"/>
  <c r="R88" i="11"/>
  <c r="Q88" i="11"/>
  <c r="P88" i="11"/>
  <c r="O88" i="11"/>
  <c r="N88" i="11"/>
  <c r="M88" i="11"/>
  <c r="L88" i="11"/>
  <c r="K88" i="11"/>
  <c r="I88" i="11"/>
  <c r="F88" i="11"/>
  <c r="X87" i="11"/>
  <c r="V87" i="11"/>
  <c r="U87" i="11"/>
  <c r="T87" i="11"/>
  <c r="S87" i="11"/>
  <c r="R87" i="11"/>
  <c r="Q87" i="11"/>
  <c r="P87" i="11"/>
  <c r="O87" i="11"/>
  <c r="N87" i="11"/>
  <c r="M87" i="11"/>
  <c r="L87" i="11"/>
  <c r="K87" i="11"/>
  <c r="I87" i="11"/>
  <c r="F87" i="11"/>
  <c r="X86" i="11"/>
  <c r="V86" i="11"/>
  <c r="U86" i="11"/>
  <c r="T86" i="11"/>
  <c r="S86" i="11"/>
  <c r="R86" i="11"/>
  <c r="Q86" i="11"/>
  <c r="P86" i="11"/>
  <c r="O86" i="11"/>
  <c r="N86" i="11"/>
  <c r="M86" i="11"/>
  <c r="L86" i="11"/>
  <c r="K86" i="11"/>
  <c r="I86" i="11"/>
  <c r="F86" i="11"/>
  <c r="X85" i="11"/>
  <c r="V85" i="11"/>
  <c r="U85" i="11"/>
  <c r="T85" i="11"/>
  <c r="S85" i="11"/>
  <c r="R85" i="11"/>
  <c r="Q85" i="11"/>
  <c r="P85" i="11"/>
  <c r="O85" i="11"/>
  <c r="N85" i="11"/>
  <c r="M85" i="11"/>
  <c r="L85" i="11"/>
  <c r="K85" i="11"/>
  <c r="I85" i="11"/>
  <c r="F85" i="11"/>
  <c r="X84" i="11"/>
  <c r="V84" i="11"/>
  <c r="U84" i="11"/>
  <c r="T84" i="11"/>
  <c r="S84" i="11"/>
  <c r="R84" i="11"/>
  <c r="Q84" i="11"/>
  <c r="P84" i="11"/>
  <c r="O84" i="11"/>
  <c r="N84" i="11"/>
  <c r="M84" i="11"/>
  <c r="L84" i="11"/>
  <c r="K84" i="11"/>
  <c r="I84" i="11"/>
  <c r="F84" i="11"/>
  <c r="X83" i="11"/>
  <c r="V83" i="11"/>
  <c r="U83" i="11"/>
  <c r="T83" i="11"/>
  <c r="S83" i="11"/>
  <c r="R83" i="11"/>
  <c r="Q83" i="11"/>
  <c r="P83" i="11"/>
  <c r="O83" i="11"/>
  <c r="N83" i="11"/>
  <c r="M83" i="11"/>
  <c r="L83" i="11"/>
  <c r="K83" i="11"/>
  <c r="I83" i="11"/>
  <c r="F83" i="11"/>
  <c r="X82" i="11"/>
  <c r="V82" i="11"/>
  <c r="U82" i="11"/>
  <c r="T82" i="11"/>
  <c r="S82" i="11"/>
  <c r="R82" i="11"/>
  <c r="Q82" i="11"/>
  <c r="P82" i="11"/>
  <c r="O82" i="11"/>
  <c r="N82" i="11"/>
  <c r="M82" i="11"/>
  <c r="L82" i="11"/>
  <c r="K82" i="11"/>
  <c r="I82" i="11"/>
  <c r="F82" i="11"/>
  <c r="X81" i="11"/>
  <c r="V81" i="11"/>
  <c r="U81" i="11"/>
  <c r="T81" i="11"/>
  <c r="S81" i="11"/>
  <c r="R81" i="11"/>
  <c r="Q81" i="11"/>
  <c r="P81" i="11"/>
  <c r="O81" i="11"/>
  <c r="N81" i="11"/>
  <c r="M81" i="11"/>
  <c r="L81" i="11"/>
  <c r="K81" i="11"/>
  <c r="I81" i="11"/>
  <c r="F81" i="11"/>
  <c r="X80" i="11"/>
  <c r="V80" i="11"/>
  <c r="U80" i="11"/>
  <c r="T80" i="11"/>
  <c r="S80" i="11"/>
  <c r="R80" i="11"/>
  <c r="Q80" i="11"/>
  <c r="P80" i="11"/>
  <c r="O80" i="11"/>
  <c r="N80" i="11"/>
  <c r="M80" i="11"/>
  <c r="L80" i="11"/>
  <c r="K80" i="11"/>
  <c r="I80" i="11"/>
  <c r="F80" i="11"/>
  <c r="X79" i="11"/>
  <c r="V79" i="11"/>
  <c r="U79" i="11"/>
  <c r="T79" i="11"/>
  <c r="S79" i="11"/>
  <c r="R79" i="11"/>
  <c r="Q79" i="11"/>
  <c r="P79" i="11"/>
  <c r="O79" i="11"/>
  <c r="N79" i="11"/>
  <c r="M79" i="11"/>
  <c r="L79" i="11"/>
  <c r="K79" i="11"/>
  <c r="I79" i="11"/>
  <c r="F79" i="11"/>
  <c r="X78" i="11"/>
  <c r="V78" i="11"/>
  <c r="U78" i="11"/>
  <c r="T78" i="11"/>
  <c r="S78" i="11"/>
  <c r="R78" i="11"/>
  <c r="Q78" i="11"/>
  <c r="P78" i="11"/>
  <c r="O78" i="11"/>
  <c r="N78" i="11"/>
  <c r="M78" i="11"/>
  <c r="L78" i="11"/>
  <c r="K78" i="11"/>
  <c r="I78" i="11"/>
  <c r="F78" i="11"/>
  <c r="X77" i="11"/>
  <c r="V77" i="11"/>
  <c r="U77" i="11"/>
  <c r="T77" i="11"/>
  <c r="S77" i="11"/>
  <c r="R77" i="11"/>
  <c r="Q77" i="11"/>
  <c r="P77" i="11"/>
  <c r="O77" i="11"/>
  <c r="N77" i="11"/>
  <c r="M77" i="11"/>
  <c r="L77" i="11"/>
  <c r="K77" i="11"/>
  <c r="I77" i="11"/>
  <c r="F77" i="11"/>
  <c r="X76" i="11"/>
  <c r="V76" i="11"/>
  <c r="U76" i="11"/>
  <c r="T76" i="11"/>
  <c r="S76" i="11"/>
  <c r="R76" i="11"/>
  <c r="Q76" i="11"/>
  <c r="P76" i="11"/>
  <c r="O76" i="11"/>
  <c r="N76" i="11"/>
  <c r="M76" i="11"/>
  <c r="L76" i="11"/>
  <c r="K76" i="11"/>
  <c r="I76" i="11"/>
  <c r="F76" i="11"/>
  <c r="X75" i="11"/>
  <c r="V75" i="11"/>
  <c r="U75" i="11"/>
  <c r="T75" i="11"/>
  <c r="S75" i="11"/>
  <c r="R75" i="11"/>
  <c r="Q75" i="11"/>
  <c r="P75" i="11"/>
  <c r="O75" i="11"/>
  <c r="N75" i="11"/>
  <c r="M75" i="11"/>
  <c r="L75" i="11"/>
  <c r="K75" i="11"/>
  <c r="I75" i="11"/>
  <c r="F75" i="11"/>
  <c r="X74" i="11"/>
  <c r="V74" i="11"/>
  <c r="U74" i="11"/>
  <c r="T74" i="11"/>
  <c r="S74" i="11"/>
  <c r="R74" i="11"/>
  <c r="Q74" i="11"/>
  <c r="P74" i="11"/>
  <c r="O74" i="11"/>
  <c r="N74" i="11"/>
  <c r="M74" i="11"/>
  <c r="L74" i="11"/>
  <c r="K74" i="11"/>
  <c r="I74" i="11"/>
  <c r="F74" i="11"/>
  <c r="X73" i="11"/>
  <c r="V73" i="11"/>
  <c r="U73" i="11"/>
  <c r="T73" i="11"/>
  <c r="S73" i="11"/>
  <c r="R73" i="11"/>
  <c r="Q73" i="11"/>
  <c r="P73" i="11"/>
  <c r="O73" i="11"/>
  <c r="N73" i="11"/>
  <c r="M73" i="11"/>
  <c r="L73" i="11"/>
  <c r="K73" i="11"/>
  <c r="I73" i="11"/>
  <c r="F73" i="11"/>
  <c r="X72" i="11"/>
  <c r="V72" i="11"/>
  <c r="U72" i="11"/>
  <c r="T72" i="11"/>
  <c r="S72" i="11"/>
  <c r="R72" i="11"/>
  <c r="Q72" i="11"/>
  <c r="P72" i="11"/>
  <c r="O72" i="11"/>
  <c r="N72" i="11"/>
  <c r="M72" i="11"/>
  <c r="L72" i="11"/>
  <c r="K72" i="11"/>
  <c r="I72" i="11"/>
  <c r="F72" i="11"/>
  <c r="X71" i="11"/>
  <c r="V71" i="11"/>
  <c r="U71" i="11"/>
  <c r="T71" i="11"/>
  <c r="S71" i="11"/>
  <c r="R71" i="11"/>
  <c r="Q71" i="11"/>
  <c r="P71" i="11"/>
  <c r="O71" i="11"/>
  <c r="N71" i="11"/>
  <c r="M71" i="11"/>
  <c r="L71" i="11"/>
  <c r="K71" i="11"/>
  <c r="I71" i="11"/>
  <c r="F71" i="11"/>
  <c r="X70" i="11"/>
  <c r="V70" i="11"/>
  <c r="U70" i="11"/>
  <c r="T70" i="11"/>
  <c r="S70" i="11"/>
  <c r="R70" i="11"/>
  <c r="Q70" i="11"/>
  <c r="P70" i="11"/>
  <c r="O70" i="11"/>
  <c r="N70" i="11"/>
  <c r="M70" i="11"/>
  <c r="L70" i="11"/>
  <c r="K70" i="11"/>
  <c r="I70" i="11"/>
  <c r="F70" i="11"/>
  <c r="X69" i="11"/>
  <c r="V69" i="11"/>
  <c r="U69" i="11"/>
  <c r="T69" i="11"/>
  <c r="S69" i="11"/>
  <c r="R69" i="11"/>
  <c r="Q69" i="11"/>
  <c r="P69" i="11"/>
  <c r="O69" i="11"/>
  <c r="N69" i="11"/>
  <c r="M69" i="11"/>
  <c r="L69" i="11"/>
  <c r="K69" i="11"/>
  <c r="I69" i="11"/>
  <c r="F69" i="11"/>
  <c r="X68" i="11"/>
  <c r="V68" i="11"/>
  <c r="U68" i="11"/>
  <c r="T68" i="11"/>
  <c r="S68" i="11"/>
  <c r="R68" i="11"/>
  <c r="Q68" i="11"/>
  <c r="P68" i="11"/>
  <c r="O68" i="11"/>
  <c r="N68" i="11"/>
  <c r="M68" i="11"/>
  <c r="L68" i="11"/>
  <c r="K68" i="11"/>
  <c r="I68" i="11"/>
  <c r="F68" i="11"/>
  <c r="X67" i="11"/>
  <c r="V67" i="11"/>
  <c r="U67" i="11"/>
  <c r="T67" i="11"/>
  <c r="S67" i="11"/>
  <c r="R67" i="11"/>
  <c r="Q67" i="11"/>
  <c r="P67" i="11"/>
  <c r="O67" i="11"/>
  <c r="N67" i="11"/>
  <c r="M67" i="11"/>
  <c r="L67" i="11"/>
  <c r="K67" i="11"/>
  <c r="I67" i="11"/>
  <c r="F67" i="11"/>
  <c r="X66" i="11"/>
  <c r="V66" i="11"/>
  <c r="U66" i="11"/>
  <c r="T66" i="11"/>
  <c r="S66" i="11"/>
  <c r="R66" i="11"/>
  <c r="Q66" i="11"/>
  <c r="P66" i="11"/>
  <c r="O66" i="11"/>
  <c r="N66" i="11"/>
  <c r="M66" i="11"/>
  <c r="L66" i="11"/>
  <c r="K66" i="11"/>
  <c r="I66" i="11"/>
  <c r="F66" i="11"/>
  <c r="X65" i="11"/>
  <c r="V65" i="11"/>
  <c r="U65" i="11"/>
  <c r="T65" i="11"/>
  <c r="S65" i="11"/>
  <c r="R65" i="11"/>
  <c r="Q65" i="11"/>
  <c r="P65" i="11"/>
  <c r="O65" i="11"/>
  <c r="N65" i="11"/>
  <c r="M65" i="11"/>
  <c r="L65" i="11"/>
  <c r="K65" i="11"/>
  <c r="I65" i="11"/>
  <c r="F65" i="11"/>
  <c r="X64" i="11"/>
  <c r="V64" i="11"/>
  <c r="U64" i="11"/>
  <c r="T64" i="11"/>
  <c r="S64" i="11"/>
  <c r="R64" i="11"/>
  <c r="Q64" i="11"/>
  <c r="P64" i="11"/>
  <c r="O64" i="11"/>
  <c r="N64" i="11"/>
  <c r="M64" i="11"/>
  <c r="L64" i="11"/>
  <c r="K64" i="11"/>
  <c r="I64" i="11"/>
  <c r="F64" i="11"/>
  <c r="X63" i="11"/>
  <c r="V63" i="11"/>
  <c r="U63" i="11"/>
  <c r="T63" i="11"/>
  <c r="S63" i="11"/>
  <c r="R63" i="11"/>
  <c r="Q63" i="11"/>
  <c r="P63" i="11"/>
  <c r="O63" i="11"/>
  <c r="N63" i="11"/>
  <c r="M63" i="11"/>
  <c r="L63" i="11"/>
  <c r="K63" i="11"/>
  <c r="I63" i="11"/>
  <c r="F63" i="11"/>
  <c r="X62" i="11"/>
  <c r="V62" i="11"/>
  <c r="U62" i="11"/>
  <c r="T62" i="11"/>
  <c r="S62" i="11"/>
  <c r="R62" i="11"/>
  <c r="Q62" i="11"/>
  <c r="P62" i="11"/>
  <c r="O62" i="11"/>
  <c r="N62" i="11"/>
  <c r="M62" i="11"/>
  <c r="L62" i="11"/>
  <c r="K62" i="11"/>
  <c r="I62" i="11"/>
  <c r="F62" i="11"/>
  <c r="X61" i="11"/>
  <c r="V61" i="11"/>
  <c r="U61" i="11"/>
  <c r="T61" i="11"/>
  <c r="S61" i="11"/>
  <c r="R61" i="11"/>
  <c r="Q61" i="11"/>
  <c r="P61" i="11"/>
  <c r="O61" i="11"/>
  <c r="N61" i="11"/>
  <c r="M61" i="11"/>
  <c r="L61" i="11"/>
  <c r="K61" i="11"/>
  <c r="I61" i="11"/>
  <c r="F61" i="11"/>
  <c r="X60" i="11"/>
  <c r="V60" i="11"/>
  <c r="U60" i="11"/>
  <c r="T60" i="11"/>
  <c r="S60" i="11"/>
  <c r="R60" i="11"/>
  <c r="Q60" i="11"/>
  <c r="P60" i="11"/>
  <c r="O60" i="11"/>
  <c r="N60" i="11"/>
  <c r="M60" i="11"/>
  <c r="L60" i="11"/>
  <c r="K60" i="11"/>
  <c r="I60" i="11"/>
  <c r="F60" i="11"/>
  <c r="X59" i="11"/>
  <c r="V59" i="11"/>
  <c r="U59" i="11"/>
  <c r="T59" i="11"/>
  <c r="S59" i="11"/>
  <c r="R59" i="11"/>
  <c r="Q59" i="11"/>
  <c r="P59" i="11"/>
  <c r="O59" i="11"/>
  <c r="N59" i="11"/>
  <c r="M59" i="11"/>
  <c r="L59" i="11"/>
  <c r="K59" i="11"/>
  <c r="I59" i="11"/>
  <c r="F59" i="11"/>
  <c r="X58" i="11"/>
  <c r="V58" i="11"/>
  <c r="U58" i="11"/>
  <c r="T58" i="11"/>
  <c r="S58" i="11"/>
  <c r="R58" i="11"/>
  <c r="Q58" i="11"/>
  <c r="P58" i="11"/>
  <c r="O58" i="11"/>
  <c r="N58" i="11"/>
  <c r="M58" i="11"/>
  <c r="L58" i="11"/>
  <c r="K58" i="11"/>
  <c r="I58" i="11"/>
  <c r="F58" i="11"/>
  <c r="X57" i="11"/>
  <c r="V57" i="11"/>
  <c r="U57" i="11"/>
  <c r="T57" i="11"/>
  <c r="S57" i="11"/>
  <c r="R57" i="11"/>
  <c r="Q57" i="11"/>
  <c r="P57" i="11"/>
  <c r="O57" i="11"/>
  <c r="N57" i="11"/>
  <c r="M57" i="11"/>
  <c r="L57" i="11"/>
  <c r="K57" i="11"/>
  <c r="I57" i="11"/>
  <c r="F57" i="11"/>
  <c r="X56" i="11"/>
  <c r="V56" i="11"/>
  <c r="U56" i="11"/>
  <c r="T56" i="11"/>
  <c r="S56" i="11"/>
  <c r="R56" i="11"/>
  <c r="Q56" i="11"/>
  <c r="P56" i="11"/>
  <c r="O56" i="11"/>
  <c r="N56" i="11"/>
  <c r="M56" i="11"/>
  <c r="L56" i="11"/>
  <c r="K56" i="11"/>
  <c r="I56" i="11"/>
  <c r="F56" i="11"/>
  <c r="X55" i="11"/>
  <c r="V55" i="11"/>
  <c r="U55" i="11"/>
  <c r="T55" i="11"/>
  <c r="S55" i="11"/>
  <c r="R55" i="11"/>
  <c r="Q55" i="11"/>
  <c r="P55" i="11"/>
  <c r="O55" i="11"/>
  <c r="N55" i="11"/>
  <c r="M55" i="11"/>
  <c r="L55" i="11"/>
  <c r="K55" i="11"/>
  <c r="I55" i="11"/>
  <c r="F55" i="11"/>
  <c r="X54" i="11"/>
  <c r="V54" i="11"/>
  <c r="U54" i="11"/>
  <c r="T54" i="11"/>
  <c r="S54" i="11"/>
  <c r="R54" i="11"/>
  <c r="Q54" i="11"/>
  <c r="P54" i="11"/>
  <c r="O54" i="11"/>
  <c r="N54" i="11"/>
  <c r="M54" i="11"/>
  <c r="L54" i="11"/>
  <c r="K54" i="11"/>
  <c r="I54" i="11"/>
  <c r="F54" i="11"/>
  <c r="X53" i="11"/>
  <c r="V53" i="11"/>
  <c r="U53" i="11"/>
  <c r="T53" i="11"/>
  <c r="S53" i="11"/>
  <c r="R53" i="11"/>
  <c r="Q53" i="11"/>
  <c r="P53" i="11"/>
  <c r="O53" i="11"/>
  <c r="N53" i="11"/>
  <c r="M53" i="11"/>
  <c r="L53" i="11"/>
  <c r="K53" i="11"/>
  <c r="I53" i="11"/>
  <c r="F53" i="11"/>
  <c r="X52" i="11"/>
  <c r="V52" i="11"/>
  <c r="U52" i="11"/>
  <c r="T52" i="11"/>
  <c r="S52" i="11"/>
  <c r="R52" i="11"/>
  <c r="Q52" i="11"/>
  <c r="P52" i="11"/>
  <c r="O52" i="11"/>
  <c r="N52" i="11"/>
  <c r="M52" i="11"/>
  <c r="L52" i="11"/>
  <c r="K52" i="11"/>
  <c r="I52" i="11"/>
  <c r="F52" i="11"/>
  <c r="X51" i="11"/>
  <c r="V51" i="11"/>
  <c r="U51" i="11"/>
  <c r="T51" i="11"/>
  <c r="S51" i="11"/>
  <c r="R51" i="11"/>
  <c r="Q51" i="11"/>
  <c r="P51" i="11"/>
  <c r="O51" i="11"/>
  <c r="N51" i="11"/>
  <c r="M51" i="11"/>
  <c r="L51" i="11"/>
  <c r="K51" i="11"/>
  <c r="I51" i="11"/>
  <c r="F51" i="11"/>
  <c r="X50" i="11"/>
  <c r="V50" i="11"/>
  <c r="U50" i="11"/>
  <c r="T50" i="11"/>
  <c r="S50" i="11"/>
  <c r="R50" i="11"/>
  <c r="Q50" i="11"/>
  <c r="P50" i="11"/>
  <c r="O50" i="11"/>
  <c r="N50" i="11"/>
  <c r="M50" i="11"/>
  <c r="L50" i="11"/>
  <c r="K50" i="11"/>
  <c r="I50" i="11"/>
  <c r="F50" i="11"/>
  <c r="X49" i="11"/>
  <c r="V49" i="11"/>
  <c r="U49" i="11"/>
  <c r="T49" i="11"/>
  <c r="S49" i="11"/>
  <c r="R49" i="11"/>
  <c r="Q49" i="11"/>
  <c r="P49" i="11"/>
  <c r="O49" i="11"/>
  <c r="N49" i="11"/>
  <c r="M49" i="11"/>
  <c r="L49" i="11"/>
  <c r="K49" i="11"/>
  <c r="I49" i="11"/>
  <c r="F49" i="11"/>
  <c r="X48" i="11"/>
  <c r="V48" i="11"/>
  <c r="U48" i="11"/>
  <c r="T48" i="11"/>
  <c r="S48" i="11"/>
  <c r="R48" i="11"/>
  <c r="Q48" i="11"/>
  <c r="P48" i="11"/>
  <c r="O48" i="11"/>
  <c r="N48" i="11"/>
  <c r="M48" i="11"/>
  <c r="L48" i="11"/>
  <c r="K48" i="11"/>
  <c r="I48" i="11"/>
  <c r="F48" i="11"/>
  <c r="X47" i="11"/>
  <c r="V47" i="11"/>
  <c r="U47" i="11"/>
  <c r="T47" i="11"/>
  <c r="S47" i="11"/>
  <c r="R47" i="11"/>
  <c r="Q47" i="11"/>
  <c r="P47" i="11"/>
  <c r="O47" i="11"/>
  <c r="N47" i="11"/>
  <c r="M47" i="11"/>
  <c r="L47" i="11"/>
  <c r="K47" i="11"/>
  <c r="I47" i="11"/>
  <c r="F47" i="11"/>
  <c r="X46" i="11"/>
  <c r="V46" i="11"/>
  <c r="U46" i="11"/>
  <c r="T46" i="11"/>
  <c r="S46" i="11"/>
  <c r="R46" i="11"/>
  <c r="Q46" i="11"/>
  <c r="P46" i="11"/>
  <c r="O46" i="11"/>
  <c r="N46" i="11"/>
  <c r="M46" i="11"/>
  <c r="L46" i="11"/>
  <c r="K46" i="11"/>
  <c r="I46" i="11"/>
  <c r="F46" i="11"/>
  <c r="X45" i="11"/>
  <c r="V45" i="11"/>
  <c r="U45" i="11"/>
  <c r="T45" i="11"/>
  <c r="S45" i="11"/>
  <c r="R45" i="11"/>
  <c r="Q45" i="11"/>
  <c r="P45" i="11"/>
  <c r="O45" i="11"/>
  <c r="N45" i="11"/>
  <c r="M45" i="11"/>
  <c r="L45" i="11"/>
  <c r="K45" i="11"/>
  <c r="I45" i="11"/>
  <c r="F45" i="11"/>
  <c r="X44" i="11"/>
  <c r="V44" i="11"/>
  <c r="U44" i="11"/>
  <c r="T44" i="11"/>
  <c r="S44" i="11"/>
  <c r="R44" i="11"/>
  <c r="Q44" i="11"/>
  <c r="P44" i="11"/>
  <c r="O44" i="11"/>
  <c r="N44" i="11"/>
  <c r="M44" i="11"/>
  <c r="L44" i="11"/>
  <c r="K44" i="11"/>
  <c r="I44" i="11"/>
  <c r="F44" i="11"/>
  <c r="X43" i="11"/>
  <c r="V43" i="11"/>
  <c r="U43" i="11"/>
  <c r="T43" i="11"/>
  <c r="S43" i="11"/>
  <c r="R43" i="11"/>
  <c r="Q43" i="11"/>
  <c r="P43" i="11"/>
  <c r="O43" i="11"/>
  <c r="N43" i="11"/>
  <c r="M43" i="11"/>
  <c r="L43" i="11"/>
  <c r="K43" i="11"/>
  <c r="I43" i="11"/>
  <c r="F43" i="11"/>
  <c r="X42" i="11"/>
  <c r="V42" i="11"/>
  <c r="U42" i="11"/>
  <c r="T42" i="11"/>
  <c r="S42" i="11"/>
  <c r="R42" i="11"/>
  <c r="Q42" i="11"/>
  <c r="P42" i="11"/>
  <c r="O42" i="11"/>
  <c r="N42" i="11"/>
  <c r="M42" i="11"/>
  <c r="L42" i="11"/>
  <c r="K42" i="11"/>
  <c r="I42" i="11"/>
  <c r="F42" i="11"/>
  <c r="X41" i="11"/>
  <c r="V41" i="11"/>
  <c r="U41" i="11"/>
  <c r="T41" i="11"/>
  <c r="S41" i="11"/>
  <c r="R41" i="11"/>
  <c r="Q41" i="11"/>
  <c r="P41" i="11"/>
  <c r="O41" i="11"/>
  <c r="N41" i="11"/>
  <c r="M41" i="11"/>
  <c r="L41" i="11"/>
  <c r="K41" i="11"/>
  <c r="I41" i="11"/>
  <c r="F41" i="11"/>
  <c r="X40" i="11"/>
  <c r="V40" i="11"/>
  <c r="U40" i="11"/>
  <c r="T40" i="11"/>
  <c r="S40" i="11"/>
  <c r="R40" i="11"/>
  <c r="Q40" i="11"/>
  <c r="P40" i="11"/>
  <c r="O40" i="11"/>
  <c r="N40" i="11"/>
  <c r="M40" i="11"/>
  <c r="L40" i="11"/>
  <c r="K40" i="11"/>
  <c r="I40" i="11"/>
  <c r="F40" i="11"/>
  <c r="X39" i="11"/>
  <c r="V39" i="11"/>
  <c r="U39" i="11"/>
  <c r="T39" i="11"/>
  <c r="S39" i="11"/>
  <c r="R39" i="11"/>
  <c r="Q39" i="11"/>
  <c r="P39" i="11"/>
  <c r="O39" i="11"/>
  <c r="N39" i="11"/>
  <c r="M39" i="11"/>
  <c r="L39" i="11"/>
  <c r="K39" i="11"/>
  <c r="I39" i="11"/>
  <c r="F39" i="11"/>
  <c r="X38" i="11"/>
  <c r="V38" i="11"/>
  <c r="U38" i="11"/>
  <c r="T38" i="11"/>
  <c r="S38" i="11"/>
  <c r="R38" i="11"/>
  <c r="Q38" i="11"/>
  <c r="P38" i="11"/>
  <c r="O38" i="11"/>
  <c r="N38" i="11"/>
  <c r="M38" i="11"/>
  <c r="L38" i="11"/>
  <c r="K38" i="11"/>
  <c r="I38" i="11"/>
  <c r="F38" i="11"/>
  <c r="X37" i="11"/>
  <c r="V37" i="11"/>
  <c r="U37" i="11"/>
  <c r="T37" i="11"/>
  <c r="S37" i="11"/>
  <c r="R37" i="11"/>
  <c r="Q37" i="11"/>
  <c r="P37" i="11"/>
  <c r="O37" i="11"/>
  <c r="N37" i="11"/>
  <c r="M37" i="11"/>
  <c r="L37" i="11"/>
  <c r="K37" i="11"/>
  <c r="I37" i="11"/>
  <c r="F37" i="11"/>
  <c r="X36" i="11"/>
  <c r="V36" i="11"/>
  <c r="U36" i="11"/>
  <c r="T36" i="11"/>
  <c r="S36" i="11"/>
  <c r="R36" i="11"/>
  <c r="Q36" i="11"/>
  <c r="P36" i="11"/>
  <c r="O36" i="11"/>
  <c r="N36" i="11"/>
  <c r="M36" i="11"/>
  <c r="L36" i="11"/>
  <c r="K36" i="11"/>
  <c r="I36" i="11"/>
  <c r="F36" i="11"/>
  <c r="X35" i="11"/>
  <c r="V35" i="11"/>
  <c r="U35" i="11"/>
  <c r="T35" i="11"/>
  <c r="S35" i="11"/>
  <c r="R35" i="11"/>
  <c r="Q35" i="11"/>
  <c r="P35" i="11"/>
  <c r="O35" i="11"/>
  <c r="N35" i="11"/>
  <c r="M35" i="11"/>
  <c r="L35" i="11"/>
  <c r="K35" i="11"/>
  <c r="I35" i="11"/>
  <c r="F35" i="11"/>
  <c r="X34" i="11"/>
  <c r="V34" i="11"/>
  <c r="U34" i="11"/>
  <c r="T34" i="11"/>
  <c r="S34" i="11"/>
  <c r="R34" i="11"/>
  <c r="Q34" i="11"/>
  <c r="P34" i="11"/>
  <c r="O34" i="11"/>
  <c r="N34" i="11"/>
  <c r="M34" i="11"/>
  <c r="L34" i="11"/>
  <c r="K34" i="11"/>
  <c r="I34" i="11"/>
  <c r="F34" i="11"/>
  <c r="X33" i="11"/>
  <c r="V33" i="11"/>
  <c r="U33" i="11"/>
  <c r="T33" i="11"/>
  <c r="S33" i="11"/>
  <c r="R33" i="11"/>
  <c r="Q33" i="11"/>
  <c r="P33" i="11"/>
  <c r="O33" i="11"/>
  <c r="N33" i="11"/>
  <c r="M33" i="11"/>
  <c r="L33" i="11"/>
  <c r="K33" i="11"/>
  <c r="I33" i="11"/>
  <c r="F33" i="11"/>
  <c r="X32" i="11"/>
  <c r="V32" i="11"/>
  <c r="U32" i="11"/>
  <c r="T32" i="11"/>
  <c r="S32" i="11"/>
  <c r="R32" i="11"/>
  <c r="Q32" i="11"/>
  <c r="P32" i="11"/>
  <c r="O32" i="11"/>
  <c r="N32" i="11"/>
  <c r="M32" i="11"/>
  <c r="L32" i="11"/>
  <c r="K32" i="11"/>
  <c r="I32" i="11"/>
  <c r="F32" i="11"/>
  <c r="X31" i="11"/>
  <c r="V31" i="11"/>
  <c r="U31" i="11"/>
  <c r="T31" i="11"/>
  <c r="S31" i="11"/>
  <c r="R31" i="11"/>
  <c r="Q31" i="11"/>
  <c r="P31" i="11"/>
  <c r="O31" i="11"/>
  <c r="N31" i="11"/>
  <c r="M31" i="11"/>
  <c r="L31" i="11"/>
  <c r="K31" i="11"/>
  <c r="I31" i="11"/>
  <c r="F31" i="11"/>
  <c r="X30" i="11"/>
  <c r="V30" i="11"/>
  <c r="U30" i="11"/>
  <c r="T30" i="11"/>
  <c r="S30" i="11"/>
  <c r="R30" i="11"/>
  <c r="Q30" i="11"/>
  <c r="P30" i="11"/>
  <c r="O30" i="11"/>
  <c r="N30" i="11"/>
  <c r="M30" i="11"/>
  <c r="L30" i="11"/>
  <c r="K30" i="11"/>
  <c r="I30" i="11"/>
  <c r="F30" i="11"/>
  <c r="X29" i="11"/>
  <c r="V29" i="11"/>
  <c r="U29" i="11"/>
  <c r="T29" i="11"/>
  <c r="S29" i="11"/>
  <c r="R29" i="11"/>
  <c r="Q29" i="11"/>
  <c r="P29" i="11"/>
  <c r="O29" i="11"/>
  <c r="N29" i="11"/>
  <c r="M29" i="11"/>
  <c r="L29" i="11"/>
  <c r="K29" i="11"/>
  <c r="I29" i="11"/>
  <c r="F29" i="11"/>
  <c r="X28" i="11"/>
  <c r="V28" i="11"/>
  <c r="U28" i="11"/>
  <c r="T28" i="11"/>
  <c r="S28" i="11"/>
  <c r="R28" i="11"/>
  <c r="Q28" i="11"/>
  <c r="P28" i="11"/>
  <c r="O28" i="11"/>
  <c r="N28" i="11"/>
  <c r="M28" i="11"/>
  <c r="L28" i="11"/>
  <c r="K28" i="11"/>
  <c r="I28" i="11"/>
  <c r="F28" i="11"/>
  <c r="X27" i="11"/>
  <c r="V27" i="11"/>
  <c r="U27" i="11"/>
  <c r="T27" i="11"/>
  <c r="S27" i="11"/>
  <c r="R27" i="11"/>
  <c r="Q27" i="11"/>
  <c r="P27" i="11"/>
  <c r="O27" i="11"/>
  <c r="N27" i="11"/>
  <c r="M27" i="11"/>
  <c r="L27" i="11"/>
  <c r="K27" i="11"/>
  <c r="I27" i="11"/>
  <c r="F27" i="11"/>
  <c r="X26" i="11"/>
  <c r="V26" i="11"/>
  <c r="U26" i="11"/>
  <c r="T26" i="11"/>
  <c r="S26" i="11"/>
  <c r="R26" i="11"/>
  <c r="Q26" i="11"/>
  <c r="P26" i="11"/>
  <c r="O26" i="11"/>
  <c r="N26" i="11"/>
  <c r="M26" i="11"/>
  <c r="L26" i="11"/>
  <c r="K26" i="11"/>
  <c r="I26" i="11"/>
  <c r="F26" i="11"/>
  <c r="X25" i="11"/>
  <c r="V25" i="11"/>
  <c r="U25" i="11"/>
  <c r="T25" i="11"/>
  <c r="S25" i="11"/>
  <c r="R25" i="11"/>
  <c r="Q25" i="11"/>
  <c r="P25" i="11"/>
  <c r="O25" i="11"/>
  <c r="N25" i="11"/>
  <c r="M25" i="11"/>
  <c r="L25" i="11"/>
  <c r="K25" i="11"/>
  <c r="I25" i="11"/>
  <c r="F25" i="11"/>
  <c r="X24" i="11"/>
  <c r="V24" i="11"/>
  <c r="U24" i="11"/>
  <c r="T24" i="11"/>
  <c r="S24" i="11"/>
  <c r="R24" i="11"/>
  <c r="Q24" i="11"/>
  <c r="P24" i="11"/>
  <c r="O24" i="11"/>
  <c r="N24" i="11"/>
  <c r="M24" i="11"/>
  <c r="L24" i="11"/>
  <c r="K24" i="11"/>
  <c r="I24" i="11"/>
  <c r="F24" i="11"/>
  <c r="X23" i="11"/>
  <c r="V23" i="11"/>
  <c r="U23" i="11"/>
  <c r="T23" i="11"/>
  <c r="S23" i="11"/>
  <c r="R23" i="11"/>
  <c r="Q23" i="11"/>
  <c r="P23" i="11"/>
  <c r="O23" i="11"/>
  <c r="N23" i="11"/>
  <c r="M23" i="11"/>
  <c r="L23" i="11"/>
  <c r="K23" i="11"/>
  <c r="I23" i="11"/>
  <c r="F23" i="11"/>
  <c r="X22" i="11"/>
  <c r="V22" i="11"/>
  <c r="U22" i="11"/>
  <c r="T22" i="11"/>
  <c r="S22" i="11"/>
  <c r="R22" i="11"/>
  <c r="Q22" i="11"/>
  <c r="P22" i="11"/>
  <c r="O22" i="11"/>
  <c r="N22" i="11"/>
  <c r="M22" i="11"/>
  <c r="L22" i="11"/>
  <c r="K22" i="11"/>
  <c r="I22" i="11"/>
  <c r="F22" i="11"/>
  <c r="X21" i="11"/>
  <c r="V21" i="11"/>
  <c r="U21" i="11"/>
  <c r="T21" i="11"/>
  <c r="S21" i="11"/>
  <c r="R21" i="11"/>
  <c r="Q21" i="11"/>
  <c r="P21" i="11"/>
  <c r="O21" i="11"/>
  <c r="N21" i="11"/>
  <c r="M21" i="11"/>
  <c r="L21" i="11"/>
  <c r="K21" i="11"/>
  <c r="I21" i="11"/>
  <c r="F21" i="11"/>
  <c r="X20" i="11"/>
  <c r="V20" i="11"/>
  <c r="U20" i="11"/>
  <c r="T20" i="11"/>
  <c r="S20" i="11"/>
  <c r="R20" i="11"/>
  <c r="Q20" i="11"/>
  <c r="P20" i="11"/>
  <c r="O20" i="11"/>
  <c r="N20" i="11"/>
  <c r="M20" i="11"/>
  <c r="L20" i="11"/>
  <c r="K20" i="11"/>
  <c r="I20" i="11"/>
  <c r="F20" i="11"/>
  <c r="X19" i="11"/>
  <c r="V19" i="11"/>
  <c r="U19" i="11"/>
  <c r="T19" i="11"/>
  <c r="S19" i="11"/>
  <c r="R19" i="11"/>
  <c r="Q19" i="11"/>
  <c r="P19" i="11"/>
  <c r="O19" i="11"/>
  <c r="N19" i="11"/>
  <c r="M19" i="11"/>
  <c r="L19" i="11"/>
  <c r="K19" i="11"/>
  <c r="I19" i="11"/>
  <c r="F19" i="11"/>
  <c r="X18" i="11"/>
  <c r="V18" i="11"/>
  <c r="U18" i="11"/>
  <c r="T18" i="11"/>
  <c r="S18" i="11"/>
  <c r="R18" i="11"/>
  <c r="Q18" i="11"/>
  <c r="P18" i="11"/>
  <c r="O18" i="11"/>
  <c r="N18" i="11"/>
  <c r="M18" i="11"/>
  <c r="L18" i="11"/>
  <c r="K18" i="11"/>
  <c r="I18" i="11"/>
  <c r="F18" i="11"/>
  <c r="X17" i="11"/>
  <c r="V17" i="11"/>
  <c r="U17" i="11"/>
  <c r="T17" i="11"/>
  <c r="S17" i="11"/>
  <c r="R17" i="11"/>
  <c r="Q17" i="11"/>
  <c r="P17" i="11"/>
  <c r="O17" i="11"/>
  <c r="N17" i="11"/>
  <c r="M17" i="11"/>
  <c r="L17" i="11"/>
  <c r="K17" i="11"/>
  <c r="I17" i="11"/>
  <c r="F17" i="11"/>
  <c r="X16" i="11"/>
  <c r="V16" i="11"/>
  <c r="U16" i="11"/>
  <c r="T16" i="11"/>
  <c r="S16" i="11"/>
  <c r="R16" i="11"/>
  <c r="Q16" i="11"/>
  <c r="P16" i="11"/>
  <c r="O16" i="11"/>
  <c r="N16" i="11"/>
  <c r="M16" i="11"/>
  <c r="L16" i="11"/>
  <c r="K16" i="11"/>
  <c r="I16" i="11"/>
  <c r="F16" i="11"/>
  <c r="X15" i="11"/>
  <c r="V15" i="11"/>
  <c r="U15" i="11"/>
  <c r="T15" i="11"/>
  <c r="S15" i="11"/>
  <c r="R15" i="11"/>
  <c r="Q15" i="11"/>
  <c r="P15" i="11"/>
  <c r="O15" i="11"/>
  <c r="N15" i="11"/>
  <c r="M15" i="11"/>
  <c r="L15" i="11"/>
  <c r="K15" i="11"/>
  <c r="I15" i="11"/>
  <c r="F15" i="11"/>
  <c r="X14" i="11"/>
  <c r="V14" i="11"/>
  <c r="U14" i="11"/>
  <c r="T14" i="11"/>
  <c r="S14" i="11"/>
  <c r="R14" i="11"/>
  <c r="Q14" i="11"/>
  <c r="P14" i="11"/>
  <c r="O14" i="11"/>
  <c r="N14" i="11"/>
  <c r="M14" i="11"/>
  <c r="L14" i="11"/>
  <c r="K14" i="11"/>
  <c r="I14" i="11"/>
  <c r="F14" i="11"/>
  <c r="X13" i="11"/>
  <c r="V13" i="11"/>
  <c r="U13" i="11"/>
  <c r="T13" i="11"/>
  <c r="S13" i="11"/>
  <c r="R13" i="11"/>
  <c r="Q13" i="11"/>
  <c r="P13" i="11"/>
  <c r="O13" i="11"/>
  <c r="N13" i="11"/>
  <c r="M13" i="11"/>
  <c r="L13" i="11"/>
  <c r="K13" i="11"/>
  <c r="I13" i="11"/>
  <c r="F13" i="11"/>
  <c r="X12" i="11"/>
  <c r="V12" i="11"/>
  <c r="U12" i="11"/>
  <c r="T12" i="11"/>
  <c r="S12" i="11"/>
  <c r="R12" i="11"/>
  <c r="Q12" i="11"/>
  <c r="P12" i="11"/>
  <c r="O12" i="11"/>
  <c r="N12" i="11"/>
  <c r="M12" i="11"/>
  <c r="L12" i="11"/>
  <c r="K12" i="11"/>
  <c r="I12" i="11"/>
  <c r="F12" i="11"/>
  <c r="X11" i="11"/>
  <c r="V11" i="11"/>
  <c r="U11" i="11"/>
  <c r="T11" i="11"/>
  <c r="S11" i="11"/>
  <c r="R11" i="11"/>
  <c r="Q11" i="11"/>
  <c r="P11" i="11"/>
  <c r="O11" i="11"/>
  <c r="N11" i="11"/>
  <c r="M11" i="11"/>
  <c r="L11" i="11"/>
  <c r="K11" i="11"/>
  <c r="I11" i="11"/>
  <c r="F11" i="11"/>
  <c r="X10" i="11"/>
  <c r="V10" i="11"/>
  <c r="U10" i="11"/>
  <c r="T10" i="11"/>
  <c r="S10" i="11"/>
  <c r="R10" i="11"/>
  <c r="Q10" i="11"/>
  <c r="P10" i="11"/>
  <c r="O10" i="11"/>
  <c r="N10" i="11"/>
  <c r="M10" i="11"/>
  <c r="L10" i="11"/>
  <c r="K10" i="11"/>
  <c r="I10" i="11"/>
  <c r="F10" i="11"/>
  <c r="X9" i="11"/>
  <c r="V9" i="11"/>
  <c r="U9" i="11"/>
  <c r="T9" i="11"/>
  <c r="S9" i="11"/>
  <c r="R9" i="11"/>
  <c r="Q9" i="11"/>
  <c r="P9" i="11"/>
  <c r="O9" i="11"/>
  <c r="N9" i="11"/>
  <c r="M9" i="11"/>
  <c r="L9" i="11"/>
  <c r="K9" i="11"/>
  <c r="I9" i="11"/>
  <c r="F9" i="11"/>
  <c r="X8" i="11"/>
  <c r="V8" i="11"/>
  <c r="U8" i="11"/>
  <c r="T8" i="11"/>
  <c r="S8" i="11"/>
  <c r="R8" i="11"/>
  <c r="Q8" i="11"/>
  <c r="P8" i="11"/>
  <c r="O8" i="11"/>
  <c r="N8" i="11"/>
  <c r="M8" i="11"/>
  <c r="L8" i="11"/>
  <c r="K8" i="11"/>
  <c r="I8" i="11"/>
  <c r="F8" i="11"/>
  <c r="X7" i="11"/>
  <c r="V7" i="11"/>
  <c r="U7" i="11"/>
  <c r="T7" i="11"/>
  <c r="S7" i="11"/>
  <c r="R7" i="11"/>
  <c r="Q7" i="11"/>
  <c r="P7" i="11"/>
  <c r="O7" i="11"/>
  <c r="N7" i="11"/>
  <c r="M7" i="11"/>
  <c r="L7" i="11"/>
  <c r="K7" i="11"/>
  <c r="I7" i="11"/>
  <c r="F7" i="11"/>
  <c r="C4" i="11"/>
  <c r="C3" i="11"/>
  <c r="C2" i="11"/>
  <c r="E2" i="6"/>
  <c r="E12" i="10"/>
  <c r="E11" i="10"/>
  <c r="E10" i="10"/>
  <c r="P139" i="5"/>
  <c r="S139" i="5"/>
  <c r="P137" i="5"/>
  <c r="P136" i="5"/>
  <c r="P132" i="5"/>
  <c r="P131" i="5"/>
  <c r="P129" i="5"/>
  <c r="S129" i="5"/>
  <c r="U129" i="5"/>
  <c r="P128" i="5"/>
  <c r="P127" i="5"/>
  <c r="S127" i="5"/>
  <c r="T127" i="5"/>
  <c r="P125" i="5"/>
  <c r="P114" i="5"/>
  <c r="S114" i="5"/>
  <c r="E4" i="10"/>
  <c r="P112" i="5"/>
  <c r="S112" i="5"/>
  <c r="T112" i="5"/>
  <c r="P106" i="5"/>
  <c r="P101" i="5"/>
  <c r="S101" i="5"/>
  <c r="U101" i="5"/>
  <c r="P99" i="5"/>
  <c r="P98" i="5"/>
  <c r="P96" i="5"/>
  <c r="S96" i="5"/>
  <c r="U96" i="5"/>
  <c r="P95" i="5"/>
  <c r="P89" i="5"/>
  <c r="P88" i="5"/>
  <c r="S88" i="5"/>
  <c r="P87" i="5"/>
  <c r="S87" i="5"/>
  <c r="U87" i="5"/>
  <c r="P85" i="5"/>
  <c r="S85" i="5"/>
  <c r="P75" i="5"/>
  <c r="S75" i="5"/>
  <c r="T75" i="5"/>
  <c r="P74" i="5"/>
  <c r="S74" i="5"/>
  <c r="P73" i="5"/>
  <c r="S73" i="5"/>
  <c r="U73" i="5"/>
  <c r="P69" i="5"/>
  <c r="S69" i="5"/>
  <c r="T69" i="5"/>
  <c r="P64" i="5"/>
  <c r="S64" i="5"/>
  <c r="U64" i="5"/>
  <c r="P62" i="5"/>
  <c r="P56" i="5"/>
  <c r="P51" i="5"/>
  <c r="S51" i="5"/>
  <c r="T51" i="5"/>
  <c r="P47" i="5"/>
  <c r="S47" i="5"/>
  <c r="T47" i="5"/>
  <c r="P45" i="5"/>
  <c r="S45" i="5"/>
  <c r="T45" i="5"/>
  <c r="P44" i="5"/>
  <c r="S44" i="5"/>
  <c r="T44" i="5"/>
  <c r="P42" i="5"/>
  <c r="S42" i="5"/>
  <c r="U42" i="5"/>
  <c r="P41" i="5"/>
  <c r="S41" i="5"/>
  <c r="T41" i="5"/>
  <c r="P35" i="5"/>
  <c r="S35" i="5"/>
  <c r="U35" i="5"/>
  <c r="P32" i="5"/>
  <c r="P31" i="5"/>
  <c r="S31" i="5"/>
  <c r="T31" i="5"/>
  <c r="P30" i="5"/>
  <c r="S30" i="5"/>
  <c r="U30" i="5"/>
  <c r="P27" i="5"/>
  <c r="P25" i="5"/>
  <c r="S25" i="5"/>
  <c r="U25" i="5"/>
  <c r="P22" i="5"/>
  <c r="S22" i="5"/>
  <c r="P21" i="5"/>
  <c r="Z1082" i="9"/>
  <c r="Z1081" i="9"/>
  <c r="Z1080" i="9"/>
  <c r="Z1079" i="9"/>
  <c r="Z1078" i="9"/>
  <c r="Z1077" i="9"/>
  <c r="Z1072" i="9"/>
  <c r="Z1071" i="9"/>
  <c r="Z1070" i="9"/>
  <c r="Z1069" i="9"/>
  <c r="Z1068" i="9"/>
  <c r="Z1067" i="9"/>
  <c r="Z1066" i="9"/>
  <c r="P135" i="5"/>
  <c r="S135" i="5"/>
  <c r="U135" i="5"/>
  <c r="Z1065" i="9"/>
  <c r="Z1064" i="9"/>
  <c r="Z1063" i="9"/>
  <c r="Z1062" i="9"/>
  <c r="Z1061" i="9"/>
  <c r="Z1060" i="9"/>
  <c r="Z1059" i="9"/>
  <c r="P133" i="5"/>
  <c r="S133" i="5"/>
  <c r="U133" i="5"/>
  <c r="T133" i="5"/>
  <c r="Z1058" i="9"/>
  <c r="Z1057" i="9"/>
  <c r="Z1056" i="9"/>
  <c r="Z1055" i="9"/>
  <c r="Z1054" i="9"/>
  <c r="Z1053" i="9"/>
  <c r="Z1052" i="9"/>
  <c r="Z1051" i="9"/>
  <c r="Z1050" i="9"/>
  <c r="Z1049" i="9"/>
  <c r="Z1048" i="9"/>
  <c r="Z1047" i="9"/>
  <c r="Z1046" i="9"/>
  <c r="Z1045" i="9"/>
  <c r="Z1044" i="9"/>
  <c r="Z1043" i="9"/>
  <c r="Z1042" i="9"/>
  <c r="Z1041" i="9"/>
  <c r="Z1040" i="9"/>
  <c r="Z1039" i="9"/>
  <c r="Z1038" i="9"/>
  <c r="Z1037" i="9"/>
  <c r="Z1036" i="9"/>
  <c r="Z1035" i="9"/>
  <c r="Z1034" i="9"/>
  <c r="Z1033" i="9"/>
  <c r="P126" i="5"/>
  <c r="S126" i="5"/>
  <c r="U126" i="5"/>
  <c r="Z1032" i="9"/>
  <c r="Z1031" i="9"/>
  <c r="Z1030" i="9"/>
  <c r="Z1029" i="9"/>
  <c r="Z1028" i="9"/>
  <c r="Z1027" i="9"/>
  <c r="Z1026" i="9"/>
  <c r="Z1025" i="9"/>
  <c r="Z1024" i="9"/>
  <c r="Z1023" i="9"/>
  <c r="Z1022" i="9"/>
  <c r="Z1021" i="9"/>
  <c r="Z1020" i="9"/>
  <c r="Z1019" i="9"/>
  <c r="Z1018" i="9"/>
  <c r="Z1017" i="9"/>
  <c r="Z1016" i="9"/>
  <c r="Z1015" i="9"/>
  <c r="Z1014" i="9"/>
  <c r="Z1013" i="9"/>
  <c r="Z1012" i="9"/>
  <c r="Z1011" i="9"/>
  <c r="Z1010" i="9"/>
  <c r="Z1009" i="9"/>
  <c r="Z1008" i="9"/>
  <c r="Z1007" i="9"/>
  <c r="Z1006" i="9"/>
  <c r="Z1005" i="9"/>
  <c r="Z1004" i="9"/>
  <c r="Z1003" i="9"/>
  <c r="Z1002" i="9"/>
  <c r="Z1001" i="9"/>
  <c r="Z1000" i="9"/>
  <c r="Z999" i="9"/>
  <c r="Z998" i="9"/>
  <c r="Z997" i="9"/>
  <c r="Z996" i="9"/>
  <c r="Z995" i="9"/>
  <c r="Z994" i="9"/>
  <c r="Z993" i="9"/>
  <c r="Z992" i="9"/>
  <c r="Z991" i="9"/>
  <c r="Z990" i="9"/>
  <c r="Z989" i="9"/>
  <c r="Z988" i="9"/>
  <c r="Z987" i="9"/>
  <c r="Z986" i="9"/>
  <c r="Z985" i="9"/>
  <c r="Z984" i="9"/>
  <c r="Z983" i="9"/>
  <c r="Z982" i="9"/>
  <c r="Z981" i="9"/>
  <c r="Z980" i="9"/>
  <c r="Z979" i="9"/>
  <c r="Z978" i="9"/>
  <c r="Z977" i="9"/>
  <c r="Z976" i="9"/>
  <c r="Z975" i="9"/>
  <c r="Z974" i="9"/>
  <c r="Z973" i="9"/>
  <c r="Z972" i="9"/>
  <c r="Z971" i="9"/>
  <c r="Z970" i="9"/>
  <c r="Z969" i="9"/>
  <c r="Z968" i="9"/>
  <c r="Z967" i="9"/>
  <c r="Z966" i="9"/>
  <c r="Z965" i="9"/>
  <c r="Z964" i="9"/>
  <c r="Z963" i="9"/>
  <c r="Z962" i="9"/>
  <c r="Z961" i="9"/>
  <c r="Z960" i="9"/>
  <c r="Z959" i="9"/>
  <c r="Z958" i="9"/>
  <c r="Z957" i="9"/>
  <c r="Z956" i="9"/>
  <c r="Z955" i="9"/>
  <c r="Z954" i="9"/>
  <c r="Z953" i="9"/>
  <c r="Z952" i="9"/>
  <c r="Z951" i="9"/>
  <c r="Z950" i="9"/>
  <c r="Z949" i="9"/>
  <c r="Z948" i="9"/>
  <c r="Z947" i="9"/>
  <c r="Z946" i="9"/>
  <c r="Z945" i="9"/>
  <c r="Z944" i="9"/>
  <c r="Z943" i="9"/>
  <c r="Z942" i="9"/>
  <c r="Z941" i="9"/>
  <c r="Z940" i="9"/>
  <c r="Z939" i="9"/>
  <c r="Z938" i="9"/>
  <c r="Z937" i="9"/>
  <c r="Z936" i="9"/>
  <c r="Z935" i="9"/>
  <c r="Z934" i="9"/>
  <c r="Z933" i="9"/>
  <c r="Z932" i="9"/>
  <c r="Z931" i="9"/>
  <c r="Z930" i="9"/>
  <c r="Z929" i="9"/>
  <c r="Z928" i="9"/>
  <c r="Z927" i="9"/>
  <c r="Z926" i="9"/>
  <c r="Z925" i="9"/>
  <c r="Z924" i="9"/>
  <c r="Z923" i="9"/>
  <c r="Z922" i="9"/>
  <c r="Z921" i="9"/>
  <c r="Z920" i="9"/>
  <c r="Z919" i="9"/>
  <c r="Z918" i="9"/>
  <c r="Z917" i="9"/>
  <c r="Z916" i="9"/>
  <c r="Z915" i="9"/>
  <c r="Z914" i="9"/>
  <c r="Z913" i="9"/>
  <c r="Z912" i="9"/>
  <c r="Z911" i="9"/>
  <c r="Z910" i="9"/>
  <c r="Z909" i="9"/>
  <c r="Z908" i="9"/>
  <c r="Z907" i="9"/>
  <c r="Z906" i="9"/>
  <c r="Z905" i="9"/>
  <c r="Z904" i="9"/>
  <c r="Z903" i="9"/>
  <c r="Z902" i="9"/>
  <c r="Z901" i="9"/>
  <c r="Z900" i="9"/>
  <c r="Z899" i="9"/>
  <c r="Z898" i="9"/>
  <c r="Z897" i="9"/>
  <c r="Z896" i="9"/>
  <c r="Z895" i="9"/>
  <c r="Z894" i="9"/>
  <c r="Z893" i="9"/>
  <c r="Z892" i="9"/>
  <c r="Z891" i="9"/>
  <c r="Z890" i="9"/>
  <c r="Z889" i="9"/>
  <c r="Z888" i="9"/>
  <c r="Z887" i="9"/>
  <c r="Z886" i="9"/>
  <c r="Z885" i="9"/>
  <c r="Z884" i="9"/>
  <c r="Z883" i="9"/>
  <c r="Z882" i="9"/>
  <c r="Z881" i="9"/>
  <c r="Z880" i="9"/>
  <c r="Z879" i="9"/>
  <c r="Z878" i="9"/>
  <c r="Z877" i="9"/>
  <c r="Z876" i="9"/>
  <c r="Z875" i="9"/>
  <c r="Z874" i="9"/>
  <c r="Z873" i="9"/>
  <c r="Z872" i="9"/>
  <c r="Z871" i="9"/>
  <c r="Z870" i="9"/>
  <c r="Z869" i="9"/>
  <c r="Z868" i="9"/>
  <c r="Z867" i="9"/>
  <c r="Z866" i="9"/>
  <c r="Z865" i="9"/>
  <c r="Z864" i="9"/>
  <c r="Z863" i="9"/>
  <c r="Z862" i="9"/>
  <c r="Z861" i="9"/>
  <c r="Z860" i="9"/>
  <c r="Z859" i="9"/>
  <c r="Z858" i="9"/>
  <c r="Z857" i="9"/>
  <c r="Z856" i="9"/>
  <c r="Z855" i="9"/>
  <c r="Z854" i="9"/>
  <c r="Z853" i="9"/>
  <c r="Z852" i="9"/>
  <c r="Z851" i="9"/>
  <c r="Z850" i="9"/>
  <c r="Z849" i="9"/>
  <c r="Z848" i="9"/>
  <c r="Z847" i="9"/>
  <c r="Z846" i="9"/>
  <c r="Z845" i="9"/>
  <c r="Z844" i="9"/>
  <c r="Z843" i="9"/>
  <c r="Z842" i="9"/>
  <c r="Z841" i="9"/>
  <c r="Z840" i="9"/>
  <c r="Z839" i="9"/>
  <c r="Z838" i="9"/>
  <c r="Z837" i="9"/>
  <c r="Z836" i="9"/>
  <c r="Z835" i="9"/>
  <c r="Z834" i="9"/>
  <c r="Z833" i="9"/>
  <c r="Z832" i="9"/>
  <c r="Z831" i="9"/>
  <c r="Z830" i="9"/>
  <c r="Z829" i="9"/>
  <c r="Z828" i="9"/>
  <c r="Z827" i="9"/>
  <c r="Z826" i="9"/>
  <c r="Z825" i="9"/>
  <c r="Z824" i="9"/>
  <c r="Z823" i="9"/>
  <c r="Z822" i="9"/>
  <c r="Z821" i="9"/>
  <c r="Z820" i="9"/>
  <c r="Z819" i="9"/>
  <c r="Z818" i="9"/>
  <c r="Z817" i="9"/>
  <c r="Z816" i="9"/>
  <c r="Z815" i="9"/>
  <c r="Z814" i="9"/>
  <c r="Z813" i="9"/>
  <c r="Z812" i="9"/>
  <c r="Z811" i="9"/>
  <c r="Z810" i="9"/>
  <c r="Z809" i="9"/>
  <c r="Z808" i="9"/>
  <c r="Z807" i="9"/>
  <c r="Z806" i="9"/>
  <c r="Z805" i="9"/>
  <c r="Z804" i="9"/>
  <c r="Z803" i="9"/>
  <c r="Z802" i="9"/>
  <c r="Z801" i="9"/>
  <c r="Z800" i="9"/>
  <c r="Z799" i="9"/>
  <c r="Z798" i="9"/>
  <c r="Z797" i="9"/>
  <c r="Z796" i="9"/>
  <c r="Z795" i="9"/>
  <c r="P123" i="5"/>
  <c r="S123" i="5"/>
  <c r="U123" i="5"/>
  <c r="Z794" i="9"/>
  <c r="Z793" i="9"/>
  <c r="Z792" i="9"/>
  <c r="Z791" i="9"/>
  <c r="Z790" i="9"/>
  <c r="Z789" i="9"/>
  <c r="Z788" i="9"/>
  <c r="Z787" i="9"/>
  <c r="Z786" i="9"/>
  <c r="Z785" i="9"/>
  <c r="Z784" i="9"/>
  <c r="Z783" i="9"/>
  <c r="Z782" i="9"/>
  <c r="Z781" i="9"/>
  <c r="Z780" i="9"/>
  <c r="Z779" i="9"/>
  <c r="Z778" i="9"/>
  <c r="Z777" i="9"/>
  <c r="Z776" i="9"/>
  <c r="Z775" i="9"/>
  <c r="Z774" i="9"/>
  <c r="Z773" i="9"/>
  <c r="Z772" i="9"/>
  <c r="Z771" i="9"/>
  <c r="Z770" i="9"/>
  <c r="Z769" i="9"/>
  <c r="Z765" i="9"/>
  <c r="Z764" i="9"/>
  <c r="Z763" i="9"/>
  <c r="Z762" i="9"/>
  <c r="Z761" i="9"/>
  <c r="Z760" i="9"/>
  <c r="Z759" i="9"/>
  <c r="Z758" i="9"/>
  <c r="Z757" i="9"/>
  <c r="Z756" i="9"/>
  <c r="Z755" i="9"/>
  <c r="Z754" i="9"/>
  <c r="Z753" i="9"/>
  <c r="Z752" i="9"/>
  <c r="Z751" i="9"/>
  <c r="Z750" i="9"/>
  <c r="Z749" i="9"/>
  <c r="Z748" i="9"/>
  <c r="Z747" i="9"/>
  <c r="Z746" i="9"/>
  <c r="Z745" i="9"/>
  <c r="Z744" i="9"/>
  <c r="Z743" i="9"/>
  <c r="Z742" i="9"/>
  <c r="Z741" i="9"/>
  <c r="Z740" i="9"/>
  <c r="Z739" i="9"/>
  <c r="Z738" i="9"/>
  <c r="Z737" i="9"/>
  <c r="Z736" i="9"/>
  <c r="Z735" i="9"/>
  <c r="Z734" i="9"/>
  <c r="Z733" i="9"/>
  <c r="Z729" i="9"/>
  <c r="Z728" i="9"/>
  <c r="Z727" i="9"/>
  <c r="Z726" i="9"/>
  <c r="Z725" i="9"/>
  <c r="Z724" i="9"/>
  <c r="Z723" i="9"/>
  <c r="Z722" i="9"/>
  <c r="Z721" i="9"/>
  <c r="Z720" i="9"/>
  <c r="Z719" i="9"/>
  <c r="Z718" i="9"/>
  <c r="Z717" i="9"/>
  <c r="Z714" i="9"/>
  <c r="Z713" i="9"/>
  <c r="Z712" i="9"/>
  <c r="Z711" i="9"/>
  <c r="P120" i="5"/>
  <c r="S120" i="5"/>
  <c r="Z710" i="9"/>
  <c r="Z709" i="9"/>
  <c r="Z708" i="9"/>
  <c r="Z707" i="9"/>
  <c r="Z706" i="9"/>
  <c r="Z705" i="9"/>
  <c r="Z704" i="9"/>
  <c r="Z703" i="9"/>
  <c r="Z702" i="9"/>
  <c r="Z701" i="9"/>
  <c r="Z700" i="9"/>
  <c r="Z699" i="9"/>
  <c r="Z698" i="9"/>
  <c r="Z697" i="9"/>
  <c r="Z696" i="9"/>
  <c r="Z695" i="9"/>
  <c r="Z694" i="9"/>
  <c r="Z693" i="9"/>
  <c r="Z692" i="9"/>
  <c r="Z691" i="9"/>
  <c r="Z690" i="9"/>
  <c r="Z689" i="9"/>
  <c r="Z688" i="9"/>
  <c r="Z687" i="9"/>
  <c r="Z686" i="9"/>
  <c r="P118" i="5"/>
  <c r="S118" i="5"/>
  <c r="T118" i="5"/>
  <c r="Z685" i="9"/>
  <c r="P117" i="5"/>
  <c r="S117" i="5"/>
  <c r="U117" i="5"/>
  <c r="Z684" i="9"/>
  <c r="Z683" i="9"/>
  <c r="Z682" i="9"/>
  <c r="Z681" i="9"/>
  <c r="Z680" i="9"/>
  <c r="Z679" i="9"/>
  <c r="Z678" i="9"/>
  <c r="P116" i="5"/>
  <c r="S116" i="5"/>
  <c r="Z676" i="9"/>
  <c r="P115" i="5"/>
  <c r="S115" i="5"/>
  <c r="U115" i="5"/>
  <c r="Z675" i="9"/>
  <c r="Z674" i="9"/>
  <c r="Z673" i="9"/>
  <c r="Z672" i="9"/>
  <c r="Z671" i="9"/>
  <c r="Z670" i="9"/>
  <c r="Z669" i="9"/>
  <c r="Z668" i="9"/>
  <c r="Z667" i="9"/>
  <c r="Z666" i="9"/>
  <c r="Z665" i="9"/>
  <c r="Z664" i="9"/>
  <c r="Z663" i="9"/>
  <c r="Z662" i="9"/>
  <c r="P111" i="5"/>
  <c r="S111" i="5"/>
  <c r="T111" i="5"/>
  <c r="Z661" i="9"/>
  <c r="Z660" i="9"/>
  <c r="Z659" i="9"/>
  <c r="Z658" i="9"/>
  <c r="Z657" i="9"/>
  <c r="Z656" i="9"/>
  <c r="Z655" i="9"/>
  <c r="P110" i="5"/>
  <c r="Z654" i="9"/>
  <c r="Z653" i="9"/>
  <c r="Z652" i="9"/>
  <c r="Z651" i="9"/>
  <c r="P108" i="5"/>
  <c r="S108" i="5"/>
  <c r="U108" i="5"/>
  <c r="Z650" i="9"/>
  <c r="Z649" i="9"/>
  <c r="Z648" i="9"/>
  <c r="Z647" i="9"/>
  <c r="Z646" i="9"/>
  <c r="Z645" i="9"/>
  <c r="Z644" i="9"/>
  <c r="Z643" i="9"/>
  <c r="P107" i="5"/>
  <c r="S107" i="5"/>
  <c r="U107" i="5"/>
  <c r="Z642" i="9"/>
  <c r="Z641" i="9"/>
  <c r="Z640" i="9"/>
  <c r="Z639" i="9"/>
  <c r="Z635" i="9"/>
  <c r="Z634" i="9"/>
  <c r="Z633" i="9"/>
  <c r="Z632" i="9"/>
  <c r="Z631" i="9"/>
  <c r="Z630" i="9"/>
  <c r="Z629" i="9"/>
  <c r="Z628" i="9"/>
  <c r="Z625" i="9"/>
  <c r="Z624" i="9"/>
  <c r="Z623" i="9"/>
  <c r="Z622" i="9"/>
  <c r="Z621" i="9"/>
  <c r="Z619" i="9"/>
  <c r="Z618" i="9"/>
  <c r="Z617" i="9"/>
  <c r="Z616" i="9"/>
  <c r="Z615" i="9"/>
  <c r="Z614" i="9"/>
  <c r="Z613" i="9"/>
  <c r="Z612" i="9"/>
  <c r="Z611" i="9"/>
  <c r="Z610" i="9"/>
  <c r="Z609" i="9"/>
  <c r="Z608" i="9"/>
  <c r="Z607" i="9"/>
  <c r="P105" i="5"/>
  <c r="S105" i="5"/>
  <c r="T105" i="5"/>
  <c r="Z606" i="9"/>
  <c r="Z605" i="9"/>
  <c r="Z604" i="9"/>
  <c r="Z603" i="9"/>
  <c r="Z602" i="9"/>
  <c r="Z601" i="9"/>
  <c r="Z600" i="9"/>
  <c r="Z599" i="9"/>
  <c r="Z598" i="9"/>
  <c r="Z597" i="9"/>
  <c r="Z596" i="9"/>
  <c r="Z595" i="9"/>
  <c r="Z594" i="9"/>
  <c r="Z593" i="9"/>
  <c r="Z592" i="9"/>
  <c r="Z591" i="9"/>
  <c r="Z590" i="9"/>
  <c r="Z589" i="9"/>
  <c r="Z588" i="9"/>
  <c r="Z587" i="9"/>
  <c r="Z586" i="9"/>
  <c r="Z585" i="9"/>
  <c r="Z584" i="9"/>
  <c r="Z583" i="9"/>
  <c r="Z582" i="9"/>
  <c r="Z581" i="9"/>
  <c r="Z580" i="9"/>
  <c r="Z579" i="9"/>
  <c r="Z578" i="9"/>
  <c r="Z577" i="9"/>
  <c r="Z576" i="9"/>
  <c r="Z575" i="9"/>
  <c r="P104" i="5"/>
  <c r="S104" i="5"/>
  <c r="Z574" i="9"/>
  <c r="Z573" i="9"/>
  <c r="Z572" i="9"/>
  <c r="Z571" i="9"/>
  <c r="Z570" i="9"/>
  <c r="Z569" i="9"/>
  <c r="Z568" i="9"/>
  <c r="Z567" i="9"/>
  <c r="Z566" i="9"/>
  <c r="Z565" i="9"/>
  <c r="Z564" i="9"/>
  <c r="Z563" i="9"/>
  <c r="Z562" i="9"/>
  <c r="Z561" i="9"/>
  <c r="Z560" i="9"/>
  <c r="Z559" i="9"/>
  <c r="Z558" i="9"/>
  <c r="Z557" i="9"/>
  <c r="Z556" i="9"/>
  <c r="Z555" i="9"/>
  <c r="Z554" i="9"/>
  <c r="Z553" i="9"/>
  <c r="Z552" i="9"/>
  <c r="Z551" i="9"/>
  <c r="Z550" i="9"/>
  <c r="Z549" i="9"/>
  <c r="Z548" i="9"/>
  <c r="Z547" i="9"/>
  <c r="Z546" i="9"/>
  <c r="Z545" i="9"/>
  <c r="Z544" i="9"/>
  <c r="Z543" i="9"/>
  <c r="Z542" i="9"/>
  <c r="Z541" i="9"/>
  <c r="Z540" i="9"/>
  <c r="Z539" i="9"/>
  <c r="Z538" i="9"/>
  <c r="Z537" i="9"/>
  <c r="Z536" i="9"/>
  <c r="Z535" i="9"/>
  <c r="Z534" i="9"/>
  <c r="Z533" i="9"/>
  <c r="Z532" i="9"/>
  <c r="Z531" i="9"/>
  <c r="Z530" i="9"/>
  <c r="Z529" i="9"/>
  <c r="Z528" i="9"/>
  <c r="Z527" i="9"/>
  <c r="Z526" i="9"/>
  <c r="Z525" i="9"/>
  <c r="Z524" i="9"/>
  <c r="Z523" i="9"/>
  <c r="Z522" i="9"/>
  <c r="Z521" i="9"/>
  <c r="Z520" i="9"/>
  <c r="Z519" i="9"/>
  <c r="Z518" i="9"/>
  <c r="Z517" i="9"/>
  <c r="Z516" i="9"/>
  <c r="Z515" i="9"/>
  <c r="Z514" i="9"/>
  <c r="Z513" i="9"/>
  <c r="Z512" i="9"/>
  <c r="Z511" i="9"/>
  <c r="Z510" i="9"/>
  <c r="Z509" i="9"/>
  <c r="Z508" i="9"/>
  <c r="Z507" i="9"/>
  <c r="Z506" i="9"/>
  <c r="Z505" i="9"/>
  <c r="Z504" i="9"/>
  <c r="Z503" i="9"/>
  <c r="Z502" i="9"/>
  <c r="Z501" i="9"/>
  <c r="Z500" i="9"/>
  <c r="Z499" i="9"/>
  <c r="Z498" i="9"/>
  <c r="Z497" i="9"/>
  <c r="Z496" i="9"/>
  <c r="Z495" i="9"/>
  <c r="Z494" i="9"/>
  <c r="Z493" i="9"/>
  <c r="Z492" i="9"/>
  <c r="Z491" i="9"/>
  <c r="Z490" i="9"/>
  <c r="Z489" i="9"/>
  <c r="Z488" i="9"/>
  <c r="Z487" i="9"/>
  <c r="Z486" i="9"/>
  <c r="Z485" i="9"/>
  <c r="Z484" i="9"/>
  <c r="Z483" i="9"/>
  <c r="Z482" i="9"/>
  <c r="Z481" i="9"/>
  <c r="Z480" i="9"/>
  <c r="Z479" i="9"/>
  <c r="Z478" i="9"/>
  <c r="Z477" i="9"/>
  <c r="Z476" i="9"/>
  <c r="Z475" i="9"/>
  <c r="Z474" i="9"/>
  <c r="Z473" i="9"/>
  <c r="Z472" i="9"/>
  <c r="Z471" i="9"/>
  <c r="Z470" i="9"/>
  <c r="Z469" i="9"/>
  <c r="Z468" i="9"/>
  <c r="Z467" i="9"/>
  <c r="Z466" i="9"/>
  <c r="Z465" i="9"/>
  <c r="Z464" i="9"/>
  <c r="Z463" i="9"/>
  <c r="Z462" i="9"/>
  <c r="Z461" i="9"/>
  <c r="Z460" i="9"/>
  <c r="Z459" i="9"/>
  <c r="Z458" i="9"/>
  <c r="Z457" i="9"/>
  <c r="Z456" i="9"/>
  <c r="Z455" i="9"/>
  <c r="Z454" i="9"/>
  <c r="Z453" i="9"/>
  <c r="Z452" i="9"/>
  <c r="Z451" i="9"/>
  <c r="Z450" i="9"/>
  <c r="Z449" i="9"/>
  <c r="Z448" i="9"/>
  <c r="Z447" i="9"/>
  <c r="Z446" i="9"/>
  <c r="Z445" i="9"/>
  <c r="Z444" i="9"/>
  <c r="Z443" i="9"/>
  <c r="Z442" i="9"/>
  <c r="Z441" i="9"/>
  <c r="Z440" i="9"/>
  <c r="Z439" i="9"/>
  <c r="Z438" i="9"/>
  <c r="Z437" i="9"/>
  <c r="Z436" i="9"/>
  <c r="Z435" i="9"/>
  <c r="Z434" i="9"/>
  <c r="Z433" i="9"/>
  <c r="Z432" i="9"/>
  <c r="Z431" i="9"/>
  <c r="Z430" i="9"/>
  <c r="Z429" i="9"/>
  <c r="Z428" i="9"/>
  <c r="Z427" i="9"/>
  <c r="Z426" i="9"/>
  <c r="Z425" i="9"/>
  <c r="Z424" i="9"/>
  <c r="Z423" i="9"/>
  <c r="Z422" i="9"/>
  <c r="Z421" i="9"/>
  <c r="Z420" i="9"/>
  <c r="Z419" i="9"/>
  <c r="Z418" i="9"/>
  <c r="Z417" i="9"/>
  <c r="Z416" i="9"/>
  <c r="Z415" i="9"/>
  <c r="Z414" i="9"/>
  <c r="Z413" i="9"/>
  <c r="Z412" i="9"/>
  <c r="Z411" i="9"/>
  <c r="Z410" i="9"/>
  <c r="Z409" i="9"/>
  <c r="Z408" i="9"/>
  <c r="Z407" i="9"/>
  <c r="Z406" i="9"/>
  <c r="Z405" i="9"/>
  <c r="Z404" i="9"/>
  <c r="Z403" i="9"/>
  <c r="Z402" i="9"/>
  <c r="Z401" i="9"/>
  <c r="Z400" i="9"/>
  <c r="Z399" i="9"/>
  <c r="Z398" i="9"/>
  <c r="Z397" i="9"/>
  <c r="Z396" i="9"/>
  <c r="Z395" i="9"/>
  <c r="Z394" i="9"/>
  <c r="Z393" i="9"/>
  <c r="Z392" i="9"/>
  <c r="Z391" i="9"/>
  <c r="Z390" i="9"/>
  <c r="Z389" i="9"/>
  <c r="Z388" i="9"/>
  <c r="Z387" i="9"/>
  <c r="Z386" i="9"/>
  <c r="Z385" i="9"/>
  <c r="Z384" i="9"/>
  <c r="Z383" i="9"/>
  <c r="Z382" i="9"/>
  <c r="Z381" i="9"/>
  <c r="Z380" i="9"/>
  <c r="Z379" i="9"/>
  <c r="Z378" i="9"/>
  <c r="Z377" i="9"/>
  <c r="Z376" i="9"/>
  <c r="Z375" i="9"/>
  <c r="Z374" i="9"/>
  <c r="Z373" i="9"/>
  <c r="P103" i="5"/>
  <c r="S103" i="5"/>
  <c r="Z368" i="9"/>
  <c r="Z367" i="9"/>
  <c r="Z366" i="9"/>
  <c r="Z365" i="9"/>
  <c r="Z364" i="9"/>
  <c r="Z363" i="9"/>
  <c r="Z362" i="9"/>
  <c r="Z361" i="9"/>
  <c r="Z360" i="9"/>
  <c r="Z359" i="9"/>
  <c r="Z358" i="9"/>
  <c r="Z357" i="9"/>
  <c r="Z356" i="9"/>
  <c r="Z355" i="9"/>
  <c r="Z354" i="9"/>
  <c r="Z353" i="9"/>
  <c r="Z352" i="9"/>
  <c r="Z351" i="9"/>
  <c r="Z350" i="9"/>
  <c r="Z349" i="9"/>
  <c r="Z348" i="9"/>
  <c r="Z347" i="9"/>
  <c r="Z346" i="9"/>
  <c r="Z345" i="9"/>
  <c r="Z344" i="9"/>
  <c r="Z343" i="9"/>
  <c r="Z342" i="9"/>
  <c r="Z341" i="9"/>
  <c r="Z340" i="9"/>
  <c r="Z339" i="9"/>
  <c r="Z334" i="9"/>
  <c r="Z333" i="9"/>
  <c r="Z332" i="9"/>
  <c r="Z331" i="9"/>
  <c r="Z330" i="9"/>
  <c r="Z329" i="9"/>
  <c r="Z328" i="9"/>
  <c r="Z327" i="9"/>
  <c r="Z326" i="9"/>
  <c r="Z325" i="9"/>
  <c r="Z324" i="9"/>
  <c r="Z323" i="9"/>
  <c r="Z322" i="9"/>
  <c r="Z321" i="9"/>
  <c r="Z320" i="9"/>
  <c r="Z319" i="9"/>
  <c r="Z318" i="9"/>
  <c r="Z317" i="9"/>
  <c r="Z316" i="9"/>
  <c r="Z315" i="9"/>
  <c r="Z313" i="9"/>
  <c r="Z312" i="9"/>
  <c r="Z311" i="9"/>
  <c r="Z307" i="9"/>
  <c r="Z306" i="9"/>
  <c r="Z305" i="9"/>
  <c r="Z304" i="9"/>
  <c r="Z303" i="9"/>
  <c r="Z302" i="9"/>
  <c r="Z301" i="9"/>
  <c r="Z300" i="9"/>
  <c r="Z299" i="9"/>
  <c r="Z298" i="9"/>
  <c r="Z297" i="9"/>
  <c r="Z296" i="9"/>
  <c r="Z295" i="9"/>
  <c r="Z294" i="9"/>
  <c r="Z293" i="9"/>
  <c r="Z292" i="9"/>
  <c r="Z267" i="9"/>
  <c r="Z266" i="9"/>
  <c r="Z265" i="9"/>
  <c r="Z264" i="9"/>
  <c r="Z263" i="9"/>
  <c r="Z262" i="9"/>
  <c r="Z261" i="9"/>
  <c r="Z260" i="9"/>
  <c r="Z259" i="9"/>
  <c r="Z258" i="9"/>
  <c r="Z257" i="9"/>
  <c r="Z256" i="9"/>
  <c r="Z255" i="9"/>
  <c r="Z254" i="9"/>
  <c r="Z253" i="9"/>
  <c r="Z252" i="9"/>
  <c r="Z251" i="9"/>
  <c r="P97" i="5"/>
  <c r="S97" i="5"/>
  <c r="U97" i="5"/>
  <c r="Z240" i="9"/>
  <c r="Z239" i="9"/>
  <c r="Z238" i="9"/>
  <c r="Z237" i="9"/>
  <c r="Z236" i="9"/>
  <c r="Z235" i="9"/>
  <c r="Z234" i="9"/>
  <c r="Z233" i="9"/>
  <c r="Z232" i="9"/>
  <c r="Z231" i="9"/>
  <c r="Z230" i="9"/>
  <c r="Z229" i="9"/>
  <c r="Z228" i="9"/>
  <c r="Z227" i="9"/>
  <c r="Z226" i="9"/>
  <c r="Z225" i="9"/>
  <c r="Z224" i="9"/>
  <c r="Z223" i="9"/>
  <c r="Z222" i="9"/>
  <c r="Z221" i="9"/>
  <c r="Z220" i="9"/>
  <c r="Z219" i="9"/>
  <c r="Z218" i="9"/>
  <c r="Z217" i="9"/>
  <c r="Z216" i="9"/>
  <c r="Z215" i="9"/>
  <c r="Z214" i="9"/>
  <c r="Z213" i="9"/>
  <c r="Z212" i="9"/>
  <c r="Z211" i="9"/>
  <c r="Z210" i="9"/>
  <c r="Z209" i="9"/>
  <c r="Z208" i="9"/>
  <c r="Z207" i="9"/>
  <c r="Z206" i="9"/>
  <c r="Z205" i="9"/>
  <c r="Z204" i="9"/>
  <c r="Z203" i="9"/>
  <c r="Z202" i="9"/>
  <c r="Z201" i="9"/>
  <c r="Z200" i="9"/>
  <c r="Z199" i="9"/>
  <c r="Z198" i="9"/>
  <c r="Z197" i="9"/>
  <c r="Z196" i="9"/>
  <c r="Z195" i="9"/>
  <c r="Z194" i="9"/>
  <c r="Z193" i="9"/>
  <c r="Z192" i="9"/>
  <c r="Z191" i="9"/>
  <c r="Z190" i="9"/>
  <c r="Z189" i="9"/>
  <c r="Z188" i="9"/>
  <c r="P83" i="5"/>
  <c r="S83" i="5"/>
  <c r="Z187" i="9"/>
  <c r="Z186" i="9"/>
  <c r="Z185" i="9"/>
  <c r="Z184" i="9"/>
  <c r="Z183" i="9"/>
  <c r="Z182" i="9"/>
  <c r="Z181" i="9"/>
  <c r="Z180" i="9"/>
  <c r="Z179" i="9"/>
  <c r="Z178" i="9"/>
  <c r="Z177" i="9"/>
  <c r="Z176" i="9"/>
  <c r="Z175" i="9"/>
  <c r="Z174" i="9"/>
  <c r="Z173" i="9"/>
  <c r="Z172" i="9"/>
  <c r="Z171" i="9"/>
  <c r="Z170" i="9"/>
  <c r="Z169" i="9"/>
  <c r="Z168" i="9"/>
  <c r="Z167" i="9"/>
  <c r="Z166" i="9"/>
  <c r="Z165" i="9"/>
  <c r="Z164" i="9"/>
  <c r="Z163" i="9"/>
  <c r="Z162" i="9"/>
  <c r="Z161" i="9"/>
  <c r="Z160" i="9"/>
  <c r="Z159" i="9"/>
  <c r="Z158" i="9"/>
  <c r="Z157" i="9"/>
  <c r="Z156" i="9"/>
  <c r="Z155" i="9"/>
  <c r="Z154" i="9"/>
  <c r="Z153" i="9"/>
  <c r="Z152" i="9"/>
  <c r="Z151" i="9"/>
  <c r="Z150" i="9"/>
  <c r="Z149" i="9"/>
  <c r="Z148" i="9"/>
  <c r="Z147" i="9"/>
  <c r="Z146" i="9"/>
  <c r="Z145" i="9"/>
  <c r="Z144" i="9"/>
  <c r="Z143" i="9"/>
  <c r="Z142" i="9"/>
  <c r="Z141" i="9"/>
  <c r="Z140" i="9"/>
  <c r="Z139" i="9"/>
  <c r="Z138" i="9"/>
  <c r="Z137" i="9"/>
  <c r="Z136" i="9"/>
  <c r="Z135" i="9"/>
  <c r="Z134" i="9"/>
  <c r="Z133" i="9"/>
  <c r="Z132" i="9"/>
  <c r="Z131" i="9"/>
  <c r="Z130" i="9"/>
  <c r="Z129" i="9"/>
  <c r="Z128" i="9"/>
  <c r="Z127" i="9"/>
  <c r="Z126" i="9"/>
  <c r="Z125" i="9"/>
  <c r="P70" i="5"/>
  <c r="Z124" i="9"/>
  <c r="Z123" i="9"/>
  <c r="Z122" i="9"/>
  <c r="Z121" i="9"/>
  <c r="Z120" i="9"/>
  <c r="Z119" i="9"/>
  <c r="Z118" i="9"/>
  <c r="Z117" i="9"/>
  <c r="Z116" i="9"/>
  <c r="Z115" i="9"/>
  <c r="Z114" i="9"/>
  <c r="Z113" i="9"/>
  <c r="Z112" i="9"/>
  <c r="Z111" i="9"/>
  <c r="Z110" i="9"/>
  <c r="Z109" i="9"/>
  <c r="Z108" i="9"/>
  <c r="Z107" i="9"/>
  <c r="Z106" i="9"/>
  <c r="Z105" i="9"/>
  <c r="Z104" i="9"/>
  <c r="Z103" i="9"/>
  <c r="Z102" i="9"/>
  <c r="P66" i="5"/>
  <c r="S66" i="5"/>
  <c r="T66" i="5"/>
  <c r="Z101" i="9"/>
  <c r="Z100" i="9"/>
  <c r="Z99" i="9"/>
  <c r="Z98" i="9"/>
  <c r="Z97" i="9"/>
  <c r="Z96" i="9"/>
  <c r="Z95" i="9"/>
  <c r="Z94" i="9"/>
  <c r="Z93" i="9"/>
  <c r="Z92" i="9"/>
  <c r="Z91" i="9"/>
  <c r="Z90" i="9"/>
  <c r="Z89" i="9"/>
  <c r="Z88" i="9"/>
  <c r="Z87" i="9"/>
  <c r="Z86" i="9"/>
  <c r="Z85" i="9"/>
  <c r="Z84" i="9"/>
  <c r="Z83" i="9"/>
  <c r="Z82" i="9"/>
  <c r="Z81" i="9"/>
  <c r="Z80" i="9"/>
  <c r="Z79" i="9"/>
  <c r="Z78" i="9"/>
  <c r="Z77" i="9"/>
  <c r="Z76" i="9"/>
  <c r="Z75" i="9"/>
  <c r="Z74" i="9"/>
  <c r="Z73" i="9"/>
  <c r="Z72" i="9"/>
  <c r="Z71" i="9"/>
  <c r="Z70" i="9"/>
  <c r="Z69" i="9"/>
  <c r="Z68" i="9"/>
  <c r="Z67" i="9"/>
  <c r="Z66" i="9"/>
  <c r="Z65" i="9"/>
  <c r="Z64" i="9"/>
  <c r="Z63" i="9"/>
  <c r="P61" i="5"/>
  <c r="Z62" i="9"/>
  <c r="Z61" i="9"/>
  <c r="Z60" i="9"/>
  <c r="Z59" i="9"/>
  <c r="Z58" i="9"/>
  <c r="Z57" i="9"/>
  <c r="Z56" i="9"/>
  <c r="Z55" i="9"/>
  <c r="Z54" i="9"/>
  <c r="Z53" i="9"/>
  <c r="Z52" i="9"/>
  <c r="Z51" i="9"/>
  <c r="Z50" i="9"/>
  <c r="Z49" i="9"/>
  <c r="Z48" i="9"/>
  <c r="Z47" i="9"/>
  <c r="Z46" i="9"/>
  <c r="Z45" i="9"/>
  <c r="P55" i="5"/>
  <c r="P54" i="5"/>
  <c r="Z44" i="9"/>
  <c r="P52" i="5"/>
  <c r="S52" i="5"/>
  <c r="U52" i="5"/>
  <c r="Z43" i="9"/>
  <c r="Z42" i="9"/>
  <c r="Z41" i="9"/>
  <c r="Z40" i="9"/>
  <c r="Z39" i="9"/>
  <c r="Z38" i="9"/>
  <c r="Z37" i="9"/>
  <c r="Z36" i="9"/>
  <c r="Z35" i="9"/>
  <c r="Z34" i="9"/>
  <c r="Z33" i="9"/>
  <c r="Z32" i="9"/>
  <c r="Z31" i="9"/>
  <c r="Z30" i="9"/>
  <c r="Z29" i="9"/>
  <c r="Z28" i="9"/>
  <c r="Z27" i="9"/>
  <c r="Z26" i="9"/>
  <c r="Z25" i="9"/>
  <c r="Z24" i="9"/>
  <c r="Z23" i="9"/>
  <c r="Z22" i="9"/>
  <c r="Z21" i="9"/>
  <c r="Z20" i="9"/>
  <c r="Z19" i="9"/>
  <c r="P36" i="5"/>
  <c r="Z18" i="9"/>
  <c r="Z17" i="9"/>
  <c r="Z16" i="9"/>
  <c r="Z15" i="9"/>
  <c r="P29" i="5"/>
  <c r="S29" i="5"/>
  <c r="T29" i="5"/>
  <c r="Z14" i="9"/>
  <c r="P28" i="5"/>
  <c r="P26" i="5"/>
  <c r="S28" i="5"/>
  <c r="U28" i="5"/>
  <c r="Z13" i="9"/>
  <c r="Z12" i="9"/>
  <c r="Z11" i="9"/>
  <c r="Z10" i="9"/>
  <c r="P24" i="5"/>
  <c r="Z9" i="9"/>
  <c r="P19" i="5"/>
  <c r="E12" i="6"/>
  <c r="E11" i="6"/>
  <c r="E10" i="6"/>
  <c r="E9" i="6"/>
  <c r="E8" i="6"/>
  <c r="E7" i="6"/>
  <c r="E6" i="6"/>
  <c r="E5" i="6"/>
  <c r="E4" i="6"/>
  <c r="E3" i="6"/>
  <c r="K993" i="8"/>
  <c r="O139" i="5"/>
  <c r="O137" i="5"/>
  <c r="O136" i="5"/>
  <c r="O135" i="5"/>
  <c r="O134" i="5"/>
  <c r="O133" i="5"/>
  <c r="O132" i="5"/>
  <c r="O131" i="5"/>
  <c r="O130" i="5"/>
  <c r="O129" i="5"/>
  <c r="O128" i="5"/>
  <c r="O127" i="5"/>
  <c r="O126" i="5"/>
  <c r="O125" i="5"/>
  <c r="O123" i="5"/>
  <c r="O122" i="5"/>
  <c r="O121" i="5"/>
  <c r="O120" i="5"/>
  <c r="O119" i="5"/>
  <c r="O118" i="5"/>
  <c r="O117" i="5"/>
  <c r="O116" i="5"/>
  <c r="O115" i="5"/>
  <c r="O114" i="5"/>
  <c r="O113" i="5"/>
  <c r="O112" i="5"/>
  <c r="O111" i="5"/>
  <c r="O110" i="5"/>
  <c r="O108" i="5"/>
  <c r="O107" i="5"/>
  <c r="O106" i="5"/>
  <c r="O105" i="5"/>
  <c r="O104" i="5"/>
  <c r="O103" i="5"/>
  <c r="O102" i="5"/>
  <c r="O101" i="5"/>
  <c r="O100" i="5"/>
  <c r="O99" i="5"/>
  <c r="O98" i="5"/>
  <c r="O97" i="5"/>
  <c r="O96" i="5"/>
  <c r="O95" i="5"/>
  <c r="O94" i="5"/>
  <c r="O93" i="5"/>
  <c r="O89" i="5"/>
  <c r="O88" i="5"/>
  <c r="O87" i="5"/>
  <c r="O85" i="5"/>
  <c r="O83" i="5"/>
  <c r="O82" i="5"/>
  <c r="O80" i="5"/>
  <c r="O79" i="5"/>
  <c r="O75" i="5"/>
  <c r="O74" i="5"/>
  <c r="O73" i="5"/>
  <c r="O72" i="5"/>
  <c r="O70" i="5"/>
  <c r="O69" i="5"/>
  <c r="O67" i="5"/>
  <c r="O66" i="5"/>
  <c r="O64" i="5"/>
  <c r="O63" i="5"/>
  <c r="O62" i="5"/>
  <c r="O61" i="5"/>
  <c r="O59" i="5"/>
  <c r="O58" i="5"/>
  <c r="O56" i="5"/>
  <c r="O55" i="5"/>
  <c r="O52" i="5"/>
  <c r="O51" i="5"/>
  <c r="O50" i="5"/>
  <c r="O48" i="5"/>
  <c r="O47" i="5"/>
  <c r="O45" i="5"/>
  <c r="O44" i="5"/>
  <c r="O42" i="5"/>
  <c r="O41" i="5"/>
  <c r="O36" i="5"/>
  <c r="O35" i="5"/>
  <c r="O32" i="5"/>
  <c r="O31" i="5"/>
  <c r="O30" i="5"/>
  <c r="O29" i="5"/>
  <c r="O28" i="5"/>
  <c r="O27" i="5"/>
  <c r="O25" i="5"/>
  <c r="O24" i="5"/>
  <c r="O22" i="5"/>
  <c r="O21" i="5"/>
  <c r="O19" i="5"/>
  <c r="K989" i="8"/>
  <c r="J989" i="8"/>
  <c r="H989" i="8"/>
  <c r="G989" i="8"/>
  <c r="K983" i="8"/>
  <c r="J983" i="8"/>
  <c r="H983" i="8"/>
  <c r="G983" i="8"/>
  <c r="K979" i="8"/>
  <c r="J979" i="8"/>
  <c r="H979" i="8"/>
  <c r="G979" i="8"/>
  <c r="K977" i="8"/>
  <c r="J977" i="8"/>
  <c r="H977" i="8"/>
  <c r="G977" i="8"/>
  <c r="K975" i="8"/>
  <c r="J975" i="8"/>
  <c r="H975" i="8"/>
  <c r="G975" i="8"/>
  <c r="K971" i="8"/>
  <c r="J971" i="8"/>
  <c r="H971" i="8"/>
  <c r="G971" i="8"/>
  <c r="K956" i="8"/>
  <c r="J956" i="8"/>
  <c r="H956" i="8"/>
  <c r="G956" i="8"/>
  <c r="K943" i="8"/>
  <c r="J943" i="8"/>
  <c r="H943" i="8"/>
  <c r="G943" i="8"/>
  <c r="K940" i="8"/>
  <c r="J940" i="8"/>
  <c r="H940" i="8"/>
  <c r="G940" i="8"/>
  <c r="K919" i="8"/>
  <c r="J919" i="8"/>
  <c r="H919" i="8"/>
  <c r="G919" i="8"/>
  <c r="K911" i="8"/>
  <c r="J911" i="8"/>
  <c r="H911" i="8"/>
  <c r="G911" i="8"/>
  <c r="K897" i="8"/>
  <c r="J897" i="8"/>
  <c r="H897" i="8"/>
  <c r="G897" i="8"/>
  <c r="K877" i="8"/>
  <c r="J877" i="8"/>
  <c r="H877" i="8"/>
  <c r="G877" i="8"/>
  <c r="K750" i="8"/>
  <c r="J750" i="8"/>
  <c r="H750" i="8"/>
  <c r="G750" i="8"/>
  <c r="K674" i="8"/>
  <c r="J674" i="8"/>
  <c r="H674" i="8"/>
  <c r="G674" i="8"/>
  <c r="K656" i="8"/>
  <c r="J656" i="8"/>
  <c r="H656" i="8"/>
  <c r="G656" i="8"/>
  <c r="K634" i="8"/>
  <c r="J634" i="8"/>
  <c r="H634" i="8"/>
  <c r="G634" i="8"/>
  <c r="K630" i="8"/>
  <c r="J630" i="8"/>
  <c r="H630" i="8"/>
  <c r="G630" i="8"/>
  <c r="K612" i="8"/>
  <c r="J612" i="8"/>
  <c r="H612" i="8"/>
  <c r="G612" i="8"/>
  <c r="K607" i="8"/>
  <c r="J607" i="8"/>
  <c r="H607" i="8"/>
  <c r="G607" i="8"/>
  <c r="K597" i="8"/>
  <c r="J597" i="8"/>
  <c r="H597" i="8"/>
  <c r="G597" i="8"/>
  <c r="K594" i="8"/>
  <c r="J594" i="8"/>
  <c r="H594" i="8"/>
  <c r="G594" i="8"/>
  <c r="K577" i="8"/>
  <c r="J577" i="8"/>
  <c r="H577" i="8"/>
  <c r="G577" i="8"/>
  <c r="K571" i="8"/>
  <c r="J571" i="8"/>
  <c r="H571" i="8"/>
  <c r="G571" i="8"/>
  <c r="K565" i="8"/>
  <c r="J565" i="8"/>
  <c r="H565" i="8"/>
  <c r="G565" i="8"/>
  <c r="K557" i="8"/>
  <c r="J557" i="8"/>
  <c r="H557" i="8"/>
  <c r="G557" i="8"/>
  <c r="K547" i="8"/>
  <c r="J547" i="8"/>
  <c r="H547" i="8"/>
  <c r="G547" i="8"/>
  <c r="K517" i="8"/>
  <c r="J517" i="8"/>
  <c r="H517" i="8"/>
  <c r="G517" i="8"/>
  <c r="K483" i="8"/>
  <c r="J483" i="8"/>
  <c r="H483" i="8"/>
  <c r="G483" i="8"/>
  <c r="K336" i="8"/>
  <c r="J336" i="8"/>
  <c r="H336" i="8"/>
  <c r="G336" i="8"/>
  <c r="K282" i="8"/>
  <c r="J282" i="8"/>
  <c r="H282" i="8"/>
  <c r="G282" i="8"/>
  <c r="K269" i="8"/>
  <c r="J269" i="8"/>
  <c r="H269" i="8"/>
  <c r="G269" i="8"/>
  <c r="K256" i="8"/>
  <c r="J256" i="8"/>
  <c r="H256" i="8"/>
  <c r="G256" i="8"/>
  <c r="K239" i="8"/>
  <c r="J239" i="8"/>
  <c r="H239" i="8"/>
  <c r="G239" i="8"/>
  <c r="K229" i="8"/>
  <c r="J229" i="8"/>
  <c r="H229" i="8"/>
  <c r="G229" i="8"/>
  <c r="K213" i="8"/>
  <c r="J213" i="8"/>
  <c r="H213" i="8"/>
  <c r="G213" i="8"/>
  <c r="K211" i="8"/>
  <c r="J211" i="8"/>
  <c r="H211" i="8"/>
  <c r="G211" i="8"/>
  <c r="K209" i="8"/>
  <c r="J209" i="8"/>
  <c r="H209" i="8"/>
  <c r="G209" i="8"/>
  <c r="K162" i="8"/>
  <c r="J162" i="8"/>
  <c r="H162" i="8"/>
  <c r="G162" i="8"/>
  <c r="K158" i="8"/>
  <c r="J158" i="8"/>
  <c r="H158" i="8"/>
  <c r="G158" i="8"/>
  <c r="K151" i="8"/>
  <c r="J151" i="8"/>
  <c r="H151" i="8"/>
  <c r="G151" i="8"/>
  <c r="K124" i="8"/>
  <c r="J124" i="8"/>
  <c r="H124" i="8"/>
  <c r="G124" i="8"/>
  <c r="K119" i="8"/>
  <c r="J119" i="8"/>
  <c r="H119" i="8"/>
  <c r="G119" i="8"/>
  <c r="K117" i="8"/>
  <c r="J117" i="8"/>
  <c r="H117" i="8"/>
  <c r="G117" i="8"/>
  <c r="K114" i="8"/>
  <c r="J114" i="8"/>
  <c r="H114" i="8"/>
  <c r="G114" i="8"/>
  <c r="K96" i="8"/>
  <c r="J96" i="8"/>
  <c r="H96" i="8"/>
  <c r="G96" i="8"/>
  <c r="K78" i="8"/>
  <c r="J78" i="8"/>
  <c r="H78" i="8"/>
  <c r="G78" i="8"/>
  <c r="K62" i="8"/>
  <c r="J62" i="8"/>
  <c r="H62" i="8"/>
  <c r="G62" i="8"/>
  <c r="K56" i="8"/>
  <c r="J56" i="8"/>
  <c r="H56" i="8"/>
  <c r="G56" i="8"/>
  <c r="K41" i="8"/>
  <c r="J41" i="8"/>
  <c r="H41" i="8"/>
  <c r="G41" i="8"/>
  <c r="K37" i="8"/>
  <c r="J37" i="8"/>
  <c r="H37" i="8"/>
  <c r="G37" i="8"/>
  <c r="K35" i="8"/>
  <c r="J35" i="8"/>
  <c r="H35" i="8"/>
  <c r="G35" i="8"/>
  <c r="K32" i="8"/>
  <c r="J32" i="8"/>
  <c r="H32" i="8"/>
  <c r="G32" i="8"/>
  <c r="K18" i="8"/>
  <c r="K991" i="8"/>
  <c r="J18" i="8"/>
  <c r="J991" i="8"/>
  <c r="H18" i="8"/>
  <c r="H991" i="8"/>
  <c r="G18" i="8"/>
  <c r="G991" i="8"/>
  <c r="A10" i="8"/>
  <c r="A10" i="7"/>
  <c r="G13" i="7"/>
  <c r="H13" i="7"/>
  <c r="H934" i="7"/>
  <c r="J13" i="7"/>
  <c r="J934" i="7"/>
  <c r="J936" i="7"/>
  <c r="G33" i="7"/>
  <c r="H33" i="7"/>
  <c r="J33" i="7"/>
  <c r="G51" i="7"/>
  <c r="H51" i="7"/>
  <c r="J51" i="7"/>
  <c r="G53" i="7"/>
  <c r="H53" i="7"/>
  <c r="J53" i="7"/>
  <c r="G55" i="7"/>
  <c r="H55" i="7"/>
  <c r="J55" i="7"/>
  <c r="G61" i="7"/>
  <c r="H61" i="7"/>
  <c r="J61" i="7"/>
  <c r="G63" i="7"/>
  <c r="H63" i="7"/>
  <c r="J63" i="7"/>
  <c r="G79" i="7"/>
  <c r="H79" i="7"/>
  <c r="J79" i="7"/>
  <c r="G82" i="7"/>
  <c r="H82" i="7"/>
  <c r="J82" i="7"/>
  <c r="G87" i="7"/>
  <c r="H87" i="7"/>
  <c r="J87" i="7"/>
  <c r="G107" i="7"/>
  <c r="H107" i="7"/>
  <c r="J107" i="7"/>
  <c r="G120" i="7"/>
  <c r="H120" i="7"/>
  <c r="J120" i="7"/>
  <c r="G125" i="7"/>
  <c r="H125" i="7"/>
  <c r="J125" i="7"/>
  <c r="G134" i="7"/>
  <c r="H134" i="7"/>
  <c r="J134" i="7"/>
  <c r="G144" i="7"/>
  <c r="H144" i="7"/>
  <c r="J144" i="7"/>
  <c r="G146" i="7"/>
  <c r="H146" i="7"/>
  <c r="J146" i="7"/>
  <c r="G196" i="7"/>
  <c r="H196" i="7"/>
  <c r="J196" i="7"/>
  <c r="G328" i="7"/>
  <c r="H328" i="7"/>
  <c r="J328" i="7"/>
  <c r="G360" i="7"/>
  <c r="H360" i="7"/>
  <c r="J360" i="7"/>
  <c r="G362" i="7"/>
  <c r="H362" i="7"/>
  <c r="J362" i="7"/>
  <c r="G370" i="7"/>
  <c r="H370" i="7"/>
  <c r="J370" i="7"/>
  <c r="G383" i="7"/>
  <c r="H383" i="7"/>
  <c r="J383" i="7"/>
  <c r="G394" i="7"/>
  <c r="H394" i="7"/>
  <c r="J394" i="7"/>
  <c r="G400" i="7"/>
  <c r="H400" i="7"/>
  <c r="J400" i="7"/>
  <c r="G406" i="7"/>
  <c r="H406" i="7"/>
  <c r="J406" i="7"/>
  <c r="G431" i="7"/>
  <c r="H431" i="7"/>
  <c r="J431" i="7"/>
  <c r="G433" i="7"/>
  <c r="H433" i="7"/>
  <c r="J433" i="7"/>
  <c r="G438" i="7"/>
  <c r="H438" i="7"/>
  <c r="J438" i="7"/>
  <c r="G442" i="7"/>
  <c r="H442" i="7"/>
  <c r="J442" i="7"/>
  <c r="G464" i="7"/>
  <c r="H464" i="7"/>
  <c r="J464" i="7"/>
  <c r="G470" i="7"/>
  <c r="H470" i="7"/>
  <c r="J470" i="7"/>
  <c r="G485" i="7"/>
  <c r="H485" i="7"/>
  <c r="J485" i="7"/>
  <c r="G506" i="7"/>
  <c r="H506" i="7"/>
  <c r="J506" i="7"/>
  <c r="G567" i="7"/>
  <c r="H567" i="7"/>
  <c r="J567" i="7"/>
  <c r="G779" i="7"/>
  <c r="H779" i="7"/>
  <c r="J779" i="7"/>
  <c r="G792" i="7"/>
  <c r="H792" i="7"/>
  <c r="J792" i="7"/>
  <c r="G820" i="7"/>
  <c r="H820" i="7"/>
  <c r="J820" i="7"/>
  <c r="G845" i="7"/>
  <c r="H845" i="7"/>
  <c r="J845" i="7"/>
  <c r="G874" i="7"/>
  <c r="H874" i="7"/>
  <c r="J874" i="7"/>
  <c r="G883" i="7"/>
  <c r="H883" i="7"/>
  <c r="J883" i="7"/>
  <c r="G896" i="7"/>
  <c r="H896" i="7"/>
  <c r="J896" i="7"/>
  <c r="G909" i="7"/>
  <c r="H909" i="7"/>
  <c r="J909" i="7"/>
  <c r="G919" i="7"/>
  <c r="H919" i="7"/>
  <c r="J919" i="7"/>
  <c r="G922" i="7"/>
  <c r="H922" i="7"/>
  <c r="J922" i="7"/>
  <c r="G926" i="7"/>
  <c r="H926" i="7"/>
  <c r="J926" i="7"/>
  <c r="G932" i="7"/>
  <c r="H932" i="7"/>
  <c r="J932" i="7"/>
  <c r="G934" i="7"/>
  <c r="R109" i="5"/>
  <c r="Q109" i="5"/>
  <c r="O109" i="5"/>
  <c r="M109" i="5"/>
  <c r="N139" i="5"/>
  <c r="N137" i="5"/>
  <c r="N136" i="5"/>
  <c r="N135" i="5"/>
  <c r="N134" i="5"/>
  <c r="N133" i="5"/>
  <c r="N132" i="5"/>
  <c r="N131" i="5"/>
  <c r="N130" i="5"/>
  <c r="N129" i="5"/>
  <c r="N128" i="5"/>
  <c r="N127" i="5"/>
  <c r="N126" i="5"/>
  <c r="N125"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89" i="5"/>
  <c r="S89" i="5"/>
  <c r="U89" i="5"/>
  <c r="N88" i="5"/>
  <c r="N87" i="5"/>
  <c r="N85" i="5"/>
  <c r="N83" i="5"/>
  <c r="N82" i="5"/>
  <c r="N80" i="5"/>
  <c r="N79" i="5"/>
  <c r="N75" i="5"/>
  <c r="N74" i="5"/>
  <c r="N73" i="5"/>
  <c r="N72" i="5"/>
  <c r="N70" i="5"/>
  <c r="N69" i="5"/>
  <c r="N67" i="5"/>
  <c r="N66" i="5"/>
  <c r="N64" i="5"/>
  <c r="N63" i="5"/>
  <c r="N62" i="5"/>
  <c r="N60" i="5"/>
  <c r="N61" i="5"/>
  <c r="N59" i="5"/>
  <c r="N58" i="5"/>
  <c r="N56" i="5"/>
  <c r="S56" i="5"/>
  <c r="T56" i="5"/>
  <c r="N55" i="5"/>
  <c r="N52" i="5"/>
  <c r="N51" i="5"/>
  <c r="N50" i="5"/>
  <c r="N49" i="5"/>
  <c r="N48" i="5"/>
  <c r="N47" i="5"/>
  <c r="N45" i="5"/>
  <c r="N44" i="5"/>
  <c r="N43" i="5"/>
  <c r="N42" i="5"/>
  <c r="N40" i="5"/>
  <c r="N41" i="5"/>
  <c r="N36" i="5"/>
  <c r="N35" i="5"/>
  <c r="N32" i="5"/>
  <c r="S32" i="5"/>
  <c r="U32" i="5"/>
  <c r="N31" i="5"/>
  <c r="N30" i="5"/>
  <c r="N29" i="5"/>
  <c r="N28" i="5"/>
  <c r="N27" i="5"/>
  <c r="N25" i="5"/>
  <c r="N24" i="5"/>
  <c r="N22" i="5"/>
  <c r="N21" i="5"/>
  <c r="N20" i="5"/>
  <c r="N19" i="5"/>
  <c r="M139" i="5"/>
  <c r="C139" i="5"/>
  <c r="C141" i="5"/>
  <c r="M137" i="5"/>
  <c r="E137" i="5"/>
  <c r="S136" i="5"/>
  <c r="U136" i="5"/>
  <c r="M136" i="5"/>
  <c r="E136" i="5"/>
  <c r="M135" i="5"/>
  <c r="E135" i="5"/>
  <c r="M134" i="5"/>
  <c r="E134" i="5"/>
  <c r="M133" i="5"/>
  <c r="M132" i="5"/>
  <c r="S132" i="5"/>
  <c r="T132" i="5"/>
  <c r="M131" i="5"/>
  <c r="S131" i="5"/>
  <c r="U131" i="5"/>
  <c r="M130" i="5"/>
  <c r="E130" i="5"/>
  <c r="M129" i="5"/>
  <c r="S128" i="5"/>
  <c r="U128" i="5"/>
  <c r="M128" i="5"/>
  <c r="M127" i="5"/>
  <c r="M126" i="5"/>
  <c r="M125" i="5"/>
  <c r="M124" i="5"/>
  <c r="R124" i="5"/>
  <c r="Q124" i="5"/>
  <c r="O124" i="5"/>
  <c r="E124" i="5"/>
  <c r="C124" i="5"/>
  <c r="M123" i="5"/>
  <c r="M122" i="5"/>
  <c r="M121" i="5"/>
  <c r="M120" i="5"/>
  <c r="M119" i="5"/>
  <c r="M118" i="5"/>
  <c r="M117" i="5"/>
  <c r="M116" i="5"/>
  <c r="M115" i="5"/>
  <c r="M114" i="5"/>
  <c r="M113" i="5"/>
  <c r="M112" i="5"/>
  <c r="M111" i="5"/>
  <c r="M110" i="5"/>
  <c r="E109" i="5"/>
  <c r="M108" i="5"/>
  <c r="E108" i="5"/>
  <c r="M107" i="5"/>
  <c r="E107" i="5"/>
  <c r="M106" i="5"/>
  <c r="S106" i="5"/>
  <c r="U106" i="5"/>
  <c r="E106" i="5"/>
  <c r="M105" i="5"/>
  <c r="M104" i="5"/>
  <c r="E104" i="5"/>
  <c r="M103" i="5"/>
  <c r="E103" i="5"/>
  <c r="M102" i="5"/>
  <c r="E102" i="5"/>
  <c r="M101" i="5"/>
  <c r="E101" i="5"/>
  <c r="M100" i="5"/>
  <c r="E100" i="5"/>
  <c r="S99" i="5"/>
  <c r="U99" i="5"/>
  <c r="M99" i="5"/>
  <c r="E99" i="5"/>
  <c r="S98" i="5"/>
  <c r="U98" i="5"/>
  <c r="M98" i="5"/>
  <c r="E98" i="5"/>
  <c r="M97" i="5"/>
  <c r="E97" i="5"/>
  <c r="M96" i="5"/>
  <c r="E96" i="5"/>
  <c r="S95" i="5"/>
  <c r="T95" i="5"/>
  <c r="M95" i="5"/>
  <c r="E95" i="5"/>
  <c r="M94" i="5"/>
  <c r="H94" i="5"/>
  <c r="H91" i="5"/>
  <c r="F94" i="5"/>
  <c r="F91" i="5"/>
  <c r="M93" i="5"/>
  <c r="M91" i="5"/>
  <c r="E93" i="5"/>
  <c r="C93" i="5"/>
  <c r="R91" i="5"/>
  <c r="Q91" i="5"/>
  <c r="O91" i="5"/>
  <c r="G91" i="5"/>
  <c r="E91" i="5"/>
  <c r="C91" i="5"/>
  <c r="M89" i="5"/>
  <c r="H89" i="5"/>
  <c r="G89" i="5"/>
  <c r="F89" i="5"/>
  <c r="M88" i="5"/>
  <c r="H88" i="5"/>
  <c r="G88" i="5"/>
  <c r="G86" i="5"/>
  <c r="F88" i="5"/>
  <c r="F86" i="5"/>
  <c r="F84" i="5"/>
  <c r="M87" i="5"/>
  <c r="H87" i="5"/>
  <c r="G87" i="5"/>
  <c r="F87" i="5"/>
  <c r="R86" i="5"/>
  <c r="R84" i="5"/>
  <c r="Q86" i="5"/>
  <c r="Q84" i="5"/>
  <c r="O86" i="5"/>
  <c r="N86" i="5"/>
  <c r="N84" i="5"/>
  <c r="M86" i="5"/>
  <c r="H86" i="5"/>
  <c r="E86" i="5"/>
  <c r="E84" i="5"/>
  <c r="M85" i="5"/>
  <c r="O84" i="5"/>
  <c r="G84" i="5"/>
  <c r="G90" i="5"/>
  <c r="M83" i="5"/>
  <c r="M82" i="5"/>
  <c r="H82" i="5"/>
  <c r="R81" i="5"/>
  <c r="S81" i="5"/>
  <c r="Q81" i="5"/>
  <c r="O81" i="5"/>
  <c r="M81" i="5"/>
  <c r="H81" i="5"/>
  <c r="G81" i="5"/>
  <c r="F81" i="5"/>
  <c r="E81" i="5"/>
  <c r="M80" i="5"/>
  <c r="H80" i="5"/>
  <c r="G80" i="5"/>
  <c r="G78" i="5"/>
  <c r="F80" i="5"/>
  <c r="M79" i="5"/>
  <c r="H79" i="5"/>
  <c r="G79" i="5"/>
  <c r="F79" i="5"/>
  <c r="F78" i="5"/>
  <c r="R78" i="5"/>
  <c r="Q78" i="5"/>
  <c r="O78" i="5"/>
  <c r="H78" i="5"/>
  <c r="E78" i="5"/>
  <c r="S77" i="5"/>
  <c r="M75" i="5"/>
  <c r="G75" i="5"/>
  <c r="M74" i="5"/>
  <c r="M73" i="5"/>
  <c r="M72" i="5"/>
  <c r="F72" i="5"/>
  <c r="F71" i="5"/>
  <c r="R71" i="5"/>
  <c r="S71" i="5"/>
  <c r="Q71" i="5"/>
  <c r="O71" i="5"/>
  <c r="M71" i="5"/>
  <c r="H71" i="5"/>
  <c r="G71" i="5"/>
  <c r="E71" i="5"/>
  <c r="M70" i="5"/>
  <c r="H70" i="5"/>
  <c r="H68" i="5"/>
  <c r="G70" i="5"/>
  <c r="F70" i="5"/>
  <c r="F68" i="5"/>
  <c r="M69" i="5"/>
  <c r="H69" i="5"/>
  <c r="G69" i="5"/>
  <c r="F69" i="5"/>
  <c r="R68" i="5"/>
  <c r="R65" i="5"/>
  <c r="Q68" i="5"/>
  <c r="Q65" i="5"/>
  <c r="O68" i="5"/>
  <c r="O65" i="5"/>
  <c r="M68" i="5"/>
  <c r="G68" i="5"/>
  <c r="M67" i="5"/>
  <c r="H67" i="5"/>
  <c r="G67" i="5"/>
  <c r="F67" i="5"/>
  <c r="M66" i="5"/>
  <c r="M65" i="5"/>
  <c r="H66" i="5"/>
  <c r="G66" i="5"/>
  <c r="F66" i="5"/>
  <c r="G65" i="5"/>
  <c r="F65" i="5"/>
  <c r="E65" i="5"/>
  <c r="M64" i="5"/>
  <c r="H64" i="5"/>
  <c r="G64" i="5"/>
  <c r="F64" i="5"/>
  <c r="M63" i="5"/>
  <c r="F63" i="5"/>
  <c r="M62" i="5"/>
  <c r="F62" i="5"/>
  <c r="M61" i="5"/>
  <c r="E61" i="5"/>
  <c r="R60" i="5"/>
  <c r="S60" i="5"/>
  <c r="Q60" i="5"/>
  <c r="O60" i="5"/>
  <c r="O53" i="5"/>
  <c r="M60" i="5"/>
  <c r="H60" i="5"/>
  <c r="G60" i="5"/>
  <c r="F60" i="5"/>
  <c r="E60" i="5"/>
  <c r="M59" i="5"/>
  <c r="H59" i="5"/>
  <c r="H57" i="5"/>
  <c r="G59" i="5"/>
  <c r="F59" i="5"/>
  <c r="F57" i="5"/>
  <c r="M58" i="5"/>
  <c r="H58" i="5"/>
  <c r="G58" i="5"/>
  <c r="F58" i="5"/>
  <c r="R57" i="5"/>
  <c r="S57" i="5"/>
  <c r="Q57" i="5"/>
  <c r="O57" i="5"/>
  <c r="M57" i="5"/>
  <c r="G57" i="5"/>
  <c r="E57" i="5"/>
  <c r="M56" i="5"/>
  <c r="E56" i="5"/>
  <c r="M55" i="5"/>
  <c r="M54" i="5"/>
  <c r="E55" i="5"/>
  <c r="E54" i="5"/>
  <c r="E53" i="5"/>
  <c r="R54" i="5"/>
  <c r="R53" i="5"/>
  <c r="Q54" i="5"/>
  <c r="Q53" i="5"/>
  <c r="O54" i="5"/>
  <c r="H54" i="5"/>
  <c r="G54" i="5"/>
  <c r="G53" i="5"/>
  <c r="F54" i="5"/>
  <c r="F53" i="5"/>
  <c r="M52" i="5"/>
  <c r="H52" i="5"/>
  <c r="M51" i="5"/>
  <c r="H51" i="5"/>
  <c r="G51" i="5"/>
  <c r="F51" i="5"/>
  <c r="F49" i="5"/>
  <c r="M50" i="5"/>
  <c r="H50" i="5"/>
  <c r="G50" i="5"/>
  <c r="F50" i="5"/>
  <c r="R49" i="5"/>
  <c r="S49" i="5"/>
  <c r="Q49" i="5"/>
  <c r="O49" i="5"/>
  <c r="H49" i="5"/>
  <c r="G49" i="5"/>
  <c r="E49" i="5"/>
  <c r="M48" i="5"/>
  <c r="H48" i="5"/>
  <c r="H46" i="5"/>
  <c r="H39" i="5"/>
  <c r="G48" i="5"/>
  <c r="G46" i="5"/>
  <c r="F48" i="5"/>
  <c r="M47" i="5"/>
  <c r="E47" i="5"/>
  <c r="E46" i="5"/>
  <c r="R46" i="5"/>
  <c r="S46" i="5"/>
  <c r="U46" i="5"/>
  <c r="Q46" i="5"/>
  <c r="O46" i="5"/>
  <c r="F46" i="5"/>
  <c r="M45" i="5"/>
  <c r="H45" i="5"/>
  <c r="G45" i="5"/>
  <c r="F45" i="5"/>
  <c r="F43" i="5"/>
  <c r="M44" i="5"/>
  <c r="H44" i="5"/>
  <c r="G44" i="5"/>
  <c r="F44" i="5"/>
  <c r="R43" i="5"/>
  <c r="S43" i="5"/>
  <c r="T43" i="5"/>
  <c r="Q43" i="5"/>
  <c r="O43" i="5"/>
  <c r="H43" i="5"/>
  <c r="G43" i="5"/>
  <c r="E43" i="5"/>
  <c r="M42" i="5"/>
  <c r="G42" i="5"/>
  <c r="M41" i="5"/>
  <c r="M40" i="5"/>
  <c r="E41" i="5"/>
  <c r="E40" i="5"/>
  <c r="R40" i="5"/>
  <c r="S40" i="5"/>
  <c r="T40" i="5"/>
  <c r="Q40" i="5"/>
  <c r="O40" i="5"/>
  <c r="H40" i="5"/>
  <c r="G40" i="5"/>
  <c r="G39" i="5"/>
  <c r="F40" i="5"/>
  <c r="M36" i="5"/>
  <c r="H36" i="5"/>
  <c r="G36" i="5"/>
  <c r="F36" i="5"/>
  <c r="F34" i="5"/>
  <c r="F33" i="5"/>
  <c r="M35" i="5"/>
  <c r="M34" i="5"/>
  <c r="E35" i="5"/>
  <c r="E34" i="5"/>
  <c r="E33" i="5"/>
  <c r="R34" i="5"/>
  <c r="R33" i="5"/>
  <c r="S33" i="5"/>
  <c r="Q34" i="5"/>
  <c r="O34" i="5"/>
  <c r="O33" i="5"/>
  <c r="H34" i="5"/>
  <c r="G34" i="5"/>
  <c r="G33" i="5"/>
  <c r="Q33" i="5"/>
  <c r="H33" i="5"/>
  <c r="M32" i="5"/>
  <c r="E32" i="5"/>
  <c r="M31" i="5"/>
  <c r="F31" i="5"/>
  <c r="M30" i="5"/>
  <c r="H30" i="5"/>
  <c r="G30" i="5"/>
  <c r="F30" i="5"/>
  <c r="M29" i="5"/>
  <c r="H29" i="5"/>
  <c r="G29" i="5"/>
  <c r="F29" i="5"/>
  <c r="M28" i="5"/>
  <c r="E28" i="5"/>
  <c r="M27" i="5"/>
  <c r="H27" i="5"/>
  <c r="G27" i="5"/>
  <c r="F27" i="5"/>
  <c r="R26" i="5"/>
  <c r="S26" i="5"/>
  <c r="U26" i="5"/>
  <c r="Q26" i="5"/>
  <c r="O26" i="5"/>
  <c r="H26" i="5"/>
  <c r="G26" i="5"/>
  <c r="F26" i="5"/>
  <c r="E26" i="5"/>
  <c r="M25" i="5"/>
  <c r="E25" i="5"/>
  <c r="M24" i="5"/>
  <c r="H24" i="5"/>
  <c r="G24" i="5"/>
  <c r="F24" i="5"/>
  <c r="R23" i="5"/>
  <c r="S23" i="5"/>
  <c r="T23" i="5"/>
  <c r="Q23" i="5"/>
  <c r="O23" i="5"/>
  <c r="H23" i="5"/>
  <c r="G23" i="5"/>
  <c r="F23" i="5"/>
  <c r="E23" i="5"/>
  <c r="M22" i="5"/>
  <c r="H22" i="5"/>
  <c r="G22" i="5"/>
  <c r="F22" i="5"/>
  <c r="F20" i="5"/>
  <c r="M21" i="5"/>
  <c r="E21" i="5"/>
  <c r="E20" i="5"/>
  <c r="R20" i="5"/>
  <c r="Q20" i="5"/>
  <c r="O20" i="5"/>
  <c r="H20" i="5"/>
  <c r="G20" i="5"/>
  <c r="M19" i="5"/>
  <c r="H19" i="5"/>
  <c r="G19" i="5"/>
  <c r="F19" i="5"/>
  <c r="H18" i="5"/>
  <c r="H37" i="5"/>
  <c r="G18" i="5"/>
  <c r="G37" i="5"/>
  <c r="J68" i="4"/>
  <c r="H68" i="4"/>
  <c r="G68" i="4"/>
  <c r="J25" i="4"/>
  <c r="J26" i="4"/>
  <c r="J27" i="4"/>
  <c r="J28" i="4"/>
  <c r="J24" i="4"/>
  <c r="H29" i="4"/>
  <c r="G29" i="4"/>
  <c r="G388" i="4"/>
  <c r="G18" i="4"/>
  <c r="H18" i="4"/>
  <c r="J17" i="4"/>
  <c r="J18" i="4"/>
  <c r="E12" i="3"/>
  <c r="E11" i="3"/>
  <c r="F19" i="1"/>
  <c r="G19" i="1"/>
  <c r="H19" i="1"/>
  <c r="E21" i="1"/>
  <c r="E20" i="1"/>
  <c r="F22" i="1"/>
  <c r="F20" i="1"/>
  <c r="G22" i="1"/>
  <c r="G20" i="1"/>
  <c r="H22" i="1"/>
  <c r="H20" i="1"/>
  <c r="E23" i="1"/>
  <c r="F24" i="1"/>
  <c r="F23" i="1"/>
  <c r="G24" i="1"/>
  <c r="G23" i="1"/>
  <c r="H24" i="1"/>
  <c r="H23" i="1"/>
  <c r="E25" i="1"/>
  <c r="E26" i="1"/>
  <c r="F27" i="1"/>
  <c r="F26" i="1"/>
  <c r="G27" i="1"/>
  <c r="G26" i="1"/>
  <c r="H27" i="1"/>
  <c r="H26" i="1"/>
  <c r="E28" i="1"/>
  <c r="F29" i="1"/>
  <c r="G29" i="1"/>
  <c r="H29" i="1"/>
  <c r="F30" i="1"/>
  <c r="G30" i="1"/>
  <c r="H30" i="1"/>
  <c r="F31" i="1"/>
  <c r="E32" i="1"/>
  <c r="E35" i="1"/>
  <c r="E34" i="1"/>
  <c r="E33" i="1"/>
  <c r="F36" i="1"/>
  <c r="F34" i="1"/>
  <c r="F33" i="1"/>
  <c r="G36" i="1"/>
  <c r="G34" i="1"/>
  <c r="G33" i="1"/>
  <c r="H36" i="1"/>
  <c r="H34" i="1"/>
  <c r="H33" i="1"/>
  <c r="F40" i="1"/>
  <c r="H40" i="1"/>
  <c r="E41" i="1"/>
  <c r="E40" i="1"/>
  <c r="G42" i="1"/>
  <c r="G40" i="1"/>
  <c r="E43" i="1"/>
  <c r="F43" i="1"/>
  <c r="F44" i="1"/>
  <c r="G44" i="1"/>
  <c r="G43" i="1"/>
  <c r="H44" i="1"/>
  <c r="H43" i="1"/>
  <c r="F45" i="1"/>
  <c r="G45" i="1"/>
  <c r="H45" i="1"/>
  <c r="E47" i="1"/>
  <c r="E46" i="1"/>
  <c r="F48" i="1"/>
  <c r="F46" i="1"/>
  <c r="G48" i="1"/>
  <c r="G46" i="1"/>
  <c r="H48" i="1"/>
  <c r="H46" i="1"/>
  <c r="E49" i="1"/>
  <c r="H49" i="1"/>
  <c r="F50" i="1"/>
  <c r="F49" i="1"/>
  <c r="G50" i="1"/>
  <c r="G49" i="1"/>
  <c r="H50" i="1"/>
  <c r="F51" i="1"/>
  <c r="G51" i="1"/>
  <c r="H51" i="1"/>
  <c r="H52" i="1"/>
  <c r="F54" i="1"/>
  <c r="G54" i="1"/>
  <c r="H54" i="1"/>
  <c r="E55" i="1"/>
  <c r="E54" i="1"/>
  <c r="E56" i="1"/>
  <c r="E57" i="1"/>
  <c r="G57" i="1"/>
  <c r="F58" i="1"/>
  <c r="F57" i="1"/>
  <c r="G58" i="1"/>
  <c r="H58" i="1"/>
  <c r="H57" i="1"/>
  <c r="F59" i="1"/>
  <c r="G59" i="1"/>
  <c r="H59" i="1"/>
  <c r="G60" i="1"/>
  <c r="H60" i="1"/>
  <c r="E61" i="1"/>
  <c r="E60" i="1"/>
  <c r="F62" i="1"/>
  <c r="F60" i="1"/>
  <c r="F63" i="1"/>
  <c r="F64" i="1"/>
  <c r="G64" i="1"/>
  <c r="H64" i="1"/>
  <c r="E65" i="1"/>
  <c r="F66" i="1"/>
  <c r="G66" i="1"/>
  <c r="H66" i="1"/>
  <c r="F67" i="1"/>
  <c r="G67" i="1"/>
  <c r="H67" i="1"/>
  <c r="F68" i="1"/>
  <c r="F69" i="1"/>
  <c r="G69" i="1"/>
  <c r="G68" i="1"/>
  <c r="G65" i="1"/>
  <c r="H69" i="1"/>
  <c r="H68" i="1"/>
  <c r="F70" i="1"/>
  <c r="G70" i="1"/>
  <c r="H70" i="1"/>
  <c r="E71" i="1"/>
  <c r="G71" i="1"/>
  <c r="H71" i="1"/>
  <c r="F72" i="1"/>
  <c r="F71" i="1"/>
  <c r="G75" i="1"/>
  <c r="E78" i="1"/>
  <c r="H78" i="1"/>
  <c r="F79" i="1"/>
  <c r="F78" i="1"/>
  <c r="G79" i="1"/>
  <c r="G78" i="1"/>
  <c r="H79" i="1"/>
  <c r="F80" i="1"/>
  <c r="G80" i="1"/>
  <c r="H80" i="1"/>
  <c r="E81" i="1"/>
  <c r="F81" i="1"/>
  <c r="G81" i="1"/>
  <c r="H82" i="1"/>
  <c r="H81" i="1"/>
  <c r="E86" i="1"/>
  <c r="E84" i="1"/>
  <c r="E90" i="1"/>
  <c r="F86" i="1"/>
  <c r="F84" i="1"/>
  <c r="F87" i="1"/>
  <c r="G87" i="1"/>
  <c r="G86" i="1"/>
  <c r="G84" i="1"/>
  <c r="H87" i="1"/>
  <c r="H86" i="1"/>
  <c r="H84" i="1"/>
  <c r="F88" i="1"/>
  <c r="G88" i="1"/>
  <c r="H88" i="1"/>
  <c r="F89" i="1"/>
  <c r="G89" i="1"/>
  <c r="H89" i="1"/>
  <c r="G91" i="1"/>
  <c r="E93" i="1"/>
  <c r="F94" i="1"/>
  <c r="F91" i="1"/>
  <c r="H94" i="1"/>
  <c r="H91" i="1"/>
  <c r="E95" i="1"/>
  <c r="E96" i="1"/>
  <c r="E97" i="1"/>
  <c r="E98" i="1"/>
  <c r="E99" i="1"/>
  <c r="E100" i="1"/>
  <c r="E101" i="1"/>
  <c r="E102" i="1"/>
  <c r="E103" i="1"/>
  <c r="E104" i="1"/>
  <c r="E106" i="1"/>
  <c r="E107" i="1"/>
  <c r="E108" i="1"/>
  <c r="E109" i="1"/>
  <c r="E130" i="1"/>
  <c r="E134" i="1"/>
  <c r="E124" i="1"/>
  <c r="E135" i="1"/>
  <c r="E136" i="1"/>
  <c r="E137" i="1"/>
  <c r="C139" i="1"/>
  <c r="C141" i="1"/>
  <c r="S77" i="1"/>
  <c r="M139" i="1"/>
  <c r="S139" i="1"/>
  <c r="M137" i="1"/>
  <c r="S137" i="1"/>
  <c r="M136" i="1"/>
  <c r="S136" i="1"/>
  <c r="M135" i="1"/>
  <c r="S135" i="1"/>
  <c r="U135" i="1"/>
  <c r="M134" i="1"/>
  <c r="S134" i="1"/>
  <c r="M133" i="1"/>
  <c r="S133" i="1"/>
  <c r="T133" i="1"/>
  <c r="M132" i="1"/>
  <c r="S132" i="1"/>
  <c r="M131" i="1"/>
  <c r="S131" i="1"/>
  <c r="U131" i="1"/>
  <c r="M130" i="1"/>
  <c r="S130" i="1"/>
  <c r="M129" i="1"/>
  <c r="S129" i="1"/>
  <c r="M128" i="1"/>
  <c r="S128" i="1"/>
  <c r="M127" i="1"/>
  <c r="S127" i="1"/>
  <c r="U127" i="1"/>
  <c r="M126" i="1"/>
  <c r="S126" i="1"/>
  <c r="M125" i="1"/>
  <c r="S125" i="1"/>
  <c r="T125" i="1"/>
  <c r="M123" i="1"/>
  <c r="S123" i="1"/>
  <c r="M122" i="1"/>
  <c r="S122" i="1"/>
  <c r="M121" i="1"/>
  <c r="S121" i="1"/>
  <c r="M120" i="1"/>
  <c r="S120" i="1"/>
  <c r="U120" i="1"/>
  <c r="M119" i="1"/>
  <c r="S119" i="1"/>
  <c r="U119" i="1"/>
  <c r="M118" i="1"/>
  <c r="S118" i="1"/>
  <c r="M117" i="1"/>
  <c r="S117" i="1"/>
  <c r="M116" i="1"/>
  <c r="S116" i="1"/>
  <c r="U116" i="1"/>
  <c r="M115" i="1"/>
  <c r="S115" i="1"/>
  <c r="U115" i="1"/>
  <c r="M114" i="1"/>
  <c r="S114" i="1"/>
  <c r="M113" i="1"/>
  <c r="S113" i="1"/>
  <c r="T113" i="1"/>
  <c r="M112" i="1"/>
  <c r="S112" i="1"/>
  <c r="M111" i="1"/>
  <c r="S111" i="1"/>
  <c r="U111" i="1"/>
  <c r="M110" i="1"/>
  <c r="S110" i="1"/>
  <c r="M108" i="1"/>
  <c r="S108" i="1"/>
  <c r="M107" i="1"/>
  <c r="S107" i="1"/>
  <c r="U107" i="1"/>
  <c r="M106" i="1"/>
  <c r="S106" i="1"/>
  <c r="M105" i="1"/>
  <c r="S105" i="1"/>
  <c r="T105" i="1"/>
  <c r="M104" i="1"/>
  <c r="S104" i="1"/>
  <c r="M103" i="1"/>
  <c r="S103" i="1"/>
  <c r="M102" i="1"/>
  <c r="S102" i="1"/>
  <c r="M101" i="1"/>
  <c r="S101" i="1"/>
  <c r="M100" i="1"/>
  <c r="S100" i="1"/>
  <c r="M99" i="1"/>
  <c r="S99" i="1"/>
  <c r="U99" i="1"/>
  <c r="M98" i="1"/>
  <c r="S98" i="1"/>
  <c r="U98" i="1"/>
  <c r="M97" i="1"/>
  <c r="S97" i="1"/>
  <c r="M96" i="1"/>
  <c r="M95" i="1"/>
  <c r="S95" i="1"/>
  <c r="U95" i="1"/>
  <c r="M94" i="1"/>
  <c r="S94" i="1"/>
  <c r="M93" i="1"/>
  <c r="S93" i="1"/>
  <c r="M89" i="1"/>
  <c r="S89" i="1"/>
  <c r="M88" i="1"/>
  <c r="M87" i="1"/>
  <c r="S87" i="1"/>
  <c r="M85" i="1"/>
  <c r="M83" i="1"/>
  <c r="S83" i="1"/>
  <c r="M82" i="1"/>
  <c r="S82" i="1"/>
  <c r="M80" i="1"/>
  <c r="S80" i="1"/>
  <c r="T80" i="1"/>
  <c r="M79" i="1"/>
  <c r="S79" i="1"/>
  <c r="M75" i="1"/>
  <c r="S75" i="1"/>
  <c r="T75" i="1"/>
  <c r="M74" i="1"/>
  <c r="S74" i="1"/>
  <c r="M73" i="1"/>
  <c r="S73" i="1"/>
  <c r="M72" i="1"/>
  <c r="S72" i="1"/>
  <c r="M70" i="1"/>
  <c r="S70" i="1"/>
  <c r="U70" i="1"/>
  <c r="M69" i="1"/>
  <c r="S69" i="1"/>
  <c r="M67" i="1"/>
  <c r="S67" i="1"/>
  <c r="M66" i="1"/>
  <c r="S66" i="1"/>
  <c r="M64" i="1"/>
  <c r="S64" i="1"/>
  <c r="M63" i="1"/>
  <c r="S63" i="1"/>
  <c r="U63" i="1"/>
  <c r="M62" i="1"/>
  <c r="S62" i="1"/>
  <c r="M61" i="1"/>
  <c r="S61" i="1"/>
  <c r="U61" i="1"/>
  <c r="M59" i="1"/>
  <c r="S59" i="1"/>
  <c r="M58" i="1"/>
  <c r="S58" i="1"/>
  <c r="M56" i="1"/>
  <c r="S56" i="1"/>
  <c r="M55" i="1"/>
  <c r="S55" i="1"/>
  <c r="U55" i="1"/>
  <c r="M52" i="1"/>
  <c r="S52" i="1"/>
  <c r="M51" i="1"/>
  <c r="S51" i="1"/>
  <c r="M50" i="1"/>
  <c r="S50" i="1"/>
  <c r="U50" i="1"/>
  <c r="M48" i="1"/>
  <c r="S48" i="1"/>
  <c r="M47" i="1"/>
  <c r="S47" i="1"/>
  <c r="T47" i="1"/>
  <c r="M45" i="1"/>
  <c r="S45" i="1"/>
  <c r="M44" i="1"/>
  <c r="M43" i="1"/>
  <c r="S43" i="1"/>
  <c r="U43" i="1"/>
  <c r="S44" i="1"/>
  <c r="U44" i="1"/>
  <c r="M42" i="1"/>
  <c r="S42" i="1"/>
  <c r="M41" i="1"/>
  <c r="S41" i="1"/>
  <c r="M36" i="1"/>
  <c r="S36" i="1"/>
  <c r="M35" i="1"/>
  <c r="M34" i="1"/>
  <c r="M33" i="1"/>
  <c r="S35" i="1"/>
  <c r="M32" i="1"/>
  <c r="S32" i="1"/>
  <c r="M31" i="1"/>
  <c r="S31" i="1"/>
  <c r="M30" i="1"/>
  <c r="S30" i="1"/>
  <c r="M29" i="1"/>
  <c r="S29" i="1"/>
  <c r="U29" i="1"/>
  <c r="M28" i="1"/>
  <c r="S28" i="1"/>
  <c r="M27" i="1"/>
  <c r="S27" i="1"/>
  <c r="M25" i="1"/>
  <c r="S25" i="1"/>
  <c r="M24" i="1"/>
  <c r="S24" i="1"/>
  <c r="U24" i="1"/>
  <c r="M22" i="1"/>
  <c r="S22" i="1"/>
  <c r="M21" i="1"/>
  <c r="M20" i="1"/>
  <c r="S21" i="1"/>
  <c r="U21" i="1"/>
  <c r="M19" i="1"/>
  <c r="S19" i="1"/>
  <c r="J422" i="4"/>
  <c r="H422" i="4"/>
  <c r="G422" i="4"/>
  <c r="J418" i="4"/>
  <c r="H418" i="4"/>
  <c r="G418" i="4"/>
  <c r="J415" i="4"/>
  <c r="H415" i="4"/>
  <c r="G415" i="4"/>
  <c r="J409" i="4"/>
  <c r="H409" i="4"/>
  <c r="G409" i="4"/>
  <c r="J396" i="4"/>
  <c r="H396" i="4"/>
  <c r="G396" i="4"/>
  <c r="J390" i="4"/>
  <c r="H390" i="4"/>
  <c r="G390" i="4"/>
  <c r="J388" i="4"/>
  <c r="H388" i="4"/>
  <c r="J345" i="4"/>
  <c r="H345" i="4"/>
  <c r="G345" i="4"/>
  <c r="J339" i="4"/>
  <c r="H339" i="4"/>
  <c r="G339" i="4"/>
  <c r="J329" i="4"/>
  <c r="H329" i="4"/>
  <c r="G329" i="4"/>
  <c r="J325" i="4"/>
  <c r="H325" i="4"/>
  <c r="G325" i="4"/>
  <c r="J315" i="4"/>
  <c r="H315" i="4"/>
  <c r="G315" i="4"/>
  <c r="J313" i="4"/>
  <c r="H313" i="4"/>
  <c r="G313" i="4"/>
  <c r="J308" i="4"/>
  <c r="H308" i="4"/>
  <c r="G308" i="4"/>
  <c r="J306" i="4"/>
  <c r="H306" i="4"/>
  <c r="G306" i="4"/>
  <c r="J304" i="4"/>
  <c r="H304" i="4"/>
  <c r="G304" i="4"/>
  <c r="J285" i="4"/>
  <c r="H285" i="4"/>
  <c r="G285" i="4"/>
  <c r="J282" i="4"/>
  <c r="H282" i="4"/>
  <c r="G282" i="4"/>
  <c r="J279" i="4"/>
  <c r="H279" i="4"/>
  <c r="G279" i="4"/>
  <c r="J273" i="4"/>
  <c r="H273" i="4"/>
  <c r="G273" i="4"/>
  <c r="J254" i="4"/>
  <c r="H254" i="4"/>
  <c r="G254" i="4"/>
  <c r="J155" i="4"/>
  <c r="H155" i="4"/>
  <c r="G155" i="4"/>
  <c r="J118" i="4"/>
  <c r="H118" i="4"/>
  <c r="G118" i="4"/>
  <c r="J104" i="4"/>
  <c r="H104" i="4"/>
  <c r="G104" i="4"/>
  <c r="J91" i="4"/>
  <c r="H91" i="4"/>
  <c r="G91" i="4"/>
  <c r="J81" i="4"/>
  <c r="H81" i="4"/>
  <c r="G81" i="4"/>
  <c r="J52" i="4"/>
  <c r="J424" i="4"/>
  <c r="H52" i="4"/>
  <c r="G52" i="4"/>
  <c r="J39" i="4"/>
  <c r="H39" i="4"/>
  <c r="G39" i="4"/>
  <c r="J15" i="4"/>
  <c r="H15" i="4"/>
  <c r="G15" i="4"/>
  <c r="G424" i="4"/>
  <c r="A10" i="4"/>
  <c r="J29" i="4"/>
  <c r="E9" i="3"/>
  <c r="T55" i="1"/>
  <c r="F65" i="1"/>
  <c r="T63" i="1"/>
  <c r="F90" i="1"/>
  <c r="F123" i="1"/>
  <c r="F109" i="1"/>
  <c r="G53" i="1"/>
  <c r="E39" i="1"/>
  <c r="E18" i="1"/>
  <c r="E37" i="1"/>
  <c r="C37" i="1"/>
  <c r="E6" i="3"/>
  <c r="E91" i="1"/>
  <c r="C91" i="1"/>
  <c r="H90" i="1"/>
  <c r="H39" i="1"/>
  <c r="H76" i="1"/>
  <c r="H123" i="1"/>
  <c r="H109" i="1"/>
  <c r="H138" i="1"/>
  <c r="E3" i="3"/>
  <c r="G90" i="1"/>
  <c r="E4" i="3"/>
  <c r="H65" i="1"/>
  <c r="F53" i="1"/>
  <c r="F76" i="1"/>
  <c r="H18" i="1"/>
  <c r="H37" i="1"/>
  <c r="E53" i="1"/>
  <c r="F39" i="1"/>
  <c r="G18" i="1"/>
  <c r="G37" i="1"/>
  <c r="H53" i="1"/>
  <c r="G39" i="1"/>
  <c r="G76" i="1"/>
  <c r="G123" i="1"/>
  <c r="G109" i="1"/>
  <c r="G138" i="1"/>
  <c r="F18" i="1"/>
  <c r="F37" i="1"/>
  <c r="C124" i="1"/>
  <c r="C93" i="1"/>
  <c r="T21" i="1"/>
  <c r="U52" i="1"/>
  <c r="T52" i="1"/>
  <c r="U83" i="1"/>
  <c r="T83" i="1"/>
  <c r="T121" i="1"/>
  <c r="U121" i="1"/>
  <c r="U130" i="1"/>
  <c r="T130" i="1"/>
  <c r="T24" i="1"/>
  <c r="U56" i="1"/>
  <c r="T56" i="1"/>
  <c r="U80" i="1"/>
  <c r="U94" i="1"/>
  <c r="T94" i="1"/>
  <c r="T98" i="1"/>
  <c r="U102" i="1"/>
  <c r="T102" i="1"/>
  <c r="U106" i="1"/>
  <c r="T106" i="1"/>
  <c r="U25" i="1"/>
  <c r="T25" i="1"/>
  <c r="U19" i="1"/>
  <c r="T19" i="1"/>
  <c r="T30" i="1"/>
  <c r="U30" i="1"/>
  <c r="U36" i="1"/>
  <c r="T36" i="1"/>
  <c r="U45" i="1"/>
  <c r="T45" i="1"/>
  <c r="U69" i="1"/>
  <c r="T69" i="1"/>
  <c r="T129" i="1"/>
  <c r="U129" i="1"/>
  <c r="T137" i="1"/>
  <c r="U137" i="1"/>
  <c r="T29" i="1"/>
  <c r="U47" i="1"/>
  <c r="T59" i="1"/>
  <c r="U59" i="1"/>
  <c r="U75" i="1"/>
  <c r="U89" i="1"/>
  <c r="T89" i="1"/>
  <c r="U104" i="1"/>
  <c r="T104" i="1"/>
  <c r="T117" i="1"/>
  <c r="U117" i="1"/>
  <c r="U126" i="1"/>
  <c r="T126" i="1"/>
  <c r="U139" i="1"/>
  <c r="T139" i="1"/>
  <c r="T70" i="1"/>
  <c r="U113" i="1"/>
  <c r="U134" i="1"/>
  <c r="T134" i="1"/>
  <c r="T22" i="1"/>
  <c r="U22" i="1"/>
  <c r="U28" i="1"/>
  <c r="T28" i="1"/>
  <c r="U32" i="1"/>
  <c r="T32" i="1"/>
  <c r="U48" i="1"/>
  <c r="T48" i="1"/>
  <c r="T61" i="1"/>
  <c r="U72" i="1"/>
  <c r="T72" i="1"/>
  <c r="T97" i="1"/>
  <c r="U97" i="1"/>
  <c r="U105" i="1"/>
  <c r="U110" i="1"/>
  <c r="T110" i="1"/>
  <c r="U114" i="1"/>
  <c r="T114" i="1"/>
  <c r="U122" i="1"/>
  <c r="T122" i="1"/>
  <c r="U125" i="1"/>
  <c r="U133" i="1"/>
  <c r="U42" i="1"/>
  <c r="T42" i="1"/>
  <c r="U66" i="1"/>
  <c r="T66" i="1"/>
  <c r="U79" i="1"/>
  <c r="T79" i="1"/>
  <c r="T50" i="1"/>
  <c r="U62" i="1"/>
  <c r="T62" i="1"/>
  <c r="U87" i="1"/>
  <c r="T87" i="1"/>
  <c r="U128" i="1"/>
  <c r="T128" i="1"/>
  <c r="U132" i="1"/>
  <c r="T132" i="1"/>
  <c r="U136" i="1"/>
  <c r="T136" i="1"/>
  <c r="T95" i="1"/>
  <c r="T99" i="1"/>
  <c r="T107" i="1"/>
  <c r="T111" i="1"/>
  <c r="T115" i="1"/>
  <c r="T119" i="1"/>
  <c r="T127" i="1"/>
  <c r="T131" i="1"/>
  <c r="T135" i="1"/>
  <c r="T44" i="1"/>
  <c r="U74" i="1"/>
  <c r="T74" i="1"/>
  <c r="U112" i="1"/>
  <c r="T112" i="1"/>
  <c r="T116" i="1"/>
  <c r="N68" i="1"/>
  <c r="P86" i="1"/>
  <c r="R78" i="1"/>
  <c r="N23" i="1"/>
  <c r="N18" i="1"/>
  <c r="N37" i="1"/>
  <c r="N26" i="1"/>
  <c r="Q26" i="1"/>
  <c r="N34" i="1"/>
  <c r="N33" i="1"/>
  <c r="M40" i="1"/>
  <c r="N46" i="1"/>
  <c r="P43" i="1"/>
  <c r="M54" i="1"/>
  <c r="M57" i="1"/>
  <c r="N54" i="1"/>
  <c r="N57" i="1"/>
  <c r="N53" i="1"/>
  <c r="O54" i="1"/>
  <c r="O53" i="1"/>
  <c r="E76" i="1"/>
  <c r="Q60" i="1"/>
  <c r="O78" i="1"/>
  <c r="Q34" i="1"/>
  <c r="Q33" i="1"/>
  <c r="R49" i="1"/>
  <c r="R39" i="1"/>
  <c r="R57" i="1"/>
  <c r="O49" i="1"/>
  <c r="N78" i="1"/>
  <c r="S78" i="1"/>
  <c r="U78" i="1"/>
  <c r="R60" i="1"/>
  <c r="R53" i="1"/>
  <c r="P57" i="1"/>
  <c r="Q46" i="1"/>
  <c r="P20" i="1"/>
  <c r="O109" i="1"/>
  <c r="R81" i="1"/>
  <c r="N81" i="1"/>
  <c r="P81" i="1"/>
  <c r="P78" i="1"/>
  <c r="P90" i="1"/>
  <c r="R23" i="1"/>
  <c r="Q49" i="1"/>
  <c r="P40" i="1"/>
  <c r="P39" i="1"/>
  <c r="P76" i="1"/>
  <c r="N43" i="1"/>
  <c r="R26" i="1"/>
  <c r="O86" i="1"/>
  <c r="O84" i="1"/>
  <c r="P71" i="1"/>
  <c r="O57" i="1"/>
  <c r="N60" i="1"/>
  <c r="O23" i="1"/>
  <c r="Q57" i="1"/>
  <c r="P60" i="1"/>
  <c r="P53" i="1"/>
  <c r="R46" i="1"/>
  <c r="O20" i="1"/>
  <c r="M26" i="1"/>
  <c r="S26" i="1"/>
  <c r="R68" i="1"/>
  <c r="R65" i="1"/>
  <c r="R76" i="1"/>
  <c r="R54" i="1"/>
  <c r="R40" i="1"/>
  <c r="Q43" i="1"/>
  <c r="N49" i="1"/>
  <c r="N39" i="1"/>
  <c r="N40" i="1"/>
  <c r="O26" i="1"/>
  <c r="R109" i="1"/>
  <c r="R86" i="1"/>
  <c r="R84" i="1"/>
  <c r="R90" i="1"/>
  <c r="N86" i="1"/>
  <c r="N84" i="1"/>
  <c r="O68" i="1"/>
  <c r="O65" i="1"/>
  <c r="P54" i="1"/>
  <c r="O60" i="1"/>
  <c r="R20" i="1"/>
  <c r="R18" i="1"/>
  <c r="R37" i="1"/>
  <c r="Q20" i="1"/>
  <c r="R124" i="1"/>
  <c r="Q54" i="1"/>
  <c r="Q53" i="1"/>
  <c r="Q76" i="1"/>
  <c r="P46" i="1"/>
  <c r="S46" i="1"/>
  <c r="O46" i="1"/>
  <c r="O40" i="1"/>
  <c r="P23" i="1"/>
  <c r="Q124" i="1"/>
  <c r="Q86" i="1"/>
  <c r="Q84" i="1"/>
  <c r="Q90" i="1"/>
  <c r="N71" i="1"/>
  <c r="O71" i="1"/>
  <c r="R43" i="1"/>
  <c r="P49" i="1"/>
  <c r="P34" i="1"/>
  <c r="P33" i="1"/>
  <c r="P26" i="1"/>
  <c r="O124" i="1"/>
  <c r="M68" i="1"/>
  <c r="O43" i="1"/>
  <c r="O39" i="1"/>
  <c r="M49" i="1"/>
  <c r="N20" i="1"/>
  <c r="P91" i="1"/>
  <c r="O91" i="1"/>
  <c r="P84" i="1"/>
  <c r="Q71" i="1"/>
  <c r="M71" i="1"/>
  <c r="M60" i="1"/>
  <c r="Q40" i="1"/>
  <c r="M46" i="1"/>
  <c r="R34" i="1"/>
  <c r="R33" i="1"/>
  <c r="O34" i="1"/>
  <c r="O33" i="1"/>
  <c r="Q23" i="1"/>
  <c r="Q18" i="1"/>
  <c r="Q37" i="1"/>
  <c r="P109" i="1"/>
  <c r="N109" i="1"/>
  <c r="Q91" i="1"/>
  <c r="Q109" i="1"/>
  <c r="R91" i="1"/>
  <c r="Q81" i="1"/>
  <c r="R71" i="1"/>
  <c r="P68" i="1"/>
  <c r="P65" i="1"/>
  <c r="P124" i="1"/>
  <c r="N124" i="1"/>
  <c r="M124" i="1"/>
  <c r="N91" i="1"/>
  <c r="Q78" i="1"/>
  <c r="M78" i="1"/>
  <c r="O81" i="1"/>
  <c r="Q68" i="1"/>
  <c r="Q65" i="1"/>
  <c r="E138" i="1"/>
  <c r="T43" i="1"/>
  <c r="S34" i="1"/>
  <c r="U34" i="1"/>
  <c r="O18" i="1"/>
  <c r="O37" i="1"/>
  <c r="P18" i="1"/>
  <c r="Q39" i="1"/>
  <c r="M65" i="1"/>
  <c r="T78" i="1"/>
  <c r="S137" i="5"/>
  <c r="U137" i="5"/>
  <c r="N78" i="5"/>
  <c r="N71" i="5"/>
  <c r="N54" i="5"/>
  <c r="M33" i="5"/>
  <c r="F39" i="5"/>
  <c r="E39" i="5"/>
  <c r="H53" i="5"/>
  <c r="M26" i="5"/>
  <c r="F76" i="5"/>
  <c r="E18" i="5"/>
  <c r="E37" i="5"/>
  <c r="M53" i="5"/>
  <c r="M20" i="5"/>
  <c r="F18" i="5"/>
  <c r="F37" i="5"/>
  <c r="Q18" i="5"/>
  <c r="Q37" i="5"/>
  <c r="M23" i="5"/>
  <c r="E76" i="5"/>
  <c r="F90" i="5"/>
  <c r="F123" i="5"/>
  <c r="F109" i="5"/>
  <c r="F138" i="5"/>
  <c r="M46" i="5"/>
  <c r="H65" i="5"/>
  <c r="H76" i="5"/>
  <c r="E90" i="5"/>
  <c r="M43" i="5"/>
  <c r="M49" i="5"/>
  <c r="G76" i="5"/>
  <c r="G123" i="5"/>
  <c r="G109" i="5"/>
  <c r="G138" i="5"/>
  <c r="M78" i="5"/>
  <c r="M84" i="5"/>
  <c r="H84" i="5"/>
  <c r="H90" i="5"/>
  <c r="R138" i="1"/>
  <c r="R141" i="1"/>
  <c r="U46" i="1"/>
  <c r="T46" i="1"/>
  <c r="S54" i="1"/>
  <c r="C76" i="1"/>
  <c r="U67" i="1"/>
  <c r="T67" i="1"/>
  <c r="U73" i="1"/>
  <c r="T73" i="1"/>
  <c r="S88" i="1"/>
  <c r="M86" i="1"/>
  <c r="S86" i="1"/>
  <c r="U100" i="1"/>
  <c r="T100" i="1"/>
  <c r="U108" i="1"/>
  <c r="T108" i="1"/>
  <c r="U64" i="1"/>
  <c r="T64" i="1"/>
  <c r="S85" i="1"/>
  <c r="M84" i="1"/>
  <c r="U103" i="1"/>
  <c r="T103" i="1"/>
  <c r="U118" i="1"/>
  <c r="T118" i="1"/>
  <c r="O76" i="1"/>
  <c r="S71" i="1"/>
  <c r="T26" i="1"/>
  <c r="U26" i="1"/>
  <c r="U27" i="1"/>
  <c r="T27" i="1"/>
  <c r="U31" i="1"/>
  <c r="T31" i="1"/>
  <c r="M53" i="1"/>
  <c r="S53" i="1"/>
  <c r="S40" i="1"/>
  <c r="O138" i="1"/>
  <c r="O141" i="1"/>
  <c r="O90" i="1"/>
  <c r="E7" i="3"/>
  <c r="S33" i="1"/>
  <c r="U58" i="1"/>
  <c r="T58" i="1"/>
  <c r="S96" i="1"/>
  <c r="E2" i="3"/>
  <c r="M91" i="1"/>
  <c r="S91" i="1"/>
  <c r="T101" i="1"/>
  <c r="U101" i="1"/>
  <c r="Q138" i="1"/>
  <c r="Q141" i="1"/>
  <c r="F138" i="1"/>
  <c r="C109" i="1"/>
  <c r="U35" i="1"/>
  <c r="T35" i="1"/>
  <c r="U41" i="1"/>
  <c r="T41" i="1"/>
  <c r="S124" i="1"/>
  <c r="H424" i="4"/>
  <c r="S20" i="1"/>
  <c r="U82" i="1"/>
  <c r="T82" i="1"/>
  <c r="T34" i="1"/>
  <c r="P37" i="1"/>
  <c r="P138" i="1"/>
  <c r="P141" i="1"/>
  <c r="M81" i="1"/>
  <c r="S81" i="1"/>
  <c r="S49" i="1"/>
  <c r="S60" i="1"/>
  <c r="C90" i="1"/>
  <c r="M39" i="1"/>
  <c r="S39" i="1"/>
  <c r="N65" i="1"/>
  <c r="S65" i="1"/>
  <c r="S68" i="1"/>
  <c r="U51" i="1"/>
  <c r="T51" i="1"/>
  <c r="T93" i="1"/>
  <c r="U93" i="1"/>
  <c r="U123" i="1"/>
  <c r="T123" i="1"/>
  <c r="M23" i="1"/>
  <c r="S23" i="1"/>
  <c r="N90" i="1"/>
  <c r="E5" i="3"/>
  <c r="E8" i="3"/>
  <c r="T120" i="1"/>
  <c r="S57" i="1"/>
  <c r="M109" i="1"/>
  <c r="S109" i="1"/>
  <c r="M90" i="5"/>
  <c r="C76" i="5"/>
  <c r="C37" i="5"/>
  <c r="M39" i="5"/>
  <c r="C109" i="5"/>
  <c r="H123" i="5"/>
  <c r="H109" i="5"/>
  <c r="H138" i="5"/>
  <c r="C90" i="5"/>
  <c r="E138" i="5"/>
  <c r="M18" i="5"/>
  <c r="U39" i="1"/>
  <c r="T39" i="1"/>
  <c r="U81" i="1"/>
  <c r="T81" i="1"/>
  <c r="U91" i="1"/>
  <c r="T91" i="1"/>
  <c r="T54" i="1"/>
  <c r="U54" i="1"/>
  <c r="T109" i="1"/>
  <c r="U109" i="1"/>
  <c r="U33" i="1"/>
  <c r="T33" i="1"/>
  <c r="U40" i="1"/>
  <c r="T40" i="1"/>
  <c r="N76" i="1"/>
  <c r="S84" i="1"/>
  <c r="M90" i="1"/>
  <c r="S90" i="1"/>
  <c r="U86" i="1"/>
  <c r="T86" i="1"/>
  <c r="T53" i="1"/>
  <c r="U53" i="1"/>
  <c r="M76" i="1"/>
  <c r="U85" i="1"/>
  <c r="T85" i="1"/>
  <c r="T88" i="1"/>
  <c r="U88" i="1"/>
  <c r="U124" i="1"/>
  <c r="T124" i="1"/>
  <c r="U57" i="1"/>
  <c r="T57" i="1"/>
  <c r="N138" i="1"/>
  <c r="N141" i="1"/>
  <c r="T68" i="1"/>
  <c r="U68" i="1"/>
  <c r="U60" i="1"/>
  <c r="T60" i="1"/>
  <c r="U20" i="1"/>
  <c r="T20" i="1"/>
  <c r="U96" i="1"/>
  <c r="T96" i="1"/>
  <c r="U23" i="1"/>
  <c r="T23" i="1"/>
  <c r="T65" i="1"/>
  <c r="U65" i="1"/>
  <c r="U49" i="1"/>
  <c r="T49" i="1"/>
  <c r="M18" i="1"/>
  <c r="T71" i="1"/>
  <c r="U71" i="1"/>
  <c r="M76" i="5"/>
  <c r="M37" i="5"/>
  <c r="S18" i="1"/>
  <c r="M37" i="1"/>
  <c r="S37" i="1"/>
  <c r="S76" i="1"/>
  <c r="U90" i="1"/>
  <c r="T90" i="1"/>
  <c r="T84" i="1"/>
  <c r="U84" i="1"/>
  <c r="M138" i="1"/>
  <c r="M138" i="5"/>
  <c r="M141" i="5"/>
  <c r="S138" i="1"/>
  <c r="M141" i="1"/>
  <c r="S141" i="1"/>
  <c r="U76" i="1"/>
  <c r="T76" i="1"/>
  <c r="U37" i="1"/>
  <c r="T37" i="1"/>
  <c r="T18" i="1"/>
  <c r="U18" i="1"/>
  <c r="U141" i="1"/>
  <c r="T141" i="1"/>
  <c r="U138" i="1"/>
  <c r="T138" i="1"/>
  <c r="O90" i="5"/>
  <c r="O39" i="5"/>
  <c r="O76" i="5"/>
  <c r="O18" i="5"/>
  <c r="O37" i="5"/>
  <c r="N46" i="5"/>
  <c r="N23" i="5"/>
  <c r="N34" i="5"/>
  <c r="N68" i="5"/>
  <c r="N81" i="5"/>
  <c r="N124" i="5"/>
  <c r="N39" i="5"/>
  <c r="N26" i="5"/>
  <c r="N33" i="5"/>
  <c r="N57" i="5"/>
  <c r="N91" i="5"/>
  <c r="O138" i="5"/>
  <c r="O141" i="5"/>
  <c r="N65" i="5"/>
  <c r="E13" i="6"/>
  <c r="N90" i="5"/>
  <c r="N53" i="5"/>
  <c r="N18" i="5"/>
  <c r="N37" i="5"/>
  <c r="N76" i="5"/>
  <c r="N138" i="5"/>
  <c r="N141" i="5"/>
  <c r="T139" i="5"/>
  <c r="T129" i="5"/>
  <c r="S125" i="5"/>
  <c r="T125" i="5"/>
  <c r="P86" i="5"/>
  <c r="U69" i="5"/>
  <c r="U41" i="5"/>
  <c r="P40" i="5"/>
  <c r="U112" i="5"/>
  <c r="U85" i="5"/>
  <c r="T85" i="5"/>
  <c r="U88" i="5"/>
  <c r="T88" i="5"/>
  <c r="U127" i="5"/>
  <c r="T131" i="5"/>
  <c r="S62" i="5"/>
  <c r="T62" i="5"/>
  <c r="U22" i="5"/>
  <c r="T22" i="5"/>
  <c r="P20" i="5"/>
  <c r="P43" i="5"/>
  <c r="U47" i="5"/>
  <c r="S21" i="5"/>
  <c r="T21" i="5"/>
  <c r="S27" i="5"/>
  <c r="T27" i="5"/>
  <c r="T83" i="5"/>
  <c r="U83" i="5"/>
  <c r="U74" i="5"/>
  <c r="T74" i="5"/>
  <c r="T120" i="5"/>
  <c r="U120" i="5"/>
  <c r="T114" i="5"/>
  <c r="U114" i="5"/>
  <c r="P59" i="5"/>
  <c r="S59" i="5"/>
  <c r="U59" i="5"/>
  <c r="P72" i="5"/>
  <c r="P93" i="5"/>
  <c r="T137" i="5"/>
  <c r="P63" i="5"/>
  <c r="S63" i="5"/>
  <c r="U63" i="5"/>
  <c r="P80" i="5"/>
  <c r="S80" i="5"/>
  <c r="T80" i="5"/>
  <c r="T135" i="5"/>
  <c r="P102" i="5"/>
  <c r="S102" i="5"/>
  <c r="T102" i="5"/>
  <c r="T30" i="5"/>
  <c r="P48" i="5"/>
  <c r="S48" i="5"/>
  <c r="P58" i="5"/>
  <c r="S58" i="5"/>
  <c r="T58" i="5"/>
  <c r="P94" i="5"/>
  <c r="S94" i="5"/>
  <c r="T94" i="5"/>
  <c r="P113" i="5"/>
  <c r="S113" i="5"/>
  <c r="E6" i="10"/>
  <c r="P121" i="5"/>
  <c r="S121" i="5"/>
  <c r="T121" i="5"/>
  <c r="P134" i="5"/>
  <c r="S134" i="5"/>
  <c r="U134" i="5"/>
  <c r="S19" i="5"/>
  <c r="T19" i="5"/>
  <c r="U29" i="5"/>
  <c r="S61" i="5"/>
  <c r="T61" i="5"/>
  <c r="P60" i="5"/>
  <c r="S72" i="5"/>
  <c r="T72" i="5"/>
  <c r="P71" i="5"/>
  <c r="S24" i="5"/>
  <c r="U24" i="5"/>
  <c r="P23" i="5"/>
  <c r="S93" i="5"/>
  <c r="U103" i="5"/>
  <c r="T103" i="5"/>
  <c r="T52" i="5"/>
  <c r="U102" i="5"/>
  <c r="T104" i="5"/>
  <c r="U104" i="5"/>
  <c r="P46" i="5"/>
  <c r="S36" i="5"/>
  <c r="U36" i="5"/>
  <c r="P34" i="5"/>
  <c r="T108" i="5"/>
  <c r="T116" i="5"/>
  <c r="U116" i="5"/>
  <c r="E5" i="10"/>
  <c r="U95" i="5"/>
  <c r="P67" i="5"/>
  <c r="S67" i="5"/>
  <c r="U67" i="5"/>
  <c r="P79" i="5"/>
  <c r="T128" i="5"/>
  <c r="U118" i="5"/>
  <c r="U66" i="5"/>
  <c r="T97" i="5"/>
  <c r="P50" i="5"/>
  <c r="P82" i="5"/>
  <c r="P57" i="5"/>
  <c r="P84" i="5"/>
  <c r="U132" i="5"/>
  <c r="P100" i="5"/>
  <c r="S100" i="5"/>
  <c r="U100" i="5"/>
  <c r="S55" i="5"/>
  <c r="U55" i="5"/>
  <c r="S70" i="5"/>
  <c r="U70" i="5"/>
  <c r="P68" i="5"/>
  <c r="T101" i="5"/>
  <c r="S110" i="5"/>
  <c r="U110" i="5"/>
  <c r="P119" i="5"/>
  <c r="S119" i="5"/>
  <c r="U119" i="5"/>
  <c r="P122" i="5"/>
  <c r="S122" i="5"/>
  <c r="U122" i="5"/>
  <c r="P130" i="5"/>
  <c r="U139" i="5"/>
  <c r="E9" i="10"/>
  <c r="T122" i="5"/>
  <c r="P91" i="5"/>
  <c r="S50" i="5"/>
  <c r="U50" i="5"/>
  <c r="P49" i="5"/>
  <c r="P33" i="5"/>
  <c r="S34" i="5"/>
  <c r="T34" i="5"/>
  <c r="P39" i="5"/>
  <c r="T100" i="5"/>
  <c r="P65" i="5"/>
  <c r="T70" i="5"/>
  <c r="P53" i="5"/>
  <c r="P109" i="5"/>
  <c r="P18" i="5"/>
  <c r="S130" i="5"/>
  <c r="T130" i="5"/>
  <c r="P124" i="5"/>
  <c r="S82" i="5"/>
  <c r="U82" i="5"/>
  <c r="P81" i="5"/>
  <c r="S79" i="5"/>
  <c r="U79" i="5"/>
  <c r="P78" i="5"/>
  <c r="S78" i="5"/>
  <c r="U78" i="5"/>
  <c r="T48" i="5"/>
  <c r="U48" i="5"/>
  <c r="S124" i="5"/>
  <c r="T124" i="5"/>
  <c r="P90" i="5"/>
  <c r="P76" i="5"/>
  <c r="P37" i="5"/>
  <c r="U34" i="5"/>
  <c r="P138" i="5"/>
  <c r="P141" i="5"/>
  <c r="R90" i="5"/>
  <c r="U72" i="5"/>
  <c r="T24" i="5"/>
  <c r="U125" i="5"/>
  <c r="U105" i="5"/>
  <c r="T107" i="5"/>
  <c r="U111" i="5"/>
  <c r="U45" i="5"/>
  <c r="T126" i="5"/>
  <c r="T119" i="5"/>
  <c r="T67" i="5"/>
  <c r="T63" i="5"/>
  <c r="U51" i="5"/>
  <c r="T136" i="5"/>
  <c r="S86" i="5"/>
  <c r="T86" i="5"/>
  <c r="T106" i="5"/>
  <c r="U61" i="5"/>
  <c r="T55" i="5"/>
  <c r="T98" i="5"/>
  <c r="T42" i="5"/>
  <c r="T50" i="5"/>
  <c r="T82" i="5"/>
  <c r="S109" i="5"/>
  <c r="U109" i="5"/>
  <c r="T59" i="5"/>
  <c r="U27" i="5"/>
  <c r="T81" i="5"/>
  <c r="U81" i="5"/>
  <c r="U49" i="5"/>
  <c r="T49" i="5"/>
  <c r="T57" i="5"/>
  <c r="U57" i="5"/>
  <c r="U71" i="5"/>
  <c r="T71" i="5"/>
  <c r="U21" i="5"/>
  <c r="E8" i="10"/>
  <c r="T25" i="5"/>
  <c r="T46" i="5"/>
  <c r="T87" i="5"/>
  <c r="T89" i="5"/>
  <c r="S54" i="5"/>
  <c r="T54" i="5"/>
  <c r="U75" i="5"/>
  <c r="T73" i="5"/>
  <c r="U130" i="5"/>
  <c r="U86" i="5"/>
  <c r="T64" i="5"/>
  <c r="T99" i="5"/>
  <c r="T78" i="5"/>
  <c r="U23" i="5"/>
  <c r="S68" i="5"/>
  <c r="U68" i="5"/>
  <c r="U56" i="5"/>
  <c r="T123" i="5"/>
  <c r="U62" i="5"/>
  <c r="E2" i="10"/>
  <c r="T134" i="5"/>
  <c r="T113" i="5"/>
  <c r="U113" i="5"/>
  <c r="U94" i="5"/>
  <c r="S91" i="5"/>
  <c r="U91" i="5"/>
  <c r="S84" i="5"/>
  <c r="U84" i="5"/>
  <c r="T79" i="5"/>
  <c r="S65" i="5"/>
  <c r="T65" i="5"/>
  <c r="T60" i="5"/>
  <c r="U60" i="5"/>
  <c r="U58" i="5"/>
  <c r="S53" i="5"/>
  <c r="U53" i="5"/>
  <c r="R39" i="5"/>
  <c r="R76" i="5"/>
  <c r="U43" i="5"/>
  <c r="U44" i="5"/>
  <c r="U40" i="5"/>
  <c r="T33" i="5"/>
  <c r="U33" i="5"/>
  <c r="T36" i="5"/>
  <c r="T28" i="5"/>
  <c r="R18" i="5"/>
  <c r="R37" i="5"/>
  <c r="R138" i="5"/>
  <c r="R141" i="5"/>
  <c r="S20" i="5"/>
  <c r="T20" i="5"/>
  <c r="U19" i="5"/>
  <c r="U124" i="5"/>
  <c r="T109" i="5"/>
  <c r="T110" i="5"/>
  <c r="T117" i="5"/>
  <c r="U121" i="5"/>
  <c r="T115" i="5"/>
  <c r="U93" i="5"/>
  <c r="T96" i="5"/>
  <c r="T93" i="5"/>
  <c r="Q90" i="5"/>
  <c r="S90" i="5"/>
  <c r="T90" i="5"/>
  <c r="U80" i="5"/>
  <c r="T68" i="5"/>
  <c r="E3" i="10"/>
  <c r="Q39" i="5"/>
  <c r="Q76" i="5"/>
  <c r="T35" i="5"/>
  <c r="T32" i="5"/>
  <c r="E7" i="10"/>
  <c r="T26" i="5"/>
  <c r="U31" i="5"/>
  <c r="S37" i="5"/>
  <c r="U20" i="5"/>
  <c r="U54" i="5"/>
  <c r="U65" i="5"/>
  <c r="T91" i="5"/>
  <c r="T84" i="5"/>
  <c r="S76" i="5"/>
  <c r="T76" i="5"/>
  <c r="T53" i="5"/>
  <c r="S18" i="5"/>
  <c r="U18" i="5"/>
  <c r="E13" i="10"/>
  <c r="U90" i="5"/>
  <c r="Q138" i="5"/>
  <c r="Q141" i="5"/>
  <c r="S141" i="5"/>
  <c r="S39" i="5"/>
  <c r="U39" i="5"/>
  <c r="U37" i="5"/>
  <c r="T37" i="5"/>
  <c r="U76" i="5"/>
  <c r="T18" i="5"/>
  <c r="S138" i="5"/>
  <c r="T138" i="5"/>
  <c r="T39" i="5"/>
  <c r="T141" i="5"/>
  <c r="U13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 Bosco</author>
  </authors>
  <commentList>
    <comment ref="C4" authorId="0" shapeId="0" xr:uid="{00000000-0006-0000-0000-000001000000}">
      <text>
        <r>
          <rPr>
            <b/>
            <sz val="9"/>
            <color indexed="81"/>
            <rFont val="Tahoma"/>
            <family val="2"/>
          </rPr>
          <t>Jean Bosco:</t>
        </r>
        <r>
          <rPr>
            <sz val="9"/>
            <color indexed="81"/>
            <rFont val="Tahoma"/>
            <family val="2"/>
          </rPr>
          <t xml:space="preserve">
XE.com rate in January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 Bosco</author>
  </authors>
  <commentList>
    <comment ref="C4" authorId="0" shapeId="0" xr:uid="{00000000-0006-0000-0400-000001000000}">
      <text>
        <r>
          <rPr>
            <b/>
            <sz val="9"/>
            <color indexed="81"/>
            <rFont val="Tahoma"/>
            <family val="2"/>
          </rPr>
          <t>Jean Bosco:</t>
        </r>
        <r>
          <rPr>
            <sz val="9"/>
            <color indexed="81"/>
            <rFont val="Tahoma"/>
            <family val="2"/>
          </rPr>
          <t xml:space="preserve">
XE.com rate in January 2019</t>
        </r>
      </text>
    </comment>
  </commentList>
</comments>
</file>

<file path=xl/sharedStrings.xml><?xml version="1.0" encoding="utf-8"?>
<sst xmlns="http://schemas.openxmlformats.org/spreadsheetml/2006/main" count="51322" uniqueCount="4792">
  <si>
    <t>Outcome/ Output number</t>
  </si>
  <si>
    <t>Outcome/ output/ activity formulation:</t>
  </si>
  <si>
    <t>SUB-TOTAL PROJECT BUDGET:</t>
  </si>
  <si>
    <t>Percent of budget for each output reserved for direct action on gender eqaulity (if any):</t>
  </si>
  <si>
    <t>CATEGORIES</t>
  </si>
  <si>
    <t>TOTAL</t>
  </si>
  <si>
    <t>Project personnel costs if not included in activities above</t>
  </si>
  <si>
    <t>Project operational costs if not included in activities above</t>
  </si>
  <si>
    <t>Project M&amp;E budget</t>
  </si>
  <si>
    <t>Level of expenditure/ commitments in USD (to provide at time of project progress reporting):</t>
  </si>
  <si>
    <t>OUTCOME 1: Improved understanding about how young men and young women in the plateau experience security and conflict</t>
  </si>
  <si>
    <t>Regular meetings of the dialogue groups</t>
  </si>
  <si>
    <t xml:space="preserve">Activity 2.3.1: </t>
  </si>
  <si>
    <t>Youth security scorecard</t>
  </si>
  <si>
    <t>Sensitization to attract young people to participate</t>
  </si>
  <si>
    <t>Training of young people on the scorecard methodology</t>
  </si>
  <si>
    <t>Output 1.1</t>
  </si>
  <si>
    <t>Data collection for the scorecard</t>
  </si>
  <si>
    <t>Activity 1.1.1</t>
  </si>
  <si>
    <t>Activity 1.1.2</t>
  </si>
  <si>
    <t>Validation of the scorecard framework and baseline results</t>
  </si>
  <si>
    <t>Quarterly data collection and analysis against the scorecard</t>
  </si>
  <si>
    <t>Quarterly presentation of results of the scorecard to communities</t>
  </si>
  <si>
    <t>Activity 1.1.3</t>
  </si>
  <si>
    <t>Quarterly presentation of results of the scorecard to leaders and decision makers at territory and provincial level and advocacy</t>
  </si>
  <si>
    <t>Activity 1.1.4</t>
  </si>
  <si>
    <t>Activity 1.1.5</t>
  </si>
  <si>
    <t>Activity 1.1.6</t>
  </si>
  <si>
    <t>Activity 1.1.7</t>
  </si>
  <si>
    <t>Production of a final report of the scorecard and distribution amongst key state and non-state actors</t>
  </si>
  <si>
    <t>Activity 1.1.8</t>
  </si>
  <si>
    <t>Public debates based on the findings of the participatory action research undertaken under the Vijana Tunaweza project on the push and pull factors that explain why young people join armed groups</t>
  </si>
  <si>
    <t>Output 1.2</t>
  </si>
  <si>
    <t>Organize a series of debates with key stakeholders (young people, community leaders, authorities, traditional chiefs) on the results of the participatory actions research at groupement level</t>
  </si>
  <si>
    <t>Activity 1.2.1</t>
  </si>
  <si>
    <t xml:space="preserve">Youth-Facilitated Dialogues </t>
  </si>
  <si>
    <t>Training of partners on how to conduct a dialogue</t>
  </si>
  <si>
    <t>Launch dialogue groups between young people and facilitated by young people</t>
  </si>
  <si>
    <t>Training of dialogue facilitators</t>
  </si>
  <si>
    <t>Youth Mentoring Leadership Clubs</t>
  </si>
  <si>
    <t>Training of partners in leadership and mentoring</t>
  </si>
  <si>
    <t>Output 2.1</t>
  </si>
  <si>
    <t>Activity 2.1.1</t>
  </si>
  <si>
    <t>Activity 2.1.2</t>
  </si>
  <si>
    <t>Launch of leadership mentoring clubs</t>
  </si>
  <si>
    <t>Activity 2.1.3</t>
  </si>
  <si>
    <t>Activity 2.1.4</t>
  </si>
  <si>
    <t>Output 2.2</t>
  </si>
  <si>
    <t>Training of young leaders on leadership in Bijombo (not previously targeted by Vijana Tunaweza)</t>
  </si>
  <si>
    <t>Activity 2.2.1</t>
  </si>
  <si>
    <t>Activity 2.2.3</t>
  </si>
  <si>
    <t>Refresher training for young facilitators in leadership in other regions</t>
  </si>
  <si>
    <t>Activity 2.2.4</t>
  </si>
  <si>
    <t>Regular meetings of the mentoring clubs</t>
  </si>
  <si>
    <t>Activity 2.2.5</t>
  </si>
  <si>
    <t xml:space="preserve"> Support to develop youth-led social activism projects for peace in targeted communities</t>
  </si>
  <si>
    <t>Output 2.3</t>
  </si>
  <si>
    <t>Development of initiatives for social activism (preparatory and planning meetings)</t>
  </si>
  <si>
    <t>Implementation of initiatives within communities</t>
  </si>
  <si>
    <t>Activity 2.3.2</t>
  </si>
  <si>
    <t>Presentation of results of initiatives to leaders and development of action plans aimed at following up</t>
  </si>
  <si>
    <t>Activity 2.3.3</t>
  </si>
  <si>
    <t>Joint advocacy campaign between young leaders from the plateaus and Bukavu</t>
  </si>
  <si>
    <t>Output 2.4</t>
  </si>
  <si>
    <t>Preparation for exchanges</t>
  </si>
  <si>
    <t>Launch of the joint advocacy campaign in Bukavu</t>
  </si>
  <si>
    <t>Activity 2.4.1</t>
  </si>
  <si>
    <t>Exchange 1: between young leaders from the plateau and young people in Bukavu</t>
  </si>
  <si>
    <t>Activity 2.4.2</t>
  </si>
  <si>
    <t>Activity 2.4.3</t>
  </si>
  <si>
    <t>Exchange 2: between young leaders from the high and middle plateaus</t>
  </si>
  <si>
    <t>Activity 2.4.4</t>
  </si>
  <si>
    <t>Output 3.1</t>
  </si>
  <si>
    <t xml:space="preserve"> Sensitization campaigns to explain the purpose of the dialogues and to identify interested parents and young people to take part </t>
  </si>
  <si>
    <t>Activity 3.1.1</t>
  </si>
  <si>
    <t>Activity 3.1.2</t>
  </si>
  <si>
    <t>Meetings with young people engaged in the project to identify priorities and develop an advocacy strategy (identifying targets and strategies)</t>
  </si>
  <si>
    <t>Activity 3.2.1</t>
  </si>
  <si>
    <t>Advocacy strategy based on top priorities emerging from the RAP on push and pull factors for young people joining armed groups</t>
  </si>
  <si>
    <t>Output 3.2</t>
  </si>
  <si>
    <t>Bilateral advocacy meetings between advocacy targets and advocacy allies</t>
  </si>
  <si>
    <t>Activity 3.2.2</t>
  </si>
  <si>
    <t xml:space="preserve">Output 3.3: </t>
  </si>
  <si>
    <t>Training on the tribunes d’expression populaires methodology</t>
  </si>
  <si>
    <t>Activity 3.3.1</t>
  </si>
  <si>
    <t>Tribunes d’expression populaire meetings</t>
  </si>
  <si>
    <t>Activity 3.3.2</t>
  </si>
  <si>
    <t>Activity 3.3.3</t>
  </si>
  <si>
    <t>Follow up actions based on results of the tribunes d’expression populaire meetings</t>
  </si>
  <si>
    <r>
      <t xml:space="preserve">Budget by recipient organization in USD - </t>
    </r>
    <r>
      <rPr>
        <b/>
        <sz val="12"/>
        <color indexed="8"/>
        <rFont val="Times New Roman"/>
        <family val="1"/>
      </rPr>
      <t>International Alert</t>
    </r>
  </si>
  <si>
    <r>
      <t xml:space="preserve">Budget by recipient organization in USD - </t>
    </r>
    <r>
      <rPr>
        <b/>
        <sz val="12"/>
        <color indexed="8"/>
        <rFont val="Times New Roman"/>
        <family val="1"/>
      </rPr>
      <t>BVES</t>
    </r>
  </si>
  <si>
    <r>
      <t>Budget by recipient organization in USD -</t>
    </r>
    <r>
      <rPr>
        <b/>
        <sz val="12"/>
        <color indexed="8"/>
        <rFont val="Times New Roman"/>
        <family val="1"/>
      </rPr>
      <t xml:space="preserve"> SVH</t>
    </r>
  </si>
  <si>
    <r>
      <t xml:space="preserve">Budget by recipient organization in USD - </t>
    </r>
    <r>
      <rPr>
        <b/>
        <sz val="12"/>
        <color indexed="8"/>
        <rFont val="Times New Roman"/>
        <family val="1"/>
      </rPr>
      <t>ADED</t>
    </r>
  </si>
  <si>
    <t>Development of materials for the training</t>
  </si>
  <si>
    <t xml:space="preserve">Training sessions </t>
  </si>
  <si>
    <t>Field visit for data collection</t>
  </si>
  <si>
    <t>Analysis of data collection findings</t>
  </si>
  <si>
    <t>Valdiaton meetings with each target group</t>
  </si>
  <si>
    <t>Finalisation of the scorecard</t>
  </si>
  <si>
    <t xml:space="preserve">Prepration of materials for the debates based on the RAP report </t>
  </si>
  <si>
    <t>Hold debates</t>
  </si>
  <si>
    <t>Development of training materials</t>
  </si>
  <si>
    <t>Training workshop in Minembwe</t>
  </si>
  <si>
    <t>Selection of group members and facilitators</t>
  </si>
  <si>
    <t>Open assemblies to present the dialogue groups to the community</t>
  </si>
  <si>
    <t>Costs of the local facilitators</t>
  </si>
  <si>
    <t>Regular meetings</t>
  </si>
  <si>
    <t>Activity 2.2.2</t>
  </si>
  <si>
    <t>Selection of members of the leadership mentoring clubs</t>
  </si>
  <si>
    <t>Open assemblies to present the leadership mentoring groups to the community</t>
  </si>
  <si>
    <t>Adjust training materials</t>
  </si>
  <si>
    <t>Training in Bijombo</t>
  </si>
  <si>
    <t>Meeting with leaders</t>
  </si>
  <si>
    <t>Development of sustainability plans with leaders</t>
  </si>
  <si>
    <t>Awareness raising meeting amongst community members</t>
  </si>
  <si>
    <t>Tribunes meetings</t>
  </si>
  <si>
    <t>Adaptation of training materials</t>
  </si>
  <si>
    <t>Series of dailogues with parents</t>
  </si>
  <si>
    <t>Project Manager</t>
  </si>
  <si>
    <t>Great Lakes Regional Manager</t>
  </si>
  <si>
    <t>Africa Programme Regional Director</t>
  </si>
  <si>
    <t>Finance and Operations support</t>
  </si>
  <si>
    <t>Country Manager</t>
  </si>
  <si>
    <t>Peacebuilding Portfolio Manager</t>
  </si>
  <si>
    <t>Advocacy and Communications Advisor</t>
  </si>
  <si>
    <t xml:space="preserve">Local staff Medical support </t>
  </si>
  <si>
    <t xml:space="preserve">Staff Recruitment </t>
  </si>
  <si>
    <t>Housing/Accommodation-DRC Expat staff</t>
  </si>
  <si>
    <t>Other international benefits - visa d'etablissement, CEPGL, Insurance, return home flights</t>
  </si>
  <si>
    <t>Project  Focal points</t>
  </si>
  <si>
    <t>Fuel for Vehicle and Office Generators</t>
  </si>
  <si>
    <t xml:space="preserve">Vehicle Repairs and Maintenance/entry cards,FONER fee etc </t>
  </si>
  <si>
    <t>Professional Fees - Audit</t>
  </si>
  <si>
    <t xml:space="preserve">Local/Domestic Travel </t>
  </si>
  <si>
    <t>Equipment(Laptops and Cameras)</t>
  </si>
  <si>
    <t xml:space="preserve">Office Furniture &amp; Equipment </t>
  </si>
  <si>
    <t>Legal &amp; Professional Fees(Lawyer+IT+Maintenance Consult)</t>
  </si>
  <si>
    <t>Office Rent</t>
  </si>
  <si>
    <t>Office utilities (Maintenance,Water, electricity etc)</t>
  </si>
  <si>
    <t xml:space="preserve">Security Services(Office&amp; Expat Staff Residence) </t>
  </si>
  <si>
    <t>Office Consumables and Stationery Supplies,Office Insurance</t>
  </si>
  <si>
    <t xml:space="preserve">Communications (Email &amp; Phone,Internet) </t>
  </si>
  <si>
    <t>Banking and Cash Handling Fees</t>
  </si>
  <si>
    <t xml:space="preserve">Partners' institutional costs </t>
  </si>
  <si>
    <t>Inception workshop</t>
  </si>
  <si>
    <t>Development of project database</t>
  </si>
  <si>
    <t>Baseline</t>
  </si>
  <si>
    <t>Quarterly monitoring visits and reflection/planning meetings</t>
  </si>
  <si>
    <t>End of project evaluation</t>
  </si>
  <si>
    <t>Coordination meetings</t>
  </si>
  <si>
    <t xml:space="preserve">Indirect support costs (7%): </t>
  </si>
  <si>
    <t>TOTAL $ FOR OUTCOME 1:</t>
  </si>
  <si>
    <t>TOTAL $ FOR OUTCOME 2: $</t>
  </si>
  <si>
    <t>TOTAL $ FOR OUTCOME 3: $</t>
  </si>
  <si>
    <t>TOTAL PROJECT BUDGET: $</t>
  </si>
  <si>
    <t>Sub-activity 1.1.2.1</t>
  </si>
  <si>
    <t>Sub-activity 1.1.2.2</t>
  </si>
  <si>
    <t>Sub-activity 1.1.3.1</t>
  </si>
  <si>
    <t>Sub-activity 1.1.3.2</t>
  </si>
  <si>
    <t>Sub-activity 1.1.4.1</t>
  </si>
  <si>
    <t>Sub-activity 1.1.4.2</t>
  </si>
  <si>
    <t>Sub-activity 1.2.1.1</t>
  </si>
  <si>
    <t>Sub-activity 1.2.1.2</t>
  </si>
  <si>
    <t>Sub-activity 2.1.1.1</t>
  </si>
  <si>
    <t>Sub-activity 2.1.1.2</t>
  </si>
  <si>
    <t>Sub-activity 2.1.2.1</t>
  </si>
  <si>
    <t>Sub-activity 2.1.2.2</t>
  </si>
  <si>
    <t>Sub-activity 2.1.3.1</t>
  </si>
  <si>
    <t>Sub-activity 2.1.3.2</t>
  </si>
  <si>
    <t>Sub-activity 2.1.4.1</t>
  </si>
  <si>
    <t>Sub-activity 2.1.4.2</t>
  </si>
  <si>
    <t>Sub-activity 2.2.1.1</t>
  </si>
  <si>
    <t>Sub-activity 2.2.1.2</t>
  </si>
  <si>
    <t>Sub-activity 2.2.2.1</t>
  </si>
  <si>
    <t>Sub-activity 2.2.2.2</t>
  </si>
  <si>
    <t>Sub-activity 2.2.3.1</t>
  </si>
  <si>
    <t>Sub-activity 2.2.3.2</t>
  </si>
  <si>
    <t>Sub-activity 3.3.2.1</t>
  </si>
  <si>
    <t>Sub-activity 3.3.2.2</t>
  </si>
  <si>
    <t>Technical support in country - MEL Manager</t>
  </si>
  <si>
    <t>Data collection support - M&amp;E Officer</t>
  </si>
  <si>
    <t>Technical oversight (baselines, evalautions, research and impact monitoring) Senior Programme Design and Assessment Officer</t>
  </si>
  <si>
    <t>LOE</t>
  </si>
  <si>
    <t>Contribution to Finance Department- DRC</t>
  </si>
  <si>
    <t>Contribution  to Operation Department-DRC</t>
  </si>
  <si>
    <t>Project launch meeting</t>
  </si>
  <si>
    <t>Security Advisor</t>
  </si>
  <si>
    <t>“Tribunes d’expression populaires” (public town hall meetings) and follow up</t>
  </si>
  <si>
    <t>Activity 2.1.5</t>
  </si>
  <si>
    <t>Small initiatives relating to the dialogue clubs</t>
  </si>
  <si>
    <t>Parent - young people  dialogues</t>
  </si>
  <si>
    <t>OUTCOME 3: Increased engagement between young people, leaders, government authorities and parents on addressing conflict drivers in local development strategies</t>
  </si>
  <si>
    <t>OUTCOME 2:Improved mutual trust and understanding between young men and young women in the plateau</t>
  </si>
  <si>
    <t>Senior M&amp;E quality assurance visit from HQ</t>
  </si>
  <si>
    <t>Staff Development and Staff retreats</t>
  </si>
  <si>
    <t>Direct technical support of Senior Great Lakes Advisor</t>
  </si>
  <si>
    <t>Gender and conflict sensitivity training programme for partners</t>
  </si>
  <si>
    <t>Sub-activity 2.3.3.2</t>
  </si>
  <si>
    <t>Sub-activity 2.3.3.1</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</si>
  <si>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</si>
  <si>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</si>
  <si>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</si>
  <si>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</si>
  <si>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</si>
  <si>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</si>
  <si>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</si>
  <si>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</si>
  <si>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</si>
  <si>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</si>
  <si>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</si>
  <si>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</si>
  <si>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</si>
  <si>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</si>
  <si>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</si>
  <si>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</si>
  <si>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</si>
  <si>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</si>
  <si>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</si>
  <si>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</si>
  <si>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</si>
  <si>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</si>
  <si>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</si>
  <si>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</si>
  <si>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</si>
  <si>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</si>
  <si>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</si>
  <si>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</si>
  <si>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</si>
  <si>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</si>
  <si>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</si>
  <si>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</si>
  <si>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</si>
  <si>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</si>
  <si>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</si>
  <si>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</si>
  <si>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</si>
  <si>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</si>
  <si>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</si>
  <si>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</si>
  <si>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</si>
  <si>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</si>
  <si>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</si>
  <si>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</si>
  <si>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</si>
  <si>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</si>
  <si>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</si>
  <si>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</si>
  <si>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</si>
  <si>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</si>
  <si>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</si>
  <si>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</si>
  <si>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</si>
  <si>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</si>
  <si>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</si>
  <si>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</si>
  <si>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</si>
  <si>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</si>
  <si>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</si>
  <si>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</si>
  <si>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</si>
  <si>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</si>
  <si>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</si>
  <si>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</si>
  <si>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</si>
  <si>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</si>
  <si>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</si>
  <si>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</si>
  <si>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</si>
  <si>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</si>
  <si>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</si>
  <si>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</si>
  <si>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</si>
  <si>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</si>
  <si>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</si>
  <si>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</si>
  <si>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</si>
  <si>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</si>
  <si>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</si>
  <si>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</si>
  <si>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</si>
  <si>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</si>
  <si>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</si>
  <si>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</si>
  <si>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</si>
  <si>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</si>
  <si>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</si>
  <si>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</si>
  <si>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</si>
  <si>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</si>
  <si>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Budget for:</t>
  </si>
  <si>
    <t>Base Currency:</t>
  </si>
  <si>
    <t>Second Currency:</t>
  </si>
  <si>
    <t>USD</t>
  </si>
  <si>
    <t>GBP</t>
  </si>
  <si>
    <t>Project Code Funder:</t>
  </si>
  <si>
    <t>AFR000</t>
  </si>
  <si>
    <t>Fund Code International Alert:</t>
  </si>
  <si>
    <t>Programme:</t>
  </si>
  <si>
    <t>Africa</t>
  </si>
  <si>
    <t>Programme Manager:</t>
  </si>
  <si>
    <t>Massimo Fusato</t>
  </si>
  <si>
    <t>Budget Holder</t>
  </si>
  <si>
    <t>Project Title:</t>
  </si>
  <si>
    <t>Project Period:</t>
  </si>
  <si>
    <t>Number of months in Funding</t>
  </si>
  <si>
    <t>Overheads Contribution requested:</t>
  </si>
  <si>
    <t>Date of Proposal</t>
  </si>
  <si>
    <t>Construisons un avenir meilleur</t>
  </si>
  <si>
    <t>Exchange Rate for Budget: GBP/USD</t>
  </si>
  <si>
    <t>AP21QR</t>
  </si>
  <si>
    <t>01/01/2019-30/06/2020</t>
  </si>
  <si>
    <t>TOTAL-BUDGET- USD</t>
  </si>
  <si>
    <t>Q1</t>
  </si>
  <si>
    <t>Q2</t>
  </si>
  <si>
    <t>Q3</t>
  </si>
  <si>
    <t>Q4</t>
  </si>
  <si>
    <t>Total-Q1</t>
  </si>
  <si>
    <t>Total-Q2</t>
  </si>
  <si>
    <t>Total-Q3</t>
  </si>
  <si>
    <t>Total- Q4</t>
  </si>
  <si>
    <t>Q5</t>
  </si>
  <si>
    <t>Total- Q5</t>
  </si>
  <si>
    <t>Q6</t>
  </si>
  <si>
    <t>Total- Q6</t>
  </si>
  <si>
    <t>18 Months</t>
  </si>
  <si>
    <t>Transfers and Grants Counterparts</t>
  </si>
  <si>
    <t>Supplies, Commodities, Materials</t>
  </si>
  <si>
    <t>Staff and other personnel costs</t>
  </si>
  <si>
    <t>General Operating and Other Direct Costs</t>
  </si>
  <si>
    <t>Contractual Services</t>
  </si>
  <si>
    <t>Travel</t>
  </si>
  <si>
    <t>Equipment, Vehicles and Furniture including Depreciation</t>
  </si>
  <si>
    <t>Indirect support costs</t>
  </si>
  <si>
    <t>Variance in USD</t>
  </si>
  <si>
    <t>Variance in %</t>
  </si>
  <si>
    <t>Comments</t>
  </si>
  <si>
    <t>MPTFO Project</t>
  </si>
  <si>
    <t>Agency Project</t>
  </si>
  <si>
    <t>UNDG Expense Category</t>
  </si>
  <si>
    <t>USD Amount</t>
  </si>
  <si>
    <t xml:space="preserve">Total Received funds </t>
  </si>
  <si>
    <t xml:space="preserve">Agency Earned Interest Income </t>
  </si>
  <si>
    <t>Refunds (end project)</t>
  </si>
  <si>
    <t>CATEGORY-DESCRIPTION</t>
  </si>
  <si>
    <t>BU</t>
  </si>
  <si>
    <t>ALT</t>
  </si>
  <si>
    <t>Period from</t>
  </si>
  <si>
    <t>2018/012</t>
  </si>
  <si>
    <t>Period to</t>
  </si>
  <si>
    <t>2019/003</t>
  </si>
  <si>
    <t>Ac from</t>
  </si>
  <si>
    <t>Ac to</t>
  </si>
  <si>
    <t>Fund code</t>
  </si>
  <si>
    <t>Fund Budget Line  Analysis Code</t>
  </si>
  <si>
    <t>Accounting Period</t>
  </si>
  <si>
    <t>Transaction Date</t>
  </si>
  <si>
    <t>Transaction Reference</t>
  </si>
  <si>
    <t>Description</t>
  </si>
  <si>
    <t>Journal No.</t>
  </si>
  <si>
    <t>Base Amount (GBP)</t>
  </si>
  <si>
    <t>Transaction Amount</t>
  </si>
  <si>
    <t>Currency Code</t>
  </si>
  <si>
    <t>4th Currency Amount</t>
  </si>
  <si>
    <t>Account Code</t>
  </si>
  <si>
    <t>Country Office Code</t>
  </si>
  <si>
    <t>Fund Code  Analysis Code</t>
  </si>
  <si>
    <t>People's code</t>
  </si>
  <si>
    <t>Partner Code</t>
  </si>
  <si>
    <t>Cost Type</t>
  </si>
  <si>
    <t>Project Code</t>
  </si>
  <si>
    <t>Project Budgetline</t>
  </si>
  <si>
    <t>USD 19 DEC 18</t>
  </si>
  <si>
    <t>UNITED NATIONS D</t>
  </si>
  <si>
    <t>4020</t>
  </si>
  <si>
    <t>UNILON</t>
  </si>
  <si>
    <t>DUND</t>
  </si>
  <si>
    <t>USD 19 DEC 2018</t>
  </si>
  <si>
    <t>J74615</t>
  </si>
  <si>
    <t>Subtotal</t>
  </si>
  <si>
    <t>###</t>
  </si>
  <si>
    <t>9770</t>
  </si>
  <si>
    <t>D</t>
  </si>
  <si>
    <t>2019/001</t>
  </si>
  <si>
    <t>PR JAN JNL</t>
  </si>
  <si>
    <t>M FUSATO 5%</t>
  </si>
  <si>
    <t>5100</t>
  </si>
  <si>
    <t>FUS</t>
  </si>
  <si>
    <t>HR CHG JAN 19</t>
  </si>
  <si>
    <t>S</t>
  </si>
  <si>
    <t>HR SCF CHG JAN 19</t>
  </si>
  <si>
    <t>C</t>
  </si>
  <si>
    <t>5110</t>
  </si>
  <si>
    <t>5120</t>
  </si>
  <si>
    <t>2019/002</t>
  </si>
  <si>
    <t>DRCBUK/BANK/2019/02/020</t>
  </si>
  <si>
    <t>IPR Fév'19-Papson NYAMUSHALA MWANZA</t>
  </si>
  <si>
    <t>DRCBUK</t>
  </si>
  <si>
    <t>MWA</t>
  </si>
  <si>
    <t>DRCGOM/ BANQUE/2019/002/028</t>
  </si>
  <si>
    <t>Salaire-Papson NYAMUSHALA MWANZA</t>
  </si>
  <si>
    <t>DRCGOM</t>
  </si>
  <si>
    <t>DRCBUK/BANK/2019/02/021</t>
  </si>
  <si>
    <t>CNSS Fév'19-Papson NYAMUSHALA MWANZA</t>
  </si>
  <si>
    <t>DRCBUK/BANK/2019/02/022</t>
  </si>
  <si>
    <t>INPP Fév'19-Papson NYAMUSHALA MWANZA</t>
  </si>
  <si>
    <t>5150</t>
  </si>
  <si>
    <t>DRCBUK/BANK/2019/03/021</t>
  </si>
  <si>
    <t>Salaire-Papson NYAMUSHALA MWANZA 100%</t>
  </si>
  <si>
    <t>DRCBUK/BANK/2019/03/022</t>
  </si>
  <si>
    <t>DGI-Papson NYAMUSHALA MWANZA 100%</t>
  </si>
  <si>
    <t>DRCBUK/BANK/2019/03/023</t>
  </si>
  <si>
    <t>CNSS-Papson NYAMUSHALA MWANZA 100%</t>
  </si>
  <si>
    <t>DRCBUK/CAISSE/2019/03/001</t>
  </si>
  <si>
    <t>ONEM-Papson NYAMUSHALA MWANZA</t>
  </si>
  <si>
    <t>DRCBUK/BANK/2019/03/024</t>
  </si>
  <si>
    <t>INPP-Papson NYAMUSHALA MWANZA 100%</t>
  </si>
  <si>
    <t>B Altunbas 5%</t>
  </si>
  <si>
    <t>PR FEB JNL</t>
  </si>
  <si>
    <t>HR CHG FEB 19</t>
  </si>
  <si>
    <t>HR SCF CHG FEB 19</t>
  </si>
  <si>
    <t>PR MAR JNL</t>
  </si>
  <si>
    <t>HR CHG MAR 19</t>
  </si>
  <si>
    <t>HR SCF CHG MAR 19</t>
  </si>
  <si>
    <t>DRCGOM/ BANQUE/2019/001/010</t>
  </si>
  <si>
    <t>Salaire-Paul MAKOMA KANYIHATA</t>
  </si>
  <si>
    <t>PMA</t>
  </si>
  <si>
    <t>DRCGOM/ BANQUE/2019/001/011</t>
  </si>
  <si>
    <t>INSS-Paul MAKOMA KANYIHATA</t>
  </si>
  <si>
    <t>DRCGOM/CAISSE/2019/001/002</t>
  </si>
  <si>
    <t>ONEM-Paul MAKOMA KANYIHATA</t>
  </si>
  <si>
    <t>DRCGOM/ BANQUE/2019/001/012</t>
  </si>
  <si>
    <t>INPP-Paul MAKOMA KANYIHATA</t>
  </si>
  <si>
    <t>DRCGOM/ BANQUE/2019/002/025</t>
  </si>
  <si>
    <t>DRCGOM/ BANQUE/2019/002/026</t>
  </si>
  <si>
    <t>DRCGOM/CAISSE/2019/002/003</t>
  </si>
  <si>
    <t>DRCGOM/ BANQUE/2019/002/027</t>
  </si>
  <si>
    <t>DRCGOM/ BANQUE/2019/003/023</t>
  </si>
  <si>
    <t>DRCGOM/ BANQUE/2019/003/024</t>
  </si>
  <si>
    <t>DRCGOM/CAISSE/2019/003/002</t>
  </si>
  <si>
    <t>DRCGOM/ BANQUE/2019/003/025</t>
  </si>
  <si>
    <t>BUU</t>
  </si>
  <si>
    <t>Buesser C 5%</t>
  </si>
  <si>
    <t>DRCGOM/CAISSE/2019/002/002</t>
  </si>
  <si>
    <t>Entretien generateur  Christine</t>
  </si>
  <si>
    <t>8440</t>
  </si>
  <si>
    <t>NDI</t>
  </si>
  <si>
    <t>W Ndikintum 5%</t>
  </si>
  <si>
    <t>DRCBUK/BANK/2019/01/026</t>
  </si>
  <si>
    <t>Salaire Jan'19-Ghislain KIKANDA 9%</t>
  </si>
  <si>
    <t>GKA</t>
  </si>
  <si>
    <t>DRCBUK/BANK/2019/01/027</t>
  </si>
  <si>
    <t>CNSS Jan'19-Ghislain KIKANDA 9%</t>
  </si>
  <si>
    <t>DRCBUK/BANK/2019/01/028</t>
  </si>
  <si>
    <t>INPP Jan'19-Ghislain KIKANDA 9%</t>
  </si>
  <si>
    <t>Salaire-Ghislain KIKANDA ABEDI</t>
  </si>
  <si>
    <t>IPR Fév'19-Ghislain KIKANDA 9%</t>
  </si>
  <si>
    <t>CNSS Fév'19-Ghislain KIKANDA 9%</t>
  </si>
  <si>
    <t>INPP Fév'19-Ghislain KIKANDA 9%</t>
  </si>
  <si>
    <t>DRCBUK/CAISSE/2019/02/001</t>
  </si>
  <si>
    <t>ONEM Jan'19-Ghislain KIKANDA 9%</t>
  </si>
  <si>
    <t>Salaire-Ghislain KIKANDA ABEDI 9%</t>
  </si>
  <si>
    <t>DGI-Ghislain KIKANDA ABEDI 9%</t>
  </si>
  <si>
    <t>CNSS-Ghislain KIKANDA ABEDI 9%</t>
  </si>
  <si>
    <t>ONEM-Ghislain KIKANDA ABEDI</t>
  </si>
  <si>
    <t>INPP-Ghislain KIKANDA ABEDI 9%</t>
  </si>
  <si>
    <t>Salaire-Jerome Mondo Kambere</t>
  </si>
  <si>
    <t>KAE</t>
  </si>
  <si>
    <t>Salaire Jan'19-Christian MBONEKUBE 10%</t>
  </si>
  <si>
    <t>MBO</t>
  </si>
  <si>
    <t>SIB</t>
  </si>
  <si>
    <t>S Jeanbosco  5%</t>
  </si>
  <si>
    <t>INSS-Jerome Mondo Kambere</t>
  </si>
  <si>
    <t>CNSS Jan'19-Christian MBONEKUBE 10%</t>
  </si>
  <si>
    <t>INPP-Jerome Mondo Kambere</t>
  </si>
  <si>
    <t>INPP Jan'19-Christian MBONEKUBE 10%</t>
  </si>
  <si>
    <t>ONEM-Jerome Mondo Kambere</t>
  </si>
  <si>
    <t>IPR Fév'19-Christian MBONEKUBE 10%</t>
  </si>
  <si>
    <t>Salaire-Christian MUTOKAMBALI</t>
  </si>
  <si>
    <t>CNSS Fév'19-Christian MBONEKUBE 10%</t>
  </si>
  <si>
    <t>ONEM Jan'19-Christian MBONEKUBE 10%</t>
  </si>
  <si>
    <t>INPP Fév'19-Christian MBONEKUBE 10%</t>
  </si>
  <si>
    <t>DGI-Christian MUTOKAMBALI MBONEKUBE 10%</t>
  </si>
  <si>
    <t>Salaire-Christian MUTOKAMBALI MBONEKUBE 10%</t>
  </si>
  <si>
    <t>CNSS-Christian MUTOKAMBALI MBONEKUBE 10%</t>
  </si>
  <si>
    <t>ONEM-Christian MUTOKAMBALI MBONEKUBE</t>
  </si>
  <si>
    <t>INPP-Christian MUTOKAMBALI MBONEKUBE 10%</t>
  </si>
  <si>
    <t>Salaire Jan'19-Georgine BAMUNOBA 15%</t>
  </si>
  <si>
    <t>BAM</t>
  </si>
  <si>
    <t>Salaire Jan'19-Verre KILAURI 15%</t>
  </si>
  <si>
    <t>KIA</t>
  </si>
  <si>
    <t>Salaire-Bienvenu MAKURU AMANI</t>
  </si>
  <si>
    <t>SEN</t>
  </si>
  <si>
    <t>Salaire-Jacques Zigabe Buhendwa</t>
  </si>
  <si>
    <t>BUE</t>
  </si>
  <si>
    <t>Salaire-Adolphine KAVIRA KAMBASU</t>
  </si>
  <si>
    <t>KAS</t>
  </si>
  <si>
    <t>Salaire-Esperance CHIDOROMI SIFA</t>
  </si>
  <si>
    <t>SIF</t>
  </si>
  <si>
    <t>Salaire-Barnabe Wangu Wabo</t>
  </si>
  <si>
    <t>BRB</t>
  </si>
  <si>
    <t>Salaire Jan'19-Marina FURAHA AMANI 25%</t>
  </si>
  <si>
    <t>FUR</t>
  </si>
  <si>
    <t>CNSS Jan'19-Marina FURAHA AMANI 25%</t>
  </si>
  <si>
    <t>INSS-Jacques Zigabe Buhendwa</t>
  </si>
  <si>
    <t>CNSS Jan'19-Georgine BAMUNOBA 15%</t>
  </si>
  <si>
    <t>CNSS Jan'19-Verre KILAURI 15%</t>
  </si>
  <si>
    <t>INSS-Adolphine KAVIRA KAMBASU</t>
  </si>
  <si>
    <t>INSS-Esperance CHIDOROMI SIFA</t>
  </si>
  <si>
    <t>INSS-Barnabe Wangu Wabo</t>
  </si>
  <si>
    <t>ONEM-Adolphine KAVIRA KAMBASU</t>
  </si>
  <si>
    <t>ONEM-Esperance CHIDOROMI SIFA</t>
  </si>
  <si>
    <t>ONEM-Barnabe Wangu Wabo</t>
  </si>
  <si>
    <t>INPP Jan'19-Marina FURAHA AMANI 25%</t>
  </si>
  <si>
    <t>INPP-Adolphine KAVIRA KAMBASU</t>
  </si>
  <si>
    <t>INPP-Esperance CHIDOROMI SIFA</t>
  </si>
  <si>
    <t>INPP-Barnabe Wangu Wabo</t>
  </si>
  <si>
    <t>INPP Jan'19-Georgine BAMUNOBA 15%</t>
  </si>
  <si>
    <t>INPP Jan'19-Verre KILAURI 15%</t>
  </si>
  <si>
    <t>INPP-Bienvenu MAKURU AMANI</t>
  </si>
  <si>
    <t>INPP-Jacques Zigabe Buhendwa</t>
  </si>
  <si>
    <t>ONEM-Bienvenu MAKURU AMANI</t>
  </si>
  <si>
    <t>ONEM-Jacques Zigabe Buhendwa</t>
  </si>
  <si>
    <t>IPR Fév'19-Marina FURAHA AMANI 25%</t>
  </si>
  <si>
    <t>Salaire-Georgine BAMUNOBA TIBANAGWA</t>
  </si>
  <si>
    <t>Salaire-Marina FURAHA AMANI</t>
  </si>
  <si>
    <t>IPR Fév'19-Georgine BAMUNOBA 15%</t>
  </si>
  <si>
    <t>IPR Fév'19-Verre KILAURI 15%</t>
  </si>
  <si>
    <t>Salaire-Verre KILAURI  BANYWESIZE</t>
  </si>
  <si>
    <t>CNSS Fév'19-Marina FURAHA AMANI 25%</t>
  </si>
  <si>
    <t>CNSS Fév'19-Georgine BAMUNOBA 15%</t>
  </si>
  <si>
    <t>CNSS Fév'19-Verre KILAURI 15%</t>
  </si>
  <si>
    <t>ONEM Jan'19-Marina FURAHA AMANI 25%</t>
  </si>
  <si>
    <t>INPP Fév'19-Georgine BAMUNOBA 15%</t>
  </si>
  <si>
    <t>INPP Fév'19-Verre KILAURI 15%</t>
  </si>
  <si>
    <t>ONEM Jan'19-Georgine BAMUNOBA 15%</t>
  </si>
  <si>
    <t>ONEM Jan'19-Verre KILAURI 15%</t>
  </si>
  <si>
    <t>INPP Fév'19-Marina FURAHA AMANI 25%</t>
  </si>
  <si>
    <t>Salaire-Georgine BAMUNOBA TIBANAGWA 20%</t>
  </si>
  <si>
    <t>DGI-Marina FURAHA AMANI 30%</t>
  </si>
  <si>
    <t>Salaire-Verre KILAURI  BANYWESIZE 30%</t>
  </si>
  <si>
    <t>DGI-Georgine BAMUNOBA TIBANAGWA 20%</t>
  </si>
  <si>
    <t>DGI-Verre KILAURI  BANYWESIZE 30%</t>
  </si>
  <si>
    <t>Salaire-Marina FURAHA AMANI 30%</t>
  </si>
  <si>
    <t>CNSS-Marina FURAHA AMANI 30%</t>
  </si>
  <si>
    <t>INSS-Bienvenu MAKURU AMANI</t>
  </si>
  <si>
    <t>CNSS-Verre KILAURI  BANYWESIZE 30%</t>
  </si>
  <si>
    <t>CNSS-Georgine BAMUNOBA TIBANAGWA 20%</t>
  </si>
  <si>
    <t>ONEM-Georgine BAMUNOBA TIBANAGWA</t>
  </si>
  <si>
    <t>ONEM-Marina FURAHA AMANI</t>
  </si>
  <si>
    <t>INPP-Marina FURAHA AMANI 30%</t>
  </si>
  <si>
    <t>ONEM-Verre KILAURI  BANYWESIZE</t>
  </si>
  <si>
    <t>INPP-Georgine BAMUNOBA TIBANAGWA 20%</t>
  </si>
  <si>
    <t>INPP-Verre KILAURI  BANYWESIZE 30%</t>
  </si>
  <si>
    <t>DRCGOM/ BANQUE/2019/001/013</t>
  </si>
  <si>
    <t>Soins medicaux Jerry</t>
  </si>
  <si>
    <t>5140</t>
  </si>
  <si>
    <t>WIT</t>
  </si>
  <si>
    <t>Soins medicaux Nathalie</t>
  </si>
  <si>
    <t>MHO</t>
  </si>
  <si>
    <t>DRCGOM/ BANQUE/2019/002/002</t>
  </si>
  <si>
    <t>Soins med Jerry Jan'19</t>
  </si>
  <si>
    <t>DRCBUK/BANK/2019/02/006</t>
  </si>
  <si>
    <t>Med fees Jan'19 Christian MBONEKUBE 10%</t>
  </si>
  <si>
    <t>Med fees Jan'19 Ghislain KIKANDA 9%</t>
  </si>
  <si>
    <t>Med fees Jan'19 Barnabé WANGU 10%</t>
  </si>
  <si>
    <t>Med fees Jan'19 FURAHA MARINA 75%</t>
  </si>
  <si>
    <t>DRCBUK/BANK/2019/02/010</t>
  </si>
  <si>
    <t>DRCGOM/ BANQUE/2019/002/018</t>
  </si>
  <si>
    <t>Soins medic Jerry Janvier'19</t>
  </si>
  <si>
    <t>Soins medic Jerome Janvier'19</t>
  </si>
  <si>
    <t>Soins medic Esperance Janvier'19</t>
  </si>
  <si>
    <t>Soins medic Bienvenu Janvier'19</t>
  </si>
  <si>
    <t>DRCBUK/BANK/2019/03/007</t>
  </si>
  <si>
    <t>soins méd Fév 19-Kilauri Verre</t>
  </si>
  <si>
    <t>soins méd Fév 19-NYAMUSHALA Papson</t>
  </si>
  <si>
    <t>DRCGOM/ BANQUE/2019/003/012</t>
  </si>
  <si>
    <t>Soins Médicaux Esperance-Fév 19</t>
  </si>
  <si>
    <t>Soins Médicaux Adolphine-Fév 19</t>
  </si>
  <si>
    <t>Soins Médicaux Jerome -Fév 19</t>
  </si>
  <si>
    <t>DRCBUK/CAISSE/2019/03/003</t>
  </si>
  <si>
    <t>Rmbst frais soins medicaux</t>
  </si>
  <si>
    <t>DRCBUK/BANK/2019/03/005</t>
  </si>
  <si>
    <t>Perdiem de 4 candidat points focaux UNPBF</t>
  </si>
  <si>
    <t>5350</t>
  </si>
  <si>
    <t>ZZZ</t>
  </si>
  <si>
    <t>Transport de 4 candidat points focaux UNPBF</t>
  </si>
  <si>
    <t>DRCBUK/BANK/2019/03/028</t>
  </si>
  <si>
    <t>Logement candidat au test Pt focaux UNPBF</t>
  </si>
  <si>
    <t>DRCBUK/BANK/2019/03/018</t>
  </si>
  <si>
    <t>Frs de Transport 4candidats pt focaux-interview</t>
  </si>
  <si>
    <t>6120</t>
  </si>
  <si>
    <t>Frs de voyage 4candidats pt focaux-interview</t>
  </si>
  <si>
    <t>6180</t>
  </si>
  <si>
    <t>DRCGOM/GENJNL/2019/002/010</t>
  </si>
  <si>
    <t xml:space="preserve"> Loyer Christine Fevrier 2019</t>
  </si>
  <si>
    <t>5130</t>
  </si>
  <si>
    <t>DRCBUK/BANK/2019/03/032</t>
  </si>
  <si>
    <t>Pmt loyer GeorgeMars-Juin19</t>
  </si>
  <si>
    <t>DRCBUK/BANK/2019/03/020</t>
  </si>
  <si>
    <t>Conso Carbur generateur rés George</t>
  </si>
  <si>
    <t>Conso carbur Véhicule</t>
  </si>
  <si>
    <t>8250</t>
  </si>
  <si>
    <t>DRCBUK/GENJNL/2019/01/002</t>
  </si>
  <si>
    <t>Frais Transp local Taxe au port</t>
  </si>
  <si>
    <t>6020</t>
  </si>
  <si>
    <t>Boat Ticket Jan'19 Ghislain</t>
  </si>
  <si>
    <t>DRCBUK/GENJNL/2019/02/003</t>
  </si>
  <si>
    <t>Frais frontaliers Péage Route 50%</t>
  </si>
  <si>
    <t>Frais frontaliers CE Buja 50%</t>
  </si>
  <si>
    <t>Lgmt à Baraka 13-15/2/2019 3STAFFS ALERT 50%</t>
  </si>
  <si>
    <t>6030</t>
  </si>
  <si>
    <t>Lgmt à Bujumbura 17/2/2019  3 STAFFS ALERT 50%</t>
  </si>
  <si>
    <t>DRCBUK/BANK/2019/02/013</t>
  </si>
  <si>
    <t>Logmt Jean Bosco 4-7/02/2019 Buvaku 40%</t>
  </si>
  <si>
    <t>Frais de restauration 11-18 fév 2019 Nathalie 50%</t>
  </si>
  <si>
    <t>6080</t>
  </si>
  <si>
    <t>Frais de restauration 11-18 fév 2019 Cishib 50%</t>
  </si>
  <si>
    <t>Frais de restauration 11-18 fév 2019 Joseph 50%</t>
  </si>
  <si>
    <t>DRCGOM/GENJNL/2019/002/003</t>
  </si>
  <si>
    <t>Frs voy JeanBosco 4-8 fev 2019</t>
  </si>
  <si>
    <t>Achat Gasoil 20litres véhicule 50%</t>
  </si>
  <si>
    <t>DRCBUK/BANK/2019/03/008</t>
  </si>
  <si>
    <t>Ticket Boat Jean Bosco</t>
  </si>
  <si>
    <t>DRCBUK/BANK/2019/03/010</t>
  </si>
  <si>
    <t>Logmt Hotel Nathalie Muh 15-17/02-Uvira</t>
  </si>
  <si>
    <t>Logmt Hotel Cishibanji Chris 15-17/02-Uvira</t>
  </si>
  <si>
    <t>CCI</t>
  </si>
  <si>
    <t>Logmt Hotel Joseph MIRINDI 15-17/02-Uvira</t>
  </si>
  <si>
    <t>MUN</t>
  </si>
  <si>
    <t>DRCGOM/ BANQUE/2019/003/026</t>
  </si>
  <si>
    <t>Lgmt Mbonekube GM 19-27/03</t>
  </si>
  <si>
    <t>DRCBUK/GENJNL/2019/03/011</t>
  </si>
  <si>
    <t>Frs de voyage Mbonekube 19-17/03-Goma</t>
  </si>
  <si>
    <t>DRCBUK/BANK/2019/02/017</t>
  </si>
  <si>
    <t>Pmt Imprimante Scaner Photocopieuse MF 411dw</t>
  </si>
  <si>
    <t>8340</t>
  </si>
  <si>
    <t>Achat 2 cartouches imprimante</t>
  </si>
  <si>
    <t>8100</t>
  </si>
  <si>
    <t>DRCGOM/ BANQUE/2019/001/003</t>
  </si>
  <si>
    <t>Honoraires Midagu Jan'18</t>
  </si>
  <si>
    <t>6190</t>
  </si>
  <si>
    <t>DRCGOM/ BANQUE/2019/002/003</t>
  </si>
  <si>
    <t>Honoraire Midagu 12/01-12/02</t>
  </si>
  <si>
    <t>DRCGOM/CAISSE/2019/003/001</t>
  </si>
  <si>
    <t>Frais de vacation mission Kin</t>
  </si>
  <si>
    <t>DRCGOM/ BANQUE/2019/003/011</t>
  </si>
  <si>
    <t>Honoraire Midagu 12/02-12/03 35%</t>
  </si>
  <si>
    <t>DRCBUK/BANK/2019/02/003</t>
  </si>
  <si>
    <t>Pmt loyer office Bukavu 01fév-31mai'19 5%</t>
  </si>
  <si>
    <t>8200</t>
  </si>
  <si>
    <t>Pymt Fact électricité janv.2019 18%</t>
  </si>
  <si>
    <t>8220</t>
  </si>
  <si>
    <t>Pymt fact eau jan'19 18%</t>
  </si>
  <si>
    <t>8240</t>
  </si>
  <si>
    <t>Ramassage des ordures janv.19 18%</t>
  </si>
  <si>
    <t>8260</t>
  </si>
  <si>
    <t>DRCBUK/CAISSE/2019/02/002</t>
  </si>
  <si>
    <t>Ramassage des ordures Fév.19 18%</t>
  </si>
  <si>
    <t>Matériel entretien sonerie Bureau 18%</t>
  </si>
  <si>
    <t>8430</t>
  </si>
  <si>
    <t>DRCBUK/BANK/2019/02/014</t>
  </si>
  <si>
    <t>Matériels plomberie répartaration fuite bureau 18%</t>
  </si>
  <si>
    <t>DRCBUK/BANK/2019/03/001</t>
  </si>
  <si>
    <t>Pmt Consultant Elect-Plomb Fév'19 Landry18%</t>
  </si>
  <si>
    <t>Consommation d'eau mois de Février 2019</t>
  </si>
  <si>
    <t>DRCBUK/CAISSE/2019/03/002</t>
  </si>
  <si>
    <t>Entretien portail bureau</t>
  </si>
  <si>
    <t>DRCGOM/ BANQUE/2019/001/014</t>
  </si>
  <si>
    <t>Security Christine  Janv 2019</t>
  </si>
  <si>
    <t>DRCGOM/ BANQUE/2019/002/019</t>
  </si>
  <si>
    <t>Security Christine  Febr 2019</t>
  </si>
  <si>
    <t>DRCBUK/BANK/2019/03/025</t>
  </si>
  <si>
    <t>Sécurité Résidence George-Mars 19</t>
  </si>
  <si>
    <t>DRCBUK/CAISSE/2019/01/002</t>
  </si>
  <si>
    <t>Eau minerale 10%</t>
  </si>
  <si>
    <t>Fornitures cafétariat Bureau 10%</t>
  </si>
  <si>
    <t>Eau minerale bureau 10%</t>
  </si>
  <si>
    <t>thé pour bureau 10%</t>
  </si>
  <si>
    <t>Café pour bureau 10%</t>
  </si>
  <si>
    <t>Tapis pour vehicules 10%</t>
  </si>
  <si>
    <t>Eau minèrale pour bureau</t>
  </si>
  <si>
    <t>DRCGOM/ BANQUE/2019/001/001</t>
  </si>
  <si>
    <t>Internet Bukavu Office January 2019</t>
  </si>
  <si>
    <t>8030</t>
  </si>
  <si>
    <t>DRCGOM/ BANQUE/2019/001/009</t>
  </si>
  <si>
    <t>Internet Bukavu Office Feb 2019</t>
  </si>
  <si>
    <t>Abonnement fév.2019 20%</t>
  </si>
  <si>
    <t>DRCGOM/ BANQUE/2019/002/024</t>
  </si>
  <si>
    <t>Internet Bukavu Office February 2019</t>
  </si>
  <si>
    <t>DRCGOM/ BANQUE/2019/003/022</t>
  </si>
  <si>
    <t>Internet Bukavu Office April 2019</t>
  </si>
  <si>
    <t>DRCBUK/BANK/2019/01/030</t>
  </si>
  <si>
    <t>Frais de retrait de chèque 4%</t>
  </si>
  <si>
    <t>CCION DE TRANSFERT SIEGE4%</t>
  </si>
  <si>
    <t>Cout achat LIC DEC0662543-BBD 4%</t>
  </si>
  <si>
    <t>CCION DE TRANSFERT4%</t>
  </si>
  <si>
    <t>DRCBUK/BANK/2019/02/023</t>
  </si>
  <si>
    <t>Ccion/ SALAIRE JAN'19 STAFF 4%</t>
  </si>
  <si>
    <t>Frais de gestion/Compte Papson</t>
  </si>
  <si>
    <t>TVA Frais de gestion/Compte Papson</t>
  </si>
  <si>
    <t>CCION Tansfert INTL ALERT CHARITY 4%</t>
  </si>
  <si>
    <t>DRCGOM/ BANQUE/2019/003/028</t>
  </si>
  <si>
    <t>Frais bancaires pmt internet Bk office</t>
  </si>
  <si>
    <t>DRCBUK/BANK/2019/03/033</t>
  </si>
  <si>
    <t>Frais de retrait de chèque</t>
  </si>
  <si>
    <t>Frs demande de solde+TVA</t>
  </si>
  <si>
    <t>Abonnement BCDC net light 1%</t>
  </si>
  <si>
    <t>CION TRANSFERT 1%</t>
  </si>
  <si>
    <t>Frais de retrait de chèque 1%</t>
  </si>
  <si>
    <t>Comision Valid+TVA 1%</t>
  </si>
  <si>
    <t>DRCBUK/GENJNL/2019/03/014</t>
  </si>
  <si>
    <t>Frs de voyage Ghislain 25-27/03-Uvira</t>
  </si>
  <si>
    <t>DRCBUK/BANK/2019/02/015</t>
  </si>
  <si>
    <t>Rbsment frais de transport participants</t>
  </si>
  <si>
    <t>6220</t>
  </si>
  <si>
    <t>Rbsment frais logmt Partenaire ADED Gilbert</t>
  </si>
  <si>
    <t>6230</t>
  </si>
  <si>
    <t>Pmt frais restauration 4 Partenaires SVH et ADED</t>
  </si>
  <si>
    <t>6280</t>
  </si>
  <si>
    <t>DRCBUK/BANK/2019/03/011</t>
  </si>
  <si>
    <t>Logement 2staff  partenaire SVH18-19/02-BUK</t>
  </si>
  <si>
    <t>Logement 1staff  partenaire ADED 18-19/02-BUK</t>
  </si>
  <si>
    <t>Salaire-Jerry WITANDAYI IYANYA</t>
  </si>
  <si>
    <t>INSS-Jerry WITANDAYI IYANYA</t>
  </si>
  <si>
    <t>INPP-Jerry WITANDAYI IYANYA</t>
  </si>
  <si>
    <t>ONEM-Jerry WITANDAYI IYANYA</t>
  </si>
  <si>
    <t>L Williams 15%</t>
  </si>
  <si>
    <t>WIA</t>
  </si>
  <si>
    <t>Feb OH '19</t>
  </si>
  <si>
    <t>OVERHEAD CHG FEB'19</t>
  </si>
  <si>
    <t>9910</t>
  </si>
  <si>
    <t>G</t>
  </si>
  <si>
    <t>Mar OH '19</t>
  </si>
  <si>
    <t>300</t>
  </si>
  <si>
    <t>DRCBUK/BANK/2019/03/013</t>
  </si>
  <si>
    <t>Avance 1ère Tranche ADED projet CAM</t>
  </si>
  <si>
    <t>6401</t>
  </si>
  <si>
    <t>PAPU</t>
  </si>
  <si>
    <t>DRCBUK/BANK/2019/03/014</t>
  </si>
  <si>
    <t>Avance 1ère Tranche BVES projet CAM</t>
  </si>
  <si>
    <t>PBVE</t>
  </si>
  <si>
    <t>DRCBUK/BANK/2019/03/015</t>
  </si>
  <si>
    <t>Avance 1ère Tranche SVH projet CAM</t>
  </si>
  <si>
    <t>PSOL</t>
  </si>
  <si>
    <t>Total</t>
  </si>
  <si>
    <t>JUSD 19 DEC 2018</t>
  </si>
  <si>
    <t>J74697</t>
  </si>
  <si>
    <t>2019/004</t>
  </si>
  <si>
    <t>2019/006</t>
  </si>
  <si>
    <t>JPR JAN JNL</t>
  </si>
  <si>
    <t>DRCPARTNER/PAPU/AP21QR/2019/01</t>
  </si>
  <si>
    <t>Sensibilisation  jeun BASIMWENDA/BASIMUNYAKA SUD</t>
  </si>
  <si>
    <t>6470</t>
  </si>
  <si>
    <t>Réunion d'explication du projet</t>
  </si>
  <si>
    <t>DRCPARTNER/PBVE/AP21NR/2019/01</t>
  </si>
  <si>
    <t>Photocopie Aliko/fiche  reception  invitations</t>
  </si>
  <si>
    <t>Materiels  pédagogiques sélection jeunes BIJOMBO</t>
  </si>
  <si>
    <t>Location salle de réunion</t>
  </si>
  <si>
    <t>Restauration des participants</t>
  </si>
  <si>
    <t>Remboursement frais de transport participants</t>
  </si>
  <si>
    <t>Boisseau (eau, sucré)</t>
  </si>
  <si>
    <t>Location salle des réunions</t>
  </si>
  <si>
    <t>Remb. frais de transport jeunes participants</t>
  </si>
  <si>
    <t>Paiement frais de motivation jeunes facilitateurs</t>
  </si>
  <si>
    <t>Achat matériels pédagogiques</t>
  </si>
  <si>
    <t>Photocopie invitations, TDCR, Ordres de mission</t>
  </si>
  <si>
    <t>Impression calicots</t>
  </si>
  <si>
    <t>perdiem 11 jours  supervision des grp armés</t>
  </si>
  <si>
    <t>Trsprt  local Superviseur Chargé Suivi  Evaluation</t>
  </si>
  <si>
    <t>Restauration des participants/Repas et pause café</t>
  </si>
  <si>
    <t>Débat avec les jeunes</t>
  </si>
  <si>
    <t>DRCGOM/GENJNL/2019/006/006</t>
  </si>
  <si>
    <t>Frs voy Emmanuel Bkv 9-22 jun'19</t>
  </si>
  <si>
    <t>SEB</t>
  </si>
  <si>
    <t>DRCBUK/CAISSE/2019/06/02</t>
  </si>
  <si>
    <t>Photocopie et reillure de modules CAM</t>
  </si>
  <si>
    <t>6710</t>
  </si>
  <si>
    <t>2019/005</t>
  </si>
  <si>
    <t>DRCGOM/ BANQUE/2019/005/020</t>
  </si>
  <si>
    <t>Fuel Generator Banu April &amp; May'19</t>
  </si>
  <si>
    <t>Fuel Generator JeanBosco  April 2019</t>
  </si>
  <si>
    <t>JDRCGOM/ BANQUE/2019/005/020</t>
  </si>
  <si>
    <t>DRCGOM/ BANQUE/2019/006/001</t>
  </si>
  <si>
    <t>Fuel Residence JeanBosco May'19</t>
  </si>
  <si>
    <t>Réunion de Selection des jeunes chercheurs</t>
  </si>
  <si>
    <t>DRCBUK/BANK/2019/04/039</t>
  </si>
  <si>
    <t>SAL AVRIL-Papson NYAMUSHALA M 100%</t>
  </si>
  <si>
    <t>DRCBUK/BANK/2019/04/040</t>
  </si>
  <si>
    <t>IPR-Papson NYAMUSHALA MWANZA 100%</t>
  </si>
  <si>
    <t>DRCBUK/BANK/2019/04/041</t>
  </si>
  <si>
    <t>DRCBUK/CAISSE/2019/04/001</t>
  </si>
  <si>
    <t>ONEM mars'19-Papson NYAMUSHALA</t>
  </si>
  <si>
    <t>DRCBUK/BANK/2019/04/050</t>
  </si>
  <si>
    <t>DRCBUK/BANK/2019/05/018</t>
  </si>
  <si>
    <t>Salaire Mai-Papson 100%</t>
  </si>
  <si>
    <t>DRCBUK/BANK/2019/05/019</t>
  </si>
  <si>
    <t>IPR Mai-Papson 100%</t>
  </si>
  <si>
    <t>DRCBUK/BANK/2019/05/020</t>
  </si>
  <si>
    <t>CNSS Mai-Papson 100%</t>
  </si>
  <si>
    <t>DRCBUK/CAISSE/2019/05/001</t>
  </si>
  <si>
    <t>ONEM April'19-Papson NYAMUSHALA MWANZA</t>
  </si>
  <si>
    <t>DRCBUK/BANK/2019/05/021</t>
  </si>
  <si>
    <t>INPP Mai-Papson 100%</t>
  </si>
  <si>
    <t>DRCBUK/CAISSE/2019/05/003</t>
  </si>
  <si>
    <t>ONEM May'19-Papson NYAMUSHALA MWANZA</t>
  </si>
  <si>
    <t>DRCBUK/BANK/2019/06/025</t>
  </si>
  <si>
    <t>Salaire-Juin Papson NYAMUSHALA 100%</t>
  </si>
  <si>
    <t>DRCBUK/BANK/2019/06/026</t>
  </si>
  <si>
    <t>IPR-Juin Papson NYAMUSHALA 100%</t>
  </si>
  <si>
    <t>DRCBUK/BANK/2019/06/027</t>
  </si>
  <si>
    <t>CNSS-Juin Papson NYAMUSHALA 100%</t>
  </si>
  <si>
    <t>DRCBUK/BANK/2019/06/028</t>
  </si>
  <si>
    <t>INPP-Juin Papson NYAMUSHALA 100%</t>
  </si>
  <si>
    <t>DRCBUK/BANK/2019/06/003</t>
  </si>
  <si>
    <t>Honoraire consulttance pt focal Mai'19 Félix</t>
  </si>
  <si>
    <t>DRCBUK/BANK/2019/06/004</t>
  </si>
  <si>
    <t>Honoraire consulttance pt focal Mai'19 Pardo</t>
  </si>
  <si>
    <t>PR MAY JNL</t>
  </si>
  <si>
    <t>B Altunbas 25%</t>
  </si>
  <si>
    <t>HR CHG MAY 19</t>
  </si>
  <si>
    <t>HR SCF CHG MAY 19</t>
  </si>
  <si>
    <t>PR APR JNL</t>
  </si>
  <si>
    <t>HR CHG APR 19</t>
  </si>
  <si>
    <t>HR SCF CHG APR 19</t>
  </si>
  <si>
    <t>PR JUN JNL</t>
  </si>
  <si>
    <t>HR SCF CHG JUN 19</t>
  </si>
  <si>
    <t>TRU</t>
  </si>
  <si>
    <t>S Trusler 5%</t>
  </si>
  <si>
    <t>HR CHG JUN 19</t>
  </si>
  <si>
    <t>DRCGOM/ BANQUE/2019/004/022</t>
  </si>
  <si>
    <t>DRCGOM/ BANQUE/2019/004/023</t>
  </si>
  <si>
    <t>DRCGOM/ BANQUE/2019/004/024</t>
  </si>
  <si>
    <t>DRCGOM/CAISSE/2019/004/003</t>
  </si>
  <si>
    <t>DRCGOM/ BANQUE/2019/005/028</t>
  </si>
  <si>
    <t>DRCGOM/ BANQUE/2019/005/029</t>
  </si>
  <si>
    <t>CNSS-Paul MAKOMA KANYIHATA</t>
  </si>
  <si>
    <t>DRCGOM/ BANQUE/2019/005/030</t>
  </si>
  <si>
    <t>DRCGOM/CAISSE/2019/005/003</t>
  </si>
  <si>
    <t>DRCGOM/BANQUE/2019/006/013</t>
  </si>
  <si>
    <t>Salaire-Paul MAKOMA KANYIHATA 7%</t>
  </si>
  <si>
    <t>DRCGOM/BANQUE/2019/006/014</t>
  </si>
  <si>
    <t>CNSS-Paul MAKOMA KANYIHATA 7%</t>
  </si>
  <si>
    <t>DRCGOM/BANQUE/2019/006/015</t>
  </si>
  <si>
    <t>INPP-Paul MAKOMA KANYIHATA 7%</t>
  </si>
  <si>
    <t>DRCGOM/CAISSE/2019/006/003</t>
  </si>
  <si>
    <t>B Altunbas 10%</t>
  </si>
  <si>
    <t>W Ndikintum 10%</t>
  </si>
  <si>
    <t>IPR-Ghislain KIKANDA ABEDI 10%</t>
  </si>
  <si>
    <t>SAL AVRIL-Ghislain KIKANDA ABEDI 10%</t>
  </si>
  <si>
    <t>CNSS-Ghislain KIKANDA ABEDI 10%</t>
  </si>
  <si>
    <t>ONEM mars'19-Ghislain KIKANDA 9%</t>
  </si>
  <si>
    <t>INPP-Ghislain KIKANDA ABEDI 10%</t>
  </si>
  <si>
    <t>DRCBUK/BANK/2019/05/006</t>
  </si>
  <si>
    <t>Solde de Tout compte-Ghislain 10%</t>
  </si>
  <si>
    <t>ONEM April'19-Ghislain KIKANDA ABEDI</t>
  </si>
  <si>
    <t>DRCBUK/BANK/2019/06/006</t>
  </si>
  <si>
    <t>IPR Solde de Tout Compte Ghislain 10%</t>
  </si>
  <si>
    <t>DRCBUK/BANK/2019/06/007</t>
  </si>
  <si>
    <t>CNSS Solde de Tout Compte Ghislain 10%</t>
  </si>
  <si>
    <t>IA 002</t>
  </si>
  <si>
    <t>FLORE CONS FEE - MAY 2019</t>
  </si>
  <si>
    <t>IPR-Christian MUTOKAMBALI MBONEKUBE10%</t>
  </si>
  <si>
    <t>SAL AVRIL-Christian MUTOKAMBALI 10%</t>
  </si>
  <si>
    <t>CNSS-Christian MUTOKAMBALI MBONEKUBE10%</t>
  </si>
  <si>
    <t>INPP-Christian MUTOKAMBALI MBONEKUBE10%</t>
  </si>
  <si>
    <t>ONEM mars'19-Christian MBONEKUBE 10%</t>
  </si>
  <si>
    <t>Salaire Mai-MBONEKUBE 10%</t>
  </si>
  <si>
    <t>Salaire Mai-Christian CISHIBA 10%</t>
  </si>
  <si>
    <t>IPR Mai-Christian CISHIBA 10%</t>
  </si>
  <si>
    <t>IPR Mai-MBONEKUBE 10%</t>
  </si>
  <si>
    <t>CNSS Mai-MBONEKUBE 10%</t>
  </si>
  <si>
    <t>CNSS Mai-Christian CISHIBA 10%</t>
  </si>
  <si>
    <t>CNSS-Jerome Mondo Kambere</t>
  </si>
  <si>
    <t>INPP Mai-Christian CISHIBA 10%</t>
  </si>
  <si>
    <t>ONEM April'19-Christian MUTOKAMBALI</t>
  </si>
  <si>
    <t>INPP Mai-MBONEKUBE 10%</t>
  </si>
  <si>
    <t>ONEM May'19-Christian MUTOKAMBALI MBONEKUBE</t>
  </si>
  <si>
    <t>ONEM May'19-Christian CISHIBANJI CIZUNGU</t>
  </si>
  <si>
    <t>S Jeanbosco  10%</t>
  </si>
  <si>
    <t>Salaire-Juin Christian CISHIBANJI 12%</t>
  </si>
  <si>
    <t>Salaire-Juin Christian MBONEKUBE 30%</t>
  </si>
  <si>
    <t>Salaire-Jerome Mondo Kambere 25%</t>
  </si>
  <si>
    <t>IPR-Juin Christian CISHIBANJI 12%</t>
  </si>
  <si>
    <t>IPR-Juin Christian MBONEKUBE 30%</t>
  </si>
  <si>
    <t>CNSS-Juin Christian MBONEKUBE 30%</t>
  </si>
  <si>
    <t>CNSS-Juin Christian CISHIBANJI 12%</t>
  </si>
  <si>
    <t>CNSS-Jerome Mondo Kambere 25%</t>
  </si>
  <si>
    <t>DRCGOM/BANQUE/2019/006/004</t>
  </si>
  <si>
    <t>Soins Medicaux JeanBosco May 2019 5%</t>
  </si>
  <si>
    <t>INPP-Juin Christian CISHIBANJI 12%</t>
  </si>
  <si>
    <t>INPP-Juin Christian MBONEKUBE 30%</t>
  </si>
  <si>
    <t>INPP-Jerome Mondo Kambere25%</t>
  </si>
  <si>
    <t>SAL AVRIL-Marina FURAHA AMANI 35%</t>
  </si>
  <si>
    <t>IPR-Verre KILAURI  BANYWESIZE30%</t>
  </si>
  <si>
    <t>SAL AVRIL-Georgine BAMUNOBA 10%</t>
  </si>
  <si>
    <t>SAL AVRIL-Verre KILAURI  BANYWESIZE30%</t>
  </si>
  <si>
    <t>IPR-Georgine BAMUNOBA TIBANAGWA10%</t>
  </si>
  <si>
    <t>IPR-Marina FURAHA AMANI 35%</t>
  </si>
  <si>
    <t>CNSS-Marina FURAHA AMANI 35%</t>
  </si>
  <si>
    <t>CNSS-Georgine BAMUNOBA TIBANAGWA10%</t>
  </si>
  <si>
    <t>CNSS-Verre KILAURI  BANYWESIZE30%</t>
  </si>
  <si>
    <t>ONEM mars'19-Georgine BAMUNOBA 20%</t>
  </si>
  <si>
    <t>ONEM mars'19-Marina FURAHA 30%</t>
  </si>
  <si>
    <t>ONEM mars'19-Verre KILAURI 30%</t>
  </si>
  <si>
    <t>INPP-Georgine BAMUNOBA TIBANAGWA10%</t>
  </si>
  <si>
    <t>INPP-Marina FURAHA AMANI 35%</t>
  </si>
  <si>
    <t>INPP-Verre KILAURI  BANYWESIZE30%</t>
  </si>
  <si>
    <t>Salaire Mai-BAFAKUKURA 3%</t>
  </si>
  <si>
    <t>BAF</t>
  </si>
  <si>
    <t>Salaire Mai-Georgine 50%</t>
  </si>
  <si>
    <t>Salaire Mai-Joseph MIRINDI 3%</t>
  </si>
  <si>
    <t>IPR Mai-BAFAKUKURA 3%</t>
  </si>
  <si>
    <t>IPR Mai-Georgine 50%</t>
  </si>
  <si>
    <t>IPR Mai-Joseph MIRINDI 3%</t>
  </si>
  <si>
    <t>IPR Mai-Michel MIRINDI 30%</t>
  </si>
  <si>
    <t>MRI</t>
  </si>
  <si>
    <t>IPR Mai-Verre 50%</t>
  </si>
  <si>
    <t>Salaire Mai-Michel MIRINDI 30%</t>
  </si>
  <si>
    <t>IPR Mai-Marina FURAHA 40%</t>
  </si>
  <si>
    <t>Salaire Mai-Marina FURAHA 40%</t>
  </si>
  <si>
    <t>Salaire Mai-Verre 50%</t>
  </si>
  <si>
    <t>CNSS Mai-BAFAKUKURA 3%</t>
  </si>
  <si>
    <t>CNSS Mai-Georgine 50%</t>
  </si>
  <si>
    <t>CNSS Mai-Joseph MIRINDI 3%</t>
  </si>
  <si>
    <t>CNSS Mai-Marina FURAHA 40%</t>
  </si>
  <si>
    <t>CNSS Mai-Verre 50%</t>
  </si>
  <si>
    <t>CNSS Mai-Michel MIRINDI 30%</t>
  </si>
  <si>
    <t>CNSS-Adolphine KAVIRA KAMBASU</t>
  </si>
  <si>
    <t>CNSS-Esperance CHIDOROMI SIFA</t>
  </si>
  <si>
    <t>CNSS-Barnabe Wangu Wabo</t>
  </si>
  <si>
    <t>CNSS-Bienvenu MAKURU AMANI</t>
  </si>
  <si>
    <t>CNSS-Jacques Zigabe Buhendwa</t>
  </si>
  <si>
    <t>ONEM April'19-Marina FURAHA AMANI</t>
  </si>
  <si>
    <t>ONEM May'19-Michel  MIRINDI BASHWERE</t>
  </si>
  <si>
    <t>ONEM May'19-Marina FURAHA AMANI</t>
  </si>
  <si>
    <t>ONEM May'19-Verre KILAURI  BANYWESIZE</t>
  </si>
  <si>
    <t>ONEM May'19-Pascal BAFAKUKURA</t>
  </si>
  <si>
    <t>ONEM May'19-Georgine BAMUNOBA TIBANAGWA</t>
  </si>
  <si>
    <t>ONEM May'19-Joseph MIRINDI MUNGU-AKONKWA</t>
  </si>
  <si>
    <t>INPP Mai-BAFAKUKURA 3%</t>
  </si>
  <si>
    <t>INPP Mai-Georgine 50%</t>
  </si>
  <si>
    <t>INPP Mai-Joseph MIRINDI 3%</t>
  </si>
  <si>
    <t>ONEM April'19-Georgine BAMUNOBA TIBANAGWA</t>
  </si>
  <si>
    <t>ONEM April'19-Verre KILAURI  BANYWESIZE</t>
  </si>
  <si>
    <t>INPP Mai-Michel MIRINDI 30%</t>
  </si>
  <si>
    <t>INPP Mai-Marina FURAHA 40%</t>
  </si>
  <si>
    <t>INPP Mai-Verre 50%</t>
  </si>
  <si>
    <t>75340</t>
  </si>
  <si>
    <t>BANU ALTUNBAS</t>
  </si>
  <si>
    <t>GEORGE NDIKINTUM</t>
  </si>
  <si>
    <t>JEANBOSCO SIBORU</t>
  </si>
  <si>
    <t>IPR-Juin Pascal BAFAKUKURA 5%</t>
  </si>
  <si>
    <t>IPR-Georgine BAMUNOBA 50%</t>
  </si>
  <si>
    <t>IPR-Juin Joseph MIRINDI 3%</t>
  </si>
  <si>
    <t>IPR-Juin Michel MIRINDI 8%</t>
  </si>
  <si>
    <t>IPR-Juin Verre KILAURI  30%</t>
  </si>
  <si>
    <t>IPR-juin Marina FURAHA 30%</t>
  </si>
  <si>
    <t>Salaire-Bienvenu MAKURU AMANI 30%</t>
  </si>
  <si>
    <t>Salaire-Jacques Zigabe Buhendwa 30%</t>
  </si>
  <si>
    <t>Salaire-Adolphine KAVIRA KAMBASU 35%</t>
  </si>
  <si>
    <t>Salaire-Esperance CHIDOROMI SIFA 35%</t>
  </si>
  <si>
    <t>Salaire-Barnabe Wangu Wabo 18%</t>
  </si>
  <si>
    <t>Salaire-Juin Pascal BAFAKUKURA 5%</t>
  </si>
  <si>
    <t>Salaire-Georgine BAMUNOBA 50%</t>
  </si>
  <si>
    <t>Salaire-Juin Joseph MIRINDI 3%</t>
  </si>
  <si>
    <t>Salaire-Juin Michel MIRINDI 8%</t>
  </si>
  <si>
    <t>Salaire-Juin Verre KILAURI  30%</t>
  </si>
  <si>
    <t>Salaire-juin Marina FURAHA 30%</t>
  </si>
  <si>
    <t>CNSS-Juin Pascal BAFAKUKURA 5%</t>
  </si>
  <si>
    <t>CNSS-Georgine BAMUNOBA 50%</t>
  </si>
  <si>
    <t>CNSS-Juin Joseph MIRINDI 3%</t>
  </si>
  <si>
    <t>CNSS-Juin Michel MIRINDI 8%</t>
  </si>
  <si>
    <t>CNSS-Adolphine KAVIRA KAMBASU 35%</t>
  </si>
  <si>
    <t>CNSS-Esperance CHIDOROMI SIFA 35%</t>
  </si>
  <si>
    <t>CNSS-Barnabe Wangu Wabo 18%</t>
  </si>
  <si>
    <t>CNSS-juin Marina FURAHA 30%</t>
  </si>
  <si>
    <t>CNSS-Juin Verre KILAURI  30%</t>
  </si>
  <si>
    <t>CNSS-Bienvenu MAKURU AMANI 30%</t>
  </si>
  <si>
    <t>CNSS-Jacques Zigabe Buhendwa 30%</t>
  </si>
  <si>
    <t>INPP-Juin Pascal BAFAKUKURA 5%</t>
  </si>
  <si>
    <t>INPP-Georgine BAMUNOBA 50%</t>
  </si>
  <si>
    <t>INPP-Juin Joseph MIRINDI 3%</t>
  </si>
  <si>
    <t>INPP-Juin Michel MIRINDI 8%</t>
  </si>
  <si>
    <t>INPP-Adolphine KAVIRA KAMBASU 35%</t>
  </si>
  <si>
    <t>INPP-Esperance CHIDOROMI SIFA 35%</t>
  </si>
  <si>
    <t>INPP-Barnabe Wangu Wabo 18%</t>
  </si>
  <si>
    <t>INPP-juin Marina FURAHA 30%</t>
  </si>
  <si>
    <t>INPP-Juin Verre KILAURI  30%</t>
  </si>
  <si>
    <t>INPP-Bienvenu MAKURU AMANI 30%</t>
  </si>
  <si>
    <t>INPP-Jacques Zigabe Buhendwa 30%</t>
  </si>
  <si>
    <t>DRCGOM/CAISSE/2019/004/001</t>
  </si>
  <si>
    <t>Soins medicaux Jerry IYANYA Fev'19</t>
  </si>
  <si>
    <t>DRCBUK/BANK/2019/04/032</t>
  </si>
  <si>
    <t>Soins Med Ghislain Kikanda-Mars'19</t>
  </si>
  <si>
    <t>Soins Med MBONEKUBE Christian-Mars'19</t>
  </si>
  <si>
    <t>Soins Méd-Georgine BAM-Mars'19</t>
  </si>
  <si>
    <t>DRCBUK/BANK/2019/04/035</t>
  </si>
  <si>
    <t>Soins Med-Fév'19-Barnabé Wangu</t>
  </si>
  <si>
    <t>Soins Med-Mars'19-Barnabé Wangu</t>
  </si>
  <si>
    <t>DRCBUK/BANK/2019/05/008</t>
  </si>
  <si>
    <t>Soins med CISHIBANJI Christian-Avril'19</t>
  </si>
  <si>
    <t>Soins Med PapsonL-Avril'19</t>
  </si>
  <si>
    <t>Soins Med Ghislain Kikanda-Avril'19</t>
  </si>
  <si>
    <t>Soins Méd-Marina Furaha-Avril '19</t>
  </si>
  <si>
    <t>Soins Méd-KILAURI Verre-Avril '19</t>
  </si>
  <si>
    <t>DRCGOM/ BANQUE/2019/005/015</t>
  </si>
  <si>
    <t>Soins medic Jerry March &amp; April 2019 10%</t>
  </si>
  <si>
    <t>Soins medic Jerome  March &amp; April 2019 20%</t>
  </si>
  <si>
    <t>Soins medic Esper March &amp; April 2019 25%</t>
  </si>
  <si>
    <t>Soins medic Adolphine March &amp; April'19 30%</t>
  </si>
  <si>
    <t>DRCGOM/ BANQUE/2019/005/016</t>
  </si>
  <si>
    <t>Soins medic Esper March  2019 15%</t>
  </si>
  <si>
    <t>DRCBUK/BANK/2019/05/017</t>
  </si>
  <si>
    <t>Soins med Marina-Avril'19</t>
  </si>
  <si>
    <t>Soins medic.Jerry May&amp;Control Medical 40%</t>
  </si>
  <si>
    <t>Control Medical Barnabe 10%</t>
  </si>
  <si>
    <t>Soins medic.Jerome May&amp;Control Medical30%</t>
  </si>
  <si>
    <t>Soins medic.Esp May&amp;Control Medical30%</t>
  </si>
  <si>
    <t>Control Medical Bienvenu 25%</t>
  </si>
  <si>
    <t>Soins medic.Adolph May&amp;Control Medical30%</t>
  </si>
  <si>
    <t>Control Medical Jacques 25%</t>
  </si>
  <si>
    <t>DRCBUK/BANK/2019/06/016</t>
  </si>
  <si>
    <t>Soins Med  Papson  Mai'19</t>
  </si>
  <si>
    <t>Soins Med pascal -Mai'19</t>
  </si>
  <si>
    <t>Soins Méd-Marina Furaha-MAI '19</t>
  </si>
  <si>
    <t>DRCGOM/BANQUE/2019/006/012</t>
  </si>
  <si>
    <t>Med fees May'19  BARNABE  10%</t>
  </si>
  <si>
    <t>Med fees May'19  JERRY  40%</t>
  </si>
  <si>
    <t>Med fees May'19  JEROME  30%</t>
  </si>
  <si>
    <t>DRCGOM/ BANQUE/2019/004/014</t>
  </si>
  <si>
    <t>Integrated  Workshop-Kenya Barnabe15%</t>
  </si>
  <si>
    <t>5400</t>
  </si>
  <si>
    <t>DRCBUK/BANK/2019/05/002</t>
  </si>
  <si>
    <t>Frs de logement MWETAMINWA 09-16/04-BUK</t>
  </si>
  <si>
    <t>6130</t>
  </si>
  <si>
    <t>Frs de logement SEBATUTSI Felix-09-17/04-BUK</t>
  </si>
  <si>
    <t>Rmbt Frais de transport</t>
  </si>
  <si>
    <t>Rmbt Frais Restaur 1 au 8 Mai 2019</t>
  </si>
  <si>
    <t>Rmbt Frais Restaur 3 au 8 Mai 2019</t>
  </si>
  <si>
    <t>Badgets provisoirs pour les points focaux</t>
  </si>
  <si>
    <t>DRCBUK/BANK/2019/04/027</t>
  </si>
  <si>
    <t>Pmt IRL loyer George Mars-Juin19 12%</t>
  </si>
  <si>
    <t>DRCGOM/ BANQUE/2019/004/016</t>
  </si>
  <si>
    <t>Loyer Banu 15 May-15 July 2019 15%</t>
  </si>
  <si>
    <t>DRCGOM/ BANQUE/2019/004/021</t>
  </si>
  <si>
    <t>IRL Loyer Banu 15 April-15 July 2019 5%</t>
  </si>
  <si>
    <t>DRCGOM/CAISSE/2019/005/001</t>
  </si>
  <si>
    <t>Compl IRL loyer Christine</t>
  </si>
  <si>
    <t>DRCBUK/GENJNL/2019/05/009</t>
  </si>
  <si>
    <t>Frs de transport  Goerge -R&amp;R</t>
  </si>
  <si>
    <t>6010</t>
  </si>
  <si>
    <t>Frs de logement Goerge 10-17/04-R&amp;R</t>
  </si>
  <si>
    <t>Frs de voyage George 19-16/04 R&amp;R</t>
  </si>
  <si>
    <t>Reparation generateur Christine</t>
  </si>
  <si>
    <t>DRCGOM/BANQUE/2019/006/010</t>
  </si>
  <si>
    <t>Pmt loyer Résidence JB Mai-Août 2019 14%</t>
  </si>
  <si>
    <t>DRCBUK/BANK/2019/06/030</t>
  </si>
  <si>
    <t>Loyer Juin-Sept'19 Résidence George</t>
  </si>
  <si>
    <t>DRCGOM/GENJNL/2019/005/001</t>
  </si>
  <si>
    <t>Taxi JeanBosco Kigali-Gisenyi</t>
  </si>
  <si>
    <t>DRCGOM/ BANQUE/2019/005/027</t>
  </si>
  <si>
    <t>TKT Banu Kigali Gisenyi 15%</t>
  </si>
  <si>
    <t>Billet avion Banu Istambul -Kigali 15%</t>
  </si>
  <si>
    <t>Lgmt Banu  Kigali 18-19 May 2019 15%</t>
  </si>
  <si>
    <t>Accommodation bed and break fast</t>
  </si>
  <si>
    <t>Visa entrée Rwanda Banu 15%</t>
  </si>
  <si>
    <t>6050</t>
  </si>
  <si>
    <t>Visa Sortie Retour JB SIBORUREMA 25%</t>
  </si>
  <si>
    <t>Frs voy Jeanbosco kigali 18-24 Apr'19</t>
  </si>
  <si>
    <t>Frs voy Banu 7-13/05/2019 R&amp;R 15%</t>
  </si>
  <si>
    <t>DRCGOM/CAISSE/2019/005/002</t>
  </si>
  <si>
    <t>Sport center membership JeanBosco</t>
  </si>
  <si>
    <t>8110</t>
  </si>
  <si>
    <t>DRCBUK/GENJNL/2019/04/002</t>
  </si>
  <si>
    <t>Carburant au terrain pour le vehicule</t>
  </si>
  <si>
    <t>DRCBUK/BANK/2019/05/010</t>
  </si>
  <si>
    <t>Frs carbur Generateur bureau-Avril'19</t>
  </si>
  <si>
    <t>Frs carbur Vehicul -Avril'19</t>
  </si>
  <si>
    <t>DRCBUK/BANK/2019/05/011</t>
  </si>
  <si>
    <t>Entretien Mob 04-7070 AC/19</t>
  </si>
  <si>
    <t>DRCBUK/BANK/2019/06/031</t>
  </si>
  <si>
    <t>Carburant Véhicules-Mai 2019</t>
  </si>
  <si>
    <t>DRCBUK/GENJNL/2019/05/019</t>
  </si>
  <si>
    <t>Achat carté Sortie DRC- entréé RWD  15%</t>
  </si>
  <si>
    <t>9580</t>
  </si>
  <si>
    <t>DRCBUK/BANK/2019/06/005</t>
  </si>
  <si>
    <t>Assurance veh7077 AC/19 Juin019-Juin020</t>
  </si>
  <si>
    <t>Ass comesa veh6341AE/19 Juin019-Juin020</t>
  </si>
  <si>
    <t>Ass comesa veh 7077AC/19 Juin019-Juin020</t>
  </si>
  <si>
    <t>DRCBUK/CAISSE/2019/06/04</t>
  </si>
  <si>
    <t>Contrôle technique LC 7077 AC/19</t>
  </si>
  <si>
    <t>DRCBUK/BANK/2019/04/018</t>
  </si>
  <si>
    <t>Frs Rbt Transport Aller-Retour Felix</t>
  </si>
  <si>
    <t>Frs Rbt Trqnsport Aller-Retour Pardo</t>
  </si>
  <si>
    <t>Frais de voyage point focal Felix09-17/04-BUK</t>
  </si>
  <si>
    <t>Frais de voyage point focal Pardo 09-17/04-BUK</t>
  </si>
  <si>
    <t>Frs voy Barnabe Bukavu 12/5-16/5</t>
  </si>
  <si>
    <t>Frais de voyage Barnabe BKv 16-18</t>
  </si>
  <si>
    <t>DRCGOM/GENJNL/2019/005/010</t>
  </si>
  <si>
    <t>Frs voy Barnabe Bukavu 28/4-01/05</t>
  </si>
  <si>
    <t>DRCBUK/BANK/2019/05/029</t>
  </si>
  <si>
    <t>Lgmt 1-7 May'19 Pardo Mwetaminwa</t>
  </si>
  <si>
    <t>Lgmt 4-7 May'19 Serugayi Felix</t>
  </si>
  <si>
    <t>DRCGOM/BANQUE/2019/006/007</t>
  </si>
  <si>
    <t>Fly ticket Banu Kinshasa-Kigali 40%</t>
  </si>
  <si>
    <t>DRCGOM/BANQUE/2019/006/005</t>
  </si>
  <si>
    <t>Boat Ticket JeanBosco Goma-Bukavu</t>
  </si>
  <si>
    <t>Boat Ticket Jerry  Goma-Bukavu</t>
  </si>
  <si>
    <t>DRCGOM/BANQUE/2019/006/017</t>
  </si>
  <si>
    <t>Accommodatioin Eric Ciza 16-22/06/19- 25%</t>
  </si>
  <si>
    <t>IRE</t>
  </si>
  <si>
    <t>DRCGOM/BANQUE/2019/006/003</t>
  </si>
  <si>
    <t>Lgmt Banu Kinshasa 7-12/05 40%</t>
  </si>
  <si>
    <t>DRCBUK/BANK/2019/06/014</t>
  </si>
  <si>
    <t>Frs de logement Jerry 27-30/05-BUK</t>
  </si>
  <si>
    <t>Frs de logement Buhashe Pascal 27-30/05-BUK</t>
  </si>
  <si>
    <t>CIB</t>
  </si>
  <si>
    <t>DRCBUK/BANK/2019/06/033</t>
  </si>
  <si>
    <t>Logement Jean bosco 28-30/05-BUK</t>
  </si>
  <si>
    <t>DRCGOM/GENJNL/2019/006/009</t>
  </si>
  <si>
    <t>Frs voy Jerome Bukavu 16-22/06</t>
  </si>
  <si>
    <t>DRCBUK/GENJNL/2019/06/013</t>
  </si>
  <si>
    <t>Frs de mission Eric 16-22/06-Goma</t>
  </si>
  <si>
    <t>Perdiem du 23 au 27 juin 2019</t>
  </si>
  <si>
    <t>Frs voy Goma George 17-25 Jun'19</t>
  </si>
  <si>
    <t>DRCGOM/GENJNL/2019/006/004</t>
  </si>
  <si>
    <t>Frs voy Banu 13-16/06 Kinshasa</t>
  </si>
  <si>
    <t>Restauration des participant SMT</t>
  </si>
  <si>
    <t>6650</t>
  </si>
  <si>
    <t>DRCBUK/BANK/2019/06/032</t>
  </si>
  <si>
    <t>Maintenance toilette bureau 38%</t>
  </si>
  <si>
    <t>8420</t>
  </si>
  <si>
    <t>Reparation lap top Barnabé 20%</t>
  </si>
  <si>
    <t>8450</t>
  </si>
  <si>
    <t>DRCGOM/ BANQUE/2019/004/019</t>
  </si>
  <si>
    <t>Billet avion Migagu Goma Kin 24 Jan'19 15%</t>
  </si>
  <si>
    <t>DRCGOM/ BANQUE/2019/004/007</t>
  </si>
  <si>
    <t>Honoraire Midagu 12/03-12 April'19 5%</t>
  </si>
  <si>
    <t>DRCGOM/ BANQUE/2019/005/017</t>
  </si>
  <si>
    <t>Honoraire Midagu 12 Apr-12 May 2019 15%</t>
  </si>
  <si>
    <t>DRCGOM/BANQUE/2019/006/006</t>
  </si>
  <si>
    <t>Honoraire Midagu 12 May-12 Jun'19 23%</t>
  </si>
  <si>
    <t>DRCBUK/BANK/2019/04/028</t>
  </si>
  <si>
    <t>Pmt IRL loyer office Bukavu 01fév-31mai'19 5%</t>
  </si>
  <si>
    <t>DRCBUK/BANK/2019/04/051</t>
  </si>
  <si>
    <t>Loyer Handicap International Bukavu 5%</t>
  </si>
  <si>
    <t>DRCGOM/ BANQUE/2019/005/024</t>
  </si>
  <si>
    <t>Rent Kinshasa Office April-Jun 2019 15%</t>
  </si>
  <si>
    <t>DRCBUK/BANK/2019/04/004</t>
  </si>
  <si>
    <t>Pmt Consultant Elect-Plomb Mars'19 Landr33%</t>
  </si>
  <si>
    <t>DRCBUK/BANK/2019/04/021</t>
  </si>
  <si>
    <t>IPR Occ Mars019-Tchibasu Salumu Landry</t>
  </si>
  <si>
    <t>DRCBUK/BANK/2019/04/022</t>
  </si>
  <si>
    <t>CNSS Occ Mars019-Tchibasu Salumu Landry</t>
  </si>
  <si>
    <t>DRCBUK/BANK/2019/04/044</t>
  </si>
  <si>
    <t>Pmt Consultant Elect-Plomb Avril 19 Landry18%</t>
  </si>
  <si>
    <t>DRCBUK/CAISSE/2019/04/003</t>
  </si>
  <si>
    <t>Pymt facture mois de Mars 2019 33%</t>
  </si>
  <si>
    <t>DRCBUK/CAISSE/2019/04/002</t>
  </si>
  <si>
    <t>Ramassage des ordures mars19 18%</t>
  </si>
  <si>
    <t>DRCBUK/BANK/2019/05/012</t>
  </si>
  <si>
    <t>CNSS Occ Mars-Avril'19 Consultant  Landry18%</t>
  </si>
  <si>
    <t>DRCBUK/BANK/2019/05/013</t>
  </si>
  <si>
    <t>IPR Occ Mars-Avril'19 Consultant  Landry18%</t>
  </si>
  <si>
    <t>DRCBUK/BANK/2019/05/030</t>
  </si>
  <si>
    <t>Pmt Consultant Elect-Plomb MAI 19 Landry20%</t>
  </si>
  <si>
    <t>DRCBUK/BANK/2019/05/003</t>
  </si>
  <si>
    <t>Contrôle tchnique equipements Télcom 19</t>
  </si>
  <si>
    <t>DRCBUK/CAISSE/2019/05/002</t>
  </si>
  <si>
    <t>Facture SNEL/ Bureau Avril 2019 18%</t>
  </si>
  <si>
    <t>Facture Electricité SNEL Avril 2019 20%</t>
  </si>
  <si>
    <t>Facture REGIDESO/Bureau Avril 2019 18%</t>
  </si>
  <si>
    <t>Frais Ramassage Ordures Mai 2019 20%</t>
  </si>
  <si>
    <t>DRCBUK/BANK/2019/06/008</t>
  </si>
  <si>
    <t>IPR Occ consultant elect-Plomb MAI 19 Landry 20%</t>
  </si>
  <si>
    <t>DRCBUK/BANK/2019/06/009</t>
  </si>
  <si>
    <t>CNSS Occ consultant elect-Plomb MAI 19 Landry 20%</t>
  </si>
  <si>
    <t>DRCBUK/BANK/2019/06/034</t>
  </si>
  <si>
    <t>Pmt Consultant Elect-Plomb Juin 19 Landry 20%</t>
  </si>
  <si>
    <t>DRCBUK/CAISSE/2019/06/03</t>
  </si>
  <si>
    <t>Paiement facture SNEL  mois de Mai'19</t>
  </si>
  <si>
    <t>Pmt REGIDESO  mois de Mai 2019</t>
  </si>
  <si>
    <t>DRCBUK/BANK/2019/04/045</t>
  </si>
  <si>
    <t>Sécurité Résidence George-Avril 19</t>
  </si>
  <si>
    <t>DRCBUK/BANK/2019/05/016</t>
  </si>
  <si>
    <t>Sécurité Résidence George-Mai 19</t>
  </si>
  <si>
    <t>Sécurté bureau BUK-Mai 19</t>
  </si>
  <si>
    <t>DRCBUK/BANK/2019/06/021</t>
  </si>
  <si>
    <t>Security Resid George May'19 3%</t>
  </si>
  <si>
    <t>Security Bukavu office May'19 4%</t>
  </si>
  <si>
    <t>DRCBUK/BANK/2019/05/015</t>
  </si>
  <si>
    <t>Fourn bur:cartouche 78A,737, 201,stick 8%</t>
  </si>
  <si>
    <t>Achat Eau Minerale du Bureau 10%</t>
  </si>
  <si>
    <t>Impression carnets de bon de soins</t>
  </si>
  <si>
    <t>8090</t>
  </si>
  <si>
    <t>Fournitures de bureau - 10%</t>
  </si>
  <si>
    <t>Eau minerale - 8%</t>
  </si>
  <si>
    <t>DRCBUK/BANK/2019/06/017</t>
  </si>
  <si>
    <t>Fourniture bureau Bukavu 3%</t>
  </si>
  <si>
    <t>Fournitures cafeteriat Bukavu office</t>
  </si>
  <si>
    <t>Fournitures bureau Bukavu office</t>
  </si>
  <si>
    <t>Eau minerale bureau bukavu</t>
  </si>
  <si>
    <t>DRCBUK/GENJNL/2019/06/005</t>
  </si>
  <si>
    <t>Fournitures informatiques BK office</t>
  </si>
  <si>
    <t>8360</t>
  </si>
  <si>
    <t>DRCGOM/ BANQUE/2019/004/005</t>
  </si>
  <si>
    <t>Commun. Papson  Jan&amp;Fev'19</t>
  </si>
  <si>
    <t>8010</t>
  </si>
  <si>
    <t>Commun. Barnabe Jan&amp;Fev'19 5%</t>
  </si>
  <si>
    <t>AFR021</t>
  </si>
  <si>
    <t>Commun.  George Jan&amp;Fev'19 5%</t>
  </si>
  <si>
    <t>Commun. Christine Jan&amp;Fev'19 5%</t>
  </si>
  <si>
    <t>Credit de communication Papson</t>
  </si>
  <si>
    <t>DRCGOM/ BANQUE/2019/004/015</t>
  </si>
  <si>
    <t>Internet 4g back up Feb-March-Apr'19 20%</t>
  </si>
  <si>
    <t>DRCGOM/ BANQUE/2019/004/020</t>
  </si>
  <si>
    <t>Internet Bukavu office May 2019 20%</t>
  </si>
  <si>
    <t>DRCGOM/ BANQUE/2019/005/021</t>
  </si>
  <si>
    <t>Commun. Papson  Apr'019</t>
  </si>
  <si>
    <t>Commun.  Jerry Apr'019</t>
  </si>
  <si>
    <t>Commun. Marina Apr'019</t>
  </si>
  <si>
    <t>Commun.  Cishibanji Apr'019</t>
  </si>
  <si>
    <t>Commun. Mbonekube Apr'019</t>
  </si>
  <si>
    <t>Commun. Resid. ChristineApr'019 10%</t>
  </si>
  <si>
    <t>Commun. Barnabe Apr'019 10%</t>
  </si>
  <si>
    <t>Commun.  George Apr'019 10%</t>
  </si>
  <si>
    <t>Commun.  Banu Apr'019  10%</t>
  </si>
  <si>
    <t>DRCGOM/ BANQUE/2019/005/019</t>
  </si>
  <si>
    <t>Internet Buk. office Expired 8 Jun 2019- 28%</t>
  </si>
  <si>
    <t>DRCBUK/CAISSE/2019/06/001</t>
  </si>
  <si>
    <t>Pmt  Internet Orange, Avril-Mai 19</t>
  </si>
  <si>
    <t>Fourniture de bureau -28%</t>
  </si>
  <si>
    <t>Fournitures de cafeteriat bureau Bukavu</t>
  </si>
  <si>
    <t>SOW</t>
  </si>
  <si>
    <t>N SOW 10%</t>
  </si>
  <si>
    <t>DRCBUK/GENJNL/2019/04/009</t>
  </si>
  <si>
    <t>Frs  de tranfert des fonds- Uvira</t>
  </si>
  <si>
    <t>DRCBUK/BANK/2019/04/055</t>
  </si>
  <si>
    <t>Cout achat +Comsion Val Lic DEC0683776 5%</t>
  </si>
  <si>
    <t>Frais de retrait de chèque 5%</t>
  </si>
  <si>
    <t>Frais bancaires sur Sal Mars 19 5%</t>
  </si>
  <si>
    <t>Frais de retrait de chèque 50%</t>
  </si>
  <si>
    <t>TVA Frs de gestion compte/21 5%</t>
  </si>
  <si>
    <t>CION DE TRANSFRT IRL5%</t>
  </si>
  <si>
    <t>CION DE TRANSFRT SAL AVRIL5%</t>
  </si>
  <si>
    <t>CION DE TRANSFRT CNSS5%</t>
  </si>
  <si>
    <t>DRCBUK/BANK/2019/05/032</t>
  </si>
  <si>
    <t>Frs mensuel compte staff  5%</t>
  </si>
  <si>
    <t>CION TRANSFERT 5%</t>
  </si>
  <si>
    <t>Frs de retrait cheque 5%</t>
  </si>
  <si>
    <t>Frs de modification TFR 5%</t>
  </si>
  <si>
    <t>CION DE TRANSFERT</t>
  </si>
  <si>
    <t>CION DE TRANSFERT 5%</t>
  </si>
  <si>
    <t>Frs de retrait cheque 100%</t>
  </si>
  <si>
    <t>CION VIREMENT SAL 5%</t>
  </si>
  <si>
    <t>CION DE RETRAIT 90%</t>
  </si>
  <si>
    <t>CION TRANSFRT 90%</t>
  </si>
  <si>
    <t>DRCGOM/BANQUE/2019/006/019</t>
  </si>
  <si>
    <t>CION/OV38162669/SAL STAFF 06/19</t>
  </si>
  <si>
    <t>TVA CION/OV38162669/SAL STAFF 06/19</t>
  </si>
  <si>
    <t>V/virement CION+TVA</t>
  </si>
  <si>
    <t>DRCGOM/BANQUE/2019/006/020</t>
  </si>
  <si>
    <t>Frs retrait cheque</t>
  </si>
  <si>
    <t>DRCBUK/BANK/2019/06/043</t>
  </si>
  <si>
    <t>Frs mensuel compte staff Papson 100%</t>
  </si>
  <si>
    <t>Abonnement BCDC Net light 100%</t>
  </si>
  <si>
    <t>Ccion s/OV salaire juin 2019 5%</t>
  </si>
  <si>
    <t>TVACcion s/OV salaire juin 2019 5%</t>
  </si>
  <si>
    <t>FRAIS DEMANDE CHEQUIERS 5%</t>
  </si>
  <si>
    <t>Ccion virement 5%</t>
  </si>
  <si>
    <t>Solange Animateurs Terrain ( Bukavu) Mai 19</t>
  </si>
  <si>
    <t>6410</t>
  </si>
  <si>
    <t>Samson Animateurs Terrain (à Bijombo) Mai19</t>
  </si>
  <si>
    <t>Ngonge Animateurs Terrain (à Bijombo) Mai 19</t>
  </si>
  <si>
    <t>Charles Animateurs Terrain (à Bijombo) Mai 19</t>
  </si>
  <si>
    <t>Bonneannee Chargé de Suivi et Evaluation Mai 19</t>
  </si>
  <si>
    <t>Salaire Murabazi Namegabe Juin 2019</t>
  </si>
  <si>
    <t>Rukumbuzi Superviseur Terrain Juin 2019</t>
  </si>
  <si>
    <t>Solange Animateurs Terrain ( Bukavu) Juin 19</t>
  </si>
  <si>
    <t>Samson Animateurs Terrain (à Bijombo) Juin 19</t>
  </si>
  <si>
    <t>Ngonge Animateurs Terrain (à Bijombo)  Juin 19</t>
  </si>
  <si>
    <t>Charles Animateurs Terrain (à Bijombo) Juin 19</t>
  </si>
  <si>
    <t>Bonneannee Chargé de Suivi et Evaluation Juin 19</t>
  </si>
  <si>
    <t>Achat cartouche pour imprimante</t>
  </si>
  <si>
    <t>Achat fournitures de Bureau</t>
  </si>
  <si>
    <t>Paiement  IPR</t>
  </si>
  <si>
    <t xml:space="preserve"> flash  disk et logiciel de protection (antiviris)</t>
  </si>
  <si>
    <t>Comptable</t>
  </si>
  <si>
    <t>Caissière</t>
  </si>
  <si>
    <t>Logisticienne</t>
  </si>
  <si>
    <t>Secrétaire Informaticien</t>
  </si>
  <si>
    <t>Solange Animateurs Terrain ( Bukavu)</t>
  </si>
  <si>
    <t>Samson Animateurs Terrain (à Bijombo)</t>
  </si>
  <si>
    <t>Ngonge Animateurs Terrain (à Bijombo)</t>
  </si>
  <si>
    <t>Charles Animateurs Terrain (à Bijombo)</t>
  </si>
  <si>
    <t>Chargé de Suivi et Evaluation</t>
  </si>
  <si>
    <t>Salaire Murabazi Namegabe Avril 2019</t>
  </si>
  <si>
    <t>Rukumbuzi Superviseur Terrain Avril 2019</t>
  </si>
  <si>
    <t>Solange Animateurs Terrain ( Bukavu) Avril 19</t>
  </si>
  <si>
    <t>Samson Animateurs Terrain (à Bijombo) Avril 19</t>
  </si>
  <si>
    <t>Ngonge Animateurs Terrain (à Bijombo) Avril 19</t>
  </si>
  <si>
    <t>Charles Animateurs Terrain (à Bijombo) Avril19</t>
  </si>
  <si>
    <t>Bonneannee Chargé de Suivi et Evaluation Avril 19</t>
  </si>
  <si>
    <t>Salaire Murabazi Namegabe Mai 2019</t>
  </si>
  <si>
    <t>Rukumbuzi Superviseur Terrain Mai 2019</t>
  </si>
  <si>
    <t>Frais de tenu</t>
  </si>
  <si>
    <t>TVA Collectée</t>
  </si>
  <si>
    <t>FRS RLV</t>
  </si>
  <si>
    <t>TVA S/FRSRLV</t>
  </si>
  <si>
    <t>Commission S/transfert</t>
  </si>
  <si>
    <t>Fraiq banque correspondante</t>
  </si>
  <si>
    <t>Frs OP</t>
  </si>
  <si>
    <t>TVA S/Frs OPG</t>
  </si>
  <si>
    <t>Pyt salaire CP&amp;ME mars 2019</t>
  </si>
  <si>
    <t>Pyt salaire Animateur mars 2019</t>
  </si>
  <si>
    <t>Pyt salaire Sentinelle mars 2019</t>
  </si>
  <si>
    <t>Achat Fournitures de bureau</t>
  </si>
  <si>
    <t>Achat cartes d'appel pour la communication</t>
  </si>
  <si>
    <t>Achat carburant pour moto</t>
  </si>
  <si>
    <t>Achat Ordinateur</t>
  </si>
  <si>
    <t>Frais de transfert</t>
  </si>
  <si>
    <t>Entretien moto</t>
  </si>
  <si>
    <t>Pyt salaire CP&amp;ME  Avril 2019</t>
  </si>
  <si>
    <t>Pyt salaire Animateur  Avril 2019</t>
  </si>
  <si>
    <t>Pyt salaire Gardien  Avril 2019</t>
  </si>
  <si>
    <t>Pyt Cotisation sociale CP&amp;ME Mars et  Avril 2019</t>
  </si>
  <si>
    <t>Cotisation sociale Animateur Mars et Avril 2019</t>
  </si>
  <si>
    <t>Pyt Cotisation sociale Gardien Mars et Avril 2019</t>
  </si>
  <si>
    <t xml:space="preserve"> Cotisation sociale CP&amp;ME  Mars et Avrill 2019</t>
  </si>
  <si>
    <t>Cotisation sociale Animateur Mars et  Avril 2019</t>
  </si>
  <si>
    <t>Pyt Cotisation sociale Gardien  Mars et Avril 2019</t>
  </si>
  <si>
    <t>Pyt Cotisation CP&amp;ME Mars et Avrill 2019</t>
  </si>
  <si>
    <t>Pyt Cotisation Animateur Mars et Avril 2019</t>
  </si>
  <si>
    <t>Pyt Cotisation  Gardien Mars et Avril 2019</t>
  </si>
  <si>
    <t>Pyt IPR  CP&amp;ME Mars et Avrill 2019</t>
  </si>
  <si>
    <t>Pyt IPR  Animateur Mars et Avril 2019</t>
  </si>
  <si>
    <t>Pyt IPR  Gardien Mars et Avril 2019</t>
  </si>
  <si>
    <t>Pyt salaire CP&amp;ME  mai 2019</t>
  </si>
  <si>
    <t>Pyt salaire Animateur  mai2019</t>
  </si>
  <si>
    <t>Pyt salaire Gardien  mai 2019</t>
  </si>
  <si>
    <t>Pyt IPR  CP&amp;ME mai 2019</t>
  </si>
  <si>
    <t>Pyt IPR  Animateur mai 2019</t>
  </si>
  <si>
    <t>Pyt IPR  Gardien mai 2019</t>
  </si>
  <si>
    <t>Pyt Cotisation sociale CP&amp;ME mai 2019</t>
  </si>
  <si>
    <t>Pyt Cotisation sociale Animateur mai 2019</t>
  </si>
  <si>
    <t>Pyt Cotisation sociale Gardien mai 2019</t>
  </si>
  <si>
    <t>Pyt Cotisation sociale CP&amp;ME  mai 2019</t>
  </si>
  <si>
    <t>PytCotisation sociale Animateur mai 2019</t>
  </si>
  <si>
    <t>Pyt Cotisation sociale Gardien mai  2019</t>
  </si>
  <si>
    <t>Pyt Cotisation CP&amp;ME mai  2019</t>
  </si>
  <si>
    <t>Pyt Cotisation Animateur mai 2019</t>
  </si>
  <si>
    <t>Pyt Cotisation  Gardien mai 2019</t>
  </si>
  <si>
    <t>Pyt salaire CP&amp;ME  juin 2019</t>
  </si>
  <si>
    <t>Pyt salaire Animateur   juin 2019</t>
  </si>
  <si>
    <t>Pyt salaire Gardien   juin 2019</t>
  </si>
  <si>
    <t>Pyt IPR  CP&amp;ME juin 2019</t>
  </si>
  <si>
    <t>Pyt IPR  Animateur  juin 2019</t>
  </si>
  <si>
    <t>Pyt IPR  Gardien  juin 2019</t>
  </si>
  <si>
    <t>Pyt Cotisation sociale CP&amp;ME  juin 2019</t>
  </si>
  <si>
    <t>Pyt Cotisation sociale Animateur  juin 2019</t>
  </si>
  <si>
    <t>Pyt Cotisation sociale Gardien  juin 2019</t>
  </si>
  <si>
    <t>PytCotisation sociale Animateur  juin 2019</t>
  </si>
  <si>
    <t>Pyt Cotisation CP&amp;ME  juin 2019</t>
  </si>
  <si>
    <t>Pyt Cotisation Animateur  juin 2019</t>
  </si>
  <si>
    <t>Pyt Cotisation  Gardien  juin 2019</t>
  </si>
  <si>
    <t>Frais de transfert enoye par ALERT</t>
  </si>
  <si>
    <t>Salaire Murabazi Namegabe mars 2019</t>
  </si>
  <si>
    <t>Rukumbuzi Superviseur Terrain mars 2019</t>
  </si>
  <si>
    <t>Frais de tenue de compte</t>
  </si>
  <si>
    <t>TVA collectée</t>
  </si>
  <si>
    <t>Frais carnet CHQ du 15-03-2019</t>
  </si>
  <si>
    <t>TVA/Frs carnet CHQ du 15-03-2019</t>
  </si>
  <si>
    <t>Commission sur transferts</t>
  </si>
  <si>
    <t>Frais de virement ALERT</t>
  </si>
  <si>
    <t>Frais OPG2555928</t>
  </si>
  <si>
    <t>TVA S/Frais OP2555928</t>
  </si>
  <si>
    <t>FRS RLV75438</t>
  </si>
  <si>
    <t>TVA S/FRS RLV75438</t>
  </si>
  <si>
    <t>Pmnt salaire Adjabu Avril 19 Chargé de suivi</t>
  </si>
  <si>
    <t>Pmnt  salaire Musole Avril 19 Comptable</t>
  </si>
  <si>
    <t>Paiement salaire mois d'Avril 2019 Caissier</t>
  </si>
  <si>
    <t>Pmnt salaire Destin Mai 19 Chargé de suivi</t>
  </si>
  <si>
    <t>Pmnt  salaire Msole Mai 19 Comptable</t>
  </si>
  <si>
    <t>Pmnt   salaire Byiringiro Mai 19 Caissier</t>
  </si>
  <si>
    <t>Pmnt salaire Destin  Juin 19 Chargé de suivi</t>
  </si>
  <si>
    <t>Paiement salaire Musole  Juin 19 Comptable</t>
  </si>
  <si>
    <t>Pmnt salaire Byiringiro   Juin 19 Caissier</t>
  </si>
  <si>
    <t>Pmnt loyer bureau Minembwe Mars-decembre 2019</t>
  </si>
  <si>
    <t>Achat carburant pour moto et groupe electrogène</t>
  </si>
  <si>
    <t>Achat fourniture de bureau</t>
  </si>
  <si>
    <t>Achat unités de communication</t>
  </si>
  <si>
    <t>Paiement salaire mois de Mars 2019 Chef de Projet</t>
  </si>
  <si>
    <t>Paiement salaire mois de Mars 2019 Chargé de suivi</t>
  </si>
  <si>
    <t>Paiement salaire mois de Mars 2019 Comptable</t>
  </si>
  <si>
    <t>Paiement salaire mois de Mars 2019 Superviseur</t>
  </si>
  <si>
    <t>Paiement salaire mois de Mars 2019 Caissier</t>
  </si>
  <si>
    <t>Paiement salaire mois de Mars 2019 Animateur</t>
  </si>
  <si>
    <t>Achat Modem</t>
  </si>
  <si>
    <t>Achat unités activation internet</t>
  </si>
  <si>
    <t>Entretien et réparation Moto</t>
  </si>
  <si>
    <t>Paiement cotisations dues mois de Mars 2019</t>
  </si>
  <si>
    <t>Paiement IPR mois de Mars 2019</t>
  </si>
  <si>
    <t>Paiement cotisations sociales mois de Mars 2019</t>
  </si>
  <si>
    <t>Carburant generateur Bureau ADED/UVIRA</t>
  </si>
  <si>
    <t>Paiement cotisations dues mois d'Avril 2019</t>
  </si>
  <si>
    <t>Paiement IPR mois d'Avril 2019</t>
  </si>
  <si>
    <t>Paiement cotisations sociales mois d'Avril 2019</t>
  </si>
  <si>
    <t>Achat méga pour connexion internet</t>
  </si>
  <si>
    <t>Carburant  generateur Bureau UVIRA</t>
  </si>
  <si>
    <t>Paiement salaire mois de Mai 2019 Animateur</t>
  </si>
  <si>
    <t>Paiement salaire mois de Mai 2019 Chef de Projet</t>
  </si>
  <si>
    <t>Paiement salaire mois de Mai 2019 Superviseur</t>
  </si>
  <si>
    <t>Paiement cotisations dues mois de Mai 2019</t>
  </si>
  <si>
    <t>Paiement IPR mois de Mail 2019</t>
  </si>
  <si>
    <t>Paiement cotisations sociales mois mai 2019</t>
  </si>
  <si>
    <t>Achat groupe electrogène</t>
  </si>
  <si>
    <t>Paiement salaire mois de Juin Animateur</t>
  </si>
  <si>
    <t>Paiement salaire mois de Juin 2019 Animateur</t>
  </si>
  <si>
    <t>Paiement salaire mois de Juin 2019 Chef de Projet</t>
  </si>
  <si>
    <t>Paiement salaire mois de Juin 2019 Superviseur</t>
  </si>
  <si>
    <t>Achat unités Modem</t>
  </si>
  <si>
    <t>Paiement salaire mois d'Avril 2019 Animateur</t>
  </si>
  <si>
    <t>Paiement salaire mois d'Avril  2019 Chef de Projet</t>
  </si>
  <si>
    <t>Paiement salaire mois d'Avril 2019 Superviseur</t>
  </si>
  <si>
    <t>Paiement IPR</t>
  </si>
  <si>
    <t>Rbsmt Frais de Transp Uvira -Bkv - Uvira</t>
  </si>
  <si>
    <t>Frais mission 21- 25 mai 19 à Bukavu</t>
  </si>
  <si>
    <t>Achat carte d'entrée pour  Gloriosa</t>
  </si>
  <si>
    <t>BAZ</t>
  </si>
  <si>
    <t>Carte d'Entrée Rwanda -Gloriosa a KAM</t>
  </si>
  <si>
    <t>Logement  Gloriosa 28-30/05-BUK</t>
  </si>
  <si>
    <t>DRCBUK/GENJNL/2019/06/001</t>
  </si>
  <si>
    <t>Frs voy Gloriosa 3-8/06 Bukavu</t>
  </si>
  <si>
    <t>Transport partic 3-4/06 atelier Bukavu</t>
  </si>
  <si>
    <t>DRCBUK/GENJNL/2019/06/002</t>
  </si>
  <si>
    <t>Transport partic 6-7/06 atelier Bukavu</t>
  </si>
  <si>
    <t>DRCBUK/GENJNL/2019/06/003</t>
  </si>
  <si>
    <t>Transport partic 7-8/06 atelier Bukavu</t>
  </si>
  <si>
    <t>Frs voy participants 2-9/06 Bukavu</t>
  </si>
  <si>
    <t>Frs Rbt Transport  participant lancment projet</t>
  </si>
  <si>
    <t>Frs voyage participants lancmnt projet UNPBF-UVIR</t>
  </si>
  <si>
    <t>Fournitures Atelier de démarrage</t>
  </si>
  <si>
    <t>6630</t>
  </si>
  <si>
    <t>Eau mineral participants lancement projet UNPBF</t>
  </si>
  <si>
    <t>Réunion d'introd pro.  BASIMWENDA/BASIMUNIAKA SUD</t>
  </si>
  <si>
    <t>Materiels  pédagogique seances  Intro BIJOMBO</t>
  </si>
  <si>
    <t>Location véhicule</t>
  </si>
  <si>
    <t>Frais de communication</t>
  </si>
  <si>
    <t>Location matériel de sonnorisation</t>
  </si>
  <si>
    <t>Location retro projecteur</t>
  </si>
  <si>
    <t>Impression calicot</t>
  </si>
  <si>
    <t>Achat eau pour rafraichissement</t>
  </si>
  <si>
    <t>Photocopie des documents pédagogiques</t>
  </si>
  <si>
    <t>Pause café</t>
  </si>
  <si>
    <t>Repas</t>
  </si>
  <si>
    <t>Frs de péage route</t>
  </si>
  <si>
    <t>Frs de manifeste de voyage</t>
  </si>
  <si>
    <t>DRCBUK/BANK/2019/04/003</t>
  </si>
  <si>
    <t>Logement à l'hotel Eric  28-30/03-Uvira</t>
  </si>
  <si>
    <t>Logement à l'hotel Pason  28-30/03-Uvira</t>
  </si>
  <si>
    <t>Logement à l'hotel Nathalie  28/03-Uvira</t>
  </si>
  <si>
    <t>Logement à l'hotel Joseph  28-30/03-Uvira</t>
  </si>
  <si>
    <t>DRCBUK/BANK/2019/04/023</t>
  </si>
  <si>
    <t>Logmt Hotel NYAMUSHALA Papson 26/03-Uvira</t>
  </si>
  <si>
    <t>DRCBUK/BANK/2019/04/049</t>
  </si>
  <si>
    <t>Frs logement Eric-Uvira lancement UNPBF</t>
  </si>
  <si>
    <t>Frs logement Papson-Uvira lancement UNPBF</t>
  </si>
  <si>
    <t>Frs logement Nathalie-Uvira lancement UNPBF</t>
  </si>
  <si>
    <t>Frs logement Joseph-Uvira lancement UNPBF</t>
  </si>
  <si>
    <t>Frais de voyage Joseph 25/03-01/04-Uvira</t>
  </si>
  <si>
    <t>DRCBUK/GENJNL/2019/04/003</t>
  </si>
  <si>
    <t>Frs de voyage Eric 25/03-01/04-Uvira-</t>
  </si>
  <si>
    <t>DRCBUK/GENJNL/2019/04/008</t>
  </si>
  <si>
    <t>Frs de voyage Papson 25/03-01/04-Uvira-</t>
  </si>
  <si>
    <t>Logement Participants lancement UNPBF-Uvira</t>
  </si>
  <si>
    <t>Logement des participants 26-30/03-Uvira</t>
  </si>
  <si>
    <t>Frs logement Parcicipants lancement Projet UPBF</t>
  </si>
  <si>
    <t>Location Salle-Lancement projet UNPBF-Uvira</t>
  </si>
  <si>
    <t>6640</t>
  </si>
  <si>
    <t>Location Salle 26-28/03-Uvira</t>
  </si>
  <si>
    <t>Restauration Participants lancement UNPBF-Uvira</t>
  </si>
  <si>
    <t>Restauration aux participants 26-28/03-Uvira</t>
  </si>
  <si>
    <t>Fourniture atelier CAM</t>
  </si>
  <si>
    <t>Accès parking aero Kamembe</t>
  </si>
  <si>
    <t>DRCBUK/BANK/2019/04/015</t>
  </si>
  <si>
    <t>Frs de voyage Nathalie 25-29/03-uvira</t>
  </si>
  <si>
    <t>JDRCBUK/BANK/2019/04/037</t>
  </si>
  <si>
    <t>Billet d'Avion Consult Doula-Kigali-Kamembe-Doula</t>
  </si>
  <si>
    <t>6110</t>
  </si>
  <si>
    <t>JDRCBUK/GENJNL/2019/04/019</t>
  </si>
  <si>
    <t>Frs de logement Consultants Alphonse-Minembwe</t>
  </si>
  <si>
    <t>Frs de voyage Justin27-30/03-Uvira</t>
  </si>
  <si>
    <t>Frs de voyage Alphonse 25-29/03-uvira</t>
  </si>
  <si>
    <t>Credit de communication Hubal</t>
  </si>
  <si>
    <t>DRCBUK/BANK/2019/05/005</t>
  </si>
  <si>
    <t>Frs de logement Consultant 23-30/04-BUK</t>
  </si>
  <si>
    <t>02/EVAL/IA/RDC//2019</t>
  </si>
  <si>
    <t>OVERSEE ADVISING DRC CONSL FEE MAY 2019</t>
  </si>
  <si>
    <t>03/EVA/IA/RDC//2019</t>
  </si>
  <si>
    <t>OVERSEE CONS FEE JUN 2019</t>
  </si>
  <si>
    <t>DRCBUK/GENJNL/2019/06/037</t>
  </si>
  <si>
    <t>Logement 8 enqueteurs de Basimwenda et Basimukiji</t>
  </si>
  <si>
    <t>Transport 2 superviseurs (Partenaires) au terrain</t>
  </si>
  <si>
    <t>Restauration des participants aux formations</t>
  </si>
  <si>
    <t>Transport des participants aux FGD</t>
  </si>
  <si>
    <t>Perdiems de superviseurs sur terrain</t>
  </si>
  <si>
    <t>Transport interne des enqueteurs sur terrain (Basi</t>
  </si>
  <si>
    <t>Honoraires des 16 enqueteurs</t>
  </si>
  <si>
    <t>Perdiems 8 Enqueteurs de Basimwenda et Basimukinji</t>
  </si>
  <si>
    <t>DRCBUK/GENJNL/2019/06/038</t>
  </si>
  <si>
    <t>BVES-Perdiem pour équipe enquêteurs Bijombo</t>
  </si>
  <si>
    <t>BVES-Transport A/R pour équipe enquêteurs Bijombo</t>
  </si>
  <si>
    <t>BVES-Transport pour enquêteur Uvira</t>
  </si>
  <si>
    <t>BVES-Remboursement transport participants/Bijombo</t>
  </si>
  <si>
    <t>BVES-Remboursement transport participants/Uvira</t>
  </si>
  <si>
    <t>BVES-Frais d'expédition à l'agence la colombe</t>
  </si>
  <si>
    <t>BVES-Honoraires des enqueteurs</t>
  </si>
  <si>
    <t>BANK CHARGE JUN 19</t>
  </si>
  <si>
    <t>OVERSEE ADVISING</t>
  </si>
  <si>
    <t>Frais hebergement à BASIMWENDA/Chef P et Sup</t>
  </si>
  <si>
    <t>Frais hebergement  à KISANYA/Chef P - Sup et Anim</t>
  </si>
  <si>
    <t>Location moto  trsprt terr  mai/juin 19</t>
  </si>
  <si>
    <t>Sejour Uvira rapportage CP/ Superviseur</t>
  </si>
  <si>
    <t>Paiement Transport UVIRA-GOMA-MINEMBWE</t>
  </si>
  <si>
    <t>Frais hebergement  Animateurs à BASIMUNIAKA</t>
  </si>
  <si>
    <t>DRCBUK/BANK/2019/06/013</t>
  </si>
  <si>
    <t xml:space="preserve"> Logmt Consultant Pardon 21-24/06-BUK</t>
  </si>
  <si>
    <t>Logmnt staff partener SVH 21-22/05-BUK</t>
  </si>
  <si>
    <t>Rukumbuzi Superviseur Terrain Mai  2019</t>
  </si>
  <si>
    <t>Rukumbuzi Superviseur Terrain Avril  2019</t>
  </si>
  <si>
    <t>Rukumbuzi Superviseur Terrain Juin  2019</t>
  </si>
  <si>
    <t>Lgmnt  animateur Bijombo atelier  planification</t>
  </si>
  <si>
    <t>Remboursement frais de transport aux participants</t>
  </si>
  <si>
    <t>Restauration participants atelier planification</t>
  </si>
  <si>
    <t>Frais voyage Bijombo-Bukavu-Bijombo</t>
  </si>
  <si>
    <t>Perdiem aux participants atelier  planification</t>
  </si>
  <si>
    <t xml:space="preserve"> mission superviseurchargé suivi intro Bijombo</t>
  </si>
  <si>
    <t>CNSS-Jerry WITANDAYI IYANYA</t>
  </si>
  <si>
    <t>Salaire-Jerry WITANDAYI IYANYA 20%</t>
  </si>
  <si>
    <t>CNSS-Jerry WITANDAYI IYANYA 20%</t>
  </si>
  <si>
    <t>INPP-Jerry WITANDAYI IYANYA 20%</t>
  </si>
  <si>
    <t>Salaire Mai-Nathalie M 10%</t>
  </si>
  <si>
    <t>IPR Mai-Nathalie M 10%</t>
  </si>
  <si>
    <t>CNSS Mai-Nathalie M 10%</t>
  </si>
  <si>
    <t>ONEM May'19-Nathalie MUHONGYA M</t>
  </si>
  <si>
    <t>INPP Mai-Nathalie M 10%</t>
  </si>
  <si>
    <t>IPR-Juin Nathalie MUHONGYA 85%</t>
  </si>
  <si>
    <t>Salaire-Juin Nathalie MUHONGYA 85%</t>
  </si>
  <si>
    <t>CNSS-Juin Nathalie MUHONGYA 85%</t>
  </si>
  <si>
    <t>INPP-Juin Nathalie MUHONGYA 85%</t>
  </si>
  <si>
    <t>Lgmt Lucy  3-6 May'19 Goma</t>
  </si>
  <si>
    <t>DRCGOM/ BANQUE/2019/005/014</t>
  </si>
  <si>
    <t>Lgmt Lucy Goma 1-3/5/2019</t>
  </si>
  <si>
    <t>Apr OH '19</t>
  </si>
  <si>
    <t>OVERHEAD CHG APR'19</t>
  </si>
  <si>
    <t>May OH '19</t>
  </si>
  <si>
    <t>OVERHEAD CHG MAY'19</t>
  </si>
  <si>
    <t>Jun OH '19</t>
  </si>
  <si>
    <t>OVERHEAD CHG JUN'19</t>
  </si>
  <si>
    <t>DRCPARTNER/PAPU/AP21NR/2019/01</t>
  </si>
  <si>
    <t>Year1 ADED CAM Q1 Juin 2019</t>
  </si>
  <si>
    <t>DRCPARTNER/PSOL/AP21QR/2019/01</t>
  </si>
  <si>
    <t>Year1 SVH CAM Q1 Juin 2019</t>
  </si>
  <si>
    <t>Year1 BVES CAM Q1 Juin 2019</t>
  </si>
  <si>
    <t>Remboursement SVH- frais d'enquêtes baseline</t>
  </si>
  <si>
    <t>Remboursement BVES- frais d'enquêtes baseline</t>
  </si>
  <si>
    <t>2019/007</t>
  </si>
  <si>
    <t>2019/009</t>
  </si>
  <si>
    <t>EURO</t>
  </si>
  <si>
    <t>Account code description</t>
  </si>
  <si>
    <t>DRCBUK/GENJNL/2019/07/008</t>
  </si>
  <si>
    <t>Pmt lgmt 7nuits consult Moke à Minembwe</t>
  </si>
  <si>
    <t>CONSULTANT ACCOMMODATION HOTEL</t>
  </si>
  <si>
    <t>Pmt frais de sejour 18-25 July 2019 Isaac Moke</t>
  </si>
  <si>
    <t>CONSULTANT PER DIEMS</t>
  </si>
  <si>
    <t>2019/008</t>
  </si>
  <si>
    <t>DRCBUK/CAISSE/2019/08/001</t>
  </si>
  <si>
    <t>Frs voyage Consultant CAM (1-2 Aout 19)</t>
  </si>
  <si>
    <t>DRCBUK/BANK/2019/08/002</t>
  </si>
  <si>
    <t>Frs Honoraire 1ère Tranche 50%-Prof MOKE</t>
  </si>
  <si>
    <t>CONSULTANT  FEES</t>
  </si>
  <si>
    <t>DRCBUK/BANK/2019/09/004</t>
  </si>
  <si>
    <t>IPR occasioneel Consult MOKE-Aout'19</t>
  </si>
  <si>
    <t>DRCBUK/BANK/2019/09/005</t>
  </si>
  <si>
    <t>CNSS occasioneel Consult MOKE-Aout'19</t>
  </si>
  <si>
    <t>DRCPARTNER/PSOL/AP21QR/2019/02</t>
  </si>
  <si>
    <t>MALIPO-Transport pour la Formation des jeunes sur</t>
  </si>
  <si>
    <t>PARTNER - PROJECT/ACTIVITY</t>
  </si>
  <si>
    <t>Location salle pdt la formation des jeunes sur le</t>
  </si>
  <si>
    <t>Logement pdt la formation des jeunes sur le score</t>
  </si>
  <si>
    <t>Materiels pédagogiques formation jeunes leadership</t>
  </si>
  <si>
    <t>Restauration pdt formation des jeunes sur le scor</t>
  </si>
  <si>
    <t>DRCPARTNER/PAPU/AP21QR/2019/02</t>
  </si>
  <si>
    <t>Restauration Formation jeunes carte score sécurita</t>
  </si>
  <si>
    <t>Location projecteur formation carte score securita</t>
  </si>
  <si>
    <t>Location salle formation carte score sécuritaire</t>
  </si>
  <si>
    <t>Logement participants formation carte score sécuri</t>
  </si>
  <si>
    <t>Transport participants formation carte score sécur</t>
  </si>
  <si>
    <t>Prime et transport enqueteurs carte score sécu Bas</t>
  </si>
  <si>
    <t>DRCBUK/BANK/2019/09/019</t>
  </si>
  <si>
    <t>Pmt solde honoraire Consultant prof Moke</t>
  </si>
  <si>
    <t>MALIPO-Impression questionnaires d' enquete  score</t>
  </si>
  <si>
    <t>Kit pour l'enquete  score card</t>
  </si>
  <si>
    <t>Perdiem Enquete  score card</t>
  </si>
  <si>
    <t>DRCGOM/CAISSE/2019/009/002</t>
  </si>
  <si>
    <t>Soins medicaux  Jerry Aout'19</t>
  </si>
  <si>
    <t>EMPLOYMENT MEDICAL COSTS</t>
  </si>
  <si>
    <t>DRCPARTNER/PBVE/AP21QR/2019/02</t>
  </si>
  <si>
    <t>Logement superviseur et ME pour Débats entre jeune</t>
  </si>
  <si>
    <t>Fransport interne animateurs debat entre jeunes Bi</t>
  </si>
  <si>
    <t>Salaire Rukumbuzi Superviseur Terrain aout'19 70%</t>
  </si>
  <si>
    <t>Transport débats entre les jeunes</t>
  </si>
  <si>
    <t>Matériels débats entre les jeunes</t>
  </si>
  <si>
    <t>Raffraichissement débats entre les jeunes</t>
  </si>
  <si>
    <t>Location salle débats entre les jeunes</t>
  </si>
  <si>
    <t>Primes des jeunes facilitateurs débats entre les</t>
  </si>
  <si>
    <t>MALIPO-Transport débats entre les jeunes</t>
  </si>
  <si>
    <t>Raffraichissement  débats entre les jeunes</t>
  </si>
  <si>
    <t>DRCBUK/BANK/2019/07/025</t>
  </si>
  <si>
    <t>Logmt Emmanuel SEB 09-14Jun'19 Format CAM</t>
  </si>
  <si>
    <t>STAFF ACCOMMODATION   HOTELS</t>
  </si>
  <si>
    <t>DRCBUK/BANK/2019/07/015</t>
  </si>
  <si>
    <t>LOC SALLE 2 jrs Proj CAM Fact n°098/019</t>
  </si>
  <si>
    <t>VENUE HIRE</t>
  </si>
  <si>
    <t>Pymt pause café 2 jrs Proj CAM Fact n°098/019</t>
  </si>
  <si>
    <t>CATERING</t>
  </si>
  <si>
    <t>Pmt Répas 2 jrs Proj CAM Fact n°098/019</t>
  </si>
  <si>
    <t>Pymt Rafraissmt Eau 2 jrs Proj CAM Fact n°098/019</t>
  </si>
  <si>
    <t>Lgmt 09-11 June'19 Byishimo Simeon</t>
  </si>
  <si>
    <t>PARTICIPANT ACCOMTN HOTEL</t>
  </si>
  <si>
    <t>Lgmt 09-11 June'19 Mikolwa Bihayo</t>
  </si>
  <si>
    <t>Lgmt 09-11 June'19 Runezerwa Martin</t>
  </si>
  <si>
    <t>Lgmt 09-11 June'19 Sumaili Justin</t>
  </si>
  <si>
    <t>Lgmt 09-11 June'19 Muyobozi Gasongo</t>
  </si>
  <si>
    <t>Lgmt 09-11 June'19 Nakiza Immaculée</t>
  </si>
  <si>
    <t>Lgmt 09-11 June'19 Sebatutsi Felix</t>
  </si>
  <si>
    <t>Lgmt 09-11 June'19 Mwetaminwa Pardo</t>
  </si>
  <si>
    <t>Lgmt 09-11 June'19 Malipo Elly</t>
  </si>
  <si>
    <t>Lgmt 09-11 June'19 Mwicerwa Charles</t>
  </si>
  <si>
    <t>Lgmt 09-11 June'19 Byakrurema Samson</t>
  </si>
  <si>
    <t>Lgmt 09-11 June'19 Biganiro Pacifique</t>
  </si>
  <si>
    <t>Lgmt 09-11 June'19 Lukele Janvier</t>
  </si>
  <si>
    <t>Lgmt 09-11 June'19 Ajabu Destin</t>
  </si>
  <si>
    <t>Lgmt 09-11 June'19 Ngonge Patient</t>
  </si>
  <si>
    <t>Materiels pédagogiques pour sélection des facilita</t>
  </si>
  <si>
    <t>Location salle de réunion à Masango</t>
  </si>
  <si>
    <t>Restauration participants sélection des facilitate</t>
  </si>
  <si>
    <t>Transport jeunes participants selection facilitate</t>
  </si>
  <si>
    <t>MALIPO-Transport Select des jeunes facilit des grp</t>
  </si>
  <si>
    <t>Raffraichissement Select des jeunes facilitdes gr</t>
  </si>
  <si>
    <t>Location salle Select des jeunes facilitdes grps</t>
  </si>
  <si>
    <t>Location salle pr Election des facilitateurs GD</t>
  </si>
  <si>
    <t>Transport participants election facilitateurs GD</t>
  </si>
  <si>
    <t>Repas participants élection facilitateurs GD</t>
  </si>
  <si>
    <t>Location salle de réunion à Irango</t>
  </si>
  <si>
    <t>Transport participants groupes de dialogue axe Ira</t>
  </si>
  <si>
    <t>Transport aux jeunes partcicpants/Axe Ishenge</t>
  </si>
  <si>
    <t>Restauration participants assemblée ouverte à Ishe</t>
  </si>
  <si>
    <t>Transport participants  selection facilitateur GD</t>
  </si>
  <si>
    <t>Location salle pour assemblée ouverte axe Irango</t>
  </si>
  <si>
    <t>Transport participants assemblée ouverte à Irango</t>
  </si>
  <si>
    <t>Restauration participants à l'assemblée ouverte à</t>
  </si>
  <si>
    <t>Location salle pour l'assemblée ouverte axe Isheng</t>
  </si>
  <si>
    <t>Location salle assemblée ouverte pour axe Ishenge</t>
  </si>
  <si>
    <t>Transport jeunes partcicpants et membres communaut</t>
  </si>
  <si>
    <t>Transport participants Assemblée ouverte présent.</t>
  </si>
  <si>
    <t>Transport des autorités Assemblée ouverte présent.</t>
  </si>
  <si>
    <t>Location salle Assemblée ouverte présent. Facilita</t>
  </si>
  <si>
    <t>Repas participants Assemblée ouverte présent. Faci</t>
  </si>
  <si>
    <t>LUKELE-Présentation des jeunes facilitateurs des g</t>
  </si>
  <si>
    <t>Présentation des jeunes facilitateurs des groupes</t>
  </si>
  <si>
    <t>Achat materiels pédagogiques pour groupes de dialo</t>
  </si>
  <si>
    <t>DRCGOM/GENJNL/2019/008/004</t>
  </si>
  <si>
    <t>Taxi barnabe Ville-Aero Kigali</t>
  </si>
  <si>
    <t>STAFF TRAVEL INTERNATIONAL</t>
  </si>
  <si>
    <t>Frs voy Barnabe Nairobi 26/07-04/08</t>
  </si>
  <si>
    <t>STAFF PER DIEMS</t>
  </si>
  <si>
    <t>DRCGOM/ BANQUE/2019/008/014</t>
  </si>
  <si>
    <t>Fuel Residence JeanBosco July'19 15%</t>
  </si>
  <si>
    <t>EMPLOYMENT HOUSING  COSTS</t>
  </si>
  <si>
    <t>DRCBUK/BANK/2019/08/031</t>
  </si>
  <si>
    <t>Honoraire consul Fabrice-Format Jnes Bijombo</t>
  </si>
  <si>
    <t>DRCBUK/BANK/2019/09/013</t>
  </si>
  <si>
    <t>Logmnt Consult CAM 30/07-13/08-Uvira</t>
  </si>
  <si>
    <t>IPR occasioneel Consult Fabrice-Aout'19</t>
  </si>
  <si>
    <t>CNSS occasioneel Consult Fabrice-Aout'19</t>
  </si>
  <si>
    <t>DRCBUK/GENJNL/2019/08/008</t>
  </si>
  <si>
    <t>Frs de voyage consultant Fabrice 11-16/08-Uvira</t>
  </si>
  <si>
    <t>Rbt transport aux participants</t>
  </si>
  <si>
    <t>PARTICIPANT TRAVEL LOCAL</t>
  </si>
  <si>
    <t>Frs de voyage aux participants-11-16/08-Uvira</t>
  </si>
  <si>
    <t>PARTICIPANT PER DIEMS</t>
  </si>
  <si>
    <t>Frs de transfert des fonds</t>
  </si>
  <si>
    <t>BANK CHARGES</t>
  </si>
  <si>
    <t>DRCBUK/BANK/2019/09/026</t>
  </si>
  <si>
    <t>logement Coordo LAV 4nuitées-Uvira</t>
  </si>
  <si>
    <t>DRCBUK/BANK/2019/09/001</t>
  </si>
  <si>
    <t>logmnt Toy KASIRIBA, du 13 au 17/08/19</t>
  </si>
  <si>
    <t>logmnt MWIZERWA, 13-17/08/2019</t>
  </si>
  <si>
    <t>logmnt MALIPO HISA Elly-13-17/08/19</t>
  </si>
  <si>
    <t>logmnt Isidore SAPADI,12-17/08/2019</t>
  </si>
  <si>
    <t>logmnt SUMAILI LUAMBO,13-17/08/2019</t>
  </si>
  <si>
    <t>logmnt BIKINO MITABU,13-17/08/2019</t>
  </si>
  <si>
    <t>Logmnt Anny MUJINGA,13-17/08/2019</t>
  </si>
  <si>
    <t>logmnt LUKELE Janvier,13-17/08/2019</t>
  </si>
  <si>
    <t>logmnt MUYOBOZI, 13- 17/08/2019</t>
  </si>
  <si>
    <t>logmnt BYARUREMA, 13 au 17/08/19</t>
  </si>
  <si>
    <t>logmn NGONGE SAWAKE13 -17/08/19</t>
  </si>
  <si>
    <t>logmn  Rodrigue, du 13 au 17/08/19</t>
  </si>
  <si>
    <t>logmnRUBWIRIZA, du 13-17/08/19</t>
  </si>
  <si>
    <t>logmn Solange KALUZI, 13 au 17/08/19</t>
  </si>
  <si>
    <t>logmnt Belinda MALIASHA 13-17/08/19</t>
  </si>
  <si>
    <t>Location salle du 27/08/2019</t>
  </si>
  <si>
    <t>Buffet 17 participant,14 au 16/08/2019</t>
  </si>
  <si>
    <t>Pause café 60 participants du 22/08/2019</t>
  </si>
  <si>
    <t>LUKELE-Transport Selection des jeunes facilitateur</t>
  </si>
  <si>
    <t>Rafraichissement Selection des jeunes facilitateu</t>
  </si>
  <si>
    <t>Location salle Selection des jeunes facilitateur</t>
  </si>
  <si>
    <t>Location salles Sélection jeunes facilitateurs Clu</t>
  </si>
  <si>
    <t>Restauration sélection des clubs de mentorat</t>
  </si>
  <si>
    <t>Transports participants sélection clubs de mentora</t>
  </si>
  <si>
    <t>DRCBUK/CAISSE/2019/07/004</t>
  </si>
  <si>
    <t>Sejour Consul CAM format leadership Bijombo</t>
  </si>
  <si>
    <t>DRCBUK/GENJNL/2019/08/001</t>
  </si>
  <si>
    <t>Frs de péage route Xavier</t>
  </si>
  <si>
    <t>STAFF TRAVEL LOCAL</t>
  </si>
  <si>
    <t>NAL</t>
  </si>
  <si>
    <t>Frs de voyage Xavier/30-31/07-Uvir</t>
  </si>
  <si>
    <t>Transport superviseur et ME à Bijombo</t>
  </si>
  <si>
    <t>Paiement frais de perdiem au Superviseur et ME</t>
  </si>
  <si>
    <t>Transport Uvira-Bijombo-Uvira superviseur et ME</t>
  </si>
  <si>
    <t>Transport interne aux superviseur et ME</t>
  </si>
  <si>
    <t>Transport des kits pour l'atelier à Bijombo</t>
  </si>
  <si>
    <t>Transport animatuers formation leadership et mento</t>
  </si>
  <si>
    <t>Transport jeunes(25) formation score card et leade</t>
  </si>
  <si>
    <t>Perdiem chargée de l'Admin et Finances  à Uvira</t>
  </si>
  <si>
    <t>Transport chargée Admin et  Fin à Uvira</t>
  </si>
  <si>
    <t>Transport local à Uvira pour la chargée d'Adm et F</t>
  </si>
  <si>
    <t>Frais de communication à la chargée dAdmin et Fin</t>
  </si>
  <si>
    <t>Restauration aux superviseur et ME à Uvira</t>
  </si>
  <si>
    <t>Perdiem chef de projet pour une mission à Uvira</t>
  </si>
  <si>
    <t>Logement à Uvira pour Superviseur et ME</t>
  </si>
  <si>
    <t>Restauration participants form score card et leade</t>
  </si>
  <si>
    <t>Perdiem chargé de ME pour une mission à Uvira</t>
  </si>
  <si>
    <t>Matériels péda formation score card et leadership</t>
  </si>
  <si>
    <t>Logement participants formation score card et lead</t>
  </si>
  <si>
    <t>achat eau potable pour rafraichissement</t>
  </si>
  <si>
    <t>Paiement frais de logement chef de projet</t>
  </si>
  <si>
    <t>Logement chargée de l'Administration des Finances</t>
  </si>
  <si>
    <t>Perdiem participants formation score card et leade</t>
  </si>
  <si>
    <t>pause café formation score card et leadership</t>
  </si>
  <si>
    <t>Perdiem chargée d'Admin et fin mission à Uvira</t>
  </si>
  <si>
    <t>Logement chargé de ME pour une mission à Uvira</t>
  </si>
  <si>
    <t>Perdiem Superviseur pour mission à Uvira</t>
  </si>
  <si>
    <t>Frais de logement Superviseur pour mission à Uvira</t>
  </si>
  <si>
    <t>Restauration jeunes participants form en leadershi</t>
  </si>
  <si>
    <t>Achat medicaments pour les jeunes de Bijombo</t>
  </si>
  <si>
    <t>Paiement perdiem aux 10 jeunes chercheurs</t>
  </si>
  <si>
    <t>Location salle formation 25 jeunes score card et l</t>
  </si>
  <si>
    <t>Transport Uvira-Bijombo 25 jeunes form score card</t>
  </si>
  <si>
    <t>Logement chargée d'Admin et Finances</t>
  </si>
  <si>
    <t>Perdiem jeunes particicpants formation en  leaders</t>
  </si>
  <si>
    <t>Location salle pour formation 35 jeunes en leaders</t>
  </si>
  <si>
    <t>Logement jeunes participants formation en  leaders</t>
  </si>
  <si>
    <t>Pause café  formation en score card et leadership</t>
  </si>
  <si>
    <t>Transport Uvira-Bijombo participants form leadersh</t>
  </si>
  <si>
    <t>Transport jeunes(35) formation leadership à Uvira</t>
  </si>
  <si>
    <t>Logement Xavier 30-31/07-Uvira</t>
  </si>
  <si>
    <t>carnet A4, stylo et marker atelier CAM</t>
  </si>
  <si>
    <t>MATERIALS FOR CONFS &amp; SEMINARS</t>
  </si>
  <si>
    <t>DRCBUK/BANK/2019/07/028</t>
  </si>
  <si>
    <t>Salary July'19-Papson NYAMUSHALA MWANZA 100%</t>
  </si>
  <si>
    <t>BASIC EMPLOYMENT COSTS</t>
  </si>
  <si>
    <t>DRCBUK/BANK/2019/07/029</t>
  </si>
  <si>
    <t>IPR July'19-Papson NYAMUSHALA MWANZA 100%</t>
  </si>
  <si>
    <t>DRCBUK/BANK/2019/07/030</t>
  </si>
  <si>
    <t>CNSS July'19-Papson NYAMUSHALA MWANZA 100%</t>
  </si>
  <si>
    <t>EMPLOYER'S PENSION COSTS</t>
  </si>
  <si>
    <t>DRCBUK/CAISSE/2019/07/001</t>
  </si>
  <si>
    <t>ONEM Juin'19-Papson NYAMUSHALA MWANZA</t>
  </si>
  <si>
    <t>EMPLOYMENT RELOCATION COSTS</t>
  </si>
  <si>
    <t>DRCBUK/BANK/2019/07/031</t>
  </si>
  <si>
    <t>INPP July'19-Papson NYAMUSHALA MWANZA 100%</t>
  </si>
  <si>
    <t>ONEM July'19-Papson NYAMUSHALA M 100%</t>
  </si>
  <si>
    <t>DRCBUK/BANK/2019/08/027</t>
  </si>
  <si>
    <t>Salary August'19-Papson NYAMUSHALA M 100%</t>
  </si>
  <si>
    <t>DRCBUK/BANK/2019/08/028</t>
  </si>
  <si>
    <t>IPR August'19-Papson NYAMUSHALA M 100%</t>
  </si>
  <si>
    <t>DRCBUK/BANK/2019/08/029</t>
  </si>
  <si>
    <t>CNSS August'19-Papson NYAMUSHALA M 100%</t>
  </si>
  <si>
    <t>DRCBUK/BANK/2019/08/030</t>
  </si>
  <si>
    <t>INPP August'19-Papson NYAMUSHALA M 100%</t>
  </si>
  <si>
    <t>DRCBUK/CAISSE/2019/08/003</t>
  </si>
  <si>
    <t>ONEM-Papson NYAMUSHALA</t>
  </si>
  <si>
    <t>DRCBUK/BANK/2019/09/027</t>
  </si>
  <si>
    <t>Salary September'19-Papson NYAMUSHALA M 100%</t>
  </si>
  <si>
    <t>DRCBUK/BANK/2019/09/028</t>
  </si>
  <si>
    <t>IPR September'19-Papson NYAMUSHALA M 100%</t>
  </si>
  <si>
    <t>DRCBUK/BANK/2019/09/029</t>
  </si>
  <si>
    <t>CNSS September'19-Papson NYAMUSHALA M 100%</t>
  </si>
  <si>
    <t>DRCBUK/BANK/2019/09/030</t>
  </si>
  <si>
    <t>INPP September'19-Papson NYAMUSHALA M 100%</t>
  </si>
  <si>
    <t>DRCBUK/BANK/2019/07/001</t>
  </si>
  <si>
    <t>Pmt honoraires juin'19 Mwataminwa Pardo</t>
  </si>
  <si>
    <t>DRCBUK/BANK/2019/08/009</t>
  </si>
  <si>
    <t>IPR   Consultant juin'19 Mwataminwa Pardo</t>
  </si>
  <si>
    <t>DRCBUK/BANK/2019/08/010</t>
  </si>
  <si>
    <t>CNSS   Consultant juin'19 Mwataminwa Pardo</t>
  </si>
  <si>
    <t>DRCBUK/BANK/2019/08/003</t>
  </si>
  <si>
    <t>Pmt Honoraire pt focal proj CAM-Felix-Juin'19</t>
  </si>
  <si>
    <t>Pmt Honoraire pt focal proj CAM-Felix- Juillet'19</t>
  </si>
  <si>
    <t>IPR occasioneel Consult Felix-Aout'19</t>
  </si>
  <si>
    <t>DRCBUK/BANK/2019/09/007</t>
  </si>
  <si>
    <t>Honoraire consult Pardo July-August'19</t>
  </si>
  <si>
    <t>DRCBUK/BANK/2019/09/008</t>
  </si>
  <si>
    <t>Honoraire consult Felix July-August'19</t>
  </si>
  <si>
    <t>CNSS occasioneel Consult Felix-Aout'19</t>
  </si>
  <si>
    <t>PR JUL JNL</t>
  </si>
  <si>
    <t>HR CHG JUL 19</t>
  </si>
  <si>
    <t>HR SCF CHG JUL 19</t>
  </si>
  <si>
    <t>EMPLOYER'S NI</t>
  </si>
  <si>
    <t>PR AUG JNL</t>
  </si>
  <si>
    <t>S Trusler 10%</t>
  </si>
  <si>
    <t>HR CHG AUG 19</t>
  </si>
  <si>
    <t>HR SCF CHG AUG 19</t>
  </si>
  <si>
    <t>DRCBUK/BANK/2019/08/005</t>
  </si>
  <si>
    <t>Mat Informatique-Souffleur PRO</t>
  </si>
  <si>
    <t>COMPUTER SUPPLIES</t>
  </si>
  <si>
    <t>PR SEP JNL</t>
  </si>
  <si>
    <t>HR CHG SEP 19</t>
  </si>
  <si>
    <t>HR SCF CHG SEP 19</t>
  </si>
  <si>
    <t>DRCGOM/BANQUE/2019/007/025</t>
  </si>
  <si>
    <t>Salaire-July-Paul MAKOMA KANYIHATA 7%</t>
  </si>
  <si>
    <t>DRCGOM/BANQUE/2019/007/026</t>
  </si>
  <si>
    <t>DRCGOM/BANQUE/2019/007/027</t>
  </si>
  <si>
    <t>DRCGOM/CAISSE/2019/007/002</t>
  </si>
  <si>
    <t>DRCGOM/ BANQUE/2019/008/017</t>
  </si>
  <si>
    <t>Salaire Aug'19-Paul MAKOMA</t>
  </si>
  <si>
    <t>DRCGOM/ BANQUE/2019/008/018</t>
  </si>
  <si>
    <t>CNSS Aug'19-Paul MAKOMA</t>
  </si>
  <si>
    <t>DRCGOM/ BANQUE/2019/008/019</t>
  </si>
  <si>
    <t>INPP Aug'19-Paul MAKOMA</t>
  </si>
  <si>
    <t>DRCGOM/CAISSE/2019/008/001</t>
  </si>
  <si>
    <t>ONEM Aug'19-Paul MAKOMA</t>
  </si>
  <si>
    <t>DRCGOM/BANQUE/2019/009/014</t>
  </si>
  <si>
    <t>DRCGOM/BANQUE/2019/009/015</t>
  </si>
  <si>
    <t>CNSS'19-Paul MAKOMA KANYIHATA 7%</t>
  </si>
  <si>
    <t>ONEM--Paul MAKOMA  7%</t>
  </si>
  <si>
    <t>DRCGOM/BANQUE/2019/009/016</t>
  </si>
  <si>
    <t>INPP'19-Paul MAKOMA KANYIHATA 7%</t>
  </si>
  <si>
    <t>W Ndikintum 15%</t>
  </si>
  <si>
    <t>Salaire-July-Jerome Mondo Kambere 30%</t>
  </si>
  <si>
    <t>IPR July'19-Christian CISHIBANJI CIZUNGU 10%</t>
  </si>
  <si>
    <t>IPR July'19-Christian MUTOKAMBALI MBONEKUBE 30%</t>
  </si>
  <si>
    <t>Salary July'19-Christian CISHIBANJI CIZUNGU 10%</t>
  </si>
  <si>
    <t>Salary July'19-Christian MUTOKAMBALI MBONEKUBE 30%</t>
  </si>
  <si>
    <t>CNSS July'19-Christian CISHIBANJI CIZUNGU 10%</t>
  </si>
  <si>
    <t>CNSS July'19-Christian MUTOKAMBALI MBONEKUBE 30%</t>
  </si>
  <si>
    <t>CNSS-Jerome Mondo Kambere 30%</t>
  </si>
  <si>
    <t>ONEM July'19-Christian CISHIBANJI CIZUNGU 10%</t>
  </si>
  <si>
    <t>INPP-Jerome Mondo Kambere 30%</t>
  </si>
  <si>
    <t>ONEM July'19-Christian MUTOKAMBALI MBONEKUBE 30%</t>
  </si>
  <si>
    <t>INPP July'19-Christian CISHIBANJI CIZUNGU 10%</t>
  </si>
  <si>
    <t>ONEM Juin'19-Christian MUTOKAMBALI MBONEKUBE</t>
  </si>
  <si>
    <t>INPP July'19-Christian MUTOKAMBALI MBONEKUBE 30%</t>
  </si>
  <si>
    <t>Salaire Aug'19-Jerome Mondo 30%</t>
  </si>
  <si>
    <t>IPR August'19-Christian MUTOKAMBALI  20%</t>
  </si>
  <si>
    <t>Salary August'19-Christian CISHIBANJI 10%</t>
  </si>
  <si>
    <t>Salary August'19-Christian MUTOKAMBALI  20%</t>
  </si>
  <si>
    <t>S Jeanbosco  15%</t>
  </si>
  <si>
    <t>IPR August'19-Christian CISHIBANJI 10%</t>
  </si>
  <si>
    <t>CNSS August'19-Christian CISHIBANJI 10%</t>
  </si>
  <si>
    <t>CNSS August'19-Christian MUTOKAMBALI  20%</t>
  </si>
  <si>
    <t>CNSS Aug'19-Jerome Mondo 30%</t>
  </si>
  <si>
    <t>INPP August'19-Christian MUTOKAMBALI  20%</t>
  </si>
  <si>
    <t>INPP August'19-Christian CISHIBANJI 10%</t>
  </si>
  <si>
    <t>ONEM-Christian MUTOKAMBALI</t>
  </si>
  <si>
    <t>INPP Aug'19-Jerome Mondo 30%</t>
  </si>
  <si>
    <t>ONEM Aug'19-Jerome Mondo 30%</t>
  </si>
  <si>
    <t>ONEM-Christian CISHIBANJI CIZUNGU</t>
  </si>
  <si>
    <t>Salaire-Jerome Mondo Kambere 35%</t>
  </si>
  <si>
    <t>Salary September'19-Christian CISHIBANJI 10%</t>
  </si>
  <si>
    <t>Salary September'19-Christian MUTOKAMBALI 15%</t>
  </si>
  <si>
    <t>IPR September'19-Christian CISHIBANJI 10%</t>
  </si>
  <si>
    <t>IPR September'19-Christian MUTOKAMBALI  15%</t>
  </si>
  <si>
    <t>CNSS'19-Jerome Mondo Kambere 35%</t>
  </si>
  <si>
    <t>CNSS September'19-Christian MUTOKAMBALI  15%</t>
  </si>
  <si>
    <t>CNSS September'19-Christian CISHIBANJI 10%</t>
  </si>
  <si>
    <t>INPP'19-Jerome Mondo Kambere 35%</t>
  </si>
  <si>
    <t>INPP September'19-Christian MUTOKAMBALI  15%</t>
  </si>
  <si>
    <t>INPP September'19-Christian CISHIBANJI 10%</t>
  </si>
  <si>
    <t>ONEM--Jerome Mondo  35%</t>
  </si>
  <si>
    <t>Salary July'19-Pascal BAFAKUKURA 10%</t>
  </si>
  <si>
    <t>Salary July'19-Georgine BAMUNOBA TIBANAGWA 40%</t>
  </si>
  <si>
    <t>Salary July'19-Joseph MIRINDI MUNGU-AKONKWA 10%</t>
  </si>
  <si>
    <t>Salary July'19-Michel MIRINDI BASHWERE 40%</t>
  </si>
  <si>
    <t>Salary July'19-Verre KILAURI  BANYWESIZE 15%</t>
  </si>
  <si>
    <t>IPR July'19-Pascal BAFAKUKURA 10%</t>
  </si>
  <si>
    <t>IPR July'19-Georgine BAMUNOBA TIBANAGWA 40%</t>
  </si>
  <si>
    <t>IPR July'19-Joseph MIRINDI MUNGU-AKONKWA 10%</t>
  </si>
  <si>
    <t>IPR July'19-Verre KILAURI  BANYWESIZE 15%</t>
  </si>
  <si>
    <t>Salary July'19-Marina FURAHA AMANI 30%</t>
  </si>
  <si>
    <t>IPR July'19-Marina FURAHA AMANI 30%</t>
  </si>
  <si>
    <t>IPR July'19-Michel MIRINDI BASHWERE 40%</t>
  </si>
  <si>
    <t>Salaire-July-Adolphine KAVIRA KAMBASU 35%</t>
  </si>
  <si>
    <t>Salaire-July-Esperance CHIDOROMI SIFA 35%</t>
  </si>
  <si>
    <t>Salaire-July-Barnabe Wangu Wabo 15%</t>
  </si>
  <si>
    <t>Salaire-July-Bienvenu MAKURU AMANI 35%</t>
  </si>
  <si>
    <t>Salaire-July-Jacques Zigabe Buhendwa 30%</t>
  </si>
  <si>
    <t>CNSS July'19-Marina FURAHA AMANI 30%</t>
  </si>
  <si>
    <t>CNSS-Bienvenu MAKURU AMANI 35%</t>
  </si>
  <si>
    <t>CNSS July'19-Pascal BAFAKUKURA 10%</t>
  </si>
  <si>
    <t>CNSS July'19-Georgine BAMUNOBA TIBANAGWA 40%</t>
  </si>
  <si>
    <t>CNSS July'19-Joseph MIRINDI MUNGU-AKONKWA 10%</t>
  </si>
  <si>
    <t>CNSS July'19-Michel MIRINDI BASHWERE 40%</t>
  </si>
  <si>
    <t>CNSS July'19-Verre KILAURI  BANYWESIZE 15%</t>
  </si>
  <si>
    <t>CNSS-Barnabe Wangu Wabo 15%</t>
  </si>
  <si>
    <t>ONEM Juin'19-Marina FURAHA AMANI</t>
  </si>
  <si>
    <t>ONEM July'19-Michel MIRINDI BASHWERE 40%</t>
  </si>
  <si>
    <t>ONEM July'19-Verre KILAURI  BANYWESIZE 15%</t>
  </si>
  <si>
    <t>INPP July'19-Pascal BAFAKUKURA 10%</t>
  </si>
  <si>
    <t>INPP July'19-Georgine BAMUNOBA TIBANAGWA 40%</t>
  </si>
  <si>
    <t>INPP July'19-Joseph MIRINDI MUNGU-AKONKWA 10%</t>
  </si>
  <si>
    <t>ONEM Juin'19-Georgine BAMUNOBA TIBANAGWA</t>
  </si>
  <si>
    <t>ONEM Juin'19-Verre KILAURI  BANYWESIZE</t>
  </si>
  <si>
    <t>INPP July'19-Marina FURAHA AMANI 30%</t>
  </si>
  <si>
    <t>INPP July'19-Michel MIRINDI BASHWERE 40%</t>
  </si>
  <si>
    <t>INPP July'19-Verre KILAURI  BANYWESIZE 15%</t>
  </si>
  <si>
    <t>INPP-Barnabe Wangu Wabo 15%</t>
  </si>
  <si>
    <t>ONEM July'19-Pascal BAFAKUKURA 10%</t>
  </si>
  <si>
    <t>ONEM July'19-Georgine BAMUNOBA TIB 40%</t>
  </si>
  <si>
    <t>ONEM July'19-Joseph MIRINDI MUNGU-AK 10%</t>
  </si>
  <si>
    <t>ONEM July'19-Marina FURAHA AMANI 30%</t>
  </si>
  <si>
    <t>INPP-Bienvenu MAKURU AMANI 35%</t>
  </si>
  <si>
    <t>Salary August'19-Marina FURAHA AMANI 15%</t>
  </si>
  <si>
    <t>IPR August'19-Michel MIRINDI BASHWERE 40%</t>
  </si>
  <si>
    <t>Salaire Aug'19-Adolphine KAVIRA 35%</t>
  </si>
  <si>
    <t>Salaire Aug'19-Esperance CHIDOROMI 35%</t>
  </si>
  <si>
    <t>Salaire Aug'19-Barnabe Wangu 20%</t>
  </si>
  <si>
    <t>Salaire Aug'19-Bienvenu MAKURU 40%</t>
  </si>
  <si>
    <t>Salaire Aug'19-Jacques Zigabe 30%</t>
  </si>
  <si>
    <t>Salary August'19-Pascal BAFAKUKURA 10%</t>
  </si>
  <si>
    <t>Salary August'19-Georgine BAMUNOBA 20%</t>
  </si>
  <si>
    <t>Salary August'19-Joseph MIRINDI MUNGU-A 10%</t>
  </si>
  <si>
    <t>Salary August'19-Michel MIRINDI BASHWERE 40%</t>
  </si>
  <si>
    <t>Salary August'19-Verre KILAURI  B 5%</t>
  </si>
  <si>
    <t>IPR August'19-Pascal BAFAKUKURA 10%</t>
  </si>
  <si>
    <t>IPR August'19-Georgine BAMUNOBA 20%</t>
  </si>
  <si>
    <t>IPR August'19-Joseph MIRINDI MUNGU-A 10%</t>
  </si>
  <si>
    <t>IPR August'19-Marina FURAHA AMANI 15%</t>
  </si>
  <si>
    <t>IPR August'19-Verre KILAURI  B 5%</t>
  </si>
  <si>
    <t>CNSS August'19-Marina FURAHA AMANI 15%</t>
  </si>
  <si>
    <t>CNSS August'19-Verre KILAURI  B 5%</t>
  </si>
  <si>
    <t>CNSS August'19-Pascal BAFAKUKURA 10%</t>
  </si>
  <si>
    <t>CNSS August'19-Georgine BAMUNOBA 20%</t>
  </si>
  <si>
    <t>CNSS August'19-Joseph MIRINDI MUNGU-A 10%</t>
  </si>
  <si>
    <t>CNSS August'19-Michel MIRINDI BASHWERE 40%</t>
  </si>
  <si>
    <t>CNSS Aug'19-Adolphine KAVIRA 35%</t>
  </si>
  <si>
    <t>CNSS Aug'19-Esperance CHIDOROMI 35%</t>
  </si>
  <si>
    <t>CNSS Aug'19-Barnabe Wangu 20%</t>
  </si>
  <si>
    <t>CNSS Aug'19-Bienvenu MAKURU 40%</t>
  </si>
  <si>
    <t>CNSS Aug'19-Jacques Zigabe 30%</t>
  </si>
  <si>
    <t>INPP August'19-Pascal BAFAKUKURA 10%</t>
  </si>
  <si>
    <t>INPP August'19-Georgine BAMUNOBA 20%</t>
  </si>
  <si>
    <t>INPP August'19-Joseph MIRINDI MUNGU-A 10%</t>
  </si>
  <si>
    <t>INPP August'19-Marina FURAHA AMANI 15%</t>
  </si>
  <si>
    <t>INPP August'19-Verre KILAURI  B 5%</t>
  </si>
  <si>
    <t>INPP August'19-Michel MIRINDI BASHWERE 40%</t>
  </si>
  <si>
    <t>INPP Aug'19-Adolphine KAVIRA 35%</t>
  </si>
  <si>
    <t>INPP Aug'19-Esperance CHIDOROMI 35%</t>
  </si>
  <si>
    <t>INPP Aug'19-Barnabe Wangu 20%</t>
  </si>
  <si>
    <t>ONEM Aug'19-Adolphine KAVIRA 35%</t>
  </si>
  <si>
    <t>ONEM Aug'19-Esperance CHIDOROMI 35%</t>
  </si>
  <si>
    <t>ONEM Aug'19-Barnabe Wangu 20%</t>
  </si>
  <si>
    <t>INPP Aug'19-Bienvenu MAKURU 40%</t>
  </si>
  <si>
    <t>INPP Aug'19-Jacques Zigabe 30%</t>
  </si>
  <si>
    <t>ONEM-Pascal BAFAKUKURA</t>
  </si>
  <si>
    <t>ONEM-Georgine BAMUNOBA</t>
  </si>
  <si>
    <t>ONEM-Joseph MIRINDI MUNGU</t>
  </si>
  <si>
    <t>ONEM Aug'19-Bienvenu  40%</t>
  </si>
  <si>
    <t>ONEM Aug'19-Jacques Zigabe 30%</t>
  </si>
  <si>
    <t>ONEM-Michel  MIRINDI BASHWERE</t>
  </si>
  <si>
    <t>ONEM-Verre KILAURI</t>
  </si>
  <si>
    <t>Visa JeanBosco</t>
  </si>
  <si>
    <t>STAFF VISA APPLICATIONS</t>
  </si>
  <si>
    <t>Pmt Casual cleaner Goma office</t>
  </si>
  <si>
    <t>IPR September'19-Pascal BAFAKUKURA 5%</t>
  </si>
  <si>
    <t>IPR September'19-Georgine BAMUNOBA 25%</t>
  </si>
  <si>
    <t>IPR September'19-Joseph MIRINDI MUNGU-A 5%</t>
  </si>
  <si>
    <t>IPR September'19-Michel MIRINDI BASHWERE 5%</t>
  </si>
  <si>
    <t>Salary September'19-Pascal BAFAKUKURA 5%</t>
  </si>
  <si>
    <t>Salary September'19-Georgine BAMUNOBA 25%</t>
  </si>
  <si>
    <t>Salary September'19-Joseph MIRINDI MUNGU-A 5%</t>
  </si>
  <si>
    <t>Salaire-Bienvenu MAKURU AMANI 40%</t>
  </si>
  <si>
    <t>Salaire-Jacques Zigabe Buhendwa 40%</t>
  </si>
  <si>
    <t>Salary September'19-Michel MIRINDI BASHWERE 5%</t>
  </si>
  <si>
    <t>Salary September'19-Marina FURAHA AMANI 15%</t>
  </si>
  <si>
    <t>IPR September'19-Marina FURAHA AMANI 15%</t>
  </si>
  <si>
    <t>Salaire-Adolphine KAVIRA 25%</t>
  </si>
  <si>
    <t>Salaire-Esperance CHIDOROMI SIFA 30%</t>
  </si>
  <si>
    <t>Salaire-Barnabe Wangu 5%</t>
  </si>
  <si>
    <t>CNSS September'19-Michel MIRINDI BASHWERE 5%</t>
  </si>
  <si>
    <t>CNSS September'19-Pascal BAFAKUKURA 5%</t>
  </si>
  <si>
    <t>CNSS September'19-Georgine BAMUNOBA 25%</t>
  </si>
  <si>
    <t>CNSS September'19-Joseph MIRINDI MUNGU-A 5%</t>
  </si>
  <si>
    <t>CNSS September'19-Marina FURAHA AMANI 15%</t>
  </si>
  <si>
    <t>CNSS'19-Bienvenu MAKURU AMANI 40%</t>
  </si>
  <si>
    <t>CNSS'19-Jacques Zigabe Buhendwa 40%</t>
  </si>
  <si>
    <t>CNSS'19-Adolphine KAVIRA 25%</t>
  </si>
  <si>
    <t>CNSS'19-Esperance CHIDOROMI SIFA 30%</t>
  </si>
  <si>
    <t>CNSS'19-Barnabe Wangu 5%</t>
  </si>
  <si>
    <t>INPP'19-Adolphine KAVIRA 25%</t>
  </si>
  <si>
    <t>INPP'19-Esperance CHIDOROMI SIFA 30%</t>
  </si>
  <si>
    <t>INPP'19-Barnabe Wangu 5%</t>
  </si>
  <si>
    <t>ONEM--Adolphine KAVIRA 25%</t>
  </si>
  <si>
    <t>ONEM--Esperance CHIDOROMI 30%</t>
  </si>
  <si>
    <t>ONEM--Barnabe Wangu 5%</t>
  </si>
  <si>
    <t>INPP'19-Bienvenu MAKURU AMANI 40%</t>
  </si>
  <si>
    <t>INPP'19-Jacques Zigabe Buhendwa 40%</t>
  </si>
  <si>
    <t>INPP September'19-Marina FURAHA AMANI 15%</t>
  </si>
  <si>
    <t>INPP September'19-Michel MIRINDI BASHWERE 5%</t>
  </si>
  <si>
    <t>INPP September'19-Pascal BAFAKUKURA 5%</t>
  </si>
  <si>
    <t>INPP September'19-Georgine BAMUNOBA 25%</t>
  </si>
  <si>
    <t>INPP September'19-Joseph MIRINDI MUNGU-A 5%</t>
  </si>
  <si>
    <t>ONEM--Bienvenu MAKURU  40%</t>
  </si>
  <si>
    <t>ONEM--Jacques Zigabe  40%</t>
  </si>
  <si>
    <t>DRCGOM/CAISSE/2019/009/001</t>
  </si>
  <si>
    <t>Casual Cleaner Goma office</t>
  </si>
  <si>
    <t>DRCBUK/BANK/2019/07/010</t>
  </si>
  <si>
    <t>Pmt medic fees Ghislain May'19 9%</t>
  </si>
  <si>
    <t>Pmt medic fees Ghislain May'19 15%</t>
  </si>
  <si>
    <t>DRCBUK/BANK/2019/07/016</t>
  </si>
  <si>
    <t>Christian MBONEKUBE- Med fees June'18- 30%</t>
  </si>
  <si>
    <t>Pascal BAFAKUKURA- Med fees June'18- 5%</t>
  </si>
  <si>
    <t>Barnabé WANGU- Med fees June'18- 18%</t>
  </si>
  <si>
    <t>MICHEL MIRINDI- Med fees June'18- 8%</t>
  </si>
  <si>
    <t>GEORGINE BAMUN- Med fees June'18- 50%</t>
  </si>
  <si>
    <t>NATHALIE MUHONGYA- Med fees June'18- 85%</t>
  </si>
  <si>
    <t>NYAMUSHALA Papson- Med fees June'18- 100%</t>
  </si>
  <si>
    <t>DRCGOM/BANQUE/2019/007/019</t>
  </si>
  <si>
    <t>Soins medicaux Jerry Juin 2019 30%</t>
  </si>
  <si>
    <t>Soins medicaux Jerome Juin 2019 30%</t>
  </si>
  <si>
    <t>Soins medicaux Esperance Juin 2019 35%</t>
  </si>
  <si>
    <t>DRCGOM/BANQUE/2019/007/020</t>
  </si>
  <si>
    <t>Soins medicaux Barnabe Juin 2019 15%</t>
  </si>
  <si>
    <t>DRCGOM/ BANQUE/2019/008/010</t>
  </si>
  <si>
    <t>Medical fees July'19 Jerry 30%</t>
  </si>
  <si>
    <t>DRCBUK/BANK/2019/08/025</t>
  </si>
  <si>
    <t>Soins med Nathalie-July'19</t>
  </si>
  <si>
    <t>Soins med verre-July'19</t>
  </si>
  <si>
    <t>DRCBUK/BANK/2019/08/026</t>
  </si>
  <si>
    <t>Soins med CISHIBANJI Christian-July'19</t>
  </si>
  <si>
    <t>Soins Med BAFAKUKURA PASCAL-July'19</t>
  </si>
  <si>
    <t>Soins Med NYAMUSHALA Pap-Soins Med July'19</t>
  </si>
  <si>
    <t>Soins Med MBONEKUBE Christian-July'19</t>
  </si>
  <si>
    <t>Soins Méd-Joseph MIRINDI-July'19</t>
  </si>
  <si>
    <t>Soins med Barnabé Wangu-July'19</t>
  </si>
  <si>
    <t>DRCGOM/ BANQUE/2019/008/024</t>
  </si>
  <si>
    <t>DRCBUK/BANK/2019/09/011</t>
  </si>
  <si>
    <t>Soins Med  Papson  Août'19</t>
  </si>
  <si>
    <t>Soins Med pascal -Août'19</t>
  </si>
  <si>
    <t>Soins Med KILAURI -Août'19</t>
  </si>
  <si>
    <t>Soins Med BARNABE -Août'19</t>
  </si>
  <si>
    <t>Soins Méd-MBONEKUBE-Août '19</t>
  </si>
  <si>
    <t>DRCGOM/ BANQUE/2019/009/002</t>
  </si>
  <si>
    <t>Medical fees Aug'19 Jerry 10%</t>
  </si>
  <si>
    <t>Medical fees Aug'19 Esperance 35%</t>
  </si>
  <si>
    <t>Medical fees Aug'19 Jerome 30%</t>
  </si>
  <si>
    <t>DRCBUK/CAISSE/2019/09/003</t>
  </si>
  <si>
    <t>Soins med Georgine-August'19 20%</t>
  </si>
  <si>
    <t>DRCGOM/ BANQUE/2019/008/011</t>
  </si>
  <si>
    <t>TKT Avion Barnbe Kigali-Nairobi 75%</t>
  </si>
  <si>
    <t>DRCGOM/GENJNL/2019/008/007</t>
  </si>
  <si>
    <t>Taxi Gisenyi-Kigali</t>
  </si>
  <si>
    <t>Taxi Bkv-Kgl, Kgl-Bkv pr visa George</t>
  </si>
  <si>
    <t>DRCBUK/GENJNL/2019/08/012</t>
  </si>
  <si>
    <t>Frs de Visa transit  Rwanda 26/08-KIGALI</t>
  </si>
  <si>
    <t>KEN/August/2019/32</t>
  </si>
  <si>
    <t>Staff Local Travel- Barnabe</t>
  </si>
  <si>
    <t>KES</t>
  </si>
  <si>
    <t>KENNAI</t>
  </si>
  <si>
    <t>KEN/August/2019/59</t>
  </si>
  <si>
    <t>Staff Taxi Transport - Barnabe</t>
  </si>
  <si>
    <t>KEN/August/2019/77</t>
  </si>
  <si>
    <t>10056958</t>
  </si>
  <si>
    <t>Accomm to Barnabe from DRC</t>
  </si>
  <si>
    <t>RWF</t>
  </si>
  <si>
    <t>RWAKIG</t>
  </si>
  <si>
    <t>KEN/August/2019/56</t>
  </si>
  <si>
    <t>Staff Hotel Accommodation - Barnabe</t>
  </si>
  <si>
    <t>6040</t>
  </si>
  <si>
    <t>STAFF ACCOMMODATION   OTHER</t>
  </si>
  <si>
    <t>Visa Barnabe Hollande</t>
  </si>
  <si>
    <t>DRCBUK/GENJNL/2019/08/013</t>
  </si>
  <si>
    <t>Frs de visa Cishibanji pour le FOG meeting</t>
  </si>
  <si>
    <t>Frs de visa George pour le GLEAM meeting</t>
  </si>
  <si>
    <t>Frs voy Kigali Barnabe  26-27/08</t>
  </si>
  <si>
    <t>Frs de voyage George 26-28/08-KIGALI</t>
  </si>
  <si>
    <t>Frs voyage Cishi 26-28/08 visa appli-KIGALI</t>
  </si>
  <si>
    <t>DRCBUK/BANK/2019/09/031</t>
  </si>
  <si>
    <t>Frs de formation FMDP-Christian-Kenya</t>
  </si>
  <si>
    <t>STAFF TRAINING</t>
  </si>
  <si>
    <t>Taxi Kigali Bukavu Barnabe</t>
  </si>
  <si>
    <t>Taxi hire Rubavu-Kigali-Rubavu</t>
  </si>
  <si>
    <t>Course taxi KMBE-KGL du 08/09-George</t>
  </si>
  <si>
    <t>KEN/September/2019/39</t>
  </si>
  <si>
    <t>Staff Local Travel  Taxi- Barnabe</t>
  </si>
  <si>
    <t>10057138</t>
  </si>
  <si>
    <t>Accommodation George -Request for Visa</t>
  </si>
  <si>
    <t>DRCBUK/GENJNL/2019/09/016</t>
  </si>
  <si>
    <t>Frs  de voyage George Kigali 08-11/09</t>
  </si>
  <si>
    <t>DRCBUK/GENJNL/2019/09/017</t>
  </si>
  <si>
    <t>Frs  de voyage George Kigali 12-20/09</t>
  </si>
  <si>
    <t>10057103</t>
  </si>
  <si>
    <t>Accommodation DRC Team -Request for Visa</t>
  </si>
  <si>
    <t>Tree days perdiem- visa application</t>
  </si>
  <si>
    <t>HEALTH AND SAFETY</t>
  </si>
  <si>
    <t>DRCBUK/BANK/2019/07/037</t>
  </si>
  <si>
    <t>Pmt IRL Juin-Sept'19 Résidence George 9%</t>
  </si>
  <si>
    <t>DRCGOM/CAISSE/2019/007/001</t>
  </si>
  <si>
    <t>Plomberie residence Christine</t>
  </si>
  <si>
    <t>MAINTENANCE OF PREMISES</t>
  </si>
  <si>
    <t>DRCGOM/ BANQUE/2019/008/016</t>
  </si>
  <si>
    <t>Loyer Res JeanBosco 21 Aug-21 Nov'19 8%</t>
  </si>
  <si>
    <t>DRCBUK/GENJNL/2019/08/007</t>
  </si>
  <si>
    <t>Frs de transport  George -R&amp;R</t>
  </si>
  <si>
    <t>Frs de logement George 05-09/08-R&amp;R</t>
  </si>
  <si>
    <t>Frs de voyage George 05-09/08-R&amp;R</t>
  </si>
  <si>
    <t xml:space="preserve"> Lavage de main res Christine</t>
  </si>
  <si>
    <t>DRCBUK/BANK/2019/09/017</t>
  </si>
  <si>
    <t>Pmt billet d'avion pr R&amp;R George 25%</t>
  </si>
  <si>
    <t>Entretien Residence Christine</t>
  </si>
  <si>
    <t>Visa sortie-retour George 25%</t>
  </si>
  <si>
    <t>Rbt sport center membership</t>
  </si>
  <si>
    <t>Pmt billet d'avion (KMBE - KGL 01/08/19)-JB</t>
  </si>
  <si>
    <t>Sport Club Jb</t>
  </si>
  <si>
    <t>90137217009</t>
  </si>
  <si>
    <t>J Bosco insurance credit</t>
  </si>
  <si>
    <t>9590</t>
  </si>
  <si>
    <t>INSURANCE  OTHER</t>
  </si>
  <si>
    <t>90137219010</t>
  </si>
  <si>
    <t>J Bosco Insurance 20%</t>
  </si>
  <si>
    <t>G Wanyu Insurance 20%</t>
  </si>
  <si>
    <t>DRCBUK/BANK/2019/07/022</t>
  </si>
  <si>
    <t>Factures carburant véhic Juin-Juillet 2019 Bukavu</t>
  </si>
  <si>
    <t>VEHICLE FUEL</t>
  </si>
  <si>
    <t>DRCBUK/BANK/2019/08/007</t>
  </si>
  <si>
    <t>Carburant Generateur Résidence George</t>
  </si>
  <si>
    <t>Carburant vehicul+génerateur base</t>
  </si>
  <si>
    <t>Fuel vehicles Goma office July 2019</t>
  </si>
  <si>
    <t>DRCBUK/BANK/2019/09/006</t>
  </si>
  <si>
    <t>Pmt carburant véhicules</t>
  </si>
  <si>
    <t>DRCGOM/BANQUE/2019/007/021</t>
  </si>
  <si>
    <t>Vehicle Repairs&amp;maintenance GM offic 15%</t>
  </si>
  <si>
    <t>MAINTENANCE OF VEHICLE</t>
  </si>
  <si>
    <t>DRCBUK/BANK/2019/07/041</t>
  </si>
  <si>
    <t>Pmt fact réparation Mob4-7077</t>
  </si>
  <si>
    <t>DRCBUK/BANK/2019/09/020</t>
  </si>
  <si>
    <t>Frais d'entretien Mob 4 7077 AC/19</t>
  </si>
  <si>
    <t>DRCBUK/GENJNL/2019/09/006</t>
  </si>
  <si>
    <t>Achat carte sortie DRC Mob3 7070</t>
  </si>
  <si>
    <t>INSURANCE VEHICLE</t>
  </si>
  <si>
    <t>DRCBUK/BANK/2019/07/024</t>
  </si>
  <si>
    <t>Ticket Boat  Barnabé WANGU 16/06/2019</t>
  </si>
  <si>
    <t>Ticket Boat  Barnabé WANGU 26/06/2019</t>
  </si>
  <si>
    <t>DRCGOM/BANQUE/2019/007/032</t>
  </si>
  <si>
    <t>Bateau Goma Bukavu Georges</t>
  </si>
  <si>
    <t>Bateau Goma Bukavu Makoma</t>
  </si>
  <si>
    <t>DRCBUK/BANK/2019/07/019</t>
  </si>
  <si>
    <t>Lgmt 8-12 June'19 Paul Makoma</t>
  </si>
  <si>
    <t>Frs voy George GM 1-4/07/2019</t>
  </si>
  <si>
    <t>Frs voy George GM 8-12/07/2019</t>
  </si>
  <si>
    <t>DRCGOM/GENJNL/2019/007/004</t>
  </si>
  <si>
    <t>Frs voy Makoma Bukavu 8/7-12/7/19</t>
  </si>
  <si>
    <t>DRCBUK/CAISSE/2019/08/002</t>
  </si>
  <si>
    <t>Peage route Kiliba équipe CAM</t>
  </si>
  <si>
    <t>DRCBUK/GENJNL/2019/08/005</t>
  </si>
  <si>
    <t>Frs de voyage Papson 08-19/08-Uvira</t>
  </si>
  <si>
    <t>Frais manifest entrée (A-R) pr consultant CAM</t>
  </si>
  <si>
    <t>CONSULTANT TRAVEL LOCAL</t>
  </si>
  <si>
    <t>DRCBUK/BANK/2019/08/012</t>
  </si>
  <si>
    <t>Logmt Consult pt focal Felix 5-08/08-BUK</t>
  </si>
  <si>
    <t>Pmnt facture No. 1083 pr lgmt PF CAM</t>
  </si>
  <si>
    <t>DRCBUK/CAISSE/2019/09/001</t>
  </si>
  <si>
    <t>Frs de manifeste Joseph</t>
  </si>
  <si>
    <t>DRCBUK/BANK/2019/09/012</t>
  </si>
  <si>
    <t>logmnt comptable ADED-Bukavu</t>
  </si>
  <si>
    <t>logmnt chef de projet SVH-BKV</t>
  </si>
  <si>
    <t>DRCGOM/ BANQUE/2019/007/006</t>
  </si>
  <si>
    <t>Achat Laptop Papson HP Elite book 840</t>
  </si>
  <si>
    <t>COMPUTER HARDWARE</t>
  </si>
  <si>
    <t>Achat Laptop Jerry HP Elite book 450</t>
  </si>
  <si>
    <t>DRCGOM/BANQUE/2019/007/023</t>
  </si>
  <si>
    <t>Frs voy autorites ministere plan Kinshsa 10%</t>
  </si>
  <si>
    <t>DRCGOM/BANQUE/2019/007/024</t>
  </si>
  <si>
    <t>DRCGOM/ BANQUE/2019/008/012</t>
  </si>
  <si>
    <t>Honaoraires Midagu 12 July-12 Aug'19  10%</t>
  </si>
  <si>
    <t>DRCGOM/ BANQUE/2019/008/002</t>
  </si>
  <si>
    <t>Honaoraires Midagu 12 Jun-12 July'19 10%</t>
  </si>
  <si>
    <t>76410</t>
  </si>
  <si>
    <t>FIREWALL FOR COUNTRY OFFICE</t>
  </si>
  <si>
    <t>DRCGOM/BANQUE/2019/009/010</t>
  </si>
  <si>
    <t>Honoraire Midagu 12 Aug-12 Sept'19 10%</t>
  </si>
  <si>
    <t>DRCGOM/BANQUE/2019/009/019</t>
  </si>
  <si>
    <t>Honor. consult.&amp; frs admin Kin 16/06-16/9 10%</t>
  </si>
  <si>
    <t>DRCGOM/GENJNL/2019/009/005</t>
  </si>
  <si>
    <t>Frs visa PV elections repres staff 10%</t>
  </si>
  <si>
    <t>8210</t>
  </si>
  <si>
    <t>RATES &amp; LOCAL TAXES</t>
  </si>
  <si>
    <t>DRCGOM/GENJNL/2019/009/006</t>
  </si>
  <si>
    <t>Visa du ROI Alert a Kinshasa 10%</t>
  </si>
  <si>
    <t>DRCBUK/BANK/2019/07/026</t>
  </si>
  <si>
    <t>Perception Loyer Handicap International- 20%</t>
  </si>
  <si>
    <t>RENT</t>
  </si>
  <si>
    <t>DRCGOM/ BANQUE/2019/007/005</t>
  </si>
  <si>
    <t>Rent Kinshasa office July-Sept 2019 20%</t>
  </si>
  <si>
    <t>DRCBUK/BANK/2019/07/005</t>
  </si>
  <si>
    <t>Bukavu Office Rent 1June to 30sept19- 20%</t>
  </si>
  <si>
    <t>DRCBUK/BANK/2019/07/039</t>
  </si>
  <si>
    <t>Bukavu Office IRL Pmt   1June to 30sept19- 20%</t>
  </si>
  <si>
    <t>DRCBUK/BANK/2019/07/011</t>
  </si>
  <si>
    <t>Impôt prestat Electric-Plomb Landry Juin'19  20%</t>
  </si>
  <si>
    <t>DRCBUK/BANK/2019/07/012</t>
  </si>
  <si>
    <t>CNSS prestat Electric-Plomb Landry Juin'19  20%</t>
  </si>
  <si>
    <t>DRCBUK/CAISSE/2019/07/002</t>
  </si>
  <si>
    <t>pymt Fact SNEL Fév et Juin 2019 20%</t>
  </si>
  <si>
    <t>ELECTRICITY</t>
  </si>
  <si>
    <t>pymt Fact REGIDESO  Juin 2019 20%</t>
  </si>
  <si>
    <t>WATER</t>
  </si>
  <si>
    <t>Ramassage ordures juillet 2019 20%</t>
  </si>
  <si>
    <t>WASTE DISPOSAL</t>
  </si>
  <si>
    <t>Produits d'entretien du bureau 33%</t>
  </si>
  <si>
    <t>MAINTENANCE OF OFFICE EQUIPMNT</t>
  </si>
  <si>
    <t>DRCBUK/BANK/2019/08/001</t>
  </si>
  <si>
    <t>Pmt Consultant Elect-Plomb July 19 Landry  18%</t>
  </si>
  <si>
    <t>Pmt hon menager bureau du 25-31/07</t>
  </si>
  <si>
    <t>DRCBUK/BANK/2019/08/037</t>
  </si>
  <si>
    <t>Pmt Consultant Elect-Plomb August 19 Landry 18%</t>
  </si>
  <si>
    <t>Paiement facture Regideso pr Juillet 2019</t>
  </si>
  <si>
    <t>IPR occasioneel Consult menagere-Aout'19</t>
  </si>
  <si>
    <t>IPR Consult Elect-Plomb July-Augst'19</t>
  </si>
  <si>
    <t>CNSS Consult Elect-Plomb July-Augst'19</t>
  </si>
  <si>
    <t>CNSS occasioneel Consult menagere-Aout'19</t>
  </si>
  <si>
    <t>Consom courant SNEL mois Aout'19</t>
  </si>
  <si>
    <t>Consommation d'eau REGIDESO 'Aout 19</t>
  </si>
  <si>
    <t>DRCBUK/BANK/2019/09/023</t>
  </si>
  <si>
    <t>Renouvellemnt Assur Incendie bureau 5%</t>
  </si>
  <si>
    <t>9510</t>
  </si>
  <si>
    <t>INSURANCE BUILDINGS</t>
  </si>
  <si>
    <t>DRCBUK/BANK/2019/07/021</t>
  </si>
  <si>
    <t>Security Resid George July'19 3%</t>
  </si>
  <si>
    <t>Security Bukavu office July'19 4%</t>
  </si>
  <si>
    <t>DRCBUK/BANK/2019/08/017</t>
  </si>
  <si>
    <t>Pmt sécurité Résidence George-Aout'19</t>
  </si>
  <si>
    <t>Eau minerale Bureau Bukavu 10%</t>
  </si>
  <si>
    <t>OFFICE SUPPLIES</t>
  </si>
  <si>
    <t>Achat Café moulu Bureau Bkv 10%</t>
  </si>
  <si>
    <t>Achat Verres utilisation Bureau Bkv10%</t>
  </si>
  <si>
    <t>Achat de desinfectants Bureau Bkv 10%</t>
  </si>
  <si>
    <t>Eau minerale bureau Bkv 10%</t>
  </si>
  <si>
    <t>DRCBUK/CAISSE/2019/07/003</t>
  </si>
  <si>
    <t>Achat serviette, mouchoir et brosse toilette 10%</t>
  </si>
  <si>
    <t>Achat cartouche Canon 719</t>
  </si>
  <si>
    <t>Eau minerale bureau Bukavu 10%</t>
  </si>
  <si>
    <t>Achat eau minerale pour bureau</t>
  </si>
  <si>
    <t>Achat fournit  cafetariat pr bureau</t>
  </si>
  <si>
    <t>DRCBUK/BANK/2019/08/021</t>
  </si>
  <si>
    <t>Fourniture café bureau Aout2019-10%</t>
  </si>
  <si>
    <t>Rouleau run up et agraffes finance 10%</t>
  </si>
  <si>
    <t>Achat cartouches imprimantes de bureau 10%</t>
  </si>
  <si>
    <t>Achat prise electrique</t>
  </si>
  <si>
    <t>Achat eau minerale 15%</t>
  </si>
  <si>
    <t>DRCBUK/CAISSE/2019/09/002</t>
  </si>
  <si>
    <t>DRCBUK/BANK/2019/09/021</t>
  </si>
  <si>
    <t>Achat cartouche 201A,719+ colle-20%</t>
  </si>
  <si>
    <t>DRCBUK/CAISSE/2019/09/004</t>
  </si>
  <si>
    <t>Achat café moulu</t>
  </si>
  <si>
    <t>DRCBUK/BANK/2019/09/024</t>
  </si>
  <si>
    <t>Fourniture bureau Sept'19  20%</t>
  </si>
  <si>
    <t>DRCBUK/BANK/2019/09/025</t>
  </si>
  <si>
    <t>Fourniture bureau cartouche 737-20%</t>
  </si>
  <si>
    <t>Achat 10 chaises visiteurs-Bureau</t>
  </si>
  <si>
    <t>8320</t>
  </si>
  <si>
    <t>OFFICE EQUIPMENT</t>
  </si>
  <si>
    <t>DRCGOM/ BANQUE/2019/007/008</t>
  </si>
  <si>
    <t>Commun. Papson  May'19</t>
  </si>
  <si>
    <t>TELEPHONE, FAX, ETC</t>
  </si>
  <si>
    <t>Commun. Marina May'19</t>
  </si>
  <si>
    <t>Commun. Mbonekube May'19</t>
  </si>
  <si>
    <t>Commun. Eric  May'19</t>
  </si>
  <si>
    <t>Frs mensuelles SIM Christine May'19 10%</t>
  </si>
  <si>
    <t>Commun. Barnabe May'19 10%</t>
  </si>
  <si>
    <t>Commun.  George May'19 10%</t>
  </si>
  <si>
    <t>Commun.  Banu May'19  10%</t>
  </si>
  <si>
    <t>DRCGOM/BANQUE/2019/007/015</t>
  </si>
  <si>
    <t>Backup internet GM-Bk office jun&amp;July 28%</t>
  </si>
  <si>
    <t>INTERNET SERVICES</t>
  </si>
  <si>
    <t>DRCBUK/BANK/2019/07/023</t>
  </si>
  <si>
    <t>Pmt factures internet 14 June - 13 July 2019 20%</t>
  </si>
  <si>
    <t>Achat credtit communication et carte SIM 40%</t>
  </si>
  <si>
    <t>DRCBUK/BANK/2019/08/015</t>
  </si>
  <si>
    <t>Pmt srvce internet 14July-13August'19-BUK 20%</t>
  </si>
  <si>
    <t>DRCGOM/ BANQUE/2019/009/007</t>
  </si>
  <si>
    <t>Commun. staff  May-Jun-July'19 5%</t>
  </si>
  <si>
    <t>DRCBUK/BANK/2019/09/015</t>
  </si>
  <si>
    <t>Pmt svc internet 14 August-13 Sept'19-BUK 15%</t>
  </si>
  <si>
    <t>Achat ff  home box,sim carte orange 17%</t>
  </si>
  <si>
    <t>DRCGOM/BANQUE/2019/007/029</t>
  </si>
  <si>
    <t>Frais retrait cheque</t>
  </si>
  <si>
    <t>CION/OV38162652 Salaire 07/19</t>
  </si>
  <si>
    <t>TVA CION/OV38162652 Salaire 07/19</t>
  </si>
  <si>
    <t>DRCBUK/BANK/2019/07/050</t>
  </si>
  <si>
    <t>Ccion sur transfert AFRABU</t>
  </si>
  <si>
    <t>Ccion sur retrait chèque</t>
  </si>
  <si>
    <t>Ccion sur transfert Charity 5%</t>
  </si>
  <si>
    <t>TVA Ccion sur PYT SAL JULY 5%</t>
  </si>
  <si>
    <t>Ccion sur PYT SAL JULY 5%</t>
  </si>
  <si>
    <t>DRCBUK/BANK/2019/08/039</t>
  </si>
  <si>
    <t>Frs internet debiteur 15%</t>
  </si>
  <si>
    <t>Ccion sur retrait chèque 100%</t>
  </si>
  <si>
    <t>Ccion sur retrait chèque 15%</t>
  </si>
  <si>
    <t>DRCGOM/ BANQUE/2019/008/022</t>
  </si>
  <si>
    <t>CION/OV38162642 Salaire 08/19s</t>
  </si>
  <si>
    <t>TVA CION/OV38162642 Salaire 08/19s</t>
  </si>
  <si>
    <t>Frais transfert</t>
  </si>
  <si>
    <t>BANK CHARGE SEP 19</t>
  </si>
  <si>
    <t>GEORGE NDIKINTUM - DRC</t>
  </si>
  <si>
    <t>DRCGOM/BANQUE/2019/009/020</t>
  </si>
  <si>
    <t>Frais transfert ov INPP</t>
  </si>
  <si>
    <t>Frais transfert ov</t>
  </si>
  <si>
    <t>CION/OV10039499 Salaire 09/19</t>
  </si>
  <si>
    <t>TVA CION/OV10039499 Salaire 09/19</t>
  </si>
  <si>
    <t>DRCBUK/BANK/2019/09/032</t>
  </si>
  <si>
    <t>Cout Achat Lic.DEC0734161</t>
  </si>
  <si>
    <t>Ccion sur retrait chèque 10%</t>
  </si>
  <si>
    <t>Frs de gestion de compte 10%</t>
  </si>
  <si>
    <t>Ccion sur Transfer  100%</t>
  </si>
  <si>
    <t>Ccion sur Transfert Sal 10%</t>
  </si>
  <si>
    <t>Ccion sur Transfert Londre 10%</t>
  </si>
  <si>
    <t>Frs de voyage 5-6/09finance ADED</t>
  </si>
  <si>
    <t>Frais bancaires</t>
  </si>
  <si>
    <t>PARTNER - EMPLOYMENT COST</t>
  </si>
  <si>
    <t>Paiement  IPR mois de juin 2019</t>
  </si>
  <si>
    <t>Salaire Murhabazi Namegabe juillet 2019</t>
  </si>
  <si>
    <t>Salaire Rukumbuzi Superviseur Terrain Jul'19 30%</t>
  </si>
  <si>
    <t>Salaire Jul'19 Solange Animateurs Terrain Bukavu</t>
  </si>
  <si>
    <t>Salaire Jul'19 Samson Animateurs Terrain à Bijombo</t>
  </si>
  <si>
    <t>Salaire Jul'19 Ngonge Animateurs Terrain à Bijombo</t>
  </si>
  <si>
    <t>Salaire Jul'19 Charles Animateurs Terrain à Bijomb</t>
  </si>
  <si>
    <t>Salaire Jul'19 Chargé de Suivi et Evaluation</t>
  </si>
  <si>
    <t>Contribution salaire Comptable Juillet 2019</t>
  </si>
  <si>
    <t>Contribution salaire Caissière Juillet 2019</t>
  </si>
  <si>
    <t>Contribution salaire Logisticienne Juillet 2019</t>
  </si>
  <si>
    <t>Contribution salare Secrétaire IT Juillet 2019</t>
  </si>
  <si>
    <t>Paiement  IPR mois de Juillet 2019</t>
  </si>
  <si>
    <t>Salaire Murabazi Namegabe aout 2019</t>
  </si>
  <si>
    <t>Salaire Rukumbuzi Superviseur Terrain aout'19 30%</t>
  </si>
  <si>
    <t>Salaire Aug'19 Solange Animateurs Terrain Bukavu</t>
  </si>
  <si>
    <t>Salaire Aug'19 Samson Animateurs Terrain à Bijombo</t>
  </si>
  <si>
    <t>Salaire Aug'19 Ngonge Animateurs Terrain à Bijombo</t>
  </si>
  <si>
    <t>Salaire Aug'19 Charles Animateurs Terrain à Bijomb</t>
  </si>
  <si>
    <t>Salaire Aug'19 Chargé de Suivi et Evaluation</t>
  </si>
  <si>
    <t>Contribution salaire Comptable Août 2019</t>
  </si>
  <si>
    <t>Contribution salaire Caissière Août 2019</t>
  </si>
  <si>
    <t>Contribution salaire Logisticienne Août 2019</t>
  </si>
  <si>
    <t>Contribution salare Secrétaire IT Août 2019</t>
  </si>
  <si>
    <t>Pmnt salaire Destin  Juillet 19 Chargé de suivi</t>
  </si>
  <si>
    <t>Paiement salaire Musole  Juillet 19 Comptable</t>
  </si>
  <si>
    <t>Pmnt salaire Byiringiro   Juillet 19 Caissier</t>
  </si>
  <si>
    <t>Pmnt salaire Destin  Août 19 Chargé de suivi</t>
  </si>
  <si>
    <t>Paiement salaire Musole  Août 19 Comptable</t>
  </si>
  <si>
    <t>Pmnt salaire Byiringiro   Août 19 Caissier</t>
  </si>
  <si>
    <t>Frais RLV svt bon 792242</t>
  </si>
  <si>
    <t>TVA sur Frais RLV svt bon 792242</t>
  </si>
  <si>
    <t>Paiement cotisations INPP mois de Juin 2019</t>
  </si>
  <si>
    <t>Paiement cotisations sociales mois Juin 2019</t>
  </si>
  <si>
    <t>Paiement IPR mois de Juin 2019</t>
  </si>
  <si>
    <t>Location moto transport terrains juillet 2019</t>
  </si>
  <si>
    <t>Paiement facture carburant Juillet 2019</t>
  </si>
  <si>
    <t>Paiement salaire mois de Juillet Animateur</t>
  </si>
  <si>
    <t>Paiement salaire mois de Juillet 2019 Animateur</t>
  </si>
  <si>
    <t>Paiement salaire mois de Juillet 2019 Chef de Proj</t>
  </si>
  <si>
    <t>Paiement salaire mois de Juillet 2019 Superviseur</t>
  </si>
  <si>
    <t>Paiement cotisations dues mois de Juillet 2019</t>
  </si>
  <si>
    <t>Paiement IPR mois de Juillet 2019</t>
  </si>
  <si>
    <t>Paiement cotisations sociales mois Juillet 2019</t>
  </si>
  <si>
    <t>Paiement salaire mois d'Août Animateur</t>
  </si>
  <si>
    <t>Paiement salaire mois d'Août 2019 Animateur</t>
  </si>
  <si>
    <t>Paiement salaire mois d'Août 2019 Chef de Projet</t>
  </si>
  <si>
    <t>Paiement salaire mois d'Août 2019 Superviseur</t>
  </si>
  <si>
    <t>Location moto pour transport terrains Août 2019</t>
  </si>
  <si>
    <t>Achat carburant Groupe electrogène</t>
  </si>
  <si>
    <t>Paiement facture carburant MOTO</t>
  </si>
  <si>
    <t>Entretien Groupe electrogène</t>
  </si>
  <si>
    <t>Rélevé-FRSRLV SVTBON</t>
  </si>
  <si>
    <t>Rélevé-TVA S/FRSRLV SVTBON</t>
  </si>
  <si>
    <t>Rélevé-Commission sur transfert</t>
  </si>
  <si>
    <t>Rélevé-TVA Collectée</t>
  </si>
  <si>
    <t>Rélevé-Frais de tenue de compte</t>
  </si>
  <si>
    <t>OLIVE-Achat cartes d'appel pour la communication</t>
  </si>
  <si>
    <t>MALIPO-Achat carburant pour moto</t>
  </si>
  <si>
    <t>OLIVE-Achat Fournitures de bureau</t>
  </si>
  <si>
    <t>MALIPO-Entretien moto</t>
  </si>
  <si>
    <t>JANVIER-Pyt salaire CP&amp;ME  juillet 19</t>
  </si>
  <si>
    <t>MALIPO-Pyt salaire Animateur  juillet 19</t>
  </si>
  <si>
    <t>MUGAZA-Pyt salaire Gardien   juillet 19</t>
  </si>
  <si>
    <t>OLIVE-Pyt salaire financière   juillet 19</t>
  </si>
  <si>
    <t>OLIVE-Achat Fourniture de bureau</t>
  </si>
  <si>
    <t>CNSS QPO-Pyt Cotisation sociale CP&amp;ME  juillet 19</t>
  </si>
  <si>
    <t>CNSS QPO-Pyt Cotisation sociale Animateur juillet</t>
  </si>
  <si>
    <t>CNSS QPO-Pyt Cotisation sociale Gardien  juillet19</t>
  </si>
  <si>
    <t>CNSS QPO-Pyt Cotisation sociale Financière  juille</t>
  </si>
  <si>
    <t>CNSS QPP-Pyt Cotisation sociale CP&amp;ME  juillet  19</t>
  </si>
  <si>
    <t>CNSS QPP-PytCotisation sociale Animateur juillet</t>
  </si>
  <si>
    <t>CNSS QPP-Pyt Cotisation sociale Gardien  juillet</t>
  </si>
  <si>
    <t>CNSS QPP-Pyt Cotisation sociale Financière  juille</t>
  </si>
  <si>
    <t>INPP-Pyt Cotisation CP&amp;ME  juillet  19</t>
  </si>
  <si>
    <t>INPP-Pyt Cotisation Animateur  juillet 19</t>
  </si>
  <si>
    <t>INPP-Pyt Cotisation  Gardien  juillet  19</t>
  </si>
  <si>
    <t>INPP-Pyt Cotisation  Financière  juillet  19</t>
  </si>
  <si>
    <t>DGI-Pyt IPR  CP&amp;ME juillet  19</t>
  </si>
  <si>
    <t>DGI-Pyt IPR  Animateur juillet  19</t>
  </si>
  <si>
    <t>DGI-Pyt IPR  Gardien juillet  19</t>
  </si>
  <si>
    <t>DGI-Pyt IPR  Gardien  juillet  19</t>
  </si>
  <si>
    <t>DGI-Pyt IPR  CP&amp;ME Aout  19</t>
  </si>
  <si>
    <t>DGI-Pyt IPR  Animateur  Aout 19</t>
  </si>
  <si>
    <t>DGI-Pyt IPR  Gardien  Aout  19</t>
  </si>
  <si>
    <t>DGI-Pyt IPR  Gardien Aout  19</t>
  </si>
  <si>
    <t>CNSS QPO-Pyt Cotisation sociale CP&amp;ME Aout 19</t>
  </si>
  <si>
    <t>CNSS QPO-Pyt Cotisation sociale Animateur Aout  19</t>
  </si>
  <si>
    <t>CNSS QPO-Pyt Cotisation sociale Gardien Aout  19</t>
  </si>
  <si>
    <t>CNSS QPO-Pyt Cotisation sociale Financière Aout 19</t>
  </si>
  <si>
    <t>CNSS QPP-Pyt Cotisation sociale CP&amp;ME  Aout  19</t>
  </si>
  <si>
    <t>CNSS QPP-PytCotisation sociale Animateur Aout19</t>
  </si>
  <si>
    <t>CNSS QPP-Pyt Cotisation sociale Gardien  Aout  19</t>
  </si>
  <si>
    <t>CNSS QPP-Pyt Cotisation sociale Financière Aout19</t>
  </si>
  <si>
    <t>INPP-Pyt Cotisation CP&amp;ME  Aout  19</t>
  </si>
  <si>
    <t>INPP-Pyt Cotisation Animateur Aout  19</t>
  </si>
  <si>
    <t>INPP-Pyt Cotisation  Gardien  Aout  19</t>
  </si>
  <si>
    <t>INPP-Pyt Cotisation  Financière  Aout  19</t>
  </si>
  <si>
    <t>JANVIER-Pyt salaire CP&amp;ME  Aout 19</t>
  </si>
  <si>
    <t>MALIPO-Pyt salaire Animateur  Aout 19</t>
  </si>
  <si>
    <t>MUGAZA-Pyt salaire Gardien   Aout  19</t>
  </si>
  <si>
    <t>OLIVE-Pyt salaire financière   Aout 19</t>
  </si>
  <si>
    <t>OLIVE-Location bureau juillet et Aout 19</t>
  </si>
  <si>
    <t>Lgmt 2-09 June'19 Sebatutsi Felix</t>
  </si>
  <si>
    <t>Lgmt 2-09 June'19 Nakiza Immaculée</t>
  </si>
  <si>
    <t>Lgmt 2-09 June'19 Muyobozi Gasongo</t>
  </si>
  <si>
    <t>Lgmt 2-09 June'19 Sumaili Justin</t>
  </si>
  <si>
    <t>Lgmt 2-09 June'19 Ngonge Patient</t>
  </si>
  <si>
    <t>Lgmt 2-09 June'19 Ajabu Destin</t>
  </si>
  <si>
    <t>Lgmt 2-09 June'19 Lukele Janvier</t>
  </si>
  <si>
    <t>Lgmt 2-09 June'19 Biganiro Pacifique</t>
  </si>
  <si>
    <t>Lgmt 2-09 June'19 Byakrurema Samson</t>
  </si>
  <si>
    <t>Lgmt 2-09 June'19 Mwicerwa Charles</t>
  </si>
  <si>
    <t>Lgmt 2-09 June'19 Malipo Elly</t>
  </si>
  <si>
    <t>Lgmt 2-09 June'19 Byishimo Simeon</t>
  </si>
  <si>
    <t>Lgmt 2-09 June'19 Mikolwa Bihayo</t>
  </si>
  <si>
    <t>Lgmt 2-09 June'19 Mwetaminwa Pardo</t>
  </si>
  <si>
    <t>Lgmt 2-09 June'19 Runezerwa Martin</t>
  </si>
  <si>
    <t>LOC SALLE 5 jrs Proj CAM Fact n°098/019</t>
  </si>
  <si>
    <t>Pymt pause café 5 jrs Proj CAM Fact n°098/019</t>
  </si>
  <si>
    <t>Pymt Rafraissmt Eau 5 jrs Proj CAM Fact n°098/019</t>
  </si>
  <si>
    <t>Pmt Répas 5 jrs Proj CAM Fact n°098/019</t>
  </si>
  <si>
    <t>DRCBUK/BANK/2019/07/002</t>
  </si>
  <si>
    <t>Pmt fact hotel Dunia 01/04/2019</t>
  </si>
  <si>
    <t>DUI</t>
  </si>
  <si>
    <t>Pmt fact hotel Dunia 9-11/04/2019</t>
  </si>
  <si>
    <t>DRCBUK/GENJNL/2019/09/009</t>
  </si>
  <si>
    <t>frs de manifeste staff-Uvira</t>
  </si>
  <si>
    <t>DRCBUK/GENJNL/2019/09/010</t>
  </si>
  <si>
    <t>Frs de voyage Papson 30/08-10/09-Minembw</t>
  </si>
  <si>
    <t>Frs de Rbt de transport au participants</t>
  </si>
  <si>
    <t>logement participants-Minembw</t>
  </si>
  <si>
    <t>Frs de voyage participants 6-8/09-Minembw</t>
  </si>
  <si>
    <t>Location salle-Minembw</t>
  </si>
  <si>
    <t>Frs de restauration participants-Minembwe</t>
  </si>
  <si>
    <t>Frs de cominiqué à la Radio</t>
  </si>
  <si>
    <t>6680</t>
  </si>
  <si>
    <t>PUBLICITY AND PROMOTION</t>
  </si>
  <si>
    <t>frs de comunication au terrain</t>
  </si>
  <si>
    <t>Achat fournitures  cafeteriat-bureau 10%</t>
  </si>
  <si>
    <t>10056856</t>
  </si>
  <si>
    <t>Accommodation to Consultant to DRC</t>
  </si>
  <si>
    <t>DRCBUK/BANK/2019/07/009</t>
  </si>
  <si>
    <t>Pause Café pour 5 Collect Données 28/03/'19</t>
  </si>
  <si>
    <t>Buffet pour 5 Collect Données 28/03/'19</t>
  </si>
  <si>
    <t>Pause Café pour 5 Collect Données 29/03/'19</t>
  </si>
  <si>
    <t>Buffet pour 5 Personnes 29/03/'19</t>
  </si>
  <si>
    <t>Pause Café pour 5 Collect Données 17/04/'19</t>
  </si>
  <si>
    <t>Buffet pour 5 Collect Données 17/04/'19</t>
  </si>
  <si>
    <t>Lgmt 9-10 July'19 Musole Alexis</t>
  </si>
  <si>
    <t>Perdiem du 9 au 11 juillet 2019</t>
  </si>
  <si>
    <t>Rbsmt frais de transport Uvira-BK-Uvira</t>
  </si>
  <si>
    <t>Pdm Consultant CAM (5-8 Aout 2019)</t>
  </si>
  <si>
    <t>frais de sejour 21-23 Aout 2019 Bkv</t>
  </si>
  <si>
    <t>DRCBUK/BANK/2019/08/034</t>
  </si>
  <si>
    <t>Transport Janvier Minembw-BUK-Minembw</t>
  </si>
  <si>
    <t>Rbt frs de logemnt Janvier-Uvira</t>
  </si>
  <si>
    <t>Rbt frs de voyage Janvier 26-28/08-BUK</t>
  </si>
  <si>
    <t>DRCGOM/BANQUE/2019/009/013</t>
  </si>
  <si>
    <t>Lgmt Papson GM 15-16 Sept 2019</t>
  </si>
  <si>
    <t>Logemnt Papson 14nuitées-Uvira</t>
  </si>
  <si>
    <t>Frs de logement Papson-Minembwe</t>
  </si>
  <si>
    <t>Frs de voyage Pascal 30/08-2/09-Uvira</t>
  </si>
  <si>
    <t>Fr Restauration Animateurs à Minembwe</t>
  </si>
  <si>
    <t>Fr hebergement Chef P et Superviseur à Basimwenda</t>
  </si>
  <si>
    <t>Achat fournitures Module de formation à Minembwe</t>
  </si>
  <si>
    <t>Achat fournitures formation Minembwe Prof Isaac MO</t>
  </si>
  <si>
    <t>Fr logement Chef P et Superviseur à Basimuniaka Su</t>
  </si>
  <si>
    <t>Salaire Rukumbuzi Superviseur Terrain Jul'19 70%</t>
  </si>
  <si>
    <t>Logement superviseur et ME à Bijombo</t>
  </si>
  <si>
    <t>Salaire-July-Jerry WITANDAYI IYANYA 30%</t>
  </si>
  <si>
    <t>CNSS-Jerry WITANDAYI IYANYA 30%</t>
  </si>
  <si>
    <t>INPP-Jerry WITANDAYI IYANYA 30%</t>
  </si>
  <si>
    <t>Salaire Aug'19-Jerry WITANDAYI 10%</t>
  </si>
  <si>
    <t>CNSS Aug'19-Jerry WITANDAYI 10%</t>
  </si>
  <si>
    <t>ONEM Aug'19-Jerry WITANDAYI 10%</t>
  </si>
  <si>
    <t>INPP Aug'19-Jerry WITANDAYI 10%</t>
  </si>
  <si>
    <t>CNSS'19-Jerry WITANDAYI IYANYA 20%</t>
  </si>
  <si>
    <t>ONEM--Jerry WITANDAYI IYANYA 20%</t>
  </si>
  <si>
    <t>INPP'19-Jerry WITANDAYI IYANYA 20%</t>
  </si>
  <si>
    <t>IPR July'19-Nathalie MUHONGYA MASUMBUKO 75%</t>
  </si>
  <si>
    <t>Salary July'19-Nathalie MUHONGYA MASUMBUKO 75%</t>
  </si>
  <si>
    <t>CNSS July'19-Nathalie MUHONGYA MASUMBUKO 75%</t>
  </si>
  <si>
    <t>ONEM July'19-Nathalie MUHONGYA MAS 75%</t>
  </si>
  <si>
    <t>INPP July'19-Nathalie MUHONGYA MASUMBUKO 75%</t>
  </si>
  <si>
    <t>IPR August'19-Nathalie MUHONGYA MASU 10%</t>
  </si>
  <si>
    <t>Salary August'19-Nathalie MUHONGYA MASU 10%</t>
  </si>
  <si>
    <t>CNSS August'19-Nathalie MUHONGYA MASU 10%</t>
  </si>
  <si>
    <t>INPP August'19-Nathalie MUHONGYA MASU 10%</t>
  </si>
  <si>
    <t>ONEM-Nathalie MUHONGYA MASUMBUKO</t>
  </si>
  <si>
    <t>Salary September'19-Nathalie MUHONGYA MASU 10%</t>
  </si>
  <si>
    <t>IPR September'19-Nathalie MUHONGYA MASU 10%</t>
  </si>
  <si>
    <t>CNSS September'19-Nathalie MUHONGYA MASU 10%</t>
  </si>
  <si>
    <t>INPP September'19-Nathalie MUHONGYA MASU 10%</t>
  </si>
  <si>
    <t>Jul OH '19</t>
  </si>
  <si>
    <t>OVERHEAD CHG JUL'19</t>
  </si>
  <si>
    <t>GENERAL OVERHEAD ALLOCATION</t>
  </si>
  <si>
    <t>Aug OH '19</t>
  </si>
  <si>
    <t>OVERHEAD CHG AUG'19</t>
  </si>
  <si>
    <t>Sept OH '19</t>
  </si>
  <si>
    <t>OVERHEAD CHG SEPT'19</t>
  </si>
  <si>
    <t>114</t>
  </si>
  <si>
    <t>DRCBUK/BANK/2019/07/027</t>
  </si>
  <si>
    <t>Rbsmt frais Gym George 11 mois - 30%</t>
  </si>
  <si>
    <t>5240</t>
  </si>
  <si>
    <t>STAFF WELFARE</t>
  </si>
  <si>
    <t>127</t>
  </si>
  <si>
    <t>Lgmt 3July'19 Jeampy Lukusa</t>
  </si>
  <si>
    <t>137</t>
  </si>
  <si>
    <t>Pmt sécurité Bureau-Aout'19</t>
  </si>
  <si>
    <t>DRCBUK/BANK/2019/09/016</t>
  </si>
  <si>
    <t>Pmt sécurité Résidence George-Sept'19</t>
  </si>
  <si>
    <t>Pmt sécurité Bureau-Sept'19</t>
  </si>
  <si>
    <t>DRCBUK/BANK/2019/07/018</t>
  </si>
  <si>
    <t>Rbsmt frais activités BVES du 5-13/4/2019</t>
  </si>
  <si>
    <t>GRANT TO PARTNER-Control Accnt</t>
  </si>
  <si>
    <t>DRCBUK/BANK/2019/08/024</t>
  </si>
  <si>
    <t>Rbt frs d'enquetes baselines-SVH projet CAM</t>
  </si>
  <si>
    <t>Year1 ADED CAM Report Q2 August 2019</t>
  </si>
  <si>
    <t>Year1 BVES CAM Q2  July-August 2019</t>
  </si>
  <si>
    <t>Year1 SVH CAM Report Q2 August 2019</t>
  </si>
  <si>
    <t>Auto+Hide+Values+Formulas=Sheet22,Sheet5,Sheet6</t>
  </si>
  <si>
    <t>Hide</t>
  </si>
  <si>
    <t>Fit</t>
  </si>
  <si>
    <t>Fund Code</t>
  </si>
  <si>
    <t>Posting Date</t>
  </si>
  <si>
    <t>31/10/2019..31/12/2019</t>
  </si>
  <si>
    <t>Country Code</t>
  </si>
  <si>
    <t>*</t>
  </si>
  <si>
    <t>G/L Account No.</t>
  </si>
  <si>
    <t>Fund Budget Line</t>
  </si>
  <si>
    <t>External Document No.</t>
  </si>
  <si>
    <t>Payment Reference</t>
  </si>
  <si>
    <t>Document No.</t>
  </si>
  <si>
    <t>Amount</t>
  </si>
  <si>
    <t>Source Currency Code</t>
  </si>
  <si>
    <t>Source Currency Amount</t>
  </si>
  <si>
    <t>G/L Account Name</t>
  </si>
  <si>
    <t>People Code</t>
  </si>
  <si>
    <t>Donor/Partner Code</t>
  </si>
  <si>
    <t>Cost Type Code</t>
  </si>
  <si>
    <t>Project Budget Line</t>
  </si>
  <si>
    <t>Add.-Currency Amount 2</t>
  </si>
  <si>
    <t>Additional-Currency Amount</t>
  </si>
  <si>
    <t>"IntAlert Live","ALERT UK","17","1","511309"</t>
  </si>
  <si>
    <t>DRCPARTNER/PBVE/AP21QR/2019/003</t>
  </si>
  <si>
    <t>LISTE DE PRÉSENCE ET PAIEMENT FRAIS DE PERDIEM</t>
  </si>
  <si>
    <t>G00341</t>
  </si>
  <si>
    <t>Paiement frais de perdiem aux jeunes participants à la formation</t>
  </si>
  <si>
    <t/>
  </si>
  <si>
    <t>Auto</t>
  </si>
  <si>
    <t>"IntAlert Live","ALERT UK","17","1","487027"</t>
  </si>
  <si>
    <t>JDRCPAR/PSOL/AP21QR/2019/02</t>
  </si>
  <si>
    <t>77511</t>
  </si>
  <si>
    <t>DM2019OCT</t>
  </si>
  <si>
    <t>"IntAlert Live","ALERT UK","17","1","487028"</t>
  </si>
  <si>
    <t>"IntAlert Live","ALERT UK","17","1","487029"</t>
  </si>
  <si>
    <t>"IntAlert Live","ALERT UK","17","1","485343"</t>
  </si>
  <si>
    <t>DRCBUK/BANK/2019/10/0010</t>
  </si>
  <si>
    <t>77505</t>
  </si>
  <si>
    <t>CNSS  Ocassionel Prof Moke-Sept'19</t>
  </si>
  <si>
    <t>"IntAlert Live","ALERT UK","17","1","485350"</t>
  </si>
  <si>
    <t>DRCBUK/BANK/2019/10/009</t>
  </si>
  <si>
    <t>IPR Ocassionel Prof Moke-Sept'19</t>
  </si>
  <si>
    <t>"IntAlert Live","ALERT UK","17","1","487024"</t>
  </si>
  <si>
    <t>"IntAlert Live","ALERT UK","17","1","487025"</t>
  </si>
  <si>
    <t>"IntAlert Live","ALERT UK","17","1","487026"</t>
  </si>
  <si>
    <t>"IntAlert Live","ALERT UK","17","1","509976"</t>
  </si>
  <si>
    <t>DRCPARTNER/PSOL/AP21QR/2019/03</t>
  </si>
  <si>
    <t>RUTH</t>
  </si>
  <si>
    <t>G00237</t>
  </si>
  <si>
    <t>Pyt fact n° 48 pour la diffusion des messages de paix et de sécurité</t>
  </si>
  <si>
    <t>"IntAlert Live","ALERT UK","17","1","503569"</t>
  </si>
  <si>
    <t>DRCGOM/BANQUE/2019/012/003</t>
  </si>
  <si>
    <t>CHARITE MATERNELLE</t>
  </si>
  <si>
    <t>G00248</t>
  </si>
  <si>
    <t>Medaical fees Jerry Oct'19 10%</t>
  </si>
  <si>
    <t>"IntAlert Live","ALERT UK","17","1","503574"</t>
  </si>
  <si>
    <t>Medaical fees Adolphine Oct'19 40%</t>
  </si>
  <si>
    <t>"IntAlert Live","ALERT UK","17","1","511265"</t>
  </si>
  <si>
    <t>70% FICHE DE PAIE SALAIRE MENSUEL</t>
  </si>
  <si>
    <t>Rukumbuzi Superviseur Terrain septembre 2019</t>
  </si>
  <si>
    <t>"IntAlert Live","ALERT UK","17","1","511274"</t>
  </si>
  <si>
    <t>Rukumbuzi Superviseur Terrain octobre 2019</t>
  </si>
  <si>
    <t>"IntAlert Live","ALERT UK","17","1","511312"</t>
  </si>
  <si>
    <t>LISTE DE PRÉSENCE ET PAIEMENT FRAS DE TRANSPORT</t>
  </si>
  <si>
    <t>Remboursement frais de transport aux jeunes participants à la formation</t>
  </si>
  <si>
    <t>"IntAlert Live","ALERT UK","17","1","511297"</t>
  </si>
  <si>
    <t>FACTURE</t>
  </si>
  <si>
    <t>Polycopie documents de support pour la formation des jeunes facilitateurs</t>
  </si>
  <si>
    <t>"IntAlert Live","ALERT UK","17","1","511303"</t>
  </si>
  <si>
    <t>"IntAlert Live","ALERT UK","17","1","511304"</t>
  </si>
  <si>
    <t>Paiement frais de logement aux jeunes participants à la formation</t>
  </si>
  <si>
    <t>"IntAlert Live","ALERT UK","17","1","511306"</t>
  </si>
  <si>
    <t>Paiement frais de repas aux jeunes participants à la formation</t>
  </si>
  <si>
    <t>"IntAlert Live","ALERT UK","17","1","511308"</t>
  </si>
  <si>
    <t>"IntAlert Live","ALERT UK","17","1","511310"</t>
  </si>
  <si>
    <t>"IntAlert Live","ALERT UK","17","1","484290"</t>
  </si>
  <si>
    <t>JDRCGOM/GENJNL/2019/008/004</t>
  </si>
  <si>
    <t>"IntAlert Live","ALERT UK","17","1","484813"</t>
  </si>
  <si>
    <t>"IntAlert Live","ALERT UK","17","1","511331"</t>
  </si>
  <si>
    <t>"IntAlert Live","ALERT UK","17","1","511332"</t>
  </si>
  <si>
    <t>Achat materiels pedagogigues</t>
  </si>
  <si>
    <t>"IntAlert Live","ALERT UK","17","1","511355"</t>
  </si>
  <si>
    <t xml:space="preserve"> restauration aux participants aux réunions des groupes de dialogue entre les jeunes </t>
  </si>
  <si>
    <t>"IntAlert Live","ALERT UK","17","1","511356"</t>
  </si>
  <si>
    <t>LISTE DE PRÉSENCE ET PAIEMENT DES FRAIS DE TRANSPO</t>
  </si>
  <si>
    <t xml:space="preserve"> transport aux participants aux réunions des groupes de dialogue entre les jeunes </t>
  </si>
  <si>
    <t>"IntAlert Live","ALERT UK","17","1","511357"</t>
  </si>
  <si>
    <t>RECU</t>
  </si>
  <si>
    <t>Paiement frais de facilitation à Ishenge</t>
  </si>
  <si>
    <t>"IntAlert Live","ALERT UK","17","1","511381"</t>
  </si>
  <si>
    <t xml:space="preserve">Paiement frais de restauration aux participants aux réunions </t>
  </si>
  <si>
    <t>"IntAlert Live","ALERT UK","17","1","511382"</t>
  </si>
  <si>
    <t xml:space="preserve">Paiement frais de transport aux participants aux réunions </t>
  </si>
  <si>
    <t>"IntAlert Live","ALERT UK","17","1","511383"</t>
  </si>
  <si>
    <t>Paiement frais de facilitation à Irango</t>
  </si>
  <si>
    <t>"IntAlert Live","ALERT UK","17","1","511393"</t>
  </si>
  <si>
    <t>"IntAlert Live","ALERT UK","17","1","511394"</t>
  </si>
  <si>
    <t>"IntAlert Live","ALERT UK","17","1","511395"</t>
  </si>
  <si>
    <t>Paiement frais de facilitation à Masango</t>
  </si>
  <si>
    <t>"IntAlert Live","ALERT UK","17","1","511458"</t>
  </si>
  <si>
    <t>LISTE DE PRÉSENCE ET PAIEMENT FRAIS DE TRANSPORT</t>
  </si>
  <si>
    <t>Paiement frais de transport aux participants à la réunion mensuelle GJ</t>
  </si>
  <si>
    <t>"IntAlert Live","ALERT UK","17","1","483798"</t>
  </si>
  <si>
    <t>JDRCGOM/ BANQ/2019/008/014</t>
  </si>
  <si>
    <t>"IntAlert Live","ALERT UK","17","1","484985"</t>
  </si>
  <si>
    <t>JDRCBUK/BANK/2019/09/013</t>
  </si>
  <si>
    <t>"IntAlert Live","ALERT UK","17","1","511384"</t>
  </si>
  <si>
    <t xml:space="preserve">Paiement frais de transport local et communication </t>
  </si>
  <si>
    <t>"IntAlert Live","ALERT UK","17","1","511385"</t>
  </si>
  <si>
    <t>FICHE DE PERDIEM</t>
  </si>
  <si>
    <t xml:space="preserve">Paiement frais de perdiem à la chargée de l'Adm des Finances </t>
  </si>
  <si>
    <t>"IntAlert Live","ALERT UK","17","1","511386"</t>
  </si>
  <si>
    <t>BILLET DE VOYAGE</t>
  </si>
  <si>
    <t>Paiement frais de transport Bukavu-Bujumbura-Uvira aller retour</t>
  </si>
  <si>
    <t>"IntAlert Live","ALERT UK","17","1","511335"</t>
  </si>
  <si>
    <t>"IntAlert Live","ALERT UK","17","1","511336"</t>
  </si>
  <si>
    <t>"IntAlert Live","ALERT UK","17","1","511366"</t>
  </si>
  <si>
    <t xml:space="preserve">Paiement frais de restauration aux participants à la réunion des jeunes </t>
  </si>
  <si>
    <t>"IntAlert Live","ALERT UK","17","1","511367"</t>
  </si>
  <si>
    <t xml:space="preserve">Paiement frais de transport aux jeunes participants  à la réunion des jeunes </t>
  </si>
  <si>
    <t>"IntAlert Live","ALERT UK","17","1","511368"</t>
  </si>
  <si>
    <t xml:space="preserve">Paiement frais de transport aux autorités et leaders participants  à la réunion des jeunes </t>
  </si>
  <si>
    <t>"IntAlert Live","ALERT UK","17","1","511369"</t>
  </si>
  <si>
    <t>"IntAlert Live","ALERT UK","17","1","511434"</t>
  </si>
  <si>
    <t xml:space="preserve">Achat matériel pédagogique pour la réunion mensuelle des jeunes </t>
  </si>
  <si>
    <t>"IntAlert Live","ALERT UK","17","1","511435"</t>
  </si>
  <si>
    <t>"IntAlert Live","ALERT UK","17","1","511459"</t>
  </si>
  <si>
    <t>Transport aux participants à la réunion mensuelle des GJ</t>
  </si>
  <si>
    <t>"IntAlert Live","ALERT UK","17","1","511460"</t>
  </si>
  <si>
    <t>Paiement frais de facilitation pour la réunion mensuelle des GJ</t>
  </si>
  <si>
    <t>"IntAlert Live","ALERT UK","17","1","511468"</t>
  </si>
  <si>
    <t xml:space="preserve">transport aux participants à la réunion mensuelle des jeunes </t>
  </si>
  <si>
    <t>"IntAlert Live","ALERT UK","17","1","511469"</t>
  </si>
  <si>
    <t>Paiement frais de facilitation à la réunion des jeunes membres de clubs de mentorat</t>
  </si>
  <si>
    <t>"IntAlert Live","ALERT UK","17","1","511470"</t>
  </si>
  <si>
    <t>Paiement frais de restauration aux participants à la réunion mensuelle des clubs de mentorat</t>
  </si>
  <si>
    <t>"IntAlert Live","ALERT UK","17","1","511471"</t>
  </si>
  <si>
    <t>"IntAlert Live","ALERT UK","17","1","504632"</t>
  </si>
  <si>
    <t>DRCBUK/BANK/2019/012/019</t>
  </si>
  <si>
    <t>SOUZANA GUEST</t>
  </si>
  <si>
    <t>G00275</t>
  </si>
  <si>
    <t>Logement Consult Fabrice-CAM-Uvira</t>
  </si>
  <si>
    <t>"IntAlert Live","ALERT UK","17","1","511290"</t>
  </si>
  <si>
    <t xml:space="preserve">Impression calicot pour la formation de recyclage des jeunes facilitateurs </t>
  </si>
  <si>
    <t>"IntAlert Live","ALERT UK","17","1","511291"</t>
  </si>
  <si>
    <t xml:space="preserve">Achat matériels pédagogiques pour la formation de recyclage des jeunes </t>
  </si>
  <si>
    <t>"IntAlert Live","ALERT UK","17","1","511292"</t>
  </si>
  <si>
    <t>Polycopie documents de support</t>
  </si>
  <si>
    <t>"IntAlert Live","ALERT UK","17","1","511293"</t>
  </si>
  <si>
    <t xml:space="preserve">Paiement frais de transport (Bukavu-Uvira-Bukavu) au  facilitateur pour la formation </t>
  </si>
  <si>
    <t>"IntAlert Live","ALERT UK","17","1","511294"</t>
  </si>
  <si>
    <t xml:space="preserve">Paiement frais de perdiem facilitateur </t>
  </si>
  <si>
    <t>"IntAlert Live","ALERT UK","17","1","511295"</t>
  </si>
  <si>
    <t xml:space="preserve">Achat matériels pédagogiques pour la formation des jeunes facilitateurs </t>
  </si>
  <si>
    <t>"IntAlert Live","ALERT UK","17","1","511296"</t>
  </si>
  <si>
    <t xml:space="preserve">Impression calicot pour la formation des jeunes facilitateurs </t>
  </si>
  <si>
    <t>"IntAlert Live","ALERT UK","17","1","511298"</t>
  </si>
  <si>
    <t>Paiement frais de transport facilitateur/staff BVES (Bukavu-Uvira-Bukavu)</t>
  </si>
  <si>
    <t>"IntAlert Live","ALERT UK","17","1","511299"</t>
  </si>
  <si>
    <t>Paiement frais de transport local facilitateur</t>
  </si>
  <si>
    <t>"IntAlert Live","ALERT UK","17","1","511300"</t>
  </si>
  <si>
    <t>"IntAlert Live","ALERT UK","17","1","511301"</t>
  </si>
  <si>
    <t>Paiement frais de logement facilitateur à Uvira</t>
  </si>
  <si>
    <t>"IntAlert Live","ALERT UK","17","1","511302"</t>
  </si>
  <si>
    <t>RECU,FACTURE</t>
  </si>
  <si>
    <t>Paiement frais de communication facilitateur</t>
  </si>
  <si>
    <t>"IntAlert Live","ALERT UK","17","1","511305"</t>
  </si>
  <si>
    <t>"IntAlert Live","ALERT UK","17","1","511314"</t>
  </si>
  <si>
    <t xml:space="preserve">Paiement frais de repas soir/perdiem aux jeunes participants à la formation </t>
  </si>
  <si>
    <t>"IntAlert Live","ALERT UK","17","1","511315"</t>
  </si>
  <si>
    <t xml:space="preserve">Location salle de réunion pour la formation de recyclage des jeunes facilitateurs  </t>
  </si>
  <si>
    <t>"IntAlert Live","ALERT UK","17","1","511316"</t>
  </si>
  <si>
    <t xml:space="preserve">Paiement frais pause-café/formation de recyclage des jeunes facilitateurs </t>
  </si>
  <si>
    <t>"IntAlert Live","ALERT UK","17","1","511317"</t>
  </si>
  <si>
    <t xml:space="preserve">Paiement frais repas jour /formation de recyclage des jeunes facilitateurs </t>
  </si>
  <si>
    <t>"IntAlert Live","ALERT UK","17","1","511318"</t>
  </si>
  <si>
    <t xml:space="preserve">Paiement frais de transport/jeunes participants Kilembwe-Minembwe-Kilembwe </t>
  </si>
  <si>
    <t>"IntAlert Live","ALERT UK","17","1","511319"</t>
  </si>
  <si>
    <t>Location rétroprojecteur</t>
  </si>
  <si>
    <t>"IntAlert Live","ALERT UK","17","1","511320"</t>
  </si>
  <si>
    <t>Location groupe électrogène</t>
  </si>
  <si>
    <t>"IntAlert Live","ALERT UK","17","1","511321"</t>
  </si>
  <si>
    <t>Achat carburant pour le groupe électrogène</t>
  </si>
  <si>
    <t>"IntAlert Live","ALERT UK","17","1","511322"</t>
  </si>
  <si>
    <t>FACTURES</t>
  </si>
  <si>
    <t xml:space="preserve">Paiement frais de logement aux jeunes facilitateurs participants à la formation </t>
  </si>
  <si>
    <t>"IntAlert Live","ALERT UK","17","1","511323"</t>
  </si>
  <si>
    <t>Paiement frais de logement au facilitateur à Minembwe</t>
  </si>
  <si>
    <t>"IntAlert Live","ALERT UK","17","1","511325"</t>
  </si>
  <si>
    <t>Paiement frais de logement au facilitateur à Uvira</t>
  </si>
  <si>
    <t>"IntAlert Live","ALERT UK","17","1","511337"</t>
  </si>
  <si>
    <t>"IntAlert Live","ALERT UK","17","1","511338"</t>
  </si>
  <si>
    <t>"IntAlert Live","ALERT UK","17","1","511339"</t>
  </si>
  <si>
    <t>FICHE DE  DEPLACEMENT LOCAL, RECU</t>
  </si>
  <si>
    <t>Paiement frais de transport Uvira-Bijombo-Uvira au Superviseur et ME</t>
  </si>
  <si>
    <t>"IntAlert Live","ALERT UK","17","1","511340"</t>
  </si>
  <si>
    <t>Paiement frais de transport local journalier au Superviseur et ME</t>
  </si>
  <si>
    <t>"IntAlert Live","ALERT UK","17","1","511341"</t>
  </si>
  <si>
    <t xml:space="preserve">Paiement frais de perdiem au Superviseur et ME </t>
  </si>
  <si>
    <t>"IntAlert Live","ALERT UK","17","1","511344"</t>
  </si>
  <si>
    <t>Paiement frais de logement Superviseur et ME à Bijombo</t>
  </si>
  <si>
    <t>"IntAlert Live","ALERT UK","17","1","511346"</t>
  </si>
  <si>
    <t>Paiement frais de transport Bukavu-Uvira-Bukavu au Superviseur et ME</t>
  </si>
  <si>
    <t>"IntAlert Live","ALERT UK","17","1","511347"</t>
  </si>
  <si>
    <t>Paiement frais de transport matériels pédagogiques Uvira-Kirungu-Bijombo</t>
  </si>
  <si>
    <t>"IntAlert Live","ALERT UK","17","1","511364"</t>
  </si>
  <si>
    <t xml:space="preserve">Paiement frais repas jour et soir aux jeunes participants à la formation des jeunes </t>
  </si>
  <si>
    <t>"IntAlert Live","ALERT UK","17","1","511365"</t>
  </si>
  <si>
    <t>Paiement frais pause-café aux jeunes participants à la formation des jeunes f</t>
  </si>
  <si>
    <t>"IntAlert Live","ALERT UK","17","1","511370"</t>
  </si>
  <si>
    <t>"IntAlert Live","ALERT UK","17","1","511371"</t>
  </si>
  <si>
    <t>LISTE DE PRÉSENCE ET PAIEMENT DES FRAIS DE PERDIEM</t>
  </si>
  <si>
    <t xml:space="preserve">Paiement frais perdiem aux jeunes participants à la formation des jeunes </t>
  </si>
  <si>
    <t>"IntAlert Live","ALERT UK","17","1","511372"</t>
  </si>
  <si>
    <t xml:space="preserve">Paiement frais de transport aux jeunes participants à la formation des jeunes </t>
  </si>
  <si>
    <t>"IntAlert Live","ALERT UK","17","1","511373"</t>
  </si>
  <si>
    <t xml:space="preserve">Paiement frais de logement aux autorités et leaders participants  </t>
  </si>
  <si>
    <t>"IntAlert Live","ALERT UK","17","1","509930"</t>
  </si>
  <si>
    <t>DRCPARTNER/PAPU/AP21QR/2019/03</t>
  </si>
  <si>
    <t>PARTICIPANTS</t>
  </si>
  <si>
    <t>G00334</t>
  </si>
  <si>
    <t>Logement participants du 10 au 11 déc 019</t>
  </si>
  <si>
    <t>"IntAlert Live","ALERT UK","17","1","509931"</t>
  </si>
  <si>
    <t>NG GRD-LACS</t>
  </si>
  <si>
    <t>Restauration participants 10 au 11 déc 019</t>
  </si>
  <si>
    <t>"IntAlert Live","ALERT UK","17","1","509932"</t>
  </si>
  <si>
    <t>Perdiem participants du 10 au 11 déc 019</t>
  </si>
  <si>
    <t>"IntAlert Live","ALERT UK","17","1","509933"</t>
  </si>
  <si>
    <t>Trans aux participants du 10 au 11 déc 019</t>
  </si>
  <si>
    <t>"IntAlert Live","ALERT UK","17","1","509977"</t>
  </si>
  <si>
    <t>Pyt fact n° 48 pour la diffusion de l'avis à manifestation d'intérêt pour les jeunes</t>
  </si>
  <si>
    <t>"IntAlert Live","ALERT UK","17","1","511326"</t>
  </si>
  <si>
    <t>"IntAlert Live","ALERT UK","17","1","511327"</t>
  </si>
  <si>
    <t>"IntAlert Live","ALERT UK","17","1","511328"</t>
  </si>
  <si>
    <t>Polycopie documents</t>
  </si>
  <si>
    <t>"IntAlert Live","ALERT UK","17","1","511358"</t>
  </si>
  <si>
    <t>Location salle de réunion à Ishenge</t>
  </si>
  <si>
    <t>"IntAlert Live","ALERT UK","17","1","511359"</t>
  </si>
  <si>
    <t xml:space="preserve">restauration aux participants aux réunions </t>
  </si>
  <si>
    <t>"IntAlert Live","ALERT UK","17","1","511360"</t>
  </si>
  <si>
    <t xml:space="preserve">Transport aux participants aux réunions </t>
  </si>
  <si>
    <t>"IntAlert Live","ALERT UK","17","1","511361"</t>
  </si>
  <si>
    <t>"IntAlert Live","ALERT UK","17","1","511362"</t>
  </si>
  <si>
    <t xml:space="preserve">Restauration aux participants aux réunions </t>
  </si>
  <si>
    <t>"IntAlert Live","ALERT UK","17","1","511363"</t>
  </si>
  <si>
    <t xml:space="preserve">Transport aux participants aux réunions de diffusion </t>
  </si>
  <si>
    <t>"IntAlert Live","ALERT UK","17","1","511390"</t>
  </si>
  <si>
    <t>"IntAlert Live","ALERT UK","17","1","511391"</t>
  </si>
  <si>
    <t>"IntAlert Live","ALERT UK","17","1","511392"</t>
  </si>
  <si>
    <t>"IntAlert Live","ALERT UK","17","1","512561"</t>
  </si>
  <si>
    <t>JDRCPARTNER/PSOL/AP21QR/2019/03</t>
  </si>
  <si>
    <t>G00369</t>
  </si>
  <si>
    <t>Transport des partcipants à la réunion de sélection des initiatives des jeunes</t>
  </si>
  <si>
    <t>"IntAlert Live","ALERT UK","17","1","512562"</t>
  </si>
  <si>
    <t>Location salle pdt la réunion de sélection des initiatives des jeunes</t>
  </si>
  <si>
    <t>"IntAlert Live","ALERT UK","17","1","510036"</t>
  </si>
  <si>
    <t>LUKELE</t>
  </si>
  <si>
    <t>"IntAlert Live","ALERT UK","17","1","510037"</t>
  </si>
  <si>
    <t>"IntAlert Live","ALERT UK","17","1","512543"</t>
  </si>
  <si>
    <t>"IntAlert Live","ALERT UK","17","1","512544"</t>
  </si>
  <si>
    <t>"IntAlert Live","ALERT UK","17","1","487526"</t>
  </si>
  <si>
    <t>JDRCBUK/CAISSE/2019/08/001</t>
  </si>
  <si>
    <t>"IntAlert Live","ALERT UK","17","1","511333"</t>
  </si>
  <si>
    <t>"IntAlert Live","ALERT UK","17","1","511342"</t>
  </si>
  <si>
    <t>"IntAlert Live","ALERT UK","17","1","511374"</t>
  </si>
  <si>
    <t xml:space="preserve">Paiement frais de restauration aux jeunes participants à la réunion </t>
  </si>
  <si>
    <t>"IntAlert Live","ALERT UK","17","1","511375"</t>
  </si>
  <si>
    <t>Paiement frais de transport aux jeunes participants à la réunion d</t>
  </si>
  <si>
    <t>"IntAlert Live","ALERT UK","17","1","511427"</t>
  </si>
  <si>
    <t xml:space="preserve">Paiement frais de transport aller-retour au superviseur pour mission de supervision </t>
  </si>
  <si>
    <t>"IntAlert Live","ALERT UK","17","1","511428"</t>
  </si>
  <si>
    <t xml:space="preserve">Paiement frais de perdiem au superviseur pour mission de supervision </t>
  </si>
  <si>
    <t>"IntAlert Live","ALERT UK","17","1","511429"</t>
  </si>
  <si>
    <t xml:space="preserve">Paiement frais de logement au superviseur pour mission de supervision </t>
  </si>
  <si>
    <t>"IntAlert Live","ALERT UK","17","1","511430"</t>
  </si>
  <si>
    <t>Impression et polycopie des propositions projets des jeunes de Bijombo</t>
  </si>
  <si>
    <t>"IntAlert Live","ALERT UK","17","1","511436"</t>
  </si>
  <si>
    <t xml:space="preserve">Paiement frais de transport aller-retour au ME et Chargée de l'Administration </t>
  </si>
  <si>
    <t>"IntAlert Live","ALERT UK","17","1","511437"</t>
  </si>
  <si>
    <t xml:space="preserve">Paiement frais de perdiem au ME et Chargée de l'Administration </t>
  </si>
  <si>
    <t>"IntAlert Live","ALERT UK","17","1","511438"</t>
  </si>
  <si>
    <t xml:space="preserve">Paiement frais de communication au staff BVES </t>
  </si>
  <si>
    <t>"IntAlert Live","ALERT UK","17","1","511439"</t>
  </si>
  <si>
    <t>"IntAlert Live","ALERT UK","17","1","511440"</t>
  </si>
  <si>
    <t xml:space="preserve">Achat matériels pédagogiques pour la réunion de sélection des initiatives locales </t>
  </si>
  <si>
    <t>"IntAlert Live","ALERT UK","17","1","511441"</t>
  </si>
  <si>
    <t>Paiement frais de logement au ME et Chargée de l'Administration d</t>
  </si>
  <si>
    <t>"IntAlert Live","ALERT UK","17","1","511442"</t>
  </si>
  <si>
    <t xml:space="preserve">Paiement frais de logement aux autorités et jeunes participants à la reunion de sélection </t>
  </si>
  <si>
    <t>"IntAlert Live","ALERT UK","17","1","511443"</t>
  </si>
  <si>
    <t xml:space="preserve">Paiement frais de restauration aux autorités et jeunes participants à la reunion </t>
  </si>
  <si>
    <t>"IntAlert Live","ALERT UK","17","1","511444"</t>
  </si>
  <si>
    <t>FICHES DE PERDIEM</t>
  </si>
  <si>
    <t xml:space="preserve">Paiement frais de perdiem le jour de l'activité aux autorités et jeunes </t>
  </si>
  <si>
    <t>"IntAlert Live","ALERT UK","17","1","511445"</t>
  </si>
  <si>
    <t xml:space="preserve">perdiem les jours supplémentaires aux autorités et jeunes participants à la reunion </t>
  </si>
  <si>
    <t>"IntAlert Live","ALERT UK","17","1","511446"</t>
  </si>
  <si>
    <t xml:space="preserve">transport aller-retour autorités participants à la reunion de sélection des initiatives locales  </t>
  </si>
  <si>
    <t>"IntAlert Live","ALERT UK","17","1","511447"</t>
  </si>
  <si>
    <t xml:space="preserve">transport aller-retour jeunes participants à la reunion de sélection des initiatives locales  </t>
  </si>
  <si>
    <t>"IntAlert Live","ALERT UK","17","1","511448"</t>
  </si>
  <si>
    <t xml:space="preserve"> transport aller-retour aux autorités d'Uvira (chefferie, territoire et société civile) </t>
  </si>
  <si>
    <t>"IntAlert Live","ALERT UK","17","1","511450"</t>
  </si>
  <si>
    <t>Photocopie documents</t>
  </si>
  <si>
    <t>"IntAlert Live","ALERT UK","17","1","511451"</t>
  </si>
  <si>
    <t>Transport Superviseur, ME, Chef de projet pour la réunion technique de staff à Uvira</t>
  </si>
  <si>
    <t>"IntAlert Live","ALERT UK","17","1","511452"</t>
  </si>
  <si>
    <t xml:space="preserve">transport aller-retour aux animateurs sociaux de terrain pour le reunion technique </t>
  </si>
  <si>
    <t>"IntAlert Live","ALERT UK","17","1","511453"</t>
  </si>
  <si>
    <t xml:space="preserve">Paiement frais de perdiem aux animateurs </t>
  </si>
  <si>
    <t>"IntAlert Live","ALERT UK","17","1","511454"</t>
  </si>
  <si>
    <t xml:space="preserve">Paiement frais de communication aux animateurs </t>
  </si>
  <si>
    <t>"IntAlert Live","ALERT UK","17","1","511455"</t>
  </si>
  <si>
    <t>Logement Superviseur, ME et Chef de projet à Uvira</t>
  </si>
  <si>
    <t>"IntAlert Live","ALERT UK","17","1","511456"</t>
  </si>
  <si>
    <t>Paiement frais de perdiem au Superviseur, ME et Chef de projet à Uvira</t>
  </si>
  <si>
    <t>"IntAlert Live","ALERT UK","17","1","511457"</t>
  </si>
  <si>
    <t>Logement animateurs à Uvira</t>
  </si>
  <si>
    <t>"IntAlert Live","ALERT UK","17","1","511461"</t>
  </si>
  <si>
    <t>Paiement frais de facilitation pour la réunion mensuelle GJ</t>
  </si>
  <si>
    <t>"IntAlert Live","ALERT UK","17","1","511462"</t>
  </si>
  <si>
    <t>"IntAlert Live","ALERT UK","17","1","511311"</t>
  </si>
  <si>
    <t>"IntAlert Live","ALERT UK","17","1","511329"</t>
  </si>
  <si>
    <t>"IntAlert Live","ALERT UK","17","1","511330"</t>
  </si>
  <si>
    <t>"IntAlert Live","ALERT UK","17","1","511345"</t>
  </si>
  <si>
    <t>"IntAlert Live","ALERT UK","17","1","511352"</t>
  </si>
  <si>
    <t>"IntAlert Live","ALERT UK","17","1","511353"</t>
  </si>
  <si>
    <t xml:space="preserve"> restauration aux participants aux réunions </t>
  </si>
  <si>
    <t>"IntAlert Live","ALERT UK","17","1","511354"</t>
  </si>
  <si>
    <t>"IntAlert Live","ALERT UK","17","1","511378"</t>
  </si>
  <si>
    <t>"IntAlert Live","ALERT UK","17","1","511379"</t>
  </si>
  <si>
    <t xml:space="preserve"> restauration aux participants aux réunions de diffusion de l'avis à manifestation d'intérêt</t>
  </si>
  <si>
    <t>"IntAlert Live","ALERT UK","17","1","511380"</t>
  </si>
  <si>
    <t>"IntAlert Live","ALERT UK","17","1","511387"</t>
  </si>
  <si>
    <t>"IntAlert Live","ALERT UK","17","1","511388"</t>
  </si>
  <si>
    <t>"IntAlert Live","ALERT UK","17","1","511389"</t>
  </si>
  <si>
    <t>"IntAlert Live","ALERT UK","17","1","511432"</t>
  </si>
  <si>
    <t xml:space="preserve">Achat matériels pédagogiques pour la réunion de groupe de dialogue </t>
  </si>
  <si>
    <t>"IntAlert Live","ALERT UK","17","1","511433"</t>
  </si>
  <si>
    <t>"IntAlert Live","ALERT UK","17","1","511463"</t>
  </si>
  <si>
    <t>Restauration participants</t>
  </si>
  <si>
    <t>"IntAlert Live","ALERT UK","17","1","511464"</t>
  </si>
  <si>
    <t>Paiement frais de transport aux participants à la réunion  GJ</t>
  </si>
  <si>
    <t>"IntAlert Live","ALERT UK","17","1","511465"</t>
  </si>
  <si>
    <t>facilitation pour la réunion des groupes de dialogue entre les jeunes et les parents</t>
  </si>
  <si>
    <t>"IntAlert Live","ALERT UK","17","1","511466"</t>
  </si>
  <si>
    <t>"IntAlert Live","ALERT UK","17","1","511467"</t>
  </si>
  <si>
    <t>"IntAlert Live","ALERT UK","17","1","509912"</t>
  </si>
  <si>
    <t>UMOJA HOTEL</t>
  </si>
  <si>
    <t>Location salle pr réunion</t>
  </si>
  <si>
    <t>"IntAlert Live","ALERT UK","17","1","509913"</t>
  </si>
  <si>
    <t>Restauration participants 3 jrs</t>
  </si>
  <si>
    <t>"IntAlert Live","ALERT UK","17","1","509914"</t>
  </si>
  <si>
    <t>INVITÉS</t>
  </si>
  <si>
    <t>Perdiem 2 invités du 5 au 12 nov 019</t>
  </si>
  <si>
    <t>"IntAlert Live","ALERT UK","17","1","509915"</t>
  </si>
  <si>
    <t>Perdiem participants du 19 au 22 nov 019</t>
  </si>
  <si>
    <t>"IntAlert Live","ALERT UK","17","1","509916"</t>
  </si>
  <si>
    <t>Logement participants du 19 au 22 nov 019</t>
  </si>
  <si>
    <t>"IntAlert Live","ALERT UK","17","1","509917"</t>
  </si>
  <si>
    <t>Trans aux participants</t>
  </si>
  <si>
    <t>"IntAlert Live","ALERT UK","17","1","511334"</t>
  </si>
  <si>
    <t>"IntAlert Live","ALERT UK","17","1","511343"</t>
  </si>
  <si>
    <t>"IntAlert Live","ALERT UK","17","1","511376"</t>
  </si>
  <si>
    <t>"IntAlert Live","ALERT UK","17","1","511377"</t>
  </si>
  <si>
    <t xml:space="preserve">Paiement frais de transport aux jeunes participants à la réunion </t>
  </si>
  <si>
    <t>"IntAlert Live","ALERT UK","17","1","509978"</t>
  </si>
  <si>
    <t>BYAMUNGU</t>
  </si>
  <si>
    <t>Pyt logement des participant à la réunion de plaidoyrer</t>
  </si>
  <si>
    <t>"IntAlert Live","ALERT UK","17","1","510023"</t>
  </si>
  <si>
    <t>JANVIER</t>
  </si>
  <si>
    <t>Pyt transport pdt la réunion de plaidoyer</t>
  </si>
  <si>
    <t>"IntAlert Live","ALERT UK","17","1","510024"</t>
  </si>
  <si>
    <t>Perdiem pdt la réunion de plaidoyer</t>
  </si>
  <si>
    <t>"IntAlert Live","ALERT UK","17","1","510025"</t>
  </si>
  <si>
    <t>Pyt matériel pédagogique  pdt la réunion de plaidoyer</t>
  </si>
  <si>
    <t>"IntAlert Live","ALERT UK","17","1","510026"</t>
  </si>
  <si>
    <t>Impression et reluire des outils pédagogiques  pdt la réunion de plaidoyer</t>
  </si>
  <si>
    <t>"IntAlert Live","ALERT UK","17","1","511283"</t>
  </si>
  <si>
    <t>Rukumbuzi Superviseur Terrain nov 2019</t>
  </si>
  <si>
    <t>"IntAlert Live","ALERT UK","17","1","511401"</t>
  </si>
  <si>
    <t>BILLETS DE VOYAGE</t>
  </si>
  <si>
    <t xml:space="preserve">Paiement frais de transport Bukavu-Bujumbura-Uvira aller retour </t>
  </si>
  <si>
    <t>"IntAlert Live","ALERT UK","17","1","511402"</t>
  </si>
  <si>
    <t>RECU, FACTURE</t>
  </si>
  <si>
    <t>Paiement frais de communication à la chargée de l'Adm des Finances et la caissière</t>
  </si>
  <si>
    <t>"IntAlert Live","ALERT UK","17","1","511403"</t>
  </si>
  <si>
    <t>"IntAlert Live","ALERT UK","17","1","511404"</t>
  </si>
  <si>
    <t>Paiemnt frais de transport local à la chargée de l'Adm des Finances et la caissière</t>
  </si>
  <si>
    <t>"IntAlert Live","ALERT UK","17","1","511405"</t>
  </si>
  <si>
    <t>Paiemnt frais de logement à la chargée de l'Adm des Finances et la caissière</t>
  </si>
  <si>
    <t>"IntAlert Live","ALERT UK","17","1","511406"</t>
  </si>
  <si>
    <t>Achat matériels pédagogiques pour l'activité de plaidoyer</t>
  </si>
  <si>
    <t>"IntAlert Live","ALERT UK","17","1","511407"</t>
  </si>
  <si>
    <t>Location salle de reunion pour l'activité de plaidoyer</t>
  </si>
  <si>
    <t>"IntAlert Live","ALERT UK","17","1","511408"</t>
  </si>
  <si>
    <t>Paiement frais pause café aux participants à l'activité de plaidoyer</t>
  </si>
  <si>
    <t>"IntAlert Live","ALERT UK","17","1","511409"</t>
  </si>
  <si>
    <t>Paiement  frais de dejeuner aux participants à l'activité de plaidoyer</t>
  </si>
  <si>
    <t>"IntAlert Live","ALERT UK","17","1","511410"</t>
  </si>
  <si>
    <t>Paiement frais de transport aux autorités participants à l'activité de plaidoyer</t>
  </si>
  <si>
    <t>"IntAlert Live","ALERT UK","17","1","511411"</t>
  </si>
  <si>
    <t>Paiement frais de perdiem aux staff SVH, BVES, ADED</t>
  </si>
  <si>
    <t>"IntAlert Live","ALERT UK","17","1","511412"</t>
  </si>
  <si>
    <t>Paiement frais de perdiem aux autorités  et jeune parlement des jeunes</t>
  </si>
  <si>
    <t>"IntAlert Live","ALERT UK","17","1","511413"</t>
  </si>
  <si>
    <t>Paiement frais de transport société civile Uvira</t>
  </si>
  <si>
    <t>"IntAlert Live","ALERT UK","17","1","511420"</t>
  </si>
  <si>
    <t>Rukumbuzi Superviseur Terrain décembre 2019</t>
  </si>
  <si>
    <t>"IntAlert Live","ALERT UK","17","1","511431"</t>
  </si>
  <si>
    <t xml:space="preserve">Polycopie pièces justificatives comptables pour le rapport financier </t>
  </si>
  <si>
    <t>"IntAlert Live","ALERT UK","17","1","482431"</t>
  </si>
  <si>
    <t>DRCBUK/BANK/2019/10/026</t>
  </si>
  <si>
    <t>Salary October'19-Papson NYAMUSHALA M 100%</t>
  </si>
  <si>
    <t>"IntAlert Live","ALERT UK","17","1","482475"</t>
  </si>
  <si>
    <t>DRCBUK/BANK/2019/10/027</t>
  </si>
  <si>
    <t>IPR October'19-Papson NYAMUSHALA M 100%</t>
  </si>
  <si>
    <t>"IntAlert Live","ALERT UK","17","1","483267"</t>
  </si>
  <si>
    <t>DRCBUK/BANK/2019/10/028</t>
  </si>
  <si>
    <t>CNSS October'19-Papson NYAMUSHALA M 100%</t>
  </si>
  <si>
    <t>"IntAlert Live","ALERT UK","17","1","483983"</t>
  </si>
  <si>
    <t>DRCBUK/CAISSE/2019/10/001</t>
  </si>
  <si>
    <t>ONEM September'19-Papson NYAMUSHALA M 100%</t>
  </si>
  <si>
    <t>"IntAlert Live","ALERT UK","17","1","484027"</t>
  </si>
  <si>
    <t>DRCBUK/BANK/2019/10/029</t>
  </si>
  <si>
    <t>INPP October'19-Papson NYAMUSHALA M 100%</t>
  </si>
  <si>
    <t>"IntAlert Live","ALERT UK","17","1","484161"</t>
  </si>
  <si>
    <t>DRCBUK/CAISSE/2019/10/002</t>
  </si>
  <si>
    <t>ONEM October'19-Papson NYAMUSHALA M 100%</t>
  </si>
  <si>
    <t>"IntAlert Live","ALERT UK","17","1","490915"</t>
  </si>
  <si>
    <t>DRCBUK/BANK/2019/11/011</t>
  </si>
  <si>
    <t>NYAMUSHALA PASPSON</t>
  </si>
  <si>
    <t>G00123</t>
  </si>
  <si>
    <t>Salary Nov'19-Papson Mwanza 100%</t>
  </si>
  <si>
    <t>"IntAlert Live","ALERT UK","17","1","490952"</t>
  </si>
  <si>
    <t>DRCBUK/BANK/2019/11/012</t>
  </si>
  <si>
    <t>DGI</t>
  </si>
  <si>
    <t>IPR Nov'19-Papson Mwanza 100%</t>
  </si>
  <si>
    <t>"IntAlert Live","ALERT UK","17","1","490991"</t>
  </si>
  <si>
    <t>DRCBUK/BANK/2019/11/013</t>
  </si>
  <si>
    <t>CNSS</t>
  </si>
  <si>
    <t>CNSS Nov'19-Papson Mwanza 100%</t>
  </si>
  <si>
    <t>"IntAlert Live","ALERT UK","17","1","491028"</t>
  </si>
  <si>
    <t>DRCBUK/BANK/2019/11/014</t>
  </si>
  <si>
    <t>INPP</t>
  </si>
  <si>
    <t>INPP Nov'19-Papson Mwanza 100%</t>
  </si>
  <si>
    <t>"IntAlert Live","ALERT UK","17","1","504828"</t>
  </si>
  <si>
    <t>DRCBUK/BANK/2019/012/046</t>
  </si>
  <si>
    <t>NYAMUSHALA PAPSON</t>
  </si>
  <si>
    <t>"IntAlert Live","ALERT UK","17","1","504877"</t>
  </si>
  <si>
    <t>DRCBUK/BANK/2019/012/047</t>
  </si>
  <si>
    <t>"IntAlert Live","ALERT UK","17","1","504927"</t>
  </si>
  <si>
    <t>DRCBUK/BANK/2019/012/048</t>
  </si>
  <si>
    <t>"IntAlert Live","ALERT UK","17","1","504976"</t>
  </si>
  <si>
    <t>DRCBUK/BANK/2019/012/049</t>
  </si>
  <si>
    <t>INPP -Papson NYAMUSHALA MWANZA</t>
  </si>
  <si>
    <t>"IntAlert Live","ALERT UK","17","1","505023"</t>
  </si>
  <si>
    <t>DRCBUK/BANK/2019/12/050</t>
  </si>
  <si>
    <t>PAPSON NYAMUSHALA MWANZA</t>
  </si>
  <si>
    <t>Gratif 2019-Papson NYAMUSHALA 100%</t>
  </si>
  <si>
    <t>"IntAlert Live","ALERT UK","17","1","505069"</t>
  </si>
  <si>
    <t>DRCBUK/BANK/2019/12/051</t>
  </si>
  <si>
    <t>DGI/DPI-SK</t>
  </si>
  <si>
    <t>IPR Gratif 2019-Papson NYAMUSHALA 100%</t>
  </si>
  <si>
    <t>"IntAlert Live","ALERT UK","17","1","505116"</t>
  </si>
  <si>
    <t>DRCBUK/BANK/2019/12/052</t>
  </si>
  <si>
    <t>CNSS/SUD-KIVU</t>
  </si>
  <si>
    <t>CNSS Gratif 2019-Papson NYAMUSHALA 100%</t>
  </si>
  <si>
    <t>"IntAlert Live","ALERT UK","17","1","505162"</t>
  </si>
  <si>
    <t>DRCBUK/BANK/2019/12/053</t>
  </si>
  <si>
    <t>INPP/SUD-KIVU</t>
  </si>
  <si>
    <t>INPP Gratif 2019-Papson NYAMUSHALA 100%</t>
  </si>
  <si>
    <t>5160</t>
  </si>
  <si>
    <t>EMPLOYMENT BENEFITS COSTS</t>
  </si>
  <si>
    <t>"IntAlert Live","ALERT UK","17","1","505411"</t>
  </si>
  <si>
    <t>DRCBUK/CAISSE/2019/12/002</t>
  </si>
  <si>
    <t>ONEM</t>
  </si>
  <si>
    <t>"IntAlert Live","ALERT UK","17","1","505461"</t>
  </si>
  <si>
    <t>"IntAlert Live","ALERT UK","17","1","505636"</t>
  </si>
  <si>
    <t>DRCBUK/GENJNL/2019/12/017</t>
  </si>
  <si>
    <t xml:space="preserve">ONEM Novembre'19 Papson </t>
  </si>
  <si>
    <t>"IntAlert Live","ALERT UK","17","1","485340"</t>
  </si>
  <si>
    <t>CNSS  Ocassionel Felix-Sept'19</t>
  </si>
  <si>
    <t>"IntAlert Live","ALERT UK","17","1","485341"</t>
  </si>
  <si>
    <t>CNSS  Ocassionel Pardo-Sept'19</t>
  </si>
  <si>
    <t>"IntAlert Live","ALERT UK","17","1","485347"</t>
  </si>
  <si>
    <t>IPR Ocassionel Felix-Sept'19</t>
  </si>
  <si>
    <t>"IntAlert Live","ALERT UK","17","1","485348"</t>
  </si>
  <si>
    <t>IPR Ocassionel Pardo-Sept'19</t>
  </si>
  <si>
    <t>"IntAlert Live","ALERT UK","17","1","485397"</t>
  </si>
  <si>
    <t>DRCBUK/BANK/2019/10/040</t>
  </si>
  <si>
    <t>Frs Honoraire Consul Felix CAM Sept-Oct'19</t>
  </si>
  <si>
    <t>"IntAlert Live","ALERT UK","17","1","485398"</t>
  </si>
  <si>
    <t>DRCBUK/BANK/2019/10/041</t>
  </si>
  <si>
    <t>Frs Honoraire Consul Pardo CAM Sept-Oct'19</t>
  </si>
  <si>
    <t>"IntAlert Live","ALERT UK","17","1","490889"</t>
  </si>
  <si>
    <t>DRCBUK/BANK/2019/11/009</t>
  </si>
  <si>
    <t>IPR Occ Consul Felix CAM Sept-Oct'19 100%</t>
  </si>
  <si>
    <t>"IntAlert Live","ALERT UK","17","1","490890"</t>
  </si>
  <si>
    <t>IPR Occ Consul Pardo CAM Sept-Oct'19 100%</t>
  </si>
  <si>
    <t>"IntAlert Live","ALERT UK","17","1","490896"</t>
  </si>
  <si>
    <t>DRCBUK/BANK/2019/11/010</t>
  </si>
  <si>
    <t>CNSS Occ Consul Felix CAM Sept-Oct'19 100%</t>
  </si>
  <si>
    <t>"IntAlert Live","ALERT UK","17","1","490897"</t>
  </si>
  <si>
    <t>CNSS Occ Consul Pardo CAM Sept-Oct'19 100%</t>
  </si>
  <si>
    <t>"IntAlert Live","ALERT UK","17","1","504481"</t>
  </si>
  <si>
    <t>DRCBUK/BANK/2019/12/001</t>
  </si>
  <si>
    <t>MWETAMINWA PARDO</t>
  </si>
  <si>
    <t>Honoraire du consultant CAM Nov19</t>
  </si>
  <si>
    <t>"IntAlert Live","ALERT UK","17","1","504482"</t>
  </si>
  <si>
    <t>DRCBUK/BANK/2019/12/002</t>
  </si>
  <si>
    <t>SEBATUTSI FELIX</t>
  </si>
  <si>
    <t>"IntAlert Live","ALERT UK","17","1","507161"</t>
  </si>
  <si>
    <t>PR DEC JNL</t>
  </si>
  <si>
    <t>19GB10037</t>
  </si>
  <si>
    <t>S Trusler 14%</t>
  </si>
  <si>
    <t>"IntAlert Live","ALERT UK","17","1","507164"</t>
  </si>
  <si>
    <t>"IntAlert Live","ALERT UK","17","1","507170"</t>
  </si>
  <si>
    <t>"IntAlert Live","ALERT UK","17","1","507580"</t>
  </si>
  <si>
    <t>HR CHG DEC 19</t>
  </si>
  <si>
    <t>19GB10038</t>
  </si>
  <si>
    <t>"IntAlert Live","ALERT UK","17","1","507704"</t>
  </si>
  <si>
    <t>HR SCF CHG DEC 19</t>
  </si>
  <si>
    <t>19GB10039</t>
  </si>
  <si>
    <t>"IntAlert Live","ALERT UK","17","1","482804"</t>
  </si>
  <si>
    <t>PR OCT JNL</t>
  </si>
  <si>
    <t>77553</t>
  </si>
  <si>
    <t>"IntAlert Live","ALERT UK","17","1","482957"</t>
  </si>
  <si>
    <t>77554</t>
  </si>
  <si>
    <t>HR CHG OCT 19</t>
  </si>
  <si>
    <t>"IntAlert Live","ALERT UK","17","1","483081"</t>
  </si>
  <si>
    <t>77555</t>
  </si>
  <si>
    <t>HR SCF CHG OCT 19</t>
  </si>
  <si>
    <t>"IntAlert Live","ALERT UK","17","1","483446"</t>
  </si>
  <si>
    <t>"IntAlert Live","ALERT UK","17","1","483693"</t>
  </si>
  <si>
    <t>"IntAlert Live","ALERT UK","17","1","482520"</t>
  </si>
  <si>
    <t>DRCBUK/BANK/2019/10/030</t>
  </si>
  <si>
    <t>Salary  Oct'19-Paul MAKOMA KANYIHATA 7%</t>
  </si>
  <si>
    <t>"IntAlert Live","ALERT UK","17","1","482567"</t>
  </si>
  <si>
    <t>DRCGOM/ BANQUE/2019/010/030</t>
  </si>
  <si>
    <t>77493</t>
  </si>
  <si>
    <t>IPR Oct'19-Paul MAKOMA KANYIHATA 7%</t>
  </si>
  <si>
    <t>"IntAlert Live","ALERT UK","17","1","483312"</t>
  </si>
  <si>
    <t>DRCGOM/ BANQUE/2019/010/031</t>
  </si>
  <si>
    <t>"IntAlert Live","ALERT UK","17","1","484071"</t>
  </si>
  <si>
    <t>DRCGOM/CAISSE/2019/010/001</t>
  </si>
  <si>
    <t>"IntAlert Live","ALERT UK","17","1","484117"</t>
  </si>
  <si>
    <t>DRCGOM/ BANQUE/2019/010/032</t>
  </si>
  <si>
    <t>"IntAlert Live","ALERT UK","17","1","491477"</t>
  </si>
  <si>
    <t>DRCGOM/ BANQUE/2019/011/020</t>
  </si>
  <si>
    <t>PAUL MAKOMA KANYIHATA</t>
  </si>
  <si>
    <t>G00107</t>
  </si>
  <si>
    <t xml:space="preserve">Salaire-Paul MAKOMA KANYIHATA </t>
  </si>
  <si>
    <t>100</t>
  </si>
  <si>
    <t>"IntAlert Live","ALERT UK","17","1","491529"</t>
  </si>
  <si>
    <t>DRCGOM/ BANQUE/2019/011/021</t>
  </si>
  <si>
    <t>CNSS-NOVEMBER 2019</t>
  </si>
  <si>
    <t xml:space="preserve">INSS-Paul MAKOMA KANYIHATA </t>
  </si>
  <si>
    <t>"IntAlert Live","ALERT UK","17","1","491580"</t>
  </si>
  <si>
    <t>DRCGOM/ BANQUE/2019/011/022</t>
  </si>
  <si>
    <t>INPP-NOVEMBER 2019</t>
  </si>
  <si>
    <t xml:space="preserve">INPP-Paul MAKOMA KANYIHATA </t>
  </si>
  <si>
    <t>"IntAlert Live","ALERT UK","17","1","491764"</t>
  </si>
  <si>
    <t>DRCGOM/ CAISSE/2019/011/002</t>
  </si>
  <si>
    <t>ONEM-NOV 2019</t>
  </si>
  <si>
    <t xml:space="preserve">ONEM-Paul MAKOMA KANYIHATA </t>
  </si>
  <si>
    <t>"IntAlert Live","ALERT UK","17","1","503711"</t>
  </si>
  <si>
    <t>DRCGOM/BANQUE/2019/012/029</t>
  </si>
  <si>
    <t>GRATIFICATION-DEC'19PAUL MAKOMA</t>
  </si>
  <si>
    <t xml:space="preserve">Gratification-Dec'19Paul MAKOMA KANYIHATA </t>
  </si>
  <si>
    <t>"IntAlert Live","ALERT UK","17","1","503771"</t>
  </si>
  <si>
    <t>DRCGOM/BANQUE/2019/012/030</t>
  </si>
  <si>
    <t>CNSS GRATIFIC 2019</t>
  </si>
  <si>
    <t xml:space="preserve">CNSS-Gratific.Dec'19Paul MAKOMA KANYIHATA </t>
  </si>
  <si>
    <t>"IntAlert Live","ALERT UK","17","1","503830"</t>
  </si>
  <si>
    <t>DRCGOM/BANQUE/2019/012/031</t>
  </si>
  <si>
    <t>INPP GRATIF 2019</t>
  </si>
  <si>
    <t xml:space="preserve">INPP-Gratific.Dec'19Paul MAKOMA KANYIHATA </t>
  </si>
  <si>
    <t>"IntAlert Live","ALERT UK","17","1","503887"</t>
  </si>
  <si>
    <t>DRCGOM/BANQUE/2019/012/032</t>
  </si>
  <si>
    <t>SALAIRE-DEC'19-PAUL MAKOMA KANYIHATA</t>
  </si>
  <si>
    <t>"IntAlert Live","ALERT UK","17","1","503941"</t>
  </si>
  <si>
    <t>DRCGOM/BANQUE/2019/012/033</t>
  </si>
  <si>
    <t>CNSS-SALAIRE DEC 2019</t>
  </si>
  <si>
    <t>"IntAlert Live","ALERT UK","17","1","503994"</t>
  </si>
  <si>
    <t>DRCGOM/BANQUE/2019/012/034</t>
  </si>
  <si>
    <t>INPP SALAIRE DEC 2019</t>
  </si>
  <si>
    <t>"IntAlert Live","ALERT UK","17","1","504264"</t>
  </si>
  <si>
    <t>DRCGOM/ CAISSE/2019/012/001</t>
  </si>
  <si>
    <t>ONEM GRATIFIC DEC 2019</t>
  </si>
  <si>
    <t>"IntAlert Live","ALERT UK","17","1","504321"</t>
  </si>
  <si>
    <t>ONEM SALAIRE DEC2019</t>
  </si>
  <si>
    <t>"IntAlert Live","ALERT UK","17","1","482869"</t>
  </si>
  <si>
    <t>Buesser C 10%</t>
  </si>
  <si>
    <t>"IntAlert Live","ALERT UK","17","1","483010"</t>
  </si>
  <si>
    <t>"IntAlert Live","ALERT UK","17","1","483134"</t>
  </si>
  <si>
    <t>"IntAlert Live","ALERT UK","17","1","483511"</t>
  </si>
  <si>
    <t>"IntAlert Live","ALERT UK","17","1","495917"</t>
  </si>
  <si>
    <t>PR NOV JNL</t>
  </si>
  <si>
    <t>19GB10004</t>
  </si>
  <si>
    <t>Buesser C 15%</t>
  </si>
  <si>
    <t>"IntAlert Live","ALERT UK","17","1","495921"</t>
  </si>
  <si>
    <t>"IntAlert Live","ALERT UK","17","1","496391"</t>
  </si>
  <si>
    <t>19GB10005</t>
  </si>
  <si>
    <t>HR CHG NOV 19</t>
  </si>
  <si>
    <t>"IntAlert Live","ALERT UK","17","1","496521"</t>
  </si>
  <si>
    <t>19GB10006</t>
  </si>
  <si>
    <t>HR SCF CHG NOV 19</t>
  </si>
  <si>
    <t>"IntAlert Live","ALERT UK","17","1","507158"</t>
  </si>
  <si>
    <t>"IntAlert Live","ALERT UK","17","1","507165"</t>
  </si>
  <si>
    <t>"IntAlert Live","ALERT UK","17","1","507623"</t>
  </si>
  <si>
    <t>"IntAlert Live","ALERT UK","17","1","507747"</t>
  </si>
  <si>
    <t>"IntAlert Live","ALERT UK","17","1","482897"</t>
  </si>
  <si>
    <t>"IntAlert Live","ALERT UK","17","1","483032"</t>
  </si>
  <si>
    <t>"IntAlert Live","ALERT UK","17","1","483156"</t>
  </si>
  <si>
    <t>"IntAlert Live","ALERT UK","17","1","483538"</t>
  </si>
  <si>
    <t>"IntAlert Live","ALERT UK","17","1","495916"</t>
  </si>
  <si>
    <t>"IntAlert Live","ALERT UK","17","1","495920"</t>
  </si>
  <si>
    <t>"IntAlert Live","ALERT UK","17","1","496418"</t>
  </si>
  <si>
    <t>"IntAlert Live","ALERT UK","17","1","496548"</t>
  </si>
  <si>
    <t>"IntAlert Live","ALERT UK","17","1","507172"</t>
  </si>
  <si>
    <t>"IntAlert Live","ALERT UK","17","1","507174"</t>
  </si>
  <si>
    <t>"IntAlert Live","ALERT UK","17","1","507646"</t>
  </si>
  <si>
    <t>"IntAlert Live","ALERT UK","17","1","507770"</t>
  </si>
  <si>
    <t>"IntAlert Live","ALERT UK","17","1","504851"</t>
  </si>
  <si>
    <t>DANIEL MWENDANGA</t>
  </si>
  <si>
    <t>Salaire-Daniel MWENDANGA Décembre 2019-5%</t>
  </si>
  <si>
    <t>MWN</t>
  </si>
  <si>
    <t>"IntAlert Live","ALERT UK","17","1","504900"</t>
  </si>
  <si>
    <t>IPR-Daniel MWENDANGA Décembre 2019-5%</t>
  </si>
  <si>
    <t>"IntAlert Live","ALERT UK","17","1","504950"</t>
  </si>
  <si>
    <t>CNSS-Daniel MWENDANGA Décembre 2019-5%</t>
  </si>
  <si>
    <t>"IntAlert Live","ALERT UK","17","1","504999"</t>
  </si>
  <si>
    <t>INPP-Daniel MWENDANGA Décembre 2019-5%</t>
  </si>
  <si>
    <t>"IntAlert Live","ALERT UK","17","1","505044"</t>
  </si>
  <si>
    <t>Gratif 2019-Daniel MWENDANGA 25%</t>
  </si>
  <si>
    <t>"IntAlert Live","ALERT UK","17","1","505090"</t>
  </si>
  <si>
    <t>IPR Gratif 2019-Daniel MWENDANGA 25%</t>
  </si>
  <si>
    <t>"IntAlert Live","ALERT UK","17","1","505137"</t>
  </si>
  <si>
    <t>CNSS Gratif 2019-Daniel MWENDANGA 25%</t>
  </si>
  <si>
    <t>"IntAlert Live","ALERT UK","17","1","505183"</t>
  </si>
  <si>
    <t>INPP Gratif 2019-Daniel MWENDANGA 25%</t>
  </si>
  <si>
    <t>"IntAlert Live","ALERT UK","17","1","505434"</t>
  </si>
  <si>
    <t>ONEM--Daniel MWENDANGA Décembre 2019-5%</t>
  </si>
  <si>
    <t>"IntAlert Live","ALERT UK","17","1","505484"</t>
  </si>
  <si>
    <t>ONEM-Daniel MWENDANGA Gratuficatio2019-5%</t>
  </si>
  <si>
    <t>"IntAlert Live","ALERT UK","17","1","482417"</t>
  </si>
  <si>
    <t>Salary October'19-Christian MUTOKAMBALI 25%</t>
  </si>
  <si>
    <t>"IntAlert Live","ALERT UK","17","1","482440"</t>
  </si>
  <si>
    <t>Salary October'19-Christian CISHIBANJI 3%</t>
  </si>
  <si>
    <t>"IntAlert Live","ALERT UK","17","1","482461"</t>
  </si>
  <si>
    <t>IPR October'19-Christian MUTOKAMBALI 25%</t>
  </si>
  <si>
    <t>"IntAlert Live","ALERT UK","17","1","482484"</t>
  </si>
  <si>
    <t>IPR October'19-Christian CISHIBANJI 3%</t>
  </si>
  <si>
    <t>"IntAlert Live","ALERT UK","17","1","482538"</t>
  </si>
  <si>
    <t>Salary  Oct'19-Jerome Mondo Kambere 30%</t>
  </si>
  <si>
    <t>"IntAlert Live","ALERT UK","17","1","482585"</t>
  </si>
  <si>
    <t>IPR Oct'19-Jerome Mondo Kambere 30%</t>
  </si>
  <si>
    <t>"IntAlert Live","ALERT UK","17","1","482912"</t>
  </si>
  <si>
    <t>"IntAlert Live","ALERT UK","17","1","483046"</t>
  </si>
  <si>
    <t>"IntAlert Live","ALERT UK","17","1","483170"</t>
  </si>
  <si>
    <t>"IntAlert Live","ALERT UK","17","1","483253"</t>
  </si>
  <si>
    <t>CNSS October'19-Christian MUTOKAMBALI 25%</t>
  </si>
  <si>
    <t>"IntAlert Live","ALERT UK","17","1","483276"</t>
  </si>
  <si>
    <t>CNSS October'19-Christian CISHIBANJI 3%</t>
  </si>
  <si>
    <t>"IntAlert Live","ALERT UK","17","1","483330"</t>
  </si>
  <si>
    <t>"IntAlert Live","ALERT UK","17","1","483553"</t>
  </si>
  <si>
    <t>"IntAlert Live","ALERT UK","17","1","483969"</t>
  </si>
  <si>
    <t>ONEM September'19-Christian MUTOKAMBALI 15%</t>
  </si>
  <si>
    <t>"IntAlert Live","ALERT UK","17","1","483993"</t>
  </si>
  <si>
    <t>ONEM September'19-Christian CISHIBANJI 5%</t>
  </si>
  <si>
    <t>"IntAlert Live","ALERT UK","17","1","484013"</t>
  </si>
  <si>
    <t>INPP October'19-Christian MUTOKAMBALI 25%</t>
  </si>
  <si>
    <t>"IntAlert Live","ALERT UK","17","1","484036"</t>
  </si>
  <si>
    <t>INPP October'19-Christian CISHIBANJI 3%</t>
  </si>
  <si>
    <t>"IntAlert Live","ALERT UK","17","1","484090"</t>
  </si>
  <si>
    <t>"IntAlert Live","ALERT UK","17","1","484135"</t>
  </si>
  <si>
    <t>"IntAlert Live","ALERT UK","17","1","484147"</t>
  </si>
  <si>
    <t>ONEM October'19-Christian MUTOKAMBALI 25%</t>
  </si>
  <si>
    <t>"IntAlert Live","ALERT UK","17","1","484170"</t>
  </si>
  <si>
    <t>ONEM October'19-Christian CISHIBANJI 3%</t>
  </si>
  <si>
    <t>"IntAlert Live","ALERT UK","17","1","490905"</t>
  </si>
  <si>
    <t>CHRISTIAN MUTOKAMBALI</t>
  </si>
  <si>
    <t>Salary Nov'19-Christian MUTOKAMBALI 20%</t>
  </si>
  <si>
    <t>"IntAlert Live","ALERT UK","17","1","490924"</t>
  </si>
  <si>
    <t>CISHIBANJI CHRISTIAN</t>
  </si>
  <si>
    <t>Salary Nov'19-Christian CISHIBANJI 5%</t>
  </si>
  <si>
    <t>"IntAlert Live","ALERT UK","17","1","490942"</t>
  </si>
  <si>
    <t>IPR Nov'19-Christian MUTOKAMBALI 20%</t>
  </si>
  <si>
    <t>"IntAlert Live","ALERT UK","17","1","490961"</t>
  </si>
  <si>
    <t>IPR Nov'19-Christian CISHIBANJI 5%</t>
  </si>
  <si>
    <t>"IntAlert Live","ALERT UK","17","1","490981"</t>
  </si>
  <si>
    <t>CNSS Nov'19-Christian MUTOKAMBALI 20%</t>
  </si>
  <si>
    <t>"IntAlert Live","ALERT UK","17","1","491000"</t>
  </si>
  <si>
    <t>CNSS Nov'19-Christian CISHIBANJI 5%</t>
  </si>
  <si>
    <t>"IntAlert Live","ALERT UK","17","1","491018"</t>
  </si>
  <si>
    <t>INPP Nov'19-Christian MUTOKAMBALI 20%</t>
  </si>
  <si>
    <t>"IntAlert Live","ALERT UK","17","1","491037"</t>
  </si>
  <si>
    <t>INPP Nov'19-Christian CISHIBANJI 5%</t>
  </si>
  <si>
    <t>"IntAlert Live","ALERT UK","17","1","491495"</t>
  </si>
  <si>
    <t>JEROME MONDO KAMBERE</t>
  </si>
  <si>
    <t>"IntAlert Live","ALERT UK","17","1","491547"</t>
  </si>
  <si>
    <t>"IntAlert Live","ALERT UK","17","1","491598"</t>
  </si>
  <si>
    <t>"IntAlert Live","ALERT UK","17","1","491783"</t>
  </si>
  <si>
    <t>"IntAlert Live","ALERT UK","17","1","495918"</t>
  </si>
  <si>
    <t>"IntAlert Live","ALERT UK","17","1","495919"</t>
  </si>
  <si>
    <t>"IntAlert Live","ALERT UK","17","1","496429"</t>
  </si>
  <si>
    <t>"IntAlert Live","ALERT UK","17","1","496559"</t>
  </si>
  <si>
    <t>"IntAlert Live","ALERT UK","17","1","503736"</t>
  </si>
  <si>
    <t>GRATIFICATION-DEC'19JEROME MONDO</t>
  </si>
  <si>
    <t>Gratification-Dec'19Jerome Mondo Kambere</t>
  </si>
  <si>
    <t>"IntAlert Live","ALERT UK","17","1","503796"</t>
  </si>
  <si>
    <t>CNSS-Gratific.Dec'19Jerome Mondo Kambere</t>
  </si>
  <si>
    <t>"IntAlert Live","ALERT UK","17","1","503855"</t>
  </si>
  <si>
    <t>INPP-Gratific.Dec'19Jerome Mondo Kambere</t>
  </si>
  <si>
    <t>"IntAlert Live","ALERT UK","17","1","503904"</t>
  </si>
  <si>
    <t>SALAIRE-DEC'19-JEROME MONDO KAMBERE</t>
  </si>
  <si>
    <t>"IntAlert Live","ALERT UK","17","1","503958"</t>
  </si>
  <si>
    <t>"IntAlert Live","ALERT UK","17","1","504011"</t>
  </si>
  <si>
    <t>"IntAlert Live","ALERT UK","17","1","504285"</t>
  </si>
  <si>
    <t>"IntAlert Live","ALERT UK","17","1","504342"</t>
  </si>
  <si>
    <t>"IntAlert Live","ALERT UK","17","1","504813"</t>
  </si>
  <si>
    <t>MUTOKAMBALI CHRISTIAN</t>
  </si>
  <si>
    <t>Salaire MUTOKAMBALI Décembre 2019-30%</t>
  </si>
  <si>
    <t>"IntAlert Live","ALERT UK","17","1","504840"</t>
  </si>
  <si>
    <t>Salaire Christian CISHIBANJI Décembre 2019-2%</t>
  </si>
  <si>
    <t>"IntAlert Live","ALERT UK","17","1","504862"</t>
  </si>
  <si>
    <t>IPR MUTOKAMBALI Décembre 2019-30%</t>
  </si>
  <si>
    <t>"IntAlert Live","ALERT UK","17","1","504889"</t>
  </si>
  <si>
    <t>IPR Christian CISHIBANJI Décembre 2019-2%</t>
  </si>
  <si>
    <t>"IntAlert Live","ALERT UK","17","1","504912"</t>
  </si>
  <si>
    <t>CNSS MUTOKAMBALI Décembre 2019-30%</t>
  </si>
  <si>
    <t>"IntAlert Live","ALERT UK","17","1","504939"</t>
  </si>
  <si>
    <t>CNSS Christian CISHIBANJI Décembre 2019-2%</t>
  </si>
  <si>
    <t>"IntAlert Live","ALERT UK","17","1","504961"</t>
  </si>
  <si>
    <t>INPP  MUTOKAMBALI Décembre 2019-30%</t>
  </si>
  <si>
    <t>"IntAlert Live","ALERT UK","17","1","504988"</t>
  </si>
  <si>
    <t>INPP  Christian CISHIBANJI Décembre 2019-2%</t>
  </si>
  <si>
    <t>"IntAlert Live","ALERT UK","17","1","505009"</t>
  </si>
  <si>
    <t>CHRISTIAN MUTOKAMBALI MBONEKUBE</t>
  </si>
  <si>
    <t>Gratif 2019-Christian MUTOKAMBALI 20%</t>
  </si>
  <si>
    <t>"IntAlert Live","ALERT UK","17","1","505034"</t>
  </si>
  <si>
    <t>CHRISTIAN CISHIBANJI CIZUNGU</t>
  </si>
  <si>
    <t>Gratif 2019-Christian CISHIBANJI  7%</t>
  </si>
  <si>
    <t>"IntAlert Live","ALERT UK","17","1","505055"</t>
  </si>
  <si>
    <t>IPR Gratif 2019-Christian MUTOKAMBALI 20%</t>
  </si>
  <si>
    <t>"IntAlert Live","ALERT UK","17","1","505080"</t>
  </si>
  <si>
    <t>IPR Gratif 2019-Christian CISHIBANJI  7%</t>
  </si>
  <si>
    <t>"IntAlert Live","ALERT UK","17","1","505102"</t>
  </si>
  <si>
    <t>CNSS Gratif 2019-Christian MUTOKAMBALI 20%</t>
  </si>
  <si>
    <t>"IntAlert Live","ALERT UK","17","1","505127"</t>
  </si>
  <si>
    <t>CNSS Gratif 2019-Christian CISHIBANJI  7%</t>
  </si>
  <si>
    <t>"IntAlert Live","ALERT UK","17","1","505148"</t>
  </si>
  <si>
    <t>INPP Gratif 2019-Christian MUTOKAMBALI 20%</t>
  </si>
  <si>
    <t>"IntAlert Live","ALERT UK","17","1","505173"</t>
  </si>
  <si>
    <t>INPP Gratif 2019-Christian CISHIBANJI  7%</t>
  </si>
  <si>
    <t>"IntAlert Live","ALERT UK","17","1","505396"</t>
  </si>
  <si>
    <t>ONEM-MUTOKAMBALI Décembre 2019-30%</t>
  </si>
  <si>
    <t>"IntAlert Live","ALERT UK","17","1","505423"</t>
  </si>
  <si>
    <t>ONEM-Christian CISHIBANJI Décembre 2019-2%</t>
  </si>
  <si>
    <t>"IntAlert Live","ALERT UK","17","1","505446"</t>
  </si>
  <si>
    <t>ONEMMUTOKAMBALI Gratuficatio2019-30%</t>
  </si>
  <si>
    <t>"IntAlert Live","ALERT UK","17","1","505473"</t>
  </si>
  <si>
    <t>ONEMChristian CISHIBANJI Gratuficatio2019-2%</t>
  </si>
  <si>
    <t>"IntAlert Live","ALERT UK","17","1","505626"</t>
  </si>
  <si>
    <t>ONEM Novembre'19 Christian MUTOKAMBALI</t>
  </si>
  <si>
    <t>"IntAlert Live","ALERT UK","17","1","505645"</t>
  </si>
  <si>
    <t xml:space="preserve">ONEM Novembre'19 Christian CISHIBANJI </t>
  </si>
  <si>
    <t>"IntAlert Live","ALERT UK","17","1","507156"</t>
  </si>
  <si>
    <t>"IntAlert Live","ALERT UK","17","1","507166"</t>
  </si>
  <si>
    <t>"IntAlert Live","ALERT UK","17","1","507660"</t>
  </si>
  <si>
    <t>"IntAlert Live","ALERT UK","17","1","507784"</t>
  </si>
  <si>
    <t>"IntAlert Live","ALERT UK","17","1","482413"</t>
  </si>
  <si>
    <t>Salary October'19-Marina FURAHA AMANI 5%</t>
  </si>
  <si>
    <t>"IntAlert Live","ALERT UK","17","1","482421"</t>
  </si>
  <si>
    <t>Salary October'19-Pascal BAFAKUKURA 5%</t>
  </si>
  <si>
    <t>"IntAlert Live","ALERT UK","17","1","482426"</t>
  </si>
  <si>
    <t>Salary October'19-Georgine BAMUNOBA 30%</t>
  </si>
  <si>
    <t>"IntAlert Live","ALERT UK","17","1","482430"</t>
  </si>
  <si>
    <t>Salary October'19-Joseph MIRINDI MUNGU-A 5%</t>
  </si>
  <si>
    <t>"IntAlert Live","ALERT UK","17","1","482435"</t>
  </si>
  <si>
    <t>Salary October'19-Verre KILAURI  B 10%</t>
  </si>
  <si>
    <t>"IntAlert Live","ALERT UK","17","1","482445"</t>
  </si>
  <si>
    <t>Salary October'19-Michel MIRINDI BASHWERE 5%</t>
  </si>
  <si>
    <t>"IntAlert Live","ALERT UK","17","1","482457"</t>
  </si>
  <si>
    <t>IPR October'19-Marina FURAHA AMANI 5%</t>
  </si>
  <si>
    <t>"IntAlert Live","ALERT UK","17","1","482465"</t>
  </si>
  <si>
    <t>IPR October'19-Pascal BAFAKUKURA 5%</t>
  </si>
  <si>
    <t>"IntAlert Live","ALERT UK","17","1","482470"</t>
  </si>
  <si>
    <t>IPR October'19-Georgine BAMUNOBA 30%</t>
  </si>
  <si>
    <t>"IntAlert Live","ALERT UK","17","1","482474"</t>
  </si>
  <si>
    <t>IPR October'19-Joseph MIRINDI MUNGU-A 5%</t>
  </si>
  <si>
    <t>"IntAlert Live","ALERT UK","17","1","482489"</t>
  </si>
  <si>
    <t>IPR October'19-Michel MIRINDI BASHWERE 5%</t>
  </si>
  <si>
    <t>"IntAlert Live","ALERT UK","17","1","482498"</t>
  </si>
  <si>
    <t>Salary  Oct'19-Adolphine KAVIRA  30%</t>
  </si>
  <si>
    <t>"IntAlert Live","ALERT UK","17","1","482504"</t>
  </si>
  <si>
    <t>Salary  Oct'19-Esperance CHIDOROMI 55%</t>
  </si>
  <si>
    <t>"IntAlert Live","ALERT UK","17","1","482513"</t>
  </si>
  <si>
    <t>Salary  Oct'19-Barnabe Wangu 5%</t>
  </si>
  <si>
    <t>"IntAlert Live","ALERT UK","17","1","482530"</t>
  </si>
  <si>
    <t>Salary  Oct'19-Bienvenu MAKURU AMANI 45%</t>
  </si>
  <si>
    <t>"IntAlert Live","ALERT UK","17","1","482537"</t>
  </si>
  <si>
    <t>Salary  Oct'19-Jacques Zigabe Buhendwa 65%</t>
  </si>
  <si>
    <t>"IntAlert Live","ALERT UK","17","1","482545"</t>
  </si>
  <si>
    <t>IPR Oct'19-Adolphine KAVIRA  30%</t>
  </si>
  <si>
    <t>"IntAlert Live","ALERT UK","17","1","482551"</t>
  </si>
  <si>
    <t>IPR Oct'19-Esperance CHIDOROMI SIFA 55%</t>
  </si>
  <si>
    <t>"IntAlert Live","ALERT UK","17","1","482560"</t>
  </si>
  <si>
    <t>IPR Oct'19-Barnabe Wangu 5%</t>
  </si>
  <si>
    <t>"IntAlert Live","ALERT UK","17","1","482577"</t>
  </si>
  <si>
    <t>IPR Oct'19-Bienvenu MAKURU AMANI 45%</t>
  </si>
  <si>
    <t>"IntAlert Live","ALERT UK","17","1","482584"</t>
  </si>
  <si>
    <t>IPR Oct'19-Jacques Zigabe Buhendwa 65%</t>
  </si>
  <si>
    <t>"IntAlert Live","ALERT UK","17","1","483249"</t>
  </si>
  <si>
    <t>CNSS October'19-Marina FURAHA AMANI 5%</t>
  </si>
  <si>
    <t>"IntAlert Live","ALERT UK","17","1","483257"</t>
  </si>
  <si>
    <t>CNSS October'19-Pascal BAFAKUKURA 5%</t>
  </si>
  <si>
    <t>"IntAlert Live","ALERT UK","17","1","483262"</t>
  </si>
  <si>
    <t>CNSS October'19-Georgine BAMUNOBA 30%</t>
  </si>
  <si>
    <t>"IntAlert Live","ALERT UK","17","1","483266"</t>
  </si>
  <si>
    <t>CNSS October'19-Joseph MIRINDI MUNGU-A 5%</t>
  </si>
  <si>
    <t>"IntAlert Live","ALERT UK","17","1","483281"</t>
  </si>
  <si>
    <t>CNSS October'19-Michel MIRINDI BASHWERE 5%</t>
  </si>
  <si>
    <t>"IntAlert Live","ALERT UK","17","1","483290"</t>
  </si>
  <si>
    <t>CNSS-Adolphine KAVIRA  30%</t>
  </si>
  <si>
    <t>"IntAlert Live","ALERT UK","17","1","483296"</t>
  </si>
  <si>
    <t>CNSS-Esperance CHIDOROMI SIFA 55%</t>
  </si>
  <si>
    <t>"IntAlert Live","ALERT UK","17","1","483305"</t>
  </si>
  <si>
    <t>CNSS-Barnabe Wangu 5%</t>
  </si>
  <si>
    <t>"IntAlert Live","ALERT UK","17","1","483322"</t>
  </si>
  <si>
    <t>CNSS-Bienvenu MAKURU AMANI 45%</t>
  </si>
  <si>
    <t>"IntAlert Live","ALERT UK","17","1","483329"</t>
  </si>
  <si>
    <t>CNSS-Jacques Zigabe Buhendwa 65%</t>
  </si>
  <si>
    <t>"IntAlert Live","ALERT UK","17","1","483965"</t>
  </si>
  <si>
    <t>ONEM September'19-Marina FURAHA AMANI 15%</t>
  </si>
  <si>
    <t>"IntAlert Live","ALERT UK","17","1","483973"</t>
  </si>
  <si>
    <t>ONEM September'19-Pascal BAFAKUKURA 5%</t>
  </si>
  <si>
    <t>"IntAlert Live","ALERT UK","17","1","483978"</t>
  </si>
  <si>
    <t>ONEM September'19-Georgine BAMUNOBA 25%</t>
  </si>
  <si>
    <t>"IntAlert Live","ALERT UK","17","1","483982"</t>
  </si>
  <si>
    <t>ONEM September'19-Joseph MIRINDI MUNGU-A 5%</t>
  </si>
  <si>
    <t>"IntAlert Live","ALERT UK","17","1","483988"</t>
  </si>
  <si>
    <t>ONEM September'19-Narcisse ZIHINDULA Z 100%</t>
  </si>
  <si>
    <t>"IntAlert Live","ALERT UK","17","1","483998"</t>
  </si>
  <si>
    <t>ONEM September'19-Michel MIRINDI BASHWERE 90%</t>
  </si>
  <si>
    <t>"IntAlert Live","ALERT UK","17","1","484009"</t>
  </si>
  <si>
    <t>INPP October'19-Marina FURAHA AMANI 5%</t>
  </si>
  <si>
    <t>"IntAlert Live","ALERT UK","17","1","484017"</t>
  </si>
  <si>
    <t>INPP October'19-Pascal BAFAKUKURA 5%</t>
  </si>
  <si>
    <t>"IntAlert Live","ALERT UK","17","1","484022"</t>
  </si>
  <si>
    <t>INPP October'19-Georgine BAMUNOBA 30%</t>
  </si>
  <si>
    <t>"IntAlert Live","ALERT UK","17","1","484026"</t>
  </si>
  <si>
    <t>INPP October'19-Joseph MIRINDI MUNGU-A 5%</t>
  </si>
  <si>
    <t>"IntAlert Live","ALERT UK","17","1","484041"</t>
  </si>
  <si>
    <t>INPP October'19-Michel MIRINDI BASHWERE 5%</t>
  </si>
  <si>
    <t>"IntAlert Live","ALERT UK","17","1","484055"</t>
  </si>
  <si>
    <t>ONEM-Paul MUNGAMBA LUANDA</t>
  </si>
  <si>
    <t>"IntAlert Live","ALERT UK","17","1","484064"</t>
  </si>
  <si>
    <t>ONEM-Barnabe Wangu</t>
  </si>
  <si>
    <t>"IntAlert Live","ALERT UK","17","1","484082"</t>
  </si>
  <si>
    <t>ONEM-Emmanuel SEBUJANGWE</t>
  </si>
  <si>
    <t>"IntAlert Live","ALERT UK","17","1","484089"</t>
  </si>
  <si>
    <t>"IntAlert Live","ALERT UK","17","1","484095"</t>
  </si>
  <si>
    <t>INPP-Adolphine KAVIRA  30%</t>
  </si>
  <si>
    <t>"IntAlert Live","ALERT UK","17","1","484101"</t>
  </si>
  <si>
    <t>INPP-Esperance CHIDOROMI SIFA 55%</t>
  </si>
  <si>
    <t>"IntAlert Live","ALERT UK","17","1","484110"</t>
  </si>
  <si>
    <t>INPP-Barnabe Wangu 5%</t>
  </si>
  <si>
    <t>"IntAlert Live","ALERT UK","17","1","484127"</t>
  </si>
  <si>
    <t>INPP-Bienvenu MAKURU AMANI 45%</t>
  </si>
  <si>
    <t>"IntAlert Live","ALERT UK","17","1","484134"</t>
  </si>
  <si>
    <t>INPP-Jacques Zigabe Buhendwa 65%</t>
  </si>
  <si>
    <t>"IntAlert Live","ALERT UK","17","1","484143"</t>
  </si>
  <si>
    <t>ONEM October'19-Marina FURAHA AMANI 5%</t>
  </si>
  <si>
    <t>"IntAlert Live","ALERT UK","17","1","484151"</t>
  </si>
  <si>
    <t>ONEM October'19-Pascal BAFAKUKURA 5%</t>
  </si>
  <si>
    <t>"IntAlert Live","ALERT UK","17","1","484156"</t>
  </si>
  <si>
    <t>ONEM October'19-Georgine BAMUNOBA 30%</t>
  </si>
  <si>
    <t>"IntAlert Live","ALERT UK","17","1","484160"</t>
  </si>
  <si>
    <t>ONEM October'19-Joseph MIRINDI MUNGU-A 5%</t>
  </si>
  <si>
    <t>"IntAlert Live","ALERT UK","17","1","484175"</t>
  </si>
  <si>
    <t>ONEM October'19-Michel MIRINDI BASHWERE 5%</t>
  </si>
  <si>
    <t>"IntAlert Live","ALERT UK","17","1","485391"</t>
  </si>
  <si>
    <t>DRCGOM/ BANQUE/2019/010/034</t>
  </si>
  <si>
    <t>Casual cleaner Peroux</t>
  </si>
  <si>
    <t>"IntAlert Live","ALERT UK","17","1","488225"</t>
  </si>
  <si>
    <t>Achat fournitures bureau</t>
  </si>
  <si>
    <t>"IntAlert Live","ALERT UK","17","1","490901"</t>
  </si>
  <si>
    <t>MARINA FURAHA</t>
  </si>
  <si>
    <t>Salary Nov'19-Marina FURAHA AMANI 5%</t>
  </si>
  <si>
    <t>"IntAlert Live","ALERT UK","17","1","490912"</t>
  </si>
  <si>
    <t>GEORGINE BAMUNOBA</t>
  </si>
  <si>
    <t>Salary Nov'19-Georgine BAMUNOBA 10%</t>
  </si>
  <si>
    <t>"IntAlert Live","ALERT UK","17","1","490929"</t>
  </si>
  <si>
    <t>MICCHEL MIRINDI</t>
  </si>
  <si>
    <t>Salary Nov'19-Michel MIRINDI 5%</t>
  </si>
  <si>
    <t>"IntAlert Live","ALERT UK","17","1","490938"</t>
  </si>
  <si>
    <t>IPR Nov'19-Marina FURAHA AMANI 5%</t>
  </si>
  <si>
    <t>"IntAlert Live","ALERT UK","17","1","490949"</t>
  </si>
  <si>
    <t>IPR Nov'19-Georgine BAMUNOBA 10%</t>
  </si>
  <si>
    <t>"IntAlert Live","ALERT UK","17","1","490966"</t>
  </si>
  <si>
    <t>IPR Nov'19-Michel MIRINDI 5%</t>
  </si>
  <si>
    <t>"IntAlert Live","ALERT UK","17","1","490977"</t>
  </si>
  <si>
    <t>CNSS Nov'19-Marina FURAHA AMANI 5%</t>
  </si>
  <si>
    <t>"IntAlert Live","ALERT UK","17","1","490988"</t>
  </si>
  <si>
    <t>CNSS Nov'19-Georgine BAMUNOBA 10%</t>
  </si>
  <si>
    <t>"IntAlert Live","ALERT UK","17","1","491005"</t>
  </si>
  <si>
    <t>CNSS Nov'19-Michel MIRINDI 5%</t>
  </si>
  <si>
    <t>"IntAlert Live","ALERT UK","17","1","491014"</t>
  </si>
  <si>
    <t>INPP Nov'19-Marina FURAHA AMANI 5%</t>
  </si>
  <si>
    <t>"IntAlert Live","ALERT UK","17","1","491025"</t>
  </si>
  <si>
    <t>INPP Nov'19-Georgine BAMUNOBA 10%</t>
  </si>
  <si>
    <t>"IntAlert Live","ALERT UK","17","1","491042"</t>
  </si>
  <si>
    <t>INPP Nov'19-Michel MIRINDI 5%</t>
  </si>
  <si>
    <t>"IntAlert Live","ALERT UK","17","1","491450"</t>
  </si>
  <si>
    <t>ADOLPHINE KAVIRA KAMBASU</t>
  </si>
  <si>
    <t>"IntAlert Live","ALERT UK","17","1","491459"</t>
  </si>
  <si>
    <t>ESPERANCE CHIDOROMI SIFA</t>
  </si>
  <si>
    <t>"IntAlert Live","ALERT UK","17","1","491470"</t>
  </si>
  <si>
    <t>BARNABE WANGU</t>
  </si>
  <si>
    <t xml:space="preserve">Salaire-Barnabe Wangu </t>
  </si>
  <si>
    <t>"IntAlert Live","ALERT UK","17","1","491483"</t>
  </si>
  <si>
    <t>BIENVENU MAKURU AMANI</t>
  </si>
  <si>
    <t>"IntAlert Live","ALERT UK","17","1","491492"</t>
  </si>
  <si>
    <t>JACQUES ZIGABE BUHENDWA</t>
  </si>
  <si>
    <t>"IntAlert Live","ALERT UK","17","1","491502"</t>
  </si>
  <si>
    <t>"IntAlert Live","ALERT UK","17","1","491511"</t>
  </si>
  <si>
    <t>"IntAlert Live","ALERT UK","17","1","491522"</t>
  </si>
  <si>
    <t xml:space="preserve">INSS-Barnabe Wangu </t>
  </si>
  <si>
    <t>"IntAlert Live","ALERT UK","17","1","491535"</t>
  </si>
  <si>
    <t>"IntAlert Live","ALERT UK","17","1","491544"</t>
  </si>
  <si>
    <t>"IntAlert Live","ALERT UK","17","1","491553"</t>
  </si>
  <si>
    <t>"IntAlert Live","ALERT UK","17","1","491562"</t>
  </si>
  <si>
    <t>"IntAlert Live","ALERT UK","17","1","491573"</t>
  </si>
  <si>
    <t xml:space="preserve">INPP-Barnabe Wangu </t>
  </si>
  <si>
    <t>"IntAlert Live","ALERT UK","17","1","491586"</t>
  </si>
  <si>
    <t>"IntAlert Live","ALERT UK","17","1","491595"</t>
  </si>
  <si>
    <t>"IntAlert Live","ALERT UK","17","1","491737"</t>
  </si>
  <si>
    <t>"IntAlert Live","ALERT UK","17","1","491746"</t>
  </si>
  <si>
    <t>"IntAlert Live","ALERT UK","17","1","491757"</t>
  </si>
  <si>
    <t xml:space="preserve">ONEM-Barnabe Wangu </t>
  </si>
  <si>
    <t>"IntAlert Live","ALERT UK","17","1","491770"</t>
  </si>
  <si>
    <t>"IntAlert Live","ALERT UK","17","1","491780"</t>
  </si>
  <si>
    <t>"IntAlert Live","ALERT UK","17","1","503685"</t>
  </si>
  <si>
    <t>GRATIFICATION-DEC'19ADOLPHINE KAVIRA</t>
  </si>
  <si>
    <t>Gratification-Dec'19Adolphine KAVIRA KAMBASU</t>
  </si>
  <si>
    <t>"IntAlert Live","ALERT UK","17","1","503694"</t>
  </si>
  <si>
    <t>GRATIFICATION-DEC'19ESPERANCE</t>
  </si>
  <si>
    <t>Gratification-Dec'19Esperance CHIDOROMI SIFA</t>
  </si>
  <si>
    <t>"IntAlert Live","ALERT UK","17","1","503701"</t>
  </si>
  <si>
    <t>GRATIFICATION-DEC'19BARNABE WANGU</t>
  </si>
  <si>
    <t xml:space="preserve">Gratification-Dec'19Barnabe Wangu </t>
  </si>
  <si>
    <t>"IntAlert Live","ALERT UK","17","1","503722"</t>
  </si>
  <si>
    <t>GRATIFICATION-DEC'19BIENVENU</t>
  </si>
  <si>
    <t>Gratification-Dec'19Bienvenu MAKURU AMANI</t>
  </si>
  <si>
    <t>"IntAlert Live","ALERT UK","17","1","503731"</t>
  </si>
  <si>
    <t>GRATIFICATION-DEC'19JACQUES ZIGABE</t>
  </si>
  <si>
    <t>Gratification-Dec'19Jacques Zigabe Buhendwa</t>
  </si>
  <si>
    <t>"IntAlert Live","ALERT UK","17","1","503745"</t>
  </si>
  <si>
    <t>CNSS-Gratific.Dec'19Adolphine KAVIRA KAMBASU</t>
  </si>
  <si>
    <t>"IntAlert Live","ALERT UK","17","1","503754"</t>
  </si>
  <si>
    <t>CNSS-Gratific.Dec'19Esperance CHIDOROMI SIFA</t>
  </si>
  <si>
    <t>"IntAlert Live","ALERT UK","17","1","503761"</t>
  </si>
  <si>
    <t xml:space="preserve">CNSS-Gratific.Dec'19Barnabe Wangu </t>
  </si>
  <si>
    <t>"IntAlert Live","ALERT UK","17","1","503782"</t>
  </si>
  <si>
    <t>CNSS-Gratific.Dec'19Bienvenu MAKURU AMANI</t>
  </si>
  <si>
    <t>"IntAlert Live","ALERT UK","17","1","503791"</t>
  </si>
  <si>
    <t>CNSS-Gratific.Dec'19Jacques Zigabe Buhendwa</t>
  </si>
  <si>
    <t>"IntAlert Live","ALERT UK","17","1","503804"</t>
  </si>
  <si>
    <t>INPP-Gratific.Dec'19Adolphine KAVIRA KAMBASU</t>
  </si>
  <si>
    <t>"IntAlert Live","ALERT UK","17","1","503813"</t>
  </si>
  <si>
    <t>INPP-Gratific.Dec'19Esperance CHIDOROMI SIFA</t>
  </si>
  <si>
    <t>"IntAlert Live","ALERT UK","17","1","503820"</t>
  </si>
  <si>
    <t xml:space="preserve">INPP-Gratific.Dec'19Barnabe Wangu </t>
  </si>
  <si>
    <t>"IntAlert Live","ALERT UK","17","1","503841"</t>
  </si>
  <si>
    <t>INPP-Gratific.Dec'19Bienvenu MAKURU AMANI</t>
  </si>
  <si>
    <t>"IntAlert Live","ALERT UK","17","1","503850"</t>
  </si>
  <si>
    <t>INPP-Gratific.Dec'19Jacques Zigabe Buhendwa</t>
  </si>
  <si>
    <t>"IntAlert Live","ALERT UK","17","1","503858"</t>
  </si>
  <si>
    <t>SALAIRE-DEC'19-ADOLPHINE</t>
  </si>
  <si>
    <t>"IntAlert Live","ALERT UK","17","1","503867"</t>
  </si>
  <si>
    <t>SALAIRE-DEC'19-ESPERANCE CHIDOROMI SIFA</t>
  </si>
  <si>
    <t>"IntAlert Live","ALERT UK","17","1","503879"</t>
  </si>
  <si>
    <t>SALAIRE-DEC'19-BARNABE WANGU</t>
  </si>
  <si>
    <t>"IntAlert Live","ALERT UK","17","1","503893"</t>
  </si>
  <si>
    <t>SALAIRE-DEC'19-BIENVENU MAKURU AMANI</t>
  </si>
  <si>
    <t>"IntAlert Live","ALERT UK","17","1","503901"</t>
  </si>
  <si>
    <t>SALAIRE-DEC'19-JACQUES ZIGABE BUHENDWA</t>
  </si>
  <si>
    <t>"IntAlert Live","ALERT UK","17","1","503912"</t>
  </si>
  <si>
    <t>"IntAlert Live","ALERT UK","17","1","503921"</t>
  </si>
  <si>
    <t>"IntAlert Live","ALERT UK","17","1","503933"</t>
  </si>
  <si>
    <t>"IntAlert Live","ALERT UK","17","1","503947"</t>
  </si>
  <si>
    <t>"IntAlert Live","ALERT UK","17","1","503955"</t>
  </si>
  <si>
    <t>"IntAlert Live","ALERT UK","17","1","503965"</t>
  </si>
  <si>
    <t>"IntAlert Live","ALERT UK","17","1","503974"</t>
  </si>
  <si>
    <t>"IntAlert Live","ALERT UK","17","1","503986"</t>
  </si>
  <si>
    <t>"IntAlert Live","ALERT UK","17","1","504000"</t>
  </si>
  <si>
    <t>"IntAlert Live","ALERT UK","17","1","504008"</t>
  </si>
  <si>
    <t>"IntAlert Live","ALERT UK","17","1","504191"</t>
  </si>
  <si>
    <t>EUGENIE PEROU</t>
  </si>
  <si>
    <t>casual cleaner Goma office</t>
  </si>
  <si>
    <t>"IntAlert Live","ALERT UK","17","1","504230"</t>
  </si>
  <si>
    <t>PEROU NAMWEZI</t>
  </si>
  <si>
    <t>Pmt casual Cleaner Goma office</t>
  </si>
  <si>
    <t>"IntAlert Live","ALERT UK","17","1","504238"</t>
  </si>
  <si>
    <t>"IntAlert Live","ALERT UK","17","1","504247"</t>
  </si>
  <si>
    <t>"IntAlert Live","ALERT UK","17","1","504254"</t>
  </si>
  <si>
    <t>"IntAlert Live","ALERT UK","17","1","504275"</t>
  </si>
  <si>
    <t>"IntAlert Live","ALERT UK","17","1","504284"</t>
  </si>
  <si>
    <t>"IntAlert Live","ALERT UK","17","1","504292"</t>
  </si>
  <si>
    <t>"IntAlert Live","ALERT UK","17","1","504301"</t>
  </si>
  <si>
    <t>"IntAlert Live","ALERT UK","17","1","504313"</t>
  </si>
  <si>
    <t>"IntAlert Live","ALERT UK","17","1","504327"</t>
  </si>
  <si>
    <t>"IntAlert Live","ALERT UK","17","1","504335"</t>
  </si>
  <si>
    <t>"IntAlert Live","ALERT UK","17","1","504808"</t>
  </si>
  <si>
    <t>MARINA AMANI</t>
  </si>
  <si>
    <t>Salaire Marina Furaha Décember 2019-20%</t>
  </si>
  <si>
    <t>"IntAlert Live","ALERT UK","17","1","504817"</t>
  </si>
  <si>
    <t>BAFAKUKURA PASCAL</t>
  </si>
  <si>
    <t>Salaire Pascal BAFAKUKURA D2cembre 2019-5%</t>
  </si>
  <si>
    <t>"IntAlert Live","ALERT UK","17","1","504823"</t>
  </si>
  <si>
    <t>BAMUNOBA GEORGINE</t>
  </si>
  <si>
    <t>Salaire Georgine BAMUNOBA Décmbre 2019-20%</t>
  </si>
  <si>
    <t>"IntAlert Live","ALERT UK","17","1","504827"</t>
  </si>
  <si>
    <t>MIRINDI  JOSEPH</t>
  </si>
  <si>
    <t>Salaire Joseph MIRINDI Decembre 2019-5%</t>
  </si>
  <si>
    <t>"IntAlert Live","ALERT UK","17","1","504834"</t>
  </si>
  <si>
    <t>KILAURI VERRE</t>
  </si>
  <si>
    <t>Salaire KILAURI Verre Décembre 2019- 10%</t>
  </si>
  <si>
    <t>"IntAlert Live","ALERT UK","17","1","504844"</t>
  </si>
  <si>
    <t>MICHEL MIRINDI</t>
  </si>
  <si>
    <t>Salaire-Michel MIRINDI Décembre 2019-80%</t>
  </si>
  <si>
    <t>"IntAlert Live","ALERT UK","17","1","504857"</t>
  </si>
  <si>
    <t>IPR Marina Furaha Décember 2019-20%</t>
  </si>
  <si>
    <t>"IntAlert Live","ALERT UK","17","1","504866"</t>
  </si>
  <si>
    <t>IPR Pascal BAFAKUKURA D2cembre 2019-5%</t>
  </si>
  <si>
    <t>"IntAlert Live","ALERT UK","17","1","504872"</t>
  </si>
  <si>
    <t>IPR Georgine BAMUNOBA Décmbre 2019-20%</t>
  </si>
  <si>
    <t>"IntAlert Live","ALERT UK","17","1","504876"</t>
  </si>
  <si>
    <t>IPR Joseph MIRINDI Decembre 2019-5%</t>
  </si>
  <si>
    <t>"IntAlert Live","ALERT UK","17","1","504883"</t>
  </si>
  <si>
    <t>IPR KILAURI Verre Décembre 2019- 10%</t>
  </si>
  <si>
    <t>"IntAlert Live","ALERT UK","17","1","504893"</t>
  </si>
  <si>
    <t>IPR-Michel MIRINDI Décembre 2019-80%</t>
  </si>
  <si>
    <t>"IntAlert Live","ALERT UK","17","1","504907"</t>
  </si>
  <si>
    <t>CNSS Marina Furaha Décember 2019-20%</t>
  </si>
  <si>
    <t>"IntAlert Live","ALERT UK","17","1","504916"</t>
  </si>
  <si>
    <t>CNSS Pascal BAFAKUKURA D2cembre 2019-5%</t>
  </si>
  <si>
    <t>"IntAlert Live","ALERT UK","17","1","504922"</t>
  </si>
  <si>
    <t>CNSS Georgine BAMUNOBA Décmbre 2019-20%</t>
  </si>
  <si>
    <t>"IntAlert Live","ALERT UK","17","1","504926"</t>
  </si>
  <si>
    <t>CNSS Joseph MIRINDI Decembre 2019-5%</t>
  </si>
  <si>
    <t>"IntAlert Live","ALERT UK","17","1","504933"</t>
  </si>
  <si>
    <t>CNSS KILAURI Verre Décembre 2019- 10%</t>
  </si>
  <si>
    <t>"IntAlert Live","ALERT UK","17","1","504943"</t>
  </si>
  <si>
    <t>CNSS-Michel MIRINDI Décembre 2019-80%</t>
  </si>
  <si>
    <t>"IntAlert Live","ALERT UK","17","1","504956"</t>
  </si>
  <si>
    <t>INPP  Marina Furaha Décember 2019-20%</t>
  </si>
  <si>
    <t>"IntAlert Live","ALERT UK","17","1","504965"</t>
  </si>
  <si>
    <t>INPP  Pascal BAFAKUKURA D2cembre 2019-5%</t>
  </si>
  <si>
    <t>"IntAlert Live","ALERT UK","17","1","504971"</t>
  </si>
  <si>
    <t>INPP  Georgine BAMUNOBA Décmbre 2019-20%</t>
  </si>
  <si>
    <t>"IntAlert Live","ALERT UK","17","1","504975"</t>
  </si>
  <si>
    <t>INPP  Joseph MIRINDI Decembre 2019-5%</t>
  </si>
  <si>
    <t>"IntAlert Live","ALERT UK","17","1","504982"</t>
  </si>
  <si>
    <t>INPP  KILAURI Verre Décembre 2019- 10%</t>
  </si>
  <si>
    <t>"IntAlert Live","ALERT UK","17","1","504992"</t>
  </si>
  <si>
    <t>INPP-Michel MIRINDI Décembre 2019-80%</t>
  </si>
  <si>
    <t>"IntAlert Live","ALERT UK","17","1","505005"</t>
  </si>
  <si>
    <t>MARINA FURAHA AMANI</t>
  </si>
  <si>
    <t>Gratif 2019-Marina FURAHA AMANI 23%</t>
  </si>
  <si>
    <t>"IntAlert Live","ALERT UK","17","1","505013"</t>
  </si>
  <si>
    <t>PASCAL BAFAKUKURA</t>
  </si>
  <si>
    <t>Gratif 2019-Pascal BAFAKUKURA 5%</t>
  </si>
  <si>
    <t>"IntAlert Live","ALERT UK","17","1","505018"</t>
  </si>
  <si>
    <t>GEORGINE BAMUNOBA TIBANAGWA</t>
  </si>
  <si>
    <t>Gratif 2019-Georgine BAMUNOBA  29%</t>
  </si>
  <si>
    <t>"IntAlert Live","ALERT UK","17","1","505022"</t>
  </si>
  <si>
    <t>JOSEPH MIRINDI MUNGU-AKONKWA</t>
  </si>
  <si>
    <t>Gratif 2019-Joseph MIRINDI MUNGU 4%</t>
  </si>
  <si>
    <t>"IntAlert Live","ALERT UK","17","1","505029"</t>
  </si>
  <si>
    <t>VERRE KILAURI  BANYWESIZE</t>
  </si>
  <si>
    <t>Gratif 2019-Verre KILAURI  18%</t>
  </si>
  <si>
    <t>"IntAlert Live","ALERT UK","17","1","505038"</t>
  </si>
  <si>
    <t>MICHEL MIRINDI BASHWERE</t>
  </si>
  <si>
    <t>Gratif 2019-Michel MIRINDI 35%</t>
  </si>
  <si>
    <t>"IntAlert Live","ALERT UK","17","1","505051"</t>
  </si>
  <si>
    <t>IPR Gratif 2019-Marina FURAHA AMANI 23%</t>
  </si>
  <si>
    <t>"IntAlert Live","ALERT UK","17","1","505059"</t>
  </si>
  <si>
    <t>IPR Gratif 2019-Pascal BAFAKUKURA 5%</t>
  </si>
  <si>
    <t>"IntAlert Live","ALERT UK","17","1","505064"</t>
  </si>
  <si>
    <t>IPR Gratif 2019-Georgine BAMUNOBA  29%</t>
  </si>
  <si>
    <t>"IntAlert Live","ALERT UK","17","1","505068"</t>
  </si>
  <si>
    <t>IPR Gratif 2019-Joseph MIRINDI MUNGU 4%</t>
  </si>
  <si>
    <t>"IntAlert Live","ALERT UK","17","1","505075"</t>
  </si>
  <si>
    <t>IPR Gratif 2019-Verre KILAURI  18%</t>
  </si>
  <si>
    <t>"IntAlert Live","ALERT UK","17","1","505084"</t>
  </si>
  <si>
    <t>IPR Gratif 2019-Michel MIRINDI 35%</t>
  </si>
  <si>
    <t>"IntAlert Live","ALERT UK","17","1","505098"</t>
  </si>
  <si>
    <t>CNSS Gratif 2019-Marina FURAHA AMANI 23%</t>
  </si>
  <si>
    <t>"IntAlert Live","ALERT UK","17","1","505106"</t>
  </si>
  <si>
    <t>CNSS Gratif 2019-Pascal BAFAKUKURA 5%</t>
  </si>
  <si>
    <t>"IntAlert Live","ALERT UK","17","1","505111"</t>
  </si>
  <si>
    <t>CNSS Gratif 2019-Georgine BAMUNOBA  29%</t>
  </si>
  <si>
    <t>"IntAlert Live","ALERT UK","17","1","505115"</t>
  </si>
  <si>
    <t>CNSS Gratif 2019-Joseph MIRINDI MUNGU 4%</t>
  </si>
  <si>
    <t>"IntAlert Live","ALERT UK","17","1","505122"</t>
  </si>
  <si>
    <t>CNSS Gratif 2019-Verre KILAURI  18%</t>
  </si>
  <si>
    <t>"IntAlert Live","ALERT UK","17","1","505131"</t>
  </si>
  <si>
    <t>CNSS Gratif 2019-Michel MIRINDI 35%</t>
  </si>
  <si>
    <t>"IntAlert Live","ALERT UK","17","1","505144"</t>
  </si>
  <si>
    <t>INPP Gratif 2019-Marina FURAHA AMANI 23%</t>
  </si>
  <si>
    <t>"IntAlert Live","ALERT UK","17","1","505152"</t>
  </si>
  <si>
    <t>INPP Gratif 2019-Pascal BAFAKUKURA 5%</t>
  </si>
  <si>
    <t>"IntAlert Live","ALERT UK","17","1","505157"</t>
  </si>
  <si>
    <t>INPP Gratif 2019-Georgine BAMUNOBA  29%</t>
  </si>
  <si>
    <t>"IntAlert Live","ALERT UK","17","1","505161"</t>
  </si>
  <si>
    <t>INPP Gratif 2019-Joseph MIRINDI MUNGU 4%</t>
  </si>
  <si>
    <t>"IntAlert Live","ALERT UK","17","1","505168"</t>
  </si>
  <si>
    <t>INPP Gratif 2019-Verre KILAURI  18%</t>
  </si>
  <si>
    <t>"IntAlert Live","ALERT UK","17","1","505177"</t>
  </si>
  <si>
    <t>INPP Gratif 2019-Michel MIRINDI 35%</t>
  </si>
  <si>
    <t>"IntAlert Live","ALERT UK","17","1","505381"</t>
  </si>
  <si>
    <t>RIZIKI FURAHA</t>
  </si>
  <si>
    <t>Honoraire nettoyeur Nadege 5%</t>
  </si>
  <si>
    <t>"IntAlert Live","ALERT UK","17","1","505391"</t>
  </si>
  <si>
    <t>ONEM-Marina Furaha Décember 2019-20%</t>
  </si>
  <si>
    <t>"IntAlert Live","ALERT UK","17","1","505400"</t>
  </si>
  <si>
    <t>ONEM-Pascal BAFAKUKURA D2cembre 2019-5%</t>
  </si>
  <si>
    <t>"IntAlert Live","ALERT UK","17","1","505406"</t>
  </si>
  <si>
    <t>ONEM-Georgine BAMUNOBA Décmbre 2019-20%</t>
  </si>
  <si>
    <t>"IntAlert Live","ALERT UK","17","1","505410"</t>
  </si>
  <si>
    <t>ONEM-Joseph MIRINDI Decembre 2019-5%</t>
  </si>
  <si>
    <t>"IntAlert Live","ALERT UK","17","1","505417"</t>
  </si>
  <si>
    <t>ONEM-KILAURI Verre Décembre 2019- 10%</t>
  </si>
  <si>
    <t>"IntAlert Live","ALERT UK","17","1","505427"</t>
  </si>
  <si>
    <t>ONEM--Michel MIRINDI Décembre 2019-80%</t>
  </si>
  <si>
    <t>"IntAlert Live","ALERT UK","17","1","505441"</t>
  </si>
  <si>
    <t>ONEMMarina Furaha Gratuficatio 2019-20%</t>
  </si>
  <si>
    <t>"IntAlert Live","ALERT UK","17","1","505450"</t>
  </si>
  <si>
    <t>ONEMPascal BAFAKUKURA Gratuficatio2019-5%</t>
  </si>
  <si>
    <t>"IntAlert Live","ALERT UK","17","1","505456"</t>
  </si>
  <si>
    <t>ONEMGeorgine BAMUNOBA Gratuficatio 2019-20%</t>
  </si>
  <si>
    <t>"IntAlert Live","ALERT UK","17","1","505460"</t>
  </si>
  <si>
    <t>ONEMJoseph MIRINDI Gratuficatio2019-5%</t>
  </si>
  <si>
    <t>"IntAlert Live","ALERT UK","17","1","505467"</t>
  </si>
  <si>
    <t>ONEM-KILAURI Verre Gratuficatio2019- 10%</t>
  </si>
  <si>
    <t>"IntAlert Live","ALERT UK","17","1","505477"</t>
  </si>
  <si>
    <t>ONEM-Michel MIRINDI Gratuficatio2019-80%</t>
  </si>
  <si>
    <t>"IntAlert Live","ALERT UK","17","1","505622"</t>
  </si>
  <si>
    <t xml:space="preserve">ONEM Novembre'19 Marina </t>
  </si>
  <si>
    <t>"IntAlert Live","ALERT UK","17","1","505633"</t>
  </si>
  <si>
    <t xml:space="preserve">ONEM Novembre'19 Georgine </t>
  </si>
  <si>
    <t>"IntAlert Live","ALERT UK","17","1","505650"</t>
  </si>
  <si>
    <t xml:space="preserve">ONEM Novembre'19 Michel  MIRINDI </t>
  </si>
  <si>
    <t>"IntAlert Live","ALERT UK","17","1","507015"</t>
  </si>
  <si>
    <t>DRCBUK/GENJNL/2019/12/019</t>
  </si>
  <si>
    <t>ALERT BUKAVU</t>
  </si>
  <si>
    <t>G00285</t>
  </si>
  <si>
    <t xml:space="preserve">Cessation accrual DEC'19-Pascal BAFAKUKURA </t>
  </si>
  <si>
    <t>"IntAlert Live","ALERT UK","17","1","507019"</t>
  </si>
  <si>
    <t>Cessation accrual DEC'19-Georgine BAMUNOBA</t>
  </si>
  <si>
    <t>"IntAlert Live","ALERT UK","17","1","507023"</t>
  </si>
  <si>
    <t>Cessation accrual DEC'19-Joseph MIRINDI MUNGU</t>
  </si>
  <si>
    <t>"IntAlert Live","ALERT UK","17","1","507029"</t>
  </si>
  <si>
    <t xml:space="preserve">Cessation accrual DEC'19-Adolphine KAVIRA </t>
  </si>
  <si>
    <t>"IntAlert Live","ALERT UK","17","1","507036"</t>
  </si>
  <si>
    <t xml:space="preserve">Cessation accrual DEC'19-Marina FURAHA </t>
  </si>
  <si>
    <t>"IntAlert Live","ALERT UK","17","1","483886"</t>
  </si>
  <si>
    <t>DRCGOM/ BANQUE/2019/010/012</t>
  </si>
  <si>
    <t>Medical fees sept'19 Jerome 35%</t>
  </si>
  <si>
    <t>"IntAlert Live","ALERT UK","17","1","483889"</t>
  </si>
  <si>
    <t>Medical fees  Sept'19 Adolphine 25%</t>
  </si>
  <si>
    <t>"IntAlert Live","ALERT UK","17","1","483895"</t>
  </si>
  <si>
    <t>Medical fees Sept'19 Esperance 30%</t>
  </si>
  <si>
    <t>"IntAlert Live","ALERT UK","17","1","483899"</t>
  </si>
  <si>
    <t>Medical fees  Sept'19 Bienvenu  40%</t>
  </si>
  <si>
    <t>"IntAlert Live","ALERT UK","17","1","483908"</t>
  </si>
  <si>
    <t>DRCBUK/BANK/2019/10/018</t>
  </si>
  <si>
    <t>Soins Med pascal -Sept'19</t>
  </si>
  <si>
    <t>"IntAlert Live","ALERT UK","17","1","483915"</t>
  </si>
  <si>
    <t>Soins Med BARNABE -Sept'19</t>
  </si>
  <si>
    <t>"IntAlert Live","ALERT UK","17","1","483925"</t>
  </si>
  <si>
    <t>Soins Méd-MBONEKUBE-Sept '19</t>
  </si>
  <si>
    <t>"IntAlert Live","ALERT UK","17","1","483929"</t>
  </si>
  <si>
    <t>Soins Méd-CISHIBANJI-Sept '19</t>
  </si>
  <si>
    <t>"IntAlert Live","ALERT UK","17","1","483933"</t>
  </si>
  <si>
    <t>Soins Méd-BASHWERA Michel-Sept '19</t>
  </si>
  <si>
    <t>"IntAlert Live","ALERT UK","17","1","483938"</t>
  </si>
  <si>
    <t>Soins Méd-Furaha Marina-Sept '19</t>
  </si>
  <si>
    <t>"IntAlert Live","ALERT UK","17","1","483942"</t>
  </si>
  <si>
    <t>Soins Med JOSEPH -Sept'19</t>
  </si>
  <si>
    <t>"IntAlert Live","ALERT UK","17","1","483945"</t>
  </si>
  <si>
    <t>Soins Méd-MUHONGYA Nathalie-Sept '19</t>
  </si>
  <si>
    <t>"IntAlert Live","ALERT UK","17","1","483949"</t>
  </si>
  <si>
    <t>Soins Med NYAMUSHALA-Sept 19</t>
  </si>
  <si>
    <t>"IntAlert Live","ALERT UK","17","1","483952"</t>
  </si>
  <si>
    <t>Soins Med GEORGINE -Sept'19</t>
  </si>
  <si>
    <t>"IntAlert Live","ALERT UK","17","1","483956"</t>
  </si>
  <si>
    <t>DRCBUK/BANK/2019/10/019</t>
  </si>
  <si>
    <t>"IntAlert Live","ALERT UK","17","1","504523"</t>
  </si>
  <si>
    <t>DRCBUK/BANK/2019/012/014</t>
  </si>
  <si>
    <t>SKYBORNE HOSPITAL</t>
  </si>
  <si>
    <t>Soins Med pascal -Oct'19</t>
  </si>
  <si>
    <t>"IntAlert Live","ALERT UK","17","1","504530"</t>
  </si>
  <si>
    <t>Soins Med BARNABE -Oct'19</t>
  </si>
  <si>
    <t>"IntAlert Live","ALERT UK","17","1","504538"</t>
  </si>
  <si>
    <t>Soins Méd-MBONEKUBE-Oct '19</t>
  </si>
  <si>
    <t>"IntAlert Live","ALERT UK","17","1","504542"</t>
  </si>
  <si>
    <t>Soins Méd-CISHIBANJI-Oct '19</t>
  </si>
  <si>
    <t>"IntAlert Live","ALERT UK","17","1","504546"</t>
  </si>
  <si>
    <t>"IntAlert Live","ALERT UK","17","1","504550"</t>
  </si>
  <si>
    <t>Soins Méd-Furaha Marina-Oct '19</t>
  </si>
  <si>
    <t>"IntAlert Live","ALERT UK","17","1","504553"</t>
  </si>
  <si>
    <t>Soins Méd-MUHONGYA Nathalie-Oct '19</t>
  </si>
  <si>
    <t>"IntAlert Live","ALERT UK","17","1","504558"</t>
  </si>
  <si>
    <t>Soins Med GEORGINE -Oct'19</t>
  </si>
  <si>
    <t>"IntAlert Live","ALERT UK","17","1","504565"</t>
  </si>
  <si>
    <t>Soins Med Pascal -Nov'19</t>
  </si>
  <si>
    <t>"IntAlert Live","ALERT UK","17","1","504569"</t>
  </si>
  <si>
    <t>Soins Med BARNABE -Nov'19</t>
  </si>
  <si>
    <t>"IntAlert Live","ALERT UK","17","1","504572"</t>
  </si>
  <si>
    <t>Soins Med  Papson NYAM Nov'19</t>
  </si>
  <si>
    <t>"IntAlert Live","ALERT UK","17","1","504577"</t>
  </si>
  <si>
    <t>Soins Méd-MBONEKUBE-Nov '19</t>
  </si>
  <si>
    <t>"IntAlert Live","ALERT UK","17","1","504580"</t>
  </si>
  <si>
    <t>"IntAlert Live","ALERT UK","17","1","504583"</t>
  </si>
  <si>
    <t>Soins Méd-MUHONGYA Nathalie-Nov '19</t>
  </si>
  <si>
    <t>"IntAlert Live","ALERT UK","17","1","504592"</t>
  </si>
  <si>
    <t>DRCBUK/BANK/2019/012/016</t>
  </si>
  <si>
    <t>HOPITAL G.PANZI</t>
  </si>
  <si>
    <t>"IntAlert Live","ALERT UK","17","1","504595"</t>
  </si>
  <si>
    <t>"IntAlert Live","ALERT UK","17","1","504603"</t>
  </si>
  <si>
    <t>Soins Méd Pascal-Oct 19</t>
  </si>
  <si>
    <t>"IntAlert Live","ALERT UK","17","1","504609"</t>
  </si>
  <si>
    <t>Soins Méd-Verre-Nov '19</t>
  </si>
  <si>
    <t>"IntAlert Live","ALERT UK","17","1","484215"</t>
  </si>
  <si>
    <t>DRCGOM/ BANQUE/2019/010/011</t>
  </si>
  <si>
    <t>Training FMDP-Jerome Kenya 15%</t>
  </si>
  <si>
    <t>"IntAlert Live","ALERT UK","17","1","484216"</t>
  </si>
  <si>
    <t>Training FMDP-Jerome Kenya 55%</t>
  </si>
  <si>
    <t>"IntAlert Live","ALERT UK","17","1","484291"</t>
  </si>
  <si>
    <t>"IntAlert Live","ALERT UK","17","1","484298"</t>
  </si>
  <si>
    <t>DRCGOM/ BANQUE/2019/010/014</t>
  </si>
  <si>
    <t>Fly TKT Cishibanji Kigali-Roterdam-Kigali 53%</t>
  </si>
  <si>
    <t>"IntAlert Live","ALERT UK","17","1","484303"</t>
  </si>
  <si>
    <t>Fly TKTBarnabe  Kigali-Roterdam-Kigali 53%</t>
  </si>
  <si>
    <t>"IntAlert Live","ALERT UK","17","1","484308"</t>
  </si>
  <si>
    <t>Fly TKTJB  Kigali-Roterdam-Kigali 53%</t>
  </si>
  <si>
    <t>"IntAlert Live","ALERT UK","17","1","484312"</t>
  </si>
  <si>
    <t>Fly TKT George Kigali-Doula-Kigali 25%</t>
  </si>
  <si>
    <t>"IntAlert Live","ALERT UK","17","1","484319"</t>
  </si>
  <si>
    <t>Taxi Gisenyi-Kigali Paul et Barnabé</t>
  </si>
  <si>
    <t>"IntAlert Live","ALERT UK","17","1","484329"</t>
  </si>
  <si>
    <t>DRCBUK/GENJNL/2019/10/008</t>
  </si>
  <si>
    <t>Frs transport Rotterdam - Voobourg 53%</t>
  </si>
  <si>
    <t>"IntAlert Live","ALERT UK","17","1","484334"</t>
  </si>
  <si>
    <t>DRCGOM/GENJNL/2019/010/013</t>
  </si>
  <si>
    <t>Taxi JeanBosco 17/10/2019</t>
  </si>
  <si>
    <t>"IntAlert Live","ALERT UK","17","1","484339"</t>
  </si>
  <si>
    <t>DRCGOM/GENJNL/2019/010/015</t>
  </si>
  <si>
    <t>Taxi Barnabe Rwanda-Hollande</t>
  </si>
  <si>
    <t>"IntAlert Live","ALERT UK","17","1","484546"</t>
  </si>
  <si>
    <t>Taxis Cishibanji BKV-KIG 19/10  53%</t>
  </si>
  <si>
    <t>"IntAlert Live","ALERT UK","17","1","484577"</t>
  </si>
  <si>
    <t>Taxis Cishibanji  KGL-BKV 30/10  53%</t>
  </si>
  <si>
    <t>"IntAlert Live","ALERT UK","17","1","484689"</t>
  </si>
  <si>
    <t>10057304</t>
  </si>
  <si>
    <t>77499</t>
  </si>
  <si>
    <t>Accommodation -Christian U</t>
  </si>
  <si>
    <t>"IntAlert Live","ALERT UK","17","1","484814"</t>
  </si>
  <si>
    <t>"IntAlert Live","ALERT UK","17","1","484850"</t>
  </si>
  <si>
    <t>DRCGOM/GENJNL/2019/010/009</t>
  </si>
  <si>
    <t>Frs voy George 21-28/9 Kigali</t>
  </si>
  <si>
    <t>"IntAlert Live","ALERT UK","17","1","484871"</t>
  </si>
  <si>
    <t>Frs voyage 5j-Kigali-Bruxelles-Voobourg Cishi 53%</t>
  </si>
  <si>
    <t>"IntAlert Live","ALERT UK","17","1","484878"</t>
  </si>
  <si>
    <t>Frs voy JeanBiosco18-25/9 UK</t>
  </si>
  <si>
    <t>"IntAlert Live","ALERT UK","17","1","484883"</t>
  </si>
  <si>
    <t>Frs voy Barnabe Hollandes 17-23/10</t>
  </si>
  <si>
    <t>"IntAlert Live","ALERT UK","17","1","490633"</t>
  </si>
  <si>
    <t>KEN/NOVEMBER/2019/23</t>
  </si>
  <si>
    <t>RED COURT HOTEL (BOMA INN)</t>
  </si>
  <si>
    <t>G00067</t>
  </si>
  <si>
    <t xml:space="preserve">Staff Accommodation Cost 6 Nights - Jerome </t>
  </si>
  <si>
    <t>"IntAlert Live","ALERT UK","17","1","490678"</t>
  </si>
  <si>
    <t xml:space="preserve">Staff Accommodation Cost 6 Nights - Christian </t>
  </si>
  <si>
    <t>"IntAlert Live","ALERT UK","17","1","491213"</t>
  </si>
  <si>
    <t>DRCBUK/CAISSE/2019/11/002</t>
  </si>
  <si>
    <t>GAD TRANSPORT</t>
  </si>
  <si>
    <t>Paiement courses taxi BKV-KGL, MBONEKUBE</t>
  </si>
  <si>
    <t>"IntAlert Live","ALERT UK","17","1","491232"</t>
  </si>
  <si>
    <t>DRCBUK/GENJNL/2019/11/007</t>
  </si>
  <si>
    <t>CHRISTIAN MBONEKUBE</t>
  </si>
  <si>
    <t>Frs de Séjrs MBO 09-16/11-Nairobie 40%</t>
  </si>
  <si>
    <t>"IntAlert Live","ALERT UK","17","1","491236"</t>
  </si>
  <si>
    <t>KENYA IMMIGRATION</t>
  </si>
  <si>
    <t>Frs de visa-entré Nairobie 40%</t>
  </si>
  <si>
    <t>"IntAlert Live","ALERT UK","17","1","491240"</t>
  </si>
  <si>
    <t>IYAKAREME FISTON</t>
  </si>
  <si>
    <t>Course taxis KME-GHNDW 40%</t>
  </si>
  <si>
    <t>"IntAlert Live","ALERT UK","17","1","491434"</t>
  </si>
  <si>
    <t>DRCGOM/ BANQUE/2019/011/016</t>
  </si>
  <si>
    <t>SATGURU SPRL</t>
  </si>
  <si>
    <t>Fly ticket Jerome  Kigali-Nairobi-Kig</t>
  </si>
  <si>
    <t>"IntAlert Live","ALERT UK","17","1","491805"</t>
  </si>
  <si>
    <t>DRCGOM/GENJNL/2019/011/006</t>
  </si>
  <si>
    <t>JEROME MONDO</t>
  </si>
  <si>
    <t>Frs voy Jerome Nairobi 9-16 Nov'19 40%</t>
  </si>
  <si>
    <t>"IntAlert Live","ALERT UK","17","1","491809"</t>
  </si>
  <si>
    <t>IMMIGRATION KENYA</t>
  </si>
  <si>
    <t xml:space="preserve">Visa Jerome Training FMD Nairobi </t>
  </si>
  <si>
    <t>"IntAlert Live","ALERT UK","17","1","491810"</t>
  </si>
  <si>
    <t>GUSTAVE WAMUNGU</t>
  </si>
  <si>
    <t xml:space="preserve">Taxi Gisenyi-Kigali-Goma Jerome </t>
  </si>
  <si>
    <t>"IntAlert Live","ALERT UK","17","1","495008"</t>
  </si>
  <si>
    <t>875075</t>
  </si>
  <si>
    <t>PU0000087</t>
  </si>
  <si>
    <t>GW - DRC TO  AMSTERDAM - RTN DEC 2019</t>
  </si>
  <si>
    <t>"IntAlert Live","ALERT UK","17","1","495009"</t>
  </si>
  <si>
    <t>"IntAlert Live","ALERT UK","17","1","502433"</t>
  </si>
  <si>
    <t>KEN/DEC/2019/40</t>
  </si>
  <si>
    <t>MOTO GARI LIMITED</t>
  </si>
  <si>
    <t>G00065</t>
  </si>
  <si>
    <t>Staff Local Travel - Jerome</t>
  </si>
  <si>
    <t>"IntAlert Live","ALERT UK","17","1","504486"</t>
  </si>
  <si>
    <t>DRCBUK/BANK/2019/12/005</t>
  </si>
  <si>
    <t>Taxis George BUK-KLG-BUK GLEAM 33%</t>
  </si>
  <si>
    <t>"IntAlert Live","ALERT UK","17","1","505499"</t>
  </si>
  <si>
    <t>DRCBUK/GENJNL/2019/12/004</t>
  </si>
  <si>
    <t>NDIKINTUM GEORGE</t>
  </si>
  <si>
    <t>Frs de séjrs George 30/11-08/12-La haye 33%</t>
  </si>
  <si>
    <t>"IntAlert Live","ALERT UK","17","1","505504"</t>
  </si>
  <si>
    <t>RWANDA REVENUE A.</t>
  </si>
  <si>
    <t>Visa transit, Ticket train 33%</t>
  </si>
  <si>
    <t>"IntAlert Live","ALERT UK","17","1","483811"</t>
  </si>
  <si>
    <t>DRCBUK/BANK/2019/10/015</t>
  </si>
  <si>
    <t>Loyer Résidence George 03Sept-02Déc'19</t>
  </si>
  <si>
    <t>"IntAlert Live","ALERT UK","17","1","483822"</t>
  </si>
  <si>
    <t>DRCBUK/BANK/2019/10/036</t>
  </si>
  <si>
    <t>IRL Résidence George 03Sept-02Déc'19 15%</t>
  </si>
  <si>
    <t>"IntAlert Live","ALERT UK","17","1","488517"</t>
  </si>
  <si>
    <t>Entretien residence Christine</t>
  </si>
  <si>
    <t>"IntAlert Live","ALERT UK","17","1","491704"</t>
  </si>
  <si>
    <t>DRCGOM/ CAISSE/2019/011/001</t>
  </si>
  <si>
    <t>ELECTRICIEN LWANZO</t>
  </si>
  <si>
    <t xml:space="preserve">Reparation Elctricite Christine </t>
  </si>
  <si>
    <t>110</t>
  </si>
  <si>
    <t>"IntAlert Live","ALERT UK","17","1","503605"</t>
  </si>
  <si>
    <t>DRCGOM/BANQUE/2019/012/007</t>
  </si>
  <si>
    <t>ETS KAKAL</t>
  </si>
  <si>
    <t>Loyer JeanBosco 21 Nov'19-21 Feb 2019 10%</t>
  </si>
  <si>
    <t>"IntAlert Live","ALERT UK","17","1","503610"</t>
  </si>
  <si>
    <t>DRCGOM/BANQUE/2019/012/008</t>
  </si>
  <si>
    <t>DGRNK</t>
  </si>
  <si>
    <t>IRL Loyer JeanBosco 21 Nov'19-21 Feb 2019 10%</t>
  </si>
  <si>
    <t>"IntAlert Live","ALERT UK","17","1","503678"</t>
  </si>
  <si>
    <t>DRCGOM/BANQUE/2019/012/027</t>
  </si>
  <si>
    <t>STATION IBB</t>
  </si>
  <si>
    <t>Fuel Jeanbosco Residence November 2019</t>
  </si>
  <si>
    <t>"IntAlert Live","ALERT UK","17","1","504493"</t>
  </si>
  <si>
    <t>DRCBUK/BANK/2019/012/006</t>
  </si>
  <si>
    <t>YVON ALBATHI BIN</t>
  </si>
  <si>
    <t>Pmt Loyer George Déc19-Janvier 2020 15%</t>
  </si>
  <si>
    <t>"IntAlert Live","ALERT UK","17","1","504218"</t>
  </si>
  <si>
    <t>JB SIBORUREMA</t>
  </si>
  <si>
    <t>Rmt frais de voyage Kig</t>
  </si>
  <si>
    <t>"IntAlert Live","ALERT UK","17","1","504381"</t>
  </si>
  <si>
    <t>DRCGOM/GENJNL/2019/012/012</t>
  </si>
  <si>
    <t>ALEXESTEL HOTEL</t>
  </si>
  <si>
    <t>Hebergement George Bujumbura R&amp;R</t>
  </si>
  <si>
    <t>"IntAlert Live","ALERT UK","17","1","504385"</t>
  </si>
  <si>
    <t>Taxi and visa R&amp;R George</t>
  </si>
  <si>
    <t>"IntAlert Live","ALERT UK","17","1","504389"</t>
  </si>
  <si>
    <t>Frs voyage George Bujumbura R&amp;R</t>
  </si>
  <si>
    <t>"IntAlert Live","ALERT UK","17","1","505551"</t>
  </si>
  <si>
    <t>DRCBUK/GENJNL/2019/12/012</t>
  </si>
  <si>
    <t>RRA</t>
  </si>
  <si>
    <t>Frs de visa de transit Geoge au Rwanda 23%</t>
  </si>
  <si>
    <t>"IntAlert Live","ALERT UK","17","1","483797"</t>
  </si>
  <si>
    <t>JDRCGOM/ BAN/2019/008/014</t>
  </si>
  <si>
    <t>"IntAlert Live","ALERT UK","17","1","483804"</t>
  </si>
  <si>
    <t>DRCBUK/BANK/2019/10/008</t>
  </si>
  <si>
    <t>Carburant Generateur Rés George Sept'19</t>
  </si>
  <si>
    <t>"IntAlert Live","ALERT UK","17","1","488399"</t>
  </si>
  <si>
    <t>Carburant Carburant Véhicules Sept'19</t>
  </si>
  <si>
    <t>"IntAlert Live","ALERT UK","17","1","490862"</t>
  </si>
  <si>
    <t>DRCBUK/BANK/2019/11/004</t>
  </si>
  <si>
    <t>GPI</t>
  </si>
  <si>
    <t>Pmt carburant veh Octobre 2019 10%</t>
  </si>
  <si>
    <t>"IntAlert Live","ALERT UK","17","1","504612"</t>
  </si>
  <si>
    <t>DRCBUK/BANK/2019/012/017</t>
  </si>
  <si>
    <t>PETROX CONGO</t>
  </si>
  <si>
    <t>Pmt carburant Vehicules-Nov 2019 10%</t>
  </si>
  <si>
    <t>"IntAlert Live","ALERT UK","17","1","504770"</t>
  </si>
  <si>
    <t>DRCBUK/BANK/2019/012/036</t>
  </si>
  <si>
    <t>Pmt Carburant Vehicule  Déc 2019</t>
  </si>
  <si>
    <t>"IntAlert Live","ALERT UK","17","1","488557"</t>
  </si>
  <si>
    <t>Contrôle technique vehicules</t>
  </si>
  <si>
    <t>"IntAlert Live","ALERT UK","17","1","488568"</t>
  </si>
  <si>
    <t>DRCGOM/ BANQUE/2019/010/003</t>
  </si>
  <si>
    <t>Vehicles Assurances 9 Oct'19-8 oct 2020 10%</t>
  </si>
  <si>
    <t>"IntAlert Live","ALERT UK","17","1","491062"</t>
  </si>
  <si>
    <t>DRCBUK/BANK/2019/11/019</t>
  </si>
  <si>
    <t>SINGRAL AUTO</t>
  </si>
  <si>
    <t>Frs entretien Véhicul Mob 01&amp;Mob 04 20%</t>
  </si>
  <si>
    <t>8330</t>
  </si>
  <si>
    <t>VEHICLE</t>
  </si>
  <si>
    <t>"IntAlert Live","ALERT UK","17","1","505549"</t>
  </si>
  <si>
    <t>DRCBUK/GENJNL/2019/12/010</t>
  </si>
  <si>
    <t>DGM</t>
  </si>
  <si>
    <t>"IntAlert Live","ALERT UK","17","1","484301"</t>
  </si>
  <si>
    <t>Fly TKT Cishibanji Kigali-Roterdam-Kigali 9%</t>
  </si>
  <si>
    <t>"IntAlert Live","ALERT UK","17","1","484306"</t>
  </si>
  <si>
    <t>Fly TKT Barnabe  Kigali-Roterdam-Kigali 9%</t>
  </si>
  <si>
    <t>"IntAlert Live","ALERT UK","17","1","484315"</t>
  </si>
  <si>
    <t>Fly TKT George Kigali-Doula-Kigali 47%</t>
  </si>
  <si>
    <t>"IntAlert Live","ALERT UK","17","1","484340"</t>
  </si>
  <si>
    <t>"IntAlert Live","ALERT UK","17","1","484686"</t>
  </si>
  <si>
    <t>Lgmt George Douala</t>
  </si>
  <si>
    <t>"IntAlert Live","ALERT UK","17","1","484884"</t>
  </si>
  <si>
    <t>"IntAlert Live","ALERT UK","17","1","484986"</t>
  </si>
  <si>
    <t>"IntAlert Live","ALERT UK","17","1","488085"</t>
  </si>
  <si>
    <t>Photocopies a l'ambassade Kigali</t>
  </si>
  <si>
    <t>8070</t>
  </si>
  <si>
    <t>PHOTOCOPYING</t>
  </si>
  <si>
    <t>"IntAlert Live","ALERT UK","17","1","504220"</t>
  </si>
  <si>
    <t>Rmt frais de voyage Bkv</t>
  </si>
  <si>
    <t>"IntAlert Live","ALERT UK","17","1","505547"</t>
  </si>
  <si>
    <t>Frs de séjrs Papson 6-12-Uvira</t>
  </si>
  <si>
    <t>"IntAlert Live","ALERT UK","17","1","505548"</t>
  </si>
  <si>
    <t>JOSEPH MIRINDI</t>
  </si>
  <si>
    <t>Frs de séjrs Joseph 6-9/12-Uvira</t>
  </si>
  <si>
    <t>"IntAlert Live","ALERT UK","17","1","488100"</t>
  </si>
  <si>
    <t>DRCGOM/ BANQUE/2019/010/002</t>
  </si>
  <si>
    <t>Carte visites Jerry-Papsson-Pascal</t>
  </si>
  <si>
    <t>OFFICE PRINTING</t>
  </si>
  <si>
    <t>"IntAlert Live","ALERT UK","17","1","490739"</t>
  </si>
  <si>
    <t>KEN/NOVEMBER/2019/37</t>
  </si>
  <si>
    <t>DIGITAL STORE LIMITED</t>
  </si>
  <si>
    <t xml:space="preserve">Wireless Speakers </t>
  </si>
  <si>
    <t>"IntAlert Live","ALERT UK","17","1","485365"</t>
  </si>
  <si>
    <t>DRCGOM/ BANQUE/2019/010/009</t>
  </si>
  <si>
    <t>Honoraire Midagu 12 Sept-12 Oct'19  10%</t>
  </si>
  <si>
    <t>"IntAlert Live","ALERT UK","17","1","491427"</t>
  </si>
  <si>
    <t>DRCGOM/ BANQUE/2019/011/014</t>
  </si>
  <si>
    <t>JEROME MIDAGU</t>
  </si>
  <si>
    <t>Honoraire Midagu12 Oct-12 Nov 10%</t>
  </si>
  <si>
    <t>"IntAlert Live","ALERT UK","17","1","503557"</t>
  </si>
  <si>
    <t>DRCGOM/ BANQUE/2019/012/001</t>
  </si>
  <si>
    <t>CONGO OPS</t>
  </si>
  <si>
    <t>Facilitation admin dossier Alert Kinshasa 10%</t>
  </si>
  <si>
    <t>"IntAlert Live","ALERT UK","17","1","503580"</t>
  </si>
  <si>
    <t>DRCGOM/BANQUE/2019/012/004</t>
  </si>
  <si>
    <t>Honoraire Midagu12 Nov-12 Dec 10%</t>
  </si>
  <si>
    <t>"IntAlert Live","ALERT UK","17","1","503631"</t>
  </si>
  <si>
    <t>DRCGOM/BANQUE/2019/012/017</t>
  </si>
  <si>
    <t>MOMA NZEBA MARLENE</t>
  </si>
  <si>
    <t>Frs voyage expert Min Plan Kinshasa Marlene 10%</t>
  </si>
  <si>
    <t>"IntAlert Live","ALERT UK","17","1","503634"</t>
  </si>
  <si>
    <t>DRCGOM/BANQUE/2019/012/018</t>
  </si>
  <si>
    <t>MUHINDO NGASHANI</t>
  </si>
  <si>
    <t>Frs voyage expert Min Plan Kinshasa Ngashani 10%</t>
  </si>
  <si>
    <t>"IntAlert Live","ALERT UK","17","1","488298"</t>
  </si>
  <si>
    <t>DRCGOM/ BANQUE/2019/010/033</t>
  </si>
  <si>
    <t>Office rent Kinshasa Oct-Nov-Dec'19 10%</t>
  </si>
  <si>
    <t>"IntAlert Live","ALERT UK","17","1","491092"</t>
  </si>
  <si>
    <t>DRCBUK/BANK/2019/11/033</t>
  </si>
  <si>
    <t>HANDICAP INTERNATIONAL</t>
  </si>
  <si>
    <t>"IntAlert Live","ALERT UK","17","1","485328"</t>
  </si>
  <si>
    <t>DRCBUK/BANK/2019/10/001</t>
  </si>
  <si>
    <t>Pmt Consultant Elect-Plomb sept 19 Landry  3%</t>
  </si>
  <si>
    <t>"IntAlert Live","ALERT UK","17","1","485395"</t>
  </si>
  <si>
    <t>DRCBUK/BANK/2019/10/039</t>
  </si>
  <si>
    <t>Pmt Consultant Elect-Plomb Oct 19 Landry 18%</t>
  </si>
  <si>
    <t>"IntAlert Live","ALERT UK","17","1","488309"</t>
  </si>
  <si>
    <t>DRCBUK/BANK/2019/10/004</t>
  </si>
  <si>
    <t>Pmt  visa des documents bureau 8%</t>
  </si>
  <si>
    <t>"IntAlert Live","ALERT UK","17","1","488386"</t>
  </si>
  <si>
    <t>Consommation Eau Sept19 18%</t>
  </si>
  <si>
    <t>"IntAlert Live","ALERT UK","17","1","488430"</t>
  </si>
  <si>
    <t>Pmt rammassage des ordures Sept'19-bureau</t>
  </si>
  <si>
    <t>8270</t>
  </si>
  <si>
    <t>CLEANING</t>
  </si>
  <si>
    <t>"IntAlert Live","ALERT UK","17","1","488435"</t>
  </si>
  <si>
    <t>Fre de ramassage ordures- Oct'19 18%</t>
  </si>
  <si>
    <t>"IntAlert Live","ALERT UK","17","1","488521"</t>
  </si>
  <si>
    <t>DRCBUK/GENJNL/2019/10/007</t>
  </si>
  <si>
    <t>Achat materiel pour cuisine bureau</t>
  </si>
  <si>
    <t>"IntAlert Live","ALERT UK","17","1","490887"</t>
  </si>
  <si>
    <t>IPR occ consult Elect Sept Oct19 Landry 18%</t>
  </si>
  <si>
    <t>"IntAlert Live","ALERT UK","17","1","490894"</t>
  </si>
  <si>
    <t>CNSS occ consult Elect Sept Oct19 Landry 18%</t>
  </si>
  <si>
    <t>"IntAlert Live","ALERT UK","17","1","491078"</t>
  </si>
  <si>
    <t>DRCBUK/BANK/2019/11/022</t>
  </si>
  <si>
    <t>TCHIBASU LANDRY</t>
  </si>
  <si>
    <t>Pmt Consultant Elect-Plomb Nov 19 Landry  18%</t>
  </si>
  <si>
    <t>"IntAlert Live","ALERT UK","17","1","491209"</t>
  </si>
  <si>
    <t>DRCBUK/CAISSE/2019/11/001</t>
  </si>
  <si>
    <t>SNEL</t>
  </si>
  <si>
    <t>Pymt facture SNEL  sept  0019  18%</t>
  </si>
  <si>
    <t>"IntAlert Live","ALERT UK","17","1","504509"</t>
  </si>
  <si>
    <t>DRCBUK/BANK/2019/012/012</t>
  </si>
  <si>
    <t>IPR Occasionnel-Nov 19 Landry  18%</t>
  </si>
  <si>
    <t>"IntAlert Live","ALERT UK","17","1","504517"</t>
  </si>
  <si>
    <t>DRCBUK/BANK/2019/012/013</t>
  </si>
  <si>
    <t>CNSS Occasionnel-Nov 19 Landry  18%</t>
  </si>
  <si>
    <t>"IntAlert Live","ALERT UK","17","1","504660"</t>
  </si>
  <si>
    <t>DRCBUK/BANK/2019/012/022</t>
  </si>
  <si>
    <t>HARMONY SHOP</t>
  </si>
  <si>
    <t>Achat Anti faudre pr Back up bureau 10%</t>
  </si>
  <si>
    <t>"IntAlert Live","ALERT UK","17","1","504799"</t>
  </si>
  <si>
    <t>DRCBUK/BANK/2019/012/042</t>
  </si>
  <si>
    <t>Pmt Consultant Elect-Plomb Dec 19 Landry  18%</t>
  </si>
  <si>
    <t>"IntAlert Live","ALERT UK","17","1","505374"</t>
  </si>
  <si>
    <t>DRCBUK/CAISSE/2019/12/001</t>
  </si>
  <si>
    <t>GCO</t>
  </si>
  <si>
    <t>Ramassage des ordures bureau Déc 28%</t>
  </si>
  <si>
    <t>"IntAlert Live","ALERT UK","17","1","505377"</t>
  </si>
  <si>
    <t>Achat Fiche individuelle Taxes 2019 Staff 10%</t>
  </si>
  <si>
    <t>"IntAlert Live","ALERT UK","17","1","505588"</t>
  </si>
  <si>
    <t>Frais ramassage ordures nov 019  10%</t>
  </si>
  <si>
    <t>"IntAlert Live","ALERT UK","17","1","505611"</t>
  </si>
  <si>
    <t>REGIDESO</t>
  </si>
  <si>
    <t>Pymt facture REGIDESO oct 019 10%</t>
  </si>
  <si>
    <t>"IntAlert Live","ALERT UK","17","1","505616"</t>
  </si>
  <si>
    <t>"IntAlert Live","ALERT UK","17","1","483818"</t>
  </si>
  <si>
    <t>DRCBUK/BANK/2019/10/017</t>
  </si>
  <si>
    <t>Sécurity Guest House George-Oct'19</t>
  </si>
  <si>
    <t>"IntAlert Live","ALERT UK","17","1","491402"</t>
  </si>
  <si>
    <t>DRCGOM/ BANQUE/2019/011/005</t>
  </si>
  <si>
    <t>KAMI SECURITY</t>
  </si>
  <si>
    <t>Alarm for security- October 19-10%</t>
  </si>
  <si>
    <t>"IntAlert Live","ALERT UK","17","1","503564"</t>
  </si>
  <si>
    <t>DRCGOM/BANQUE/2019/012/002</t>
  </si>
  <si>
    <t>Security+Alarm  Resid Christine Nov'19 5%</t>
  </si>
  <si>
    <t>"IntAlert Live","ALERT UK","17","1","503652"</t>
  </si>
  <si>
    <t>DRCGOM/BANQUE/2019/012/021</t>
  </si>
  <si>
    <t>Security+Alarm  Resid Christine Dec'19 5%</t>
  </si>
  <si>
    <t>"IntAlert Live","ALERT UK","17","1","488206"</t>
  </si>
  <si>
    <t>DRCBUK/BANK/2019/10/012</t>
  </si>
  <si>
    <t>Fourniture café et de nettoyage bureau 23%</t>
  </si>
  <si>
    <t>"IntAlert Live","ALERT UK","17","1","488216"</t>
  </si>
  <si>
    <t>DRCBUK/BANK/2019/10/022</t>
  </si>
  <si>
    <t>Achat fourniture bureau 20%</t>
  </si>
  <si>
    <t>"IntAlert Live","ALERT UK","17","1","488229"</t>
  </si>
  <si>
    <t>Consommation Eau potable bur 43%</t>
  </si>
  <si>
    <t>"IntAlert Live","ALERT UK","17","1","491198"</t>
  </si>
  <si>
    <t>ASILI</t>
  </si>
  <si>
    <t>Achat 10 tonelets d'eau  bureau  20%</t>
  </si>
  <si>
    <t>"IntAlert Live","ALERT UK","17","1","491204"</t>
  </si>
  <si>
    <t>EXODUCE</t>
  </si>
  <si>
    <t>Achat café moulin pour cafeteriat 20%</t>
  </si>
  <si>
    <t>"IntAlert Live","ALERT UK","17","1","495050"</t>
  </si>
  <si>
    <t>INV-2256</t>
  </si>
  <si>
    <t>PU0000100</t>
  </si>
  <si>
    <t>DESIGN OF THE DRC TEAM POSTERS, MISSSION, VISION EN/FR</t>
  </si>
  <si>
    <t>PUBLISH, PRINT, EDIT COST</t>
  </si>
  <si>
    <t>"IntAlert Live","ALERT UK","17","1","495051"</t>
  </si>
  <si>
    <t>"IntAlert Live","ALERT UK","17","1","505345"</t>
  </si>
  <si>
    <t>EXODUS</t>
  </si>
  <si>
    <t>Materiels pour cafeteriat  20%</t>
  </si>
  <si>
    <t>"IntAlert Live","ALERT UK","17","1","505350"</t>
  </si>
  <si>
    <t>Café Moulu 20%</t>
  </si>
  <si>
    <t>"IntAlert Live","ALERT UK","17","1","505355"</t>
  </si>
  <si>
    <t>Eau minerale bureau 20%</t>
  </si>
  <si>
    <t>"IntAlert Live","ALERT UK","17","1","505360"</t>
  </si>
  <si>
    <t>Pymt Fact Regideso Nov'19 20%</t>
  </si>
  <si>
    <t>"IntAlert Live","ALERT UK","17","1","505601"</t>
  </si>
  <si>
    <t>Achat 10 tonelets d'eau  nov  25%</t>
  </si>
  <si>
    <t>"IntAlert Live","ALERT UK","17","1","505606"</t>
  </si>
  <si>
    <t>"IntAlert Live","ALERT UK","17","1","487951"</t>
  </si>
  <si>
    <t>DRCGOM/ BANQUE/2019/010/022</t>
  </si>
  <si>
    <t>Commun. Papson  Sept'19</t>
  </si>
  <si>
    <t>"IntAlert Live","ALERT UK","17","1","487957"</t>
  </si>
  <si>
    <t>Commun. Marina Sept'19</t>
  </si>
  <si>
    <t>"IntAlert Live","ALERT UK","17","1","487967"</t>
  </si>
  <si>
    <t>Commun. Mbonekube Sept'19</t>
  </si>
  <si>
    <t>"IntAlert Live","ALERT UK","17","1","487993"</t>
  </si>
  <si>
    <t>Commun. Barnabe Sept'19 10%</t>
  </si>
  <si>
    <t>"IntAlert Live","ALERT UK","17","1","487998"</t>
  </si>
  <si>
    <t>Commun.  George Sept'19 10%</t>
  </si>
  <si>
    <t>"IntAlert Live","ALERT UK","17","1","488004"</t>
  </si>
  <si>
    <t>Frs mensuel SIM Christine Sept'19  10%</t>
  </si>
  <si>
    <t>"IntAlert Live","ALERT UK","17","1","488041"</t>
  </si>
  <si>
    <t>DRCBUK/BANK/2019/10/014</t>
  </si>
  <si>
    <t>Pmt svc internet 14 Sept'-13 Oct19-BUK 5%</t>
  </si>
  <si>
    <t>"IntAlert Live","ALERT UK","17","1","488829"</t>
  </si>
  <si>
    <t>BANK CHARGE OCT 19</t>
  </si>
  <si>
    <t>77495</t>
  </si>
  <si>
    <t>"IntAlert Live","ALERT UK","17","1","488836"</t>
  </si>
  <si>
    <t>"IntAlert Live","ALERT UK","17","1","488842"</t>
  </si>
  <si>
    <t>"IntAlert Live","ALERT UK","17","1","489006"</t>
  </si>
  <si>
    <t>DRCBUK/BANK/2019/10/042</t>
  </si>
  <si>
    <t>Ccion sur Transfert chèque 75%</t>
  </si>
  <si>
    <t>"IntAlert Live","ALERT UK","17","1","489014"</t>
  </si>
  <si>
    <t>"IntAlert Live","ALERT UK","17","1","489040"</t>
  </si>
  <si>
    <t>Ccion sur Transfert  100%</t>
  </si>
  <si>
    <t>"IntAlert Live","ALERT UK","17","1","489041"</t>
  </si>
  <si>
    <t>"IntAlert Live","ALERT UK","17","1","489053"</t>
  </si>
  <si>
    <t>Ccion sur Transfert  5%</t>
  </si>
  <si>
    <t>"IntAlert Live","ALERT UK","17","1","489058"</t>
  </si>
  <si>
    <t>Ccion sur retrait chèque 5%</t>
  </si>
  <si>
    <t>"IntAlert Live","ALERT UK","17","1","489064"</t>
  </si>
  <si>
    <t>"IntAlert Live","ALERT UK","17","1","489069"</t>
  </si>
  <si>
    <t>"IntAlert Live","ALERT UK","17","1","489072"</t>
  </si>
  <si>
    <t>"IntAlert Live","ALERT UK","17","1","489075"</t>
  </si>
  <si>
    <t>"IntAlert Live","ALERT UK","17","1","489078"</t>
  </si>
  <si>
    <t>"IntAlert Live","ALERT UK","17","1","489086"</t>
  </si>
  <si>
    <t>Ccion sur Sal BUK 5%</t>
  </si>
  <si>
    <t>"IntAlert Live","ALERT UK","17","1","489090"</t>
  </si>
  <si>
    <t>"IntAlert Live","ALERT UK","17","1","489093"</t>
  </si>
  <si>
    <t>"IntAlert Live","ALERT UK","17","1","489106"</t>
  </si>
  <si>
    <t>"IntAlert Live","ALERT UK","17","1","489109"</t>
  </si>
  <si>
    <t>"IntAlert Live","ALERT UK","17","1","491096"</t>
  </si>
  <si>
    <t>DRCBUK/BANK/2019/11/036</t>
  </si>
  <si>
    <t>BCDC</t>
  </si>
  <si>
    <t>Frs de retrait chèque 100%</t>
  </si>
  <si>
    <t>"IntAlert Live","ALERT UK","17","1","491099"</t>
  </si>
  <si>
    <t>Frs de retrait chèque 5%</t>
  </si>
  <si>
    <t>"IntAlert Live","ALERT UK","17","1","491103"</t>
  </si>
  <si>
    <t>"IntAlert Live","ALERT UK","17","1","491107"</t>
  </si>
  <si>
    <t>"IntAlert Live","ALERT UK","17","1","491110"</t>
  </si>
  <si>
    <t>COUT ACHAT LIC DEC0755012</t>
  </si>
  <si>
    <t>"IntAlert Live","ALERT UK","17","1","491112"</t>
  </si>
  <si>
    <t>"IntAlert Live","ALERT UK","17","1","491115"</t>
  </si>
  <si>
    <t>"IntAlert Live","ALERT UK","17","1","491118"</t>
  </si>
  <si>
    <t>Frs de gestion de compte 5%</t>
  </si>
  <si>
    <t>"IntAlert Live","ALERT UK","17","1","491125"</t>
  </si>
  <si>
    <t>"IntAlert Live","ALERT UK","17","1","491146"</t>
  </si>
  <si>
    <t>ABONEMNT BCDC NET LIGHT 5%</t>
  </si>
  <si>
    <t>"IntAlert Live","ALERT UK","17","1","491152"</t>
  </si>
  <si>
    <t>"IntAlert Live","ALERT UK","17","1","491156"</t>
  </si>
  <si>
    <t>"IntAlert Live","ALERT UK","17","1","491160"</t>
  </si>
  <si>
    <t>"IntAlert Live","ALERT UK","17","1","491168"</t>
  </si>
  <si>
    <t>"IntAlert Live","ALERT UK","17","1","491171"</t>
  </si>
  <si>
    <t>"IntAlert Live","ALERT UK","17","1","491177"</t>
  </si>
  <si>
    <t>"IntAlert Live","ALERT UK","17","1","491184"</t>
  </si>
  <si>
    <t>Frs retrait chèque 5%</t>
  </si>
  <si>
    <t>"IntAlert Live","ALERT UK","17","1","497750"</t>
  </si>
  <si>
    <t>GBP BANK CHARGE NOV 19</t>
  </si>
  <si>
    <t>19GN10027</t>
  </si>
  <si>
    <t xml:space="preserve">GEORGE NDIKINTUM DRC </t>
  </si>
  <si>
    <t>"IntAlert Live","ALERT UK","17","1","497760"</t>
  </si>
  <si>
    <t>"IntAlert Live","ALERT UK","17","1","497776"</t>
  </si>
  <si>
    <t>"IntAlert Live","ALERT UK","17","1","505202"</t>
  </si>
  <si>
    <t>DRCBUK/BANK/2019/012/065</t>
  </si>
  <si>
    <t>"IntAlert Live","ALERT UK","17","1","505209"</t>
  </si>
  <si>
    <t>"IntAlert Live","ALERT UK","17","1","505226"</t>
  </si>
  <si>
    <t>Frs mensuel compte staff 100%</t>
  </si>
  <si>
    <t>"IntAlert Live","ALERT UK","17","1","505229"</t>
  </si>
  <si>
    <t>"IntAlert Live","ALERT UK","17","1","505234"</t>
  </si>
  <si>
    <t>"IntAlert Live","ALERT UK","17","1","505237"</t>
  </si>
  <si>
    <t>"IntAlert Live","ALERT UK","17","1","505238"</t>
  </si>
  <si>
    <t>"IntAlert Live","ALERT UK","17","1","505239"</t>
  </si>
  <si>
    <t>"IntAlert Live","ALERT UK","17","1","505244"</t>
  </si>
  <si>
    <t>"IntAlert Live","ALERT UK","17","1","505249"</t>
  </si>
  <si>
    <t>Cion de Transfert 5%</t>
  </si>
  <si>
    <t>"IntAlert Live","ALERT UK","17","1","505261"</t>
  </si>
  <si>
    <t>"IntAlert Live","ALERT UK","17","1","505265"</t>
  </si>
  <si>
    <t>"IntAlert Live","ALERT UK","17","1","505268"</t>
  </si>
  <si>
    <t>"IntAlert Live","ALERT UK","17","1","505271"</t>
  </si>
  <si>
    <t>"IntAlert Live","ALERT UK","17","1","505282"</t>
  </si>
  <si>
    <t>"IntAlert Live","ALERT UK","17","1","505287"</t>
  </si>
  <si>
    <t>"IntAlert Live","ALERT UK","17","1","505293"</t>
  </si>
  <si>
    <t>Cion  de Transfert sal+Grat 5%</t>
  </si>
  <si>
    <t>"IntAlert Live","ALERT UK","17","1","505294"</t>
  </si>
  <si>
    <t>"IntAlert Live","ALERT UK","17","1","505314"</t>
  </si>
  <si>
    <t>"IntAlert Live","ALERT UK","17","1","505316"</t>
  </si>
  <si>
    <t>"IntAlert Live","ALERT UK","17","1","505321"</t>
  </si>
  <si>
    <t>"IntAlert Live","ALERT UK","17","1","505324"</t>
  </si>
  <si>
    <t>"IntAlert Live","ALERT UK","17","1","505327"</t>
  </si>
  <si>
    <t>"IntAlert Live","ALERT UK","17","1","505330"</t>
  </si>
  <si>
    <t>"IntAlert Live","ALERT UK","17","1","505333"</t>
  </si>
  <si>
    <t>"IntAlert Live","ALERT UK","17","1","505336"</t>
  </si>
  <si>
    <t>"IntAlert Live","ALERT UK","17","1","509850"</t>
  </si>
  <si>
    <t>AJABU</t>
  </si>
  <si>
    <t>Pmnt salaire Destin  Septembre 19 Chargé de suivi</t>
  </si>
  <si>
    <t>"IntAlert Live","ALERT UK","17","1","509851"</t>
  </si>
  <si>
    <t>MUSOLE</t>
  </si>
  <si>
    <t>Paiement salaire Musole  Septembre 19 Comptable</t>
  </si>
  <si>
    <t>"IntAlert Live","ALERT UK","17","1","509852"</t>
  </si>
  <si>
    <t>BYIRINGIRO</t>
  </si>
  <si>
    <t>Pmnt salaire Byiringiro   Septembre 19 Caissier</t>
  </si>
  <si>
    <t>"IntAlert Live","ALERT UK","17","1","509853"</t>
  </si>
  <si>
    <t>TMB</t>
  </si>
  <si>
    <t>6430</t>
  </si>
  <si>
    <t>PARTNER - OFFICE COST</t>
  </si>
  <si>
    <t>"IntAlert Live","ALERT UK","17","1","509854"</t>
  </si>
  <si>
    <t>"IntAlert Live","ALERT UK","17","1","509855"</t>
  </si>
  <si>
    <t>Commissions sur transferts</t>
  </si>
  <si>
    <t>"IntAlert Live","ALERT UK","17","1","509856"</t>
  </si>
  <si>
    <t>"IntAlert Live","ALERT UK","17","1","509857"</t>
  </si>
  <si>
    <t>Pmnt salaire Destin  Octobre 19 Chargé de suivi</t>
  </si>
  <si>
    <t>"IntAlert Live","ALERT UK","17","1","509858"</t>
  </si>
  <si>
    <t>Paiement salaire Musole   Octobre 19 Comptable</t>
  </si>
  <si>
    <t>"IntAlert Live","ALERT UK","17","1","509859"</t>
  </si>
  <si>
    <t>Pmnt salaire Byiringiro    Octobre 19 Caissier</t>
  </si>
  <si>
    <t>"IntAlert Live","ALERT UK","17","1","509860"</t>
  </si>
  <si>
    <t>"IntAlert Live","ALERT UK","17","1","509861"</t>
  </si>
  <si>
    <t>"IntAlert Live","ALERT UK","17","1","509862"</t>
  </si>
  <si>
    <t>Pmnt salaire Destin  Novembre 19 Chargé de suivi</t>
  </si>
  <si>
    <t>"IntAlert Live","ALERT UK","17","1","509863"</t>
  </si>
  <si>
    <t>Paiement salaire Musole   Novembre 19 Comptable</t>
  </si>
  <si>
    <t>"IntAlert Live","ALERT UK","17","1","509864"</t>
  </si>
  <si>
    <t>Pmnt salaire Byiringiro    Novembre 19 Caissier</t>
  </si>
  <si>
    <t>"IntAlert Live","ALERT UK","17","1","509866"</t>
  </si>
  <si>
    <t>"IntAlert Live","ALERT UK","17","1","509867"</t>
  </si>
  <si>
    <t>"IntAlert Live","ALERT UK","17","1","509868"</t>
  </si>
  <si>
    <t>Pmnt salaire Destin  Décembre 19 Chargé de suivi</t>
  </si>
  <si>
    <t>"IntAlert Live","ALERT UK","17","1","509869"</t>
  </si>
  <si>
    <t>Paiement salaire Musole   Décembre 19 Comptable</t>
  </si>
  <si>
    <t>"IntAlert Live","ALERT UK","17","1","509870"</t>
  </si>
  <si>
    <t>Pmnt salaire Byiringiro    Décembre 19 Caissier</t>
  </si>
  <si>
    <t>"IntAlert Live","ALERT UK","17","1","509871"</t>
  </si>
  <si>
    <t>"IntAlert Live","ALERT UK","17","1","509872"</t>
  </si>
  <si>
    <t>"IntAlert Live","ALERT UK","17","1","509873"</t>
  </si>
  <si>
    <t>PAPET BYOSE</t>
  </si>
  <si>
    <t>Achat cartouch pour imprimpante</t>
  </si>
  <si>
    <t>"IntAlert Live","ALERT UK","17","1","509874"</t>
  </si>
  <si>
    <t>MAISON LIGABLO</t>
  </si>
  <si>
    <t>"IntAlert Live","ALERT UK","17","1","509875"</t>
  </si>
  <si>
    <t>"IntAlert Live","ALERT UK","17","1","509876"</t>
  </si>
  <si>
    <t>STATION MANGWA</t>
  </si>
  <si>
    <t>"IntAlert Live","ALERT UK","17","1","509877"</t>
  </si>
  <si>
    <t>"IntAlert Live","ALERT UK","17","1","509878"</t>
  </si>
  <si>
    <t>Cotisations INPP août 2019</t>
  </si>
  <si>
    <t>"IntAlert Live","ALERT UK","17","1","509879"</t>
  </si>
  <si>
    <t>Cotisations sociales août 2019</t>
  </si>
  <si>
    <t>"IntAlert Live","ALERT UK","17","1","509880"</t>
  </si>
  <si>
    <t>DGI-UVIRA</t>
  </si>
  <si>
    <t>Paiement IPR mois d'Août 2019</t>
  </si>
  <si>
    <t>"IntAlert Live","ALERT UK","17","1","509881"</t>
  </si>
  <si>
    <t>SUMAILI</t>
  </si>
  <si>
    <t>Pymt salaire  Sept 019  Animateur</t>
  </si>
  <si>
    <t>"IntAlert Live","ALERT UK","17","1","509882"</t>
  </si>
  <si>
    <t>MIKOLWA</t>
  </si>
  <si>
    <t>"IntAlert Live","ALERT UK","17","1","509883"</t>
  </si>
  <si>
    <t>MUYOBOZI</t>
  </si>
  <si>
    <t>"IntAlert Live","ALERT UK","17","1","509884"</t>
  </si>
  <si>
    <t>MARTIN</t>
  </si>
  <si>
    <t>Pymt salaire  Sept 019  Chef de projet</t>
  </si>
  <si>
    <t>"IntAlert Live","ALERT UK","17","1","509885"</t>
  </si>
  <si>
    <t>BIKINO</t>
  </si>
  <si>
    <t>Pymt salaire  Sept 019  Superviseur</t>
  </si>
  <si>
    <t>"IntAlert Live","ALERT UK","17","1","509886"</t>
  </si>
  <si>
    <t>MUDAGIRI</t>
  </si>
  <si>
    <t>Location moto trans terrains sept 019</t>
  </si>
  <si>
    <t>"IntAlert Live","ALERT UK","17","1","509887"</t>
  </si>
  <si>
    <t>Achat carburant moto sept 019</t>
  </si>
  <si>
    <t>"IntAlert Live","ALERT UK","17","1","509888"</t>
  </si>
  <si>
    <t>Achat mégas Modem</t>
  </si>
  <si>
    <t>"IntAlert Live","ALERT UK","17","1","509889"</t>
  </si>
  <si>
    <t>Achat carburant générateur</t>
  </si>
  <si>
    <t>"IntAlert Live","ALERT UK","17","1","509890"</t>
  </si>
  <si>
    <t>PAP BYOSE</t>
  </si>
  <si>
    <t>"IntAlert Live","ALERT UK","17","1","509891"</t>
  </si>
  <si>
    <t>"IntAlert Live","ALERT UK","17","1","509892"</t>
  </si>
  <si>
    <t>Cotisations INPP Sept 2019</t>
  </si>
  <si>
    <t>"IntAlert Live","ALERT UK","17","1","509893"</t>
  </si>
  <si>
    <t>Paiement IPR Sept  2019</t>
  </si>
  <si>
    <t>"IntAlert Live","ALERT UK","17","1","509894"</t>
  </si>
  <si>
    <t>Cotisations sociales Sept 2019</t>
  </si>
  <si>
    <t>"IntAlert Live","ALERT UK","17","1","509895"</t>
  </si>
  <si>
    <t>Pymt salaire  Oct  019  Animateur</t>
  </si>
  <si>
    <t>"IntAlert Live","ALERT UK","17","1","509896"</t>
  </si>
  <si>
    <t>"IntAlert Live","ALERT UK","17","1","509897"</t>
  </si>
  <si>
    <t>"IntAlert Live","ALERT UK","17","1","509898"</t>
  </si>
  <si>
    <t>Pymt salaire  Oct  019  Chef de projet</t>
  </si>
  <si>
    <t>"IntAlert Live","ALERT UK","17","1","509899"</t>
  </si>
  <si>
    <t>Pymt salaire  Oct  019  Superviseur</t>
  </si>
  <si>
    <t>"IntAlert Live","ALERT UK","17","1","509900"</t>
  </si>
  <si>
    <t>Location moto trans terrains Oct 019</t>
  </si>
  <si>
    <t>"IntAlert Live","ALERT UK","17","1","509901"</t>
  </si>
  <si>
    <t>GARAGE MOTO</t>
  </si>
  <si>
    <t>"IntAlert Live","ALERT UK","17","1","509902"</t>
  </si>
  <si>
    <t>Achat carburant moto Oct 019</t>
  </si>
  <si>
    <t>"IntAlert Live","ALERT UK","17","1","509903"</t>
  </si>
  <si>
    <t>Achat mégas Modem Nov 019</t>
  </si>
  <si>
    <t>"IntAlert Live","ALERT UK","17","1","509904"</t>
  </si>
  <si>
    <t>"IntAlert Live","ALERT UK","17","1","509905"</t>
  </si>
  <si>
    <t>PAP  BYOSE</t>
  </si>
  <si>
    <t>"IntAlert Live","ALERT UK","17","1","509906"</t>
  </si>
  <si>
    <t>Cotisations INPP Octobre  2019</t>
  </si>
  <si>
    <t>"IntAlert Live","ALERT UK","17","1","509907"</t>
  </si>
  <si>
    <t>Paiement IPR Octobre  2019</t>
  </si>
  <si>
    <t>"IntAlert Live","ALERT UK","17","1","509908"</t>
  </si>
  <si>
    <t>Cotisations sociales Octobre 2019</t>
  </si>
  <si>
    <t>"IntAlert Live","ALERT UK","17","1","509909"</t>
  </si>
  <si>
    <t>Achat carburant générateur Nov 019</t>
  </si>
  <si>
    <t>"IntAlert Live","ALERT UK","17","1","509910"</t>
  </si>
  <si>
    <t>Location moto  trans terrains Nov 019</t>
  </si>
  <si>
    <t>"IntAlert Live","ALERT UK","17","1","509911"</t>
  </si>
  <si>
    <t>Achat  carburant  Nov 019</t>
  </si>
  <si>
    <t>"IntAlert Live","ALERT UK","17","1","509918"</t>
  </si>
  <si>
    <t>Pymt salaire  Nov  019  Animateur</t>
  </si>
  <si>
    <t>"IntAlert Live","ALERT UK","17","1","509919"</t>
  </si>
  <si>
    <t>"IntAlert Live","ALERT UK","17","1","509920"</t>
  </si>
  <si>
    <t>"IntAlert Live","ALERT UK","17","1","509921"</t>
  </si>
  <si>
    <t>Pymt salaire  Nov  019  Chef de projet</t>
  </si>
  <si>
    <t>"IntAlert Live","ALERT UK","17","1","509922"</t>
  </si>
  <si>
    <t>Pymt salaire  Nov  019  Superviseur</t>
  </si>
  <si>
    <t>"IntAlert Live","ALERT UK","17","1","509923"</t>
  </si>
  <si>
    <t>Achat mégas Modem Déc 019</t>
  </si>
  <si>
    <t>"IntAlert Live","ALERT UK","17","1","509924"</t>
  </si>
  <si>
    <t>"IntAlert Live","ALERT UK","17","1","509925"</t>
  </si>
  <si>
    <t>"IntAlert Live","ALERT UK","17","1","509926"</t>
  </si>
  <si>
    <t>"IntAlert Live","ALERT UK","17","1","509927"</t>
  </si>
  <si>
    <t>Cotisations INPP Nov 2019</t>
  </si>
  <si>
    <t>"IntAlert Live","ALERT UK","17","1","509928"</t>
  </si>
  <si>
    <t>Paiement IPR Nov  2019</t>
  </si>
  <si>
    <t>"IntAlert Live","ALERT UK","17","1","509929"</t>
  </si>
  <si>
    <t>Cotisations sociales  Nov 2019</t>
  </si>
  <si>
    <t>"IntAlert Live","ALERT UK","17","1","509934"</t>
  </si>
  <si>
    <t>"IntAlert Live","ALERT UK","17","1","509935"</t>
  </si>
  <si>
    <t>Pymt salaire  Déc 019  Animateur</t>
  </si>
  <si>
    <t>"IntAlert Live","ALERT UK","17","1","509936"</t>
  </si>
  <si>
    <t>"IntAlert Live","ALERT UK","17","1","509937"</t>
  </si>
  <si>
    <t>Pymt salaire  Déc  019  Chef de projet</t>
  </si>
  <si>
    <t>"IntAlert Live","ALERT UK","17","1","509938"</t>
  </si>
  <si>
    <t>Pymt salaire  Déc  019  Superviseur</t>
  </si>
  <si>
    <t>"IntAlert Live","ALERT UK","17","1","509940"</t>
  </si>
  <si>
    <t>Achat carburant moto Déc 019</t>
  </si>
  <si>
    <t>"IntAlert Live","ALERT UK","17","1","509943"</t>
  </si>
  <si>
    <t>RELEVÉ</t>
  </si>
  <si>
    <t>Commission sur transfert</t>
  </si>
  <si>
    <t>"IntAlert Live","ALERT UK","17","1","509944"</t>
  </si>
  <si>
    <t>"IntAlert Live","ALERT UK","17","1","509945"</t>
  </si>
  <si>
    <t>OLIVE</t>
  </si>
  <si>
    <t>Achat Fourniture de bureau</t>
  </si>
  <si>
    <t>"IntAlert Live","ALERT UK","17","1","509946"</t>
  </si>
  <si>
    <t>"IntAlert Live","ALERT UK","17","1","509947"</t>
  </si>
  <si>
    <t>Pyt salaire CP&amp;ME  Septembre 2019</t>
  </si>
  <si>
    <t>"IntAlert Live","ALERT UK","17","1","509948"</t>
  </si>
  <si>
    <t>MALIPO</t>
  </si>
  <si>
    <t>Pyt salaire Animateur Septembre 2019</t>
  </si>
  <si>
    <t>"IntAlert Live","ALERT UK","17","1","509949"</t>
  </si>
  <si>
    <t>MUGAZA</t>
  </si>
  <si>
    <t>Pyt salaire Gardien  Septembre 2019</t>
  </si>
  <si>
    <t>"IntAlert Live","ALERT UK","17","1","509950"</t>
  </si>
  <si>
    <t>Pyt salaire financière   Septembre 2019</t>
  </si>
  <si>
    <t>"IntAlert Live","ALERT UK","17","1","509951"</t>
  </si>
  <si>
    <t>CNSS QPO</t>
  </si>
  <si>
    <t>Pyt Cotisation sociale CP&amp;ME Septembre 2019</t>
  </si>
  <si>
    <t>"IntAlert Live","ALERT UK","17","1","509952"</t>
  </si>
  <si>
    <t>Pyt Cotisation sociale Animateur Septembre  2019</t>
  </si>
  <si>
    <t>"IntAlert Live","ALERT UK","17","1","509953"</t>
  </si>
  <si>
    <t>Pyt Cotisation sociale Gardien Septembre  2019</t>
  </si>
  <si>
    <t>"IntAlert Live","ALERT UK","17","1","509954"</t>
  </si>
  <si>
    <t>Pyt Cotisation sociale Financière Septembre  2019</t>
  </si>
  <si>
    <t>"IntAlert Live","ALERT UK","17","1","509955"</t>
  </si>
  <si>
    <t>CNSS QPP</t>
  </si>
  <si>
    <t>Pyt Cotisation sociale CP&amp;ME  Septembre   2019</t>
  </si>
  <si>
    <t>"IntAlert Live","ALERT UK","17","1","509956"</t>
  </si>
  <si>
    <t>PytCotisation sociale Animateur Septembre   2019</t>
  </si>
  <si>
    <t>"IntAlert Live","ALERT UK","17","1","509957"</t>
  </si>
  <si>
    <t>Pyt Cotisation sociale Gardien  Septembre 2019</t>
  </si>
  <si>
    <t>"IntAlert Live","ALERT UK","17","1","509958"</t>
  </si>
  <si>
    <t>"IntAlert Live","ALERT UK","17","1","509959"</t>
  </si>
  <si>
    <t>Pyt Cotisation CP&amp;ME  Septembre  2019</t>
  </si>
  <si>
    <t>"IntAlert Live","ALERT UK","17","1","509960"</t>
  </si>
  <si>
    <t>Pyt Cotisation Animateur Septembre   2019</t>
  </si>
  <si>
    <t>"IntAlert Live","ALERT UK","17","1","509961"</t>
  </si>
  <si>
    <t>Pyt Cotisation  Gardien  Septembre   2019</t>
  </si>
  <si>
    <t>"IntAlert Live","ALERT UK","17","1","509962"</t>
  </si>
  <si>
    <t>Pyt Cotisation  Financière  Septembre   2019</t>
  </si>
  <si>
    <t>"IntAlert Live","ALERT UK","17","1","509963"</t>
  </si>
  <si>
    <t>Pyt IPR  CP&amp;ME Septembre   2019</t>
  </si>
  <si>
    <t>"IntAlert Live","ALERT UK","17","1","509964"</t>
  </si>
  <si>
    <t>Pyt IPR  Animateur Septembre  2019</t>
  </si>
  <si>
    <t>"IntAlert Live","ALERT UK","17","1","509965"</t>
  </si>
  <si>
    <t>Pyt IPR  Gardien Septembre   2019</t>
  </si>
  <si>
    <t>"IntAlert Live","ALERT UK","17","1","509966"</t>
  </si>
  <si>
    <t>Pyt IPR  Gardien  Septembre   2020</t>
  </si>
  <si>
    <t>"IntAlert Live","ALERT UK","17","1","509967"</t>
  </si>
  <si>
    <t>Location bureau</t>
  </si>
  <si>
    <t>"IntAlert Live","ALERT UK","17","1","509968"</t>
  </si>
  <si>
    <t xml:space="preserve">FRS  RLV SVT </t>
  </si>
  <si>
    <t>"IntAlert Live","ALERT UK","17","1","509969"</t>
  </si>
  <si>
    <t>TVA SR FRS RLV</t>
  </si>
  <si>
    <t>"IntAlert Live","ALERT UK","17","1","509970"</t>
  </si>
  <si>
    <t>Frais de tenu de compte</t>
  </si>
  <si>
    <t>"IntAlert Live","ALERT UK","17","1","509971"</t>
  </si>
  <si>
    <t>TVA COLLECTEE</t>
  </si>
  <si>
    <t>"IntAlert Live","ALERT UK","17","1","509972"</t>
  </si>
  <si>
    <t>"IntAlert Live","ALERT UK","17","1","509973"</t>
  </si>
  <si>
    <t>"IntAlert Live","ALERT UK","17","1","509974"</t>
  </si>
  <si>
    <t>"IntAlert Live","ALERT UK","17","1","509975"</t>
  </si>
  <si>
    <t>"IntAlert Live","ALERT UK","17","1","509979"</t>
  </si>
  <si>
    <t>"IntAlert Live","ALERT UK","17","1","509980"</t>
  </si>
  <si>
    <t>"IntAlert Live","ALERT UK","17","1","509981"</t>
  </si>
  <si>
    <t>Pyt salaire CP&amp;ME  Octobre 2019</t>
  </si>
  <si>
    <t>"IntAlert Live","ALERT UK","17","1","509982"</t>
  </si>
  <si>
    <t>Pyt salaire Animateur Octobre 2019</t>
  </si>
  <si>
    <t>"IntAlert Live","ALERT UK","17","1","509983"</t>
  </si>
  <si>
    <t>Pyt salaire Gardien  Octobre 2019</t>
  </si>
  <si>
    <t>"IntAlert Live","ALERT UK","17","1","509984"</t>
  </si>
  <si>
    <t>Pyt salaire financière  Octobre 2019</t>
  </si>
  <si>
    <t>"IntAlert Live","ALERT UK","17","1","509985"</t>
  </si>
  <si>
    <t>Pyt IPR  CP&amp;ME Octobre 2019</t>
  </si>
  <si>
    <t>"IntAlert Live","ALERT UK","17","1","509986"</t>
  </si>
  <si>
    <t>Pyt IPR  Animateur Octobre 2019</t>
  </si>
  <si>
    <t>"IntAlert Live","ALERT UK","17","1","509987"</t>
  </si>
  <si>
    <t>Pyt IPR  Gardien Octobre 2019</t>
  </si>
  <si>
    <t>"IntAlert Live","ALERT UK","17","1","509988"</t>
  </si>
  <si>
    <t>Pyt IPR  Gardien  Octobre 2019</t>
  </si>
  <si>
    <t>"IntAlert Live","ALERT UK","17","1","509989"</t>
  </si>
  <si>
    <t>"IntAlert Live","ALERT UK","17","1","509990"</t>
  </si>
  <si>
    <t>"IntAlert Live","ALERT UK","17","1","509991"</t>
  </si>
  <si>
    <t>Pyt Cotisation sociale CP&amp;ME Octobre 2019</t>
  </si>
  <si>
    <t>"IntAlert Live","ALERT UK","17","1","509992"</t>
  </si>
  <si>
    <t>Pyt Cotisation sociale Animateur Octobre 2019</t>
  </si>
  <si>
    <t>"IntAlert Live","ALERT UK","17","1","509993"</t>
  </si>
  <si>
    <t>Pyt Cotisation sociale Gardien Octobre 2019</t>
  </si>
  <si>
    <t>"IntAlert Live","ALERT UK","17","1","509994"</t>
  </si>
  <si>
    <t>Pyt Cotisation sociale Financière Octobre 2019</t>
  </si>
  <si>
    <t>"IntAlert Live","ALERT UK","17","1","509995"</t>
  </si>
  <si>
    <t>Pyt Cotisation sociale CP&amp;ME  SOctobre 2019</t>
  </si>
  <si>
    <t>"IntAlert Live","ALERT UK","17","1","509996"</t>
  </si>
  <si>
    <t>PytCotisation sociale Animateur Octobre 2019</t>
  </si>
  <si>
    <t>"IntAlert Live","ALERT UK","17","1","509997"</t>
  </si>
  <si>
    <t>"IntAlert Live","ALERT UK","17","1","509998"</t>
  </si>
  <si>
    <t>"IntAlert Live","ALERT UK","17","1","509999"</t>
  </si>
  <si>
    <t>Pyt Cotisation CP&amp;ME  Octobre 2019</t>
  </si>
  <si>
    <t>"IntAlert Live","ALERT UK","17","1","510000"</t>
  </si>
  <si>
    <t>Pyt Cotisation AnimateurOctobre 2019</t>
  </si>
  <si>
    <t>"IntAlert Live","ALERT UK","17","1","510001"</t>
  </si>
  <si>
    <t>Pyt Cotisation  Gardien  Octobre 2019</t>
  </si>
  <si>
    <t>"IntAlert Live","ALERT UK","17","1","510002"</t>
  </si>
  <si>
    <t>Pyt Cotisation  Financière  Octobre 2019</t>
  </si>
  <si>
    <t>"IntAlert Live","ALERT UK","17","1","510003"</t>
  </si>
  <si>
    <t>Pyt salaire CP&amp;ME  Novembre 2019</t>
  </si>
  <si>
    <t>"IntAlert Live","ALERT UK","17","1","510004"</t>
  </si>
  <si>
    <t>Pyt salaire AnimateurNovembre 2019</t>
  </si>
  <si>
    <t>"IntAlert Live","ALERT UK","17","1","510005"</t>
  </si>
  <si>
    <t>Pyt salaire Gardien  Novembre 2019</t>
  </si>
  <si>
    <t>"IntAlert Live","ALERT UK","17","1","510006"</t>
  </si>
  <si>
    <t>Pyt salaire financière  Novembre 2019</t>
  </si>
  <si>
    <t>"IntAlert Live","ALERT UK","17","1","510007"</t>
  </si>
  <si>
    <t>Pyt IPR  CP&amp;ME Novembre 2019</t>
  </si>
  <si>
    <t>"IntAlert Live","ALERT UK","17","1","510008"</t>
  </si>
  <si>
    <t>Pyt IPR  Animateur Novembre 2019</t>
  </si>
  <si>
    <t>"IntAlert Live","ALERT UK","17","1","510009"</t>
  </si>
  <si>
    <t>Pyt IPR  Gardien Novembre 2019</t>
  </si>
  <si>
    <t>"IntAlert Live","ALERT UK","17","1","510010"</t>
  </si>
  <si>
    <t>Pyt IPR  Gardien  Novembre 2019</t>
  </si>
  <si>
    <t>"IntAlert Live","ALERT UK","17","1","510011"</t>
  </si>
  <si>
    <t>Pyt Cotisation CP&amp;ME  Novembre 2019</t>
  </si>
  <si>
    <t>"IntAlert Live","ALERT UK","17","1","510012"</t>
  </si>
  <si>
    <t>Pyt Cotisation Animateur Novembre 2019</t>
  </si>
  <si>
    <t>"IntAlert Live","ALERT UK","17","1","510013"</t>
  </si>
  <si>
    <t>Pyt Cotisation  Gardien  Novembre 2019</t>
  </si>
  <si>
    <t>"IntAlert Live","ALERT UK","17","1","510014"</t>
  </si>
  <si>
    <t>Pyt Cotisation  Financière Novembre 2019</t>
  </si>
  <si>
    <t>"IntAlert Live","ALERT UK","17","1","510015"</t>
  </si>
  <si>
    <t>Pyt Cotisation sociale CP&amp;ME Novembre 2019</t>
  </si>
  <si>
    <t>"IntAlert Live","ALERT UK","17","1","510016"</t>
  </si>
  <si>
    <t>Pyt Cotisation sociale Animateur Novembre 2019</t>
  </si>
  <si>
    <t>"IntAlert Live","ALERT UK","17","1","510017"</t>
  </si>
  <si>
    <t>Pyt Cotisation sociale Gardien Novembre 2019</t>
  </si>
  <si>
    <t>"IntAlert Live","ALERT UK","17","1","510018"</t>
  </si>
  <si>
    <t>Pyt Cotisation sociale Financière Novembre 2019</t>
  </si>
  <si>
    <t>"IntAlert Live","ALERT UK","17","1","510019"</t>
  </si>
  <si>
    <t>Pyt Cotisation sociale CP&amp;ME  Novembre 2019</t>
  </si>
  <si>
    <t>"IntAlert Live","ALERT UK","17","1","510020"</t>
  </si>
  <si>
    <t>PytCotisation sociale Animateur Novembre 2019</t>
  </si>
  <si>
    <t>"IntAlert Live","ALERT UK","17","1","510021"</t>
  </si>
  <si>
    <t>"IntAlert Live","ALERT UK","17","1","510022"</t>
  </si>
  <si>
    <t>"IntAlert Live","ALERT UK","17","1","510027"</t>
  </si>
  <si>
    <t>Location bureau Octobre et Novembre 2019</t>
  </si>
  <si>
    <t>"IntAlert Live","ALERT UK","17","1","510028"</t>
  </si>
  <si>
    <t>Frs émmission attestation de tenue de compte</t>
  </si>
  <si>
    <t>"IntAlert Live","ALERT UK","17","1","510029"</t>
  </si>
  <si>
    <t>Frs TVA émmission attestation de tenue de compte</t>
  </si>
  <si>
    <t>"IntAlert Live","ALERT UK","17","1","510030"</t>
  </si>
  <si>
    <t>"IntAlert Live","ALERT UK","17","1","510031"</t>
  </si>
  <si>
    <t>Tva collectée</t>
  </si>
  <si>
    <t>"IntAlert Live","ALERT UK","17","1","510032"</t>
  </si>
  <si>
    <t>"IntAlert Live","ALERT UK","17","1","510033"</t>
  </si>
  <si>
    <t>"IntAlert Live","ALERT UK","17","1","510034"</t>
  </si>
  <si>
    <t>"IntAlert Live","ALERT UK","17","1","510035"</t>
  </si>
  <si>
    <t>"IntAlert Live","ALERT UK","17","1","510038"</t>
  </si>
  <si>
    <t>Pyt Cotisation sociale CP&amp;ME Décembre 2019</t>
  </si>
  <si>
    <t>"IntAlert Live","ALERT UK","17","1","510039"</t>
  </si>
  <si>
    <t>Pyt Cotisation sociale Animateur Décembre 2019</t>
  </si>
  <si>
    <t>"IntAlert Live","ALERT UK","17","1","510040"</t>
  </si>
  <si>
    <t>Pyt Cotisation sociale Gardien Décembre 2019</t>
  </si>
  <si>
    <t>"IntAlert Live","ALERT UK","17","1","510041"</t>
  </si>
  <si>
    <t>Pyt Cotisation sociale Financière Décembre 2019</t>
  </si>
  <si>
    <t>"IntAlert Live","ALERT UK","17","1","510042"</t>
  </si>
  <si>
    <t>Pyt Cotisation sociale CP&amp;ME  Décembre 2019</t>
  </si>
  <si>
    <t>"IntAlert Live","ALERT UK","17","1","510043"</t>
  </si>
  <si>
    <t>PytCotisation sociale Animateur Décembre 2019</t>
  </si>
  <si>
    <t>"IntAlert Live","ALERT UK","17","1","510044"</t>
  </si>
  <si>
    <t>"IntAlert Live","ALERT UK","17","1","510045"</t>
  </si>
  <si>
    <t>"IntAlert Live","ALERT UK","17","1","510046"</t>
  </si>
  <si>
    <t>Pyt Cotisation CP&amp;ME  Décembre 2019</t>
  </si>
  <si>
    <t>"IntAlert Live","ALERT UK","17","1","510047"</t>
  </si>
  <si>
    <t>Pyt Cotisation Animateur Décembre 2019</t>
  </si>
  <si>
    <t>"IntAlert Live","ALERT UK","17","1","510048"</t>
  </si>
  <si>
    <t>Pyt Cotisation  Gardien  Décembre 2019</t>
  </si>
  <si>
    <t>"IntAlert Live","ALERT UK","17","1","510049"</t>
  </si>
  <si>
    <t>Pyt Cotisation  Financière Décembre 2019</t>
  </si>
  <si>
    <t>"IntAlert Live","ALERT UK","17","1","510050"</t>
  </si>
  <si>
    <t>Pyt salaire CP&amp;ME  Décembre 2019</t>
  </si>
  <si>
    <t>"IntAlert Live","ALERT UK","17","1","510051"</t>
  </si>
  <si>
    <t>Pyt salaire Animateur Décembre 2019</t>
  </si>
  <si>
    <t>"IntAlert Live","ALERT UK","17","1","510052"</t>
  </si>
  <si>
    <t>Pyt salaire Gardien  Décembre 2019</t>
  </si>
  <si>
    <t>"IntAlert Live","ALERT UK","17","1","510053"</t>
  </si>
  <si>
    <t>Pyt salaire financière Décembre 2019</t>
  </si>
  <si>
    <t>"IntAlert Live","ALERT UK","17","1","510054"</t>
  </si>
  <si>
    <t>Pyt IPR  CP&amp;ME Décembre 2019</t>
  </si>
  <si>
    <t>"IntAlert Live","ALERT UK","17","1","510055"</t>
  </si>
  <si>
    <t>Pyt IPR  Animateur Décembre 2019</t>
  </si>
  <si>
    <t>"IntAlert Live","ALERT UK","17","1","510056"</t>
  </si>
  <si>
    <t>Pyt IPR  Gardien Décembre 2019</t>
  </si>
  <si>
    <t>"IntAlert Live","ALERT UK","17","1","510057"</t>
  </si>
  <si>
    <t>Pyt IPR  Gardien  Décembre 2019</t>
  </si>
  <si>
    <t>"IntAlert Live","ALERT UK","17","1","510058"</t>
  </si>
  <si>
    <t>Paiement location bureau mois de Décembre 2019</t>
  </si>
  <si>
    <t>"IntAlert Live","ALERT UK","17","1","511263"</t>
  </si>
  <si>
    <t>FICHE DE PAIE SALAIRE MENSUEL</t>
  </si>
  <si>
    <t>Salaire Murabazi Namegabe septembre 2019</t>
  </si>
  <si>
    <t>"IntAlert Live","ALERT UK","17","1","511264"</t>
  </si>
  <si>
    <t>30% FICHE DE PAIE SALAIRE MENSUEL</t>
  </si>
  <si>
    <t>"IntAlert Live","ALERT UK","17","1","511266"</t>
  </si>
  <si>
    <t>"IntAlert Live","ALERT UK","17","1","511267"</t>
  </si>
  <si>
    <t>"IntAlert Live","ALERT UK","17","1","511268"</t>
  </si>
  <si>
    <t>"IntAlert Live","ALERT UK","17","1","511269"</t>
  </si>
  <si>
    <t>"IntAlert Live","ALERT UK","17","1","511270"</t>
  </si>
  <si>
    <t>Bukuru Animateurs Terrain (à Bijombo)</t>
  </si>
  <si>
    <t>"IntAlert Live","ALERT UK","17","1","511271"</t>
  </si>
  <si>
    <t>"IntAlert Live","ALERT UK","17","1","511272"</t>
  </si>
  <si>
    <t>Salaire Murabazi Namegabe octobre 2019</t>
  </si>
  <si>
    <t>"IntAlert Live","ALERT UK","17","1","511273"</t>
  </si>
  <si>
    <t>"IntAlert Live","ALERT UK","17","1","511275"</t>
  </si>
  <si>
    <t>"IntAlert Live","ALERT UK","17","1","511276"</t>
  </si>
  <si>
    <t>"IntAlert Live","ALERT UK","17","1","511277"</t>
  </si>
  <si>
    <t>"IntAlert Live","ALERT UK","17","1","511278"</t>
  </si>
  <si>
    <t>"IntAlert Live","ALERT UK","17","1","511279"</t>
  </si>
  <si>
    <t>"IntAlert Live","ALERT UK","17","1","511280"</t>
  </si>
  <si>
    <t>"IntAlert Live","ALERT UK","17","1","511281"</t>
  </si>
  <si>
    <t>Salaire Murabazi Namegabe nov 2019</t>
  </si>
  <si>
    <t>"IntAlert Live","ALERT UK","17","1","511282"</t>
  </si>
  <si>
    <t>"IntAlert Live","ALERT UK","17","1","511284"</t>
  </si>
  <si>
    <t>"IntAlert Live","ALERT UK","17","1","511285"</t>
  </si>
  <si>
    <t>"IntAlert Live","ALERT UK","17","1","511286"</t>
  </si>
  <si>
    <t>"IntAlert Live","ALERT UK","17","1","511287"</t>
  </si>
  <si>
    <t>"IntAlert Live","ALERT UK","17","1","511288"</t>
  </si>
  <si>
    <t>"IntAlert Live","ALERT UK","17","1","511289"</t>
  </si>
  <si>
    <t>"IntAlert Live","ALERT UK","17","1","511313"</t>
  </si>
  <si>
    <t>BORDEREAU DE VERSEMENT</t>
  </si>
  <si>
    <t>Paiement  IPR mois d'Août 2019</t>
  </si>
  <si>
    <t>"IntAlert Live","ALERT UK","17","1","511324"</t>
  </si>
  <si>
    <t>Paiement  IPR mois de Septembre 2019</t>
  </si>
  <si>
    <t>"IntAlert Live","ALERT UK","17","1","511348"</t>
  </si>
  <si>
    <t>"IntAlert Live","ALERT UK","17","1","511349"</t>
  </si>
  <si>
    <t xml:space="preserve">Caissière </t>
  </si>
  <si>
    <t>"IntAlert Live","ALERT UK","17","1","511350"</t>
  </si>
  <si>
    <t>"IntAlert Live","ALERT UK","17","1","511351"</t>
  </si>
  <si>
    <t xml:space="preserve">Secrétaire Informaticien </t>
  </si>
  <si>
    <t>"IntAlert Live","ALERT UK","17","1","511396"</t>
  </si>
  <si>
    <t>"IntAlert Live","ALERT UK","17","1","511397"</t>
  </si>
  <si>
    <t>"IntAlert Live","ALERT UK","17","1","511398"</t>
  </si>
  <si>
    <t>"IntAlert Live","ALERT UK","17","1","511399"</t>
  </si>
  <si>
    <t>"IntAlert Live","ALERT UK","17","1","511400"</t>
  </si>
  <si>
    <t>Paiement  IPR mois d'octobre 2019</t>
  </si>
  <si>
    <t>"IntAlert Live","ALERT UK","17","1","511414"</t>
  </si>
  <si>
    <t>Comptable salaire Nov 19</t>
  </si>
  <si>
    <t>"IntAlert Live","ALERT UK","17","1","511415"</t>
  </si>
  <si>
    <t>Caissière salaire Nov 19</t>
  </si>
  <si>
    <t>"IntAlert Live","ALERT UK","17","1","511416"</t>
  </si>
  <si>
    <t>Logisticienne salaire Nov 19</t>
  </si>
  <si>
    <t>"IntAlert Live","ALERT UK","17","1","511417"</t>
  </si>
  <si>
    <t>Secrétaire Informaticien salaire Nov 19</t>
  </si>
  <si>
    <t>"IntAlert Live","ALERT UK","17","1","511418"</t>
  </si>
  <si>
    <t>Salaire Murabazi Namegabe décembre 2019</t>
  </si>
  <si>
    <t>"IntAlert Live","ALERT UK","17","1","511419"</t>
  </si>
  <si>
    <t>"IntAlert Live","ALERT UK","17","1","511421"</t>
  </si>
  <si>
    <t>"IntAlert Live","ALERT UK","17","1","511422"</t>
  </si>
  <si>
    <t>"IntAlert Live","ALERT UK","17","1","511423"</t>
  </si>
  <si>
    <t>"IntAlert Live","ALERT UK","17","1","511424"</t>
  </si>
  <si>
    <t>"IntAlert Live","ALERT UK","17","1","511425"</t>
  </si>
  <si>
    <t>"IntAlert Live","ALERT UK","17","1","511426"</t>
  </si>
  <si>
    <t>"IntAlert Live","ALERT UK","17","1","511449"</t>
  </si>
  <si>
    <t>Paiement  IPR mois de Novembre 2019</t>
  </si>
  <si>
    <t>"IntAlert Live","ALERT UK","17","1","511472"</t>
  </si>
  <si>
    <t>Comptable salaire Dec 19</t>
  </si>
  <si>
    <t>"IntAlert Live","ALERT UK","17","1","511473"</t>
  </si>
  <si>
    <t>Caissière salaire Dec 19</t>
  </si>
  <si>
    <t>"IntAlert Live","ALERT UK","17","1","511474"</t>
  </si>
  <si>
    <t>Logisticienne salaire Dec 19</t>
  </si>
  <si>
    <t>"IntAlert Live","ALERT UK","17","1","511475"</t>
  </si>
  <si>
    <t>Secrétaire Informaticien salaire Dec 19</t>
  </si>
  <si>
    <t>"IntAlert Live","ALERT UK","17","1","511307"</t>
  </si>
  <si>
    <t>"IntAlert Live","ALERT UK","17","1","484523"</t>
  </si>
  <si>
    <t>DRCGOM/ BANQUE/2019/010/008</t>
  </si>
  <si>
    <t>Boat TKT Papson  Goma-Bukavu</t>
  </si>
  <si>
    <t>"IntAlert Live","ALERT UK","17","1","484554"</t>
  </si>
  <si>
    <t>DRCBUK/BANK/2019/10/021</t>
  </si>
  <si>
    <t>Ticket Boat Nyamushala-Sept'19</t>
  </si>
  <si>
    <t>"IntAlert Live","ALERT UK","17","1","484562"</t>
  </si>
  <si>
    <t>DRCBUK/GENJNL/2019/10/004</t>
  </si>
  <si>
    <t>Frs de manifeste Xavier</t>
  </si>
  <si>
    <t>"IntAlert Live","ALERT UK","17","1","484563"</t>
  </si>
  <si>
    <t>"IntAlert Live","ALERT UK","17","1","484674"</t>
  </si>
  <si>
    <t>DRCGOM/ BANQUE/2019/010/001</t>
  </si>
  <si>
    <t>Lgmt Papson Goma 15-21/2019</t>
  </si>
  <si>
    <t>"IntAlert Live","ALERT UK","17","1","484676"</t>
  </si>
  <si>
    <t>DRCBUK/BANK/2019/10/007</t>
  </si>
  <si>
    <t>Logmnt Parpson 09/09-Uvira</t>
  </si>
  <si>
    <t>"IntAlert Live","ALERT UK","17","1","484819"</t>
  </si>
  <si>
    <t>Rbt frs de voyage Papson 15-21/09-GOMA</t>
  </si>
  <si>
    <t>"IntAlert Live","ALERT UK","17","1","484840"</t>
  </si>
  <si>
    <t>Frs de voyage Papson 10-12/10-Uvira</t>
  </si>
  <si>
    <t>"IntAlert Live","ALERT UK","17","1","484841"</t>
  </si>
  <si>
    <t>Frs de voyage Xavier 10-12/10-Uvira</t>
  </si>
  <si>
    <t>"IntAlert Live","ALERT UK","17","1","485503"</t>
  </si>
  <si>
    <t>Rbt frs de transport participants</t>
  </si>
  <si>
    <t>"IntAlert Live","ALERT UK","17","1","485557"</t>
  </si>
  <si>
    <t>DRCBUK/BANK/2019/10/038</t>
  </si>
  <si>
    <t>logemnt participant CAM 10-12/10-Uvira</t>
  </si>
  <si>
    <t>"IntAlert Live","ALERT UK","17","1","485562"</t>
  </si>
  <si>
    <t>Repas atelier Goma 16-18/09 25%</t>
  </si>
  <si>
    <t>6240</t>
  </si>
  <si>
    <t>PARTICIPANT ACCOMTN OTHER</t>
  </si>
  <si>
    <t>"IntAlert Live","ALERT UK","17","1","485596"</t>
  </si>
  <si>
    <t>Frs de voyage Participants 10-12/10-Uvira</t>
  </si>
  <si>
    <t>"IntAlert Live","ALERT UK","17","1","487527"</t>
  </si>
  <si>
    <t>"IntAlert Live","ALERT UK","17","1","487539"</t>
  </si>
  <si>
    <t>Fourniture pour atelier CAM</t>
  </si>
  <si>
    <t>"IntAlert Live","ALERT UK","17","1","487605"</t>
  </si>
  <si>
    <t>Location salle atelier 15-18/09 25%</t>
  </si>
  <si>
    <t>"IntAlert Live","ALERT UK","17","1","487620"</t>
  </si>
  <si>
    <t>Location Salle réunion CAM-10/10</t>
  </si>
  <si>
    <t>"IntAlert Live","ALERT UK","17","1","487712"</t>
  </si>
  <si>
    <t>Restauration participants CAM-10-12/10</t>
  </si>
  <si>
    <t>"IntAlert Live","ALERT UK","17","1","504640"</t>
  </si>
  <si>
    <t>Logemnt Papson Réunion Reflexio-Uvira</t>
  </si>
  <si>
    <t>"IntAlert Live","ALERT UK","17","1","504641"</t>
  </si>
  <si>
    <t>Logemnt Xavier Réunion Reflexio-Uvira</t>
  </si>
  <si>
    <t>"IntAlert Live","ALERT UK","17","1","504642"</t>
  </si>
  <si>
    <t>Logemnt Murabazi Réunion Reflexio-Uvira</t>
  </si>
  <si>
    <t>"IntAlert Live","ALERT UK","17","1","504758"</t>
  </si>
  <si>
    <t>DRCBUK/BANK/2019/012/035</t>
  </si>
  <si>
    <t>Logemnt Papson  6-11/12-Sellectio jeunes-Uvira</t>
  </si>
  <si>
    <t>"IntAlert Live","ALERT UK","17","1","504763"</t>
  </si>
  <si>
    <t>Logemnt Joseph 6-11/12-Sellectio jeunes-Uvira</t>
  </si>
  <si>
    <t>"IntAlert Live","ALERT UK","17","1","509939"</t>
  </si>
  <si>
    <t>Location moto  trans terrains Déc  019</t>
  </si>
  <si>
    <t>"IntAlert Live","ALERT UK","17","1","509941"</t>
  </si>
  <si>
    <t>STAFF</t>
  </si>
  <si>
    <t>Rembours logement chef projet &amp; superv</t>
  </si>
  <si>
    <t>"IntAlert Live","ALERT UK","17","1","509865"</t>
  </si>
  <si>
    <t>GILBERT</t>
  </si>
  <si>
    <t>Remboursement frais achat carburant mission de suivi à BKV</t>
  </si>
  <si>
    <t>"IntAlert Live","ALERT UK","17","1","482528"</t>
  </si>
  <si>
    <t>Salary  Oct'19-Jerry WITANDAYI IYANYA 5%</t>
  </si>
  <si>
    <t>"IntAlert Live","ALERT UK","17","1","482575"</t>
  </si>
  <si>
    <t>IPR Oct'19-Jerry WITANDAYI IYANYA 5%</t>
  </si>
  <si>
    <t>"IntAlert Live","ALERT UK","17","1","483320"</t>
  </si>
  <si>
    <t>CNSS-Jerry WITANDAYI IYANYA 5%</t>
  </si>
  <si>
    <t>"IntAlert Live","ALERT UK","17","1","484080"</t>
  </si>
  <si>
    <t>"IntAlert Live","ALERT UK","17","1","484125"</t>
  </si>
  <si>
    <t>INPP-Jerry WITANDAYI IYANYA 5%</t>
  </si>
  <si>
    <t>"IntAlert Live","ALERT UK","17","1","504756"</t>
  </si>
  <si>
    <t>DRCBUK/BANK/2019/012/034</t>
  </si>
  <si>
    <t>JERRY WITANDAYI IYANYA</t>
  </si>
  <si>
    <t>Solde de Tout Compte Jerry 10%</t>
  </si>
  <si>
    <t>"IntAlert Live","ALERT UK","17","1","482449"</t>
  </si>
  <si>
    <t>Salary October'19-Nathalie MUHONGYA MASU 8%</t>
  </si>
  <si>
    <t>"IntAlert Live","ALERT UK","17","1","482493"</t>
  </si>
  <si>
    <t>IPR October'19-Nathalie MUHONGYA MASU 8%</t>
  </si>
  <si>
    <t>"IntAlert Live","ALERT UK","17","1","483285"</t>
  </si>
  <si>
    <t>CNSS October'19-Nathalie MUHONGYA MASU 8%</t>
  </si>
  <si>
    <t>"IntAlert Live","ALERT UK","17","1","484002"</t>
  </si>
  <si>
    <t>ONEM September'19-Nathalie MUHONGYA MASU 5%</t>
  </si>
  <si>
    <t>"IntAlert Live","ALERT UK","17","1","484045"</t>
  </si>
  <si>
    <t>INPP October'19-Nathalie MUHONGYA  8%</t>
  </si>
  <si>
    <t>"IntAlert Live","ALERT UK","17","1","484179"</t>
  </si>
  <si>
    <t>ONEM October'19-Nathalie MUHONGYA MASU 8%</t>
  </si>
  <si>
    <t>"IntAlert Live","ALERT UK","17","1","504588"</t>
  </si>
  <si>
    <t>DRCBUK/BANK/2019/012/015</t>
  </si>
  <si>
    <t>MUHONGYA NATHALIE</t>
  </si>
  <si>
    <t>Solde de Tout Compte Assistante M&amp;E 8%</t>
  </si>
  <si>
    <t>"IntAlert Live","ALERT UK","17","1","489133"</t>
  </si>
  <si>
    <t>OCT OH '19</t>
  </si>
  <si>
    <t>77576</t>
  </si>
  <si>
    <t>OVERHEAD CHG OCT'19</t>
  </si>
  <si>
    <t>"IntAlert Live","ALERT UK","17","1","497445"</t>
  </si>
  <si>
    <t>NOV OH '19</t>
  </si>
  <si>
    <t>19GB10014</t>
  </si>
  <si>
    <t>OVERHEAD CHG NOV'19</t>
  </si>
  <si>
    <t>"IntAlert Live","ALERT UK","17","1","511560"</t>
  </si>
  <si>
    <t>DEC OH '19</t>
  </si>
  <si>
    <t>19GB10041</t>
  </si>
  <si>
    <t>OVERHEAD CHG DEC'19</t>
  </si>
  <si>
    <t>"IntAlert Live","ALERT UK","17","1","484690"</t>
  </si>
  <si>
    <t>125</t>
  </si>
  <si>
    <t>Accommodation -Lucy William</t>
  </si>
  <si>
    <t>"IntAlert Live","ALERT UK","17","1","485642"</t>
  </si>
  <si>
    <t>DRCBUK/BANK/2019/10/002</t>
  </si>
  <si>
    <t>Transfert 2ème tranche-ADED-Année I CAM</t>
  </si>
  <si>
    <t>"IntAlert Live","ALERT UK","17","1","485643"</t>
  </si>
  <si>
    <t>DRCBUK/BANK/2019/10/003</t>
  </si>
  <si>
    <t>Transfert 2ème tranche-BVES-Année I CAM</t>
  </si>
  <si>
    <t>"IntAlert Live","ALERT UK","17","1","485645"</t>
  </si>
  <si>
    <t>DRCBUK/BANK/2019/10/006</t>
  </si>
  <si>
    <t>Avance Caritas pr Restitution Dialogue-Binjombo</t>
  </si>
  <si>
    <t>PCAI</t>
  </si>
  <si>
    <t>"IntAlert Live","ALERT UK","17","1","509942"</t>
  </si>
  <si>
    <t>ADED</t>
  </si>
  <si>
    <t>Advance Justification - Sept-December 2019</t>
  </si>
  <si>
    <t>"IntAlert Live","ALERT UK","17","1","510059"</t>
  </si>
  <si>
    <t>SVH</t>
  </si>
  <si>
    <t>ADVANCE JUSTIFICATION -SVH SEPT-DEC 2019</t>
  </si>
  <si>
    <t>"IntAlert Live","ALERT UK","17","1","511262"</t>
  </si>
  <si>
    <t>BVES</t>
  </si>
  <si>
    <t>Year1 BVES CAM PROJECT SEP - DEC'2019</t>
  </si>
  <si>
    <t>Grand Total</t>
  </si>
  <si>
    <t>Auto+Hide+Values+Formulas=Sheet24,Sheet11,Sheet12</t>
  </si>
  <si>
    <t>Document Date</t>
  </si>
  <si>
    <t>Auto+Hide+Values+Formulas=Sheet26,Sheet11,Sheet12</t>
  </si>
  <si>
    <t>18 Months (June 2020)</t>
  </si>
  <si>
    <t>DISBURSEMENT RATE (Variance as of June 2020) in %</t>
  </si>
  <si>
    <t>TOTAL DISBURSEMENT in USD (as of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</si>
</sst>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0.00;\-&quot;£&quot;#,##0.00"/>
    <numFmt numFmtId="165" formatCode="_-* #,##0.00_-;\-* #,##0.00_-;_-* &quot;-&quot;??_-;_-@_-"/>
    <numFmt numFmtId="166" formatCode="_-* #,##0_-;\-* #,##0_-;_-* &quot;-&quot;??_-;_-@_-"/>
    <numFmt numFmtId="167" formatCode="#,##0.00_ ;\-#,##0.00\ "/>
    <numFmt numFmtId="168" formatCode="[$$-C09]#,##0"/>
    <numFmt numFmtId="169" formatCode="yyyy\-mm\-dd;@"/>
    <numFmt numFmtId="170" formatCode="&quot;£&quot;#,##0"/>
    <numFmt numFmtId="171" formatCode="[$$-409]#,##0.00"/>
    <numFmt numFmtId="172" formatCode="yyyy/mm/dd"/>
    <numFmt numFmtId="173" formatCode="&quot;£&quot;##,##0.00;\(&quot;£&quot;##,##0.00\)"/>
    <numFmt numFmtId="174" formatCode="##,##0.00"/>
  </numFmts>
  <fonts count="31">
    <font>
      <sz val="11"/>
      <color theme="1"/>
      <name val="Calibri"/>
      <family val="2"/>
      <scheme val="minor"/>
    </font>
    <font>
      <b/>
      <sz val="12"/>
      <color indexed="8"/>
      <name val="Times New Roman"/>
      <family val="1"/>
    </font>
    <font>
      <b/>
      <sz val="14"/>
      <name val="Times New Roman"/>
      <family val="1"/>
    </font>
    <font>
      <b/>
      <sz val="10"/>
      <name val="Arial"/>
      <family val="2"/>
    </font>
    <font>
      <sz val="10"/>
      <name val="Arial"/>
      <family val="2"/>
    </font>
    <font>
      <b/>
      <sz val="9"/>
      <color indexed="81"/>
      <name val="Tahoma"/>
      <family val="2"/>
    </font>
    <font>
      <sz val="9"/>
      <color indexed="81"/>
      <name val="Tahoma"/>
      <family val="2"/>
    </font>
    <font>
      <b/>
      <sz val="10"/>
      <color indexed="8"/>
      <name val="Arial"/>
      <family val="2"/>
    </font>
    <font>
      <sz val="12"/>
      <name val="Times New Roman"/>
      <family val="1"/>
    </font>
    <font>
      <sz val="10"/>
      <name val="Arial Unicode MS"/>
      <family val="2"/>
    </font>
    <font>
      <b/>
      <sz val="10"/>
      <name val="Arial Unicode MS"/>
      <family val="2"/>
    </font>
    <font>
      <sz val="10"/>
      <name val="Times New Roman"/>
      <family val="1"/>
    </font>
    <font>
      <b/>
      <sz val="10"/>
      <color indexed="9"/>
      <name val="Tahoma"/>
      <family val="2"/>
    </font>
    <font>
      <b/>
      <sz val="8"/>
      <name val="Tahoma"/>
      <family val="2"/>
    </font>
    <font>
      <b/>
      <sz val="10"/>
      <color indexed="9"/>
      <name val="Tahoma"/>
      <family val="2"/>
    </font>
    <font>
      <b/>
      <sz val="8"/>
      <name val="Tahoma"/>
      <family val="2"/>
    </font>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b/>
      <sz val="12"/>
      <color theme="1"/>
      <name val="Calibri"/>
      <family val="2"/>
      <scheme val="minor"/>
    </font>
    <font>
      <b/>
      <sz val="14"/>
      <color theme="1"/>
      <name val="Calibri"/>
      <family val="2"/>
      <scheme val="minor"/>
    </font>
    <font>
      <sz val="12"/>
      <color theme="0"/>
      <name val="Times New Roman"/>
      <family val="1"/>
    </font>
    <font>
      <b/>
      <sz val="12"/>
      <color theme="0"/>
      <name val="Times New Roman"/>
      <family val="1"/>
    </font>
    <font>
      <b/>
      <sz val="16"/>
      <color theme="0"/>
      <name val="Times New Roman"/>
      <family val="1"/>
    </font>
    <font>
      <sz val="10"/>
      <name val="Calibri"/>
      <family val="2"/>
      <scheme val="minor"/>
    </font>
    <font>
      <sz val="9"/>
      <color theme="1"/>
      <name val="Calibri"/>
      <family val="2"/>
    </font>
    <font>
      <sz val="10"/>
      <color theme="0"/>
      <name val="Calibri"/>
      <family val="2"/>
      <scheme val="minor"/>
    </font>
    <font>
      <b/>
      <sz val="10"/>
      <name val="Calibri"/>
      <family val="2"/>
      <scheme val="minor"/>
    </font>
    <font>
      <sz val="11"/>
      <color rgb="FFC0C0C0"/>
      <name val="Calibri"/>
      <family val="2"/>
      <scheme val="minor"/>
    </font>
    <font>
      <b/>
      <sz val="11"/>
      <color rgb="FFC0C0C0"/>
      <name val="Calibri"/>
      <family val="2"/>
      <scheme val="minor"/>
    </font>
  </fonts>
  <fills count="21">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56"/>
      </patternFill>
    </fill>
    <fill>
      <patternFill patternType="solid">
        <fgColor indexed="41"/>
      </patternFill>
    </fill>
    <fill>
      <patternFill patternType="solid">
        <fgColor theme="5"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rgb="FFFF0066"/>
        <bgColor indexed="64"/>
      </patternFill>
    </fill>
    <fill>
      <patternFill patternType="solid">
        <fgColor theme="1" tint="4.9989318521683403E-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bgColor indexed="64"/>
      </patternFill>
    </fill>
  </fills>
  <borders count="2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165" fontId="16" fillId="0" borderId="0" applyFont="0" applyFill="0" applyBorder="0" applyAlignment="0" applyProtection="0"/>
    <xf numFmtId="0" fontId="9" fillId="0" borderId="0"/>
    <xf numFmtId="9" fontId="16" fillId="0" borderId="0" applyFont="0" applyFill="0" applyBorder="0" applyAlignment="0" applyProtection="0"/>
  </cellStyleXfs>
  <cellXfs count="227">
    <xf numFmtId="0" fontId="0" fillId="0" borderId="0" xfId="0"/>
    <xf numFmtId="0" fontId="18" fillId="0" borderId="1" xfId="0" applyFont="1" applyBorder="1" applyAlignment="1">
      <alignment vertical="center" wrapText="1"/>
    </xf>
    <xf numFmtId="0" fontId="19" fillId="0" borderId="2" xfId="0" applyFont="1" applyBorder="1" applyAlignment="1">
      <alignment vertical="center" wrapText="1"/>
    </xf>
    <xf numFmtId="0" fontId="20" fillId="0" borderId="0" xfId="0" applyFont="1"/>
    <xf numFmtId="0" fontId="21" fillId="0" borderId="0" xfId="0" applyFont="1"/>
    <xf numFmtId="0" fontId="18" fillId="0" borderId="3" xfId="0" applyFont="1" applyBorder="1" applyAlignment="1">
      <alignment vertical="center" wrapText="1"/>
    </xf>
    <xf numFmtId="0" fontId="19" fillId="0" borderId="2" xfId="0" applyFont="1" applyBorder="1" applyAlignment="1">
      <alignment horizontal="left" vertical="center" wrapText="1" indent="2"/>
    </xf>
    <xf numFmtId="0" fontId="19" fillId="0" borderId="2" xfId="0" applyFont="1" applyFill="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8" fillId="0" borderId="2" xfId="0" applyFont="1" applyBorder="1" applyAlignment="1">
      <alignment vertical="center" wrapText="1"/>
    </xf>
    <xf numFmtId="165" fontId="0" fillId="0" borderId="0" xfId="0" applyNumberFormat="1"/>
    <xf numFmtId="166" fontId="18" fillId="0" borderId="2" xfId="1" applyNumberFormat="1" applyFont="1" applyBorder="1" applyAlignment="1">
      <alignment vertical="center" wrapText="1"/>
    </xf>
    <xf numFmtId="166" fontId="19" fillId="0" borderId="2" xfId="1" applyNumberFormat="1" applyFont="1" applyBorder="1" applyAlignment="1">
      <alignment vertical="center" wrapText="1"/>
    </xf>
    <xf numFmtId="166" fontId="19" fillId="0" borderId="2" xfId="1" applyNumberFormat="1" applyFont="1" applyFill="1" applyBorder="1" applyAlignment="1">
      <alignment vertical="center" wrapText="1"/>
    </xf>
    <xf numFmtId="166" fontId="18" fillId="0" borderId="1" xfId="1" applyNumberFormat="1" applyFont="1" applyBorder="1" applyAlignment="1">
      <alignment vertical="center" wrapText="1"/>
    </xf>
    <xf numFmtId="166" fontId="18" fillId="0" borderId="3" xfId="1" applyNumberFormat="1" applyFont="1" applyBorder="1" applyAlignment="1">
      <alignment vertical="center" wrapText="1"/>
    </xf>
    <xf numFmtId="166" fontId="19" fillId="0" borderId="4" xfId="1" applyNumberFormat="1" applyFont="1" applyBorder="1" applyAlignment="1">
      <alignment vertical="center" wrapText="1"/>
    </xf>
    <xf numFmtId="165" fontId="19" fillId="0" borderId="2" xfId="1" applyNumberFormat="1" applyFont="1" applyBorder="1" applyAlignment="1">
      <alignment vertical="center" wrapText="1"/>
    </xf>
    <xf numFmtId="165" fontId="18" fillId="0" borderId="3" xfId="0" applyNumberFormat="1" applyFont="1" applyBorder="1" applyAlignment="1">
      <alignment vertical="center" wrapText="1"/>
    </xf>
    <xf numFmtId="9" fontId="18" fillId="0" borderId="3" xfId="3" applyFont="1" applyBorder="1" applyAlignment="1">
      <alignment vertical="center" wrapText="1"/>
    </xf>
    <xf numFmtId="166" fontId="0" fillId="0" borderId="0" xfId="0" applyNumberFormat="1"/>
    <xf numFmtId="9" fontId="18" fillId="0" borderId="3" xfId="3" applyFont="1" applyFill="1" applyBorder="1" applyAlignment="1">
      <alignment vertical="center" wrapText="1"/>
    </xf>
    <xf numFmtId="165" fontId="19" fillId="0" borderId="2" xfId="1" applyNumberFormat="1" applyFont="1" applyFill="1" applyBorder="1" applyAlignment="1">
      <alignment vertical="center" wrapText="1"/>
    </xf>
    <xf numFmtId="166" fontId="18" fillId="0" borderId="3" xfId="1" applyNumberFormat="1" applyFont="1" applyFill="1" applyBorder="1" applyAlignment="1">
      <alignment vertical="center" wrapText="1"/>
    </xf>
    <xf numFmtId="0" fontId="18" fillId="0" borderId="3" xfId="0" applyFont="1" applyFill="1" applyBorder="1" applyAlignment="1">
      <alignment vertical="center" wrapText="1"/>
    </xf>
    <xf numFmtId="9" fontId="0" fillId="0" borderId="0" xfId="0" applyNumberFormat="1"/>
    <xf numFmtId="165" fontId="19" fillId="0" borderId="4" xfId="1" applyNumberFormat="1" applyFont="1" applyBorder="1" applyAlignment="1">
      <alignment vertical="center" wrapText="1"/>
    </xf>
    <xf numFmtId="166" fontId="19" fillId="0" borderId="2" xfId="0" applyNumberFormat="1" applyFont="1" applyBorder="1" applyAlignment="1">
      <alignment vertical="center" wrapText="1"/>
    </xf>
    <xf numFmtId="0" fontId="18" fillId="8" borderId="2" xfId="0" applyFont="1" applyFill="1" applyBorder="1" applyAlignment="1">
      <alignment vertical="center" wrapText="1"/>
    </xf>
    <xf numFmtId="166" fontId="18" fillId="8" borderId="2" xfId="1" applyNumberFormat="1" applyFont="1" applyFill="1" applyBorder="1" applyAlignment="1">
      <alignment vertical="center" wrapText="1"/>
    </xf>
    <xf numFmtId="9" fontId="19" fillId="8" borderId="2" xfId="0" applyNumberFormat="1" applyFont="1" applyFill="1" applyBorder="1" applyAlignment="1">
      <alignment vertical="center" wrapText="1"/>
    </xf>
    <xf numFmtId="0" fontId="19" fillId="8" borderId="2" xfId="0" applyFont="1" applyFill="1" applyBorder="1" applyAlignment="1">
      <alignment vertical="center" wrapText="1"/>
    </xf>
    <xf numFmtId="166" fontId="19" fillId="8" borderId="2" xfId="0" applyNumberFormat="1" applyFont="1" applyFill="1" applyBorder="1" applyAlignment="1">
      <alignment vertical="center" wrapText="1"/>
    </xf>
    <xf numFmtId="0" fontId="18" fillId="9" borderId="2" xfId="0" applyFont="1" applyFill="1" applyBorder="1" applyAlignment="1">
      <alignment vertical="center" wrapText="1"/>
    </xf>
    <xf numFmtId="166" fontId="19" fillId="9" borderId="2" xfId="1" applyNumberFormat="1" applyFont="1" applyFill="1" applyBorder="1" applyAlignment="1">
      <alignment vertical="center" wrapText="1"/>
    </xf>
    <xf numFmtId="0" fontId="19" fillId="9" borderId="2" xfId="0" applyFont="1" applyFill="1" applyBorder="1" applyAlignment="1">
      <alignment vertical="center" wrapText="1"/>
    </xf>
    <xf numFmtId="166" fontId="19" fillId="9" borderId="2" xfId="0" applyNumberFormat="1" applyFont="1" applyFill="1" applyBorder="1" applyAlignment="1">
      <alignment vertical="center" wrapText="1"/>
    </xf>
    <xf numFmtId="166" fontId="18" fillId="10" borderId="2" xfId="1" applyNumberFormat="1" applyFont="1" applyFill="1" applyBorder="1" applyAlignment="1">
      <alignment vertical="center" wrapText="1"/>
    </xf>
    <xf numFmtId="0" fontId="18" fillId="10" borderId="4" xfId="0" applyFont="1" applyFill="1" applyBorder="1" applyAlignment="1">
      <alignment vertical="center" wrapText="1"/>
    </xf>
    <xf numFmtId="166" fontId="19" fillId="10" borderId="2" xfId="0" applyNumberFormat="1" applyFont="1" applyFill="1" applyBorder="1" applyAlignment="1">
      <alignment vertical="center" wrapText="1"/>
    </xf>
    <xf numFmtId="166" fontId="18" fillId="11" borderId="2" xfId="1" applyNumberFormat="1" applyFont="1" applyFill="1" applyBorder="1" applyAlignment="1">
      <alignment vertical="center" wrapText="1"/>
    </xf>
    <xf numFmtId="0" fontId="18" fillId="11" borderId="4" xfId="0" applyFont="1" applyFill="1" applyBorder="1" applyAlignment="1">
      <alignment vertical="center" wrapText="1"/>
    </xf>
    <xf numFmtId="166" fontId="19" fillId="11" borderId="2" xfId="0" applyNumberFormat="1" applyFont="1" applyFill="1" applyBorder="1" applyAlignment="1">
      <alignment vertical="center" wrapText="1"/>
    </xf>
    <xf numFmtId="0" fontId="18" fillId="12" borderId="2" xfId="0" applyFont="1" applyFill="1" applyBorder="1" applyAlignment="1">
      <alignment vertical="center" wrapText="1"/>
    </xf>
    <xf numFmtId="166" fontId="19" fillId="12" borderId="2" xfId="0" applyNumberFormat="1" applyFont="1" applyFill="1" applyBorder="1" applyAlignment="1">
      <alignment vertical="center" wrapText="1"/>
    </xf>
    <xf numFmtId="166" fontId="18" fillId="12" borderId="2" xfId="1" applyNumberFormat="1" applyFont="1" applyFill="1" applyBorder="1" applyAlignment="1">
      <alignment vertical="center" wrapText="1"/>
    </xf>
    <xf numFmtId="0" fontId="18" fillId="12" borderId="6" xfId="0" applyFont="1" applyFill="1" applyBorder="1" applyAlignment="1">
      <alignment vertical="center" wrapText="1"/>
    </xf>
    <xf numFmtId="166" fontId="22" fillId="13" borderId="2" xfId="0" applyNumberFormat="1" applyFont="1" applyFill="1" applyBorder="1" applyAlignment="1">
      <alignment vertical="center" wrapText="1"/>
    </xf>
    <xf numFmtId="0" fontId="2" fillId="14" borderId="1" xfId="0" applyFont="1" applyFill="1" applyBorder="1" applyAlignment="1">
      <alignment vertical="center" wrapText="1"/>
    </xf>
    <xf numFmtId="166" fontId="2" fillId="14" borderId="1" xfId="1" applyNumberFormat="1" applyFont="1" applyFill="1" applyBorder="1" applyAlignment="1">
      <alignment vertical="center" wrapText="1"/>
    </xf>
    <xf numFmtId="166" fontId="2" fillId="14" borderId="2" xfId="0" applyNumberFormat="1" applyFont="1" applyFill="1" applyBorder="1" applyAlignment="1">
      <alignment vertical="center" wrapText="1"/>
    </xf>
    <xf numFmtId="0" fontId="18" fillId="15" borderId="3" xfId="0" applyFont="1" applyFill="1" applyBorder="1" applyAlignment="1">
      <alignment vertical="center" wrapText="1"/>
    </xf>
    <xf numFmtId="166" fontId="18" fillId="15" borderId="3" xfId="1" applyNumberFormat="1" applyFont="1" applyFill="1" applyBorder="1" applyAlignment="1">
      <alignment vertical="center" wrapText="1"/>
    </xf>
    <xf numFmtId="166" fontId="19" fillId="15" borderId="2" xfId="0" applyNumberFormat="1" applyFont="1" applyFill="1" applyBorder="1" applyAlignment="1">
      <alignment vertical="center" wrapText="1"/>
    </xf>
    <xf numFmtId="0" fontId="18" fillId="16" borderId="2" xfId="0" applyFont="1" applyFill="1" applyBorder="1" applyAlignment="1">
      <alignment vertical="center" wrapText="1"/>
    </xf>
    <xf numFmtId="166" fontId="19" fillId="16" borderId="2" xfId="1" applyNumberFormat="1" applyFont="1" applyFill="1" applyBorder="1" applyAlignment="1">
      <alignment vertical="center" wrapText="1"/>
    </xf>
    <xf numFmtId="166" fontId="18" fillId="16" borderId="2" xfId="1" applyNumberFormat="1" applyFont="1" applyFill="1" applyBorder="1" applyAlignment="1">
      <alignment vertical="center" wrapText="1"/>
    </xf>
    <xf numFmtId="0" fontId="19" fillId="16" borderId="2" xfId="0" applyFont="1" applyFill="1" applyBorder="1" applyAlignment="1">
      <alignment vertical="center" wrapText="1"/>
    </xf>
    <xf numFmtId="166" fontId="19" fillId="16" borderId="2" xfId="0" applyNumberFormat="1" applyFont="1" applyFill="1" applyBorder="1" applyAlignment="1">
      <alignment vertical="center" wrapText="1"/>
    </xf>
    <xf numFmtId="166" fontId="23" fillId="13" borderId="7" xfId="1" applyNumberFormat="1" applyFont="1" applyFill="1" applyBorder="1" applyAlignment="1">
      <alignment vertical="center" wrapText="1"/>
    </xf>
    <xf numFmtId="0" fontId="23" fillId="13" borderId="7" xfId="0" applyFont="1" applyFill="1" applyBorder="1" applyAlignment="1">
      <alignment vertical="center" wrapText="1"/>
    </xf>
    <xf numFmtId="167" fontId="24" fillId="17" borderId="4" xfId="1" applyNumberFormat="1" applyFont="1" applyFill="1" applyBorder="1" applyAlignment="1">
      <alignment vertical="center" wrapText="1"/>
    </xf>
    <xf numFmtId="166" fontId="24" fillId="17" borderId="4" xfId="1" applyNumberFormat="1" applyFont="1" applyFill="1" applyBorder="1" applyAlignment="1">
      <alignment vertical="center" wrapText="1"/>
    </xf>
    <xf numFmtId="0" fontId="24" fillId="17" borderId="4" xfId="0" applyFont="1" applyFill="1" applyBorder="1" applyAlignment="1">
      <alignment vertical="center" wrapText="1"/>
    </xf>
    <xf numFmtId="166" fontId="24" fillId="17" borderId="2" xfId="0" applyNumberFormat="1" applyFont="1" applyFill="1" applyBorder="1" applyAlignment="1">
      <alignment vertical="center" wrapText="1"/>
    </xf>
    <xf numFmtId="0" fontId="19" fillId="9" borderId="8" xfId="0" applyFont="1" applyFill="1" applyBorder="1" applyAlignment="1">
      <alignment vertical="center" wrapText="1"/>
    </xf>
    <xf numFmtId="0" fontId="19" fillId="0" borderId="8" xfId="0" applyFont="1" applyBorder="1" applyAlignment="1">
      <alignment horizontal="left" vertical="center" wrapText="1" indent="2"/>
    </xf>
    <xf numFmtId="0" fontId="19" fillId="0" borderId="9" xfId="0" applyFont="1" applyBorder="1" applyAlignment="1">
      <alignment vertical="center" wrapText="1"/>
    </xf>
    <xf numFmtId="0" fontId="19" fillId="0" borderId="8" xfId="0" applyFont="1" applyBorder="1" applyAlignment="1">
      <alignment vertical="center" wrapText="1"/>
    </xf>
    <xf numFmtId="0" fontId="2" fillId="14" borderId="2" xfId="0" applyFont="1" applyFill="1" applyBorder="1" applyAlignment="1">
      <alignment vertical="center" wrapText="1"/>
    </xf>
    <xf numFmtId="0" fontId="18" fillId="15" borderId="5" xfId="0" applyFont="1" applyFill="1" applyBorder="1" applyAlignment="1">
      <alignment vertical="center" wrapText="1"/>
    </xf>
    <xf numFmtId="0" fontId="0" fillId="0" borderId="10" xfId="0" quotePrefix="1" applyBorder="1"/>
    <xf numFmtId="0" fontId="0" fillId="0" borderId="10" xfId="0" applyBorder="1"/>
    <xf numFmtId="0" fontId="0" fillId="0" borderId="10" xfId="0" quotePrefix="1" applyFill="1" applyBorder="1"/>
    <xf numFmtId="0" fontId="3" fillId="3" borderId="0" xfId="0" applyFont="1" applyFill="1" applyProtection="1">
      <protection locked="0"/>
    </xf>
    <xf numFmtId="168" fontId="3" fillId="3" borderId="0" xfId="0" applyNumberFormat="1" applyFont="1" applyFill="1" applyProtection="1">
      <protection locked="0"/>
    </xf>
    <xf numFmtId="0" fontId="4" fillId="3" borderId="0" xfId="0" applyFont="1" applyFill="1" applyProtection="1">
      <protection locked="0"/>
    </xf>
    <xf numFmtId="168" fontId="4" fillId="3" borderId="0" xfId="0" applyNumberFormat="1" applyFont="1" applyFill="1" applyBorder="1" applyProtection="1">
      <protection locked="0"/>
    </xf>
    <xf numFmtId="4" fontId="4" fillId="3" borderId="0" xfId="0" quotePrefix="1" applyNumberFormat="1" applyFont="1" applyFill="1" applyAlignment="1">
      <alignment horizontal="left"/>
    </xf>
    <xf numFmtId="168" fontId="4" fillId="3" borderId="0" xfId="0" applyNumberFormat="1" applyFont="1" applyFill="1" applyBorder="1" applyAlignment="1" applyProtection="1">
      <protection locked="0"/>
    </xf>
    <xf numFmtId="168" fontId="4" fillId="3" borderId="0" xfId="0" applyNumberFormat="1" applyFont="1" applyFill="1" applyBorder="1" applyAlignment="1" applyProtection="1">
      <alignment horizontal="left"/>
      <protection locked="0"/>
    </xf>
    <xf numFmtId="9" fontId="4" fillId="3" borderId="0" xfId="3" applyFont="1" applyFill="1" applyAlignment="1" applyProtection="1">
      <alignment horizontal="left"/>
      <protection locked="0"/>
    </xf>
    <xf numFmtId="169" fontId="4" fillId="3" borderId="0" xfId="0" applyNumberFormat="1" applyFont="1" applyFill="1" applyAlignment="1" applyProtection="1">
      <alignment horizontal="left"/>
      <protection locked="0"/>
    </xf>
    <xf numFmtId="0" fontId="19" fillId="0" borderId="5" xfId="0" applyFont="1" applyBorder="1" applyAlignment="1">
      <alignment horizontal="center" vertical="center" wrapText="1"/>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3" fillId="4" borderId="11" xfId="0" applyFont="1" applyFill="1" applyBorder="1" applyAlignment="1" applyProtection="1">
      <alignment vertical="center"/>
      <protection locked="0"/>
    </xf>
    <xf numFmtId="0" fontId="3" fillId="4" borderId="12" xfId="0" applyFont="1" applyFill="1" applyBorder="1" applyAlignment="1" applyProtection="1">
      <alignment vertical="center"/>
      <protection locked="0"/>
    </xf>
    <xf numFmtId="0" fontId="25" fillId="0" borderId="3" xfId="0" applyFont="1" applyBorder="1" applyAlignment="1">
      <alignment vertical="center"/>
    </xf>
    <xf numFmtId="17" fontId="7" fillId="4" borderId="13" xfId="0" applyNumberFormat="1"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3" fillId="3" borderId="14" xfId="0" applyFont="1" applyFill="1" applyBorder="1" applyAlignment="1" applyProtection="1">
      <alignment wrapText="1"/>
      <protection locked="0"/>
    </xf>
    <xf numFmtId="0" fontId="3" fillId="0" borderId="15" xfId="0" applyFont="1" applyBorder="1" applyAlignment="1" applyProtection="1">
      <alignment wrapText="1"/>
      <protection locked="0"/>
    </xf>
    <xf numFmtId="170" fontId="28" fillId="5" borderId="10" xfId="0" applyNumberFormat="1" applyFont="1" applyFill="1" applyBorder="1" applyAlignment="1" applyProtection="1">
      <alignment vertical="center" wrapText="1"/>
      <protection locked="0"/>
    </xf>
    <xf numFmtId="166" fontId="18" fillId="8" borderId="10" xfId="1" applyNumberFormat="1" applyFont="1" applyFill="1" applyBorder="1" applyAlignment="1">
      <alignment vertical="center" wrapText="1"/>
    </xf>
    <xf numFmtId="166" fontId="19" fillId="0" borderId="10" xfId="0" applyNumberFormat="1" applyFont="1" applyBorder="1" applyAlignment="1">
      <alignment vertical="center" wrapText="1"/>
    </xf>
    <xf numFmtId="166" fontId="19" fillId="9" borderId="10" xfId="1" applyNumberFormat="1" applyFont="1" applyFill="1" applyBorder="1" applyAlignment="1">
      <alignment vertical="center" wrapText="1"/>
    </xf>
    <xf numFmtId="166" fontId="18" fillId="10" borderId="10" xfId="1" applyNumberFormat="1" applyFont="1" applyFill="1" applyBorder="1" applyAlignment="1">
      <alignment vertical="center" wrapText="1"/>
    </xf>
    <xf numFmtId="0" fontId="18" fillId="11" borderId="10" xfId="0" applyFont="1" applyFill="1" applyBorder="1" applyAlignment="1">
      <alignment vertical="center" wrapText="1"/>
    </xf>
    <xf numFmtId="166" fontId="19" fillId="0" borderId="10" xfId="1" applyNumberFormat="1" applyFont="1" applyBorder="1" applyAlignment="1">
      <alignment vertical="center" wrapText="1"/>
    </xf>
    <xf numFmtId="166" fontId="18" fillId="11" borderId="10" xfId="1" applyNumberFormat="1" applyFont="1" applyFill="1" applyBorder="1" applyAlignment="1">
      <alignment vertical="center" wrapText="1"/>
    </xf>
    <xf numFmtId="166" fontId="19" fillId="12" borderId="10" xfId="0" applyNumberFormat="1" applyFont="1" applyFill="1" applyBorder="1" applyAlignment="1">
      <alignment vertical="center" wrapText="1"/>
    </xf>
    <xf numFmtId="166" fontId="19" fillId="0" borderId="10" xfId="1" applyNumberFormat="1" applyFont="1" applyFill="1" applyBorder="1" applyAlignment="1">
      <alignment vertical="center" wrapText="1"/>
    </xf>
    <xf numFmtId="166" fontId="18" fillId="12" borderId="10" xfId="1" applyNumberFormat="1" applyFont="1" applyFill="1" applyBorder="1" applyAlignment="1">
      <alignment vertical="center" wrapText="1"/>
    </xf>
    <xf numFmtId="166" fontId="2" fillId="14" borderId="10" xfId="1" applyNumberFormat="1" applyFont="1" applyFill="1" applyBorder="1" applyAlignment="1">
      <alignment vertical="center" wrapText="1"/>
    </xf>
    <xf numFmtId="166" fontId="18" fillId="0" borderId="10" xfId="1" applyNumberFormat="1" applyFont="1" applyBorder="1" applyAlignment="1">
      <alignment vertical="center" wrapText="1"/>
    </xf>
    <xf numFmtId="166" fontId="18" fillId="15" borderId="10" xfId="1" applyNumberFormat="1" applyFont="1" applyFill="1" applyBorder="1" applyAlignment="1">
      <alignment vertical="center" wrapText="1"/>
    </xf>
    <xf numFmtId="166" fontId="18" fillId="16" borderId="10" xfId="1" applyNumberFormat="1" applyFont="1" applyFill="1" applyBorder="1" applyAlignment="1">
      <alignment vertical="center" wrapText="1"/>
    </xf>
    <xf numFmtId="166" fontId="23" fillId="13" borderId="10" xfId="1" applyNumberFormat="1" applyFont="1" applyFill="1" applyBorder="1" applyAlignment="1">
      <alignment vertical="center" wrapText="1"/>
    </xf>
    <xf numFmtId="166" fontId="24" fillId="17" borderId="10" xfId="0" applyNumberFormat="1" applyFont="1" applyFill="1" applyBorder="1" applyAlignment="1">
      <alignment vertical="center" wrapText="1"/>
    </xf>
    <xf numFmtId="166" fontId="24" fillId="17" borderId="1" xfId="0" applyNumberFormat="1" applyFont="1" applyFill="1" applyBorder="1" applyAlignment="1">
      <alignment vertical="center" wrapText="1"/>
    </xf>
    <xf numFmtId="2" fontId="4" fillId="3" borderId="0" xfId="0" quotePrefix="1" applyNumberFormat="1" applyFont="1" applyFill="1" applyAlignment="1" applyProtection="1">
      <alignment horizontal="left"/>
      <protection locked="0"/>
    </xf>
    <xf numFmtId="171" fontId="8" fillId="0" borderId="10" xfId="0" applyNumberFormat="1" applyFont="1" applyFill="1" applyBorder="1" applyAlignment="1" applyProtection="1">
      <alignment horizontal="right" wrapText="1"/>
      <protection locked="0"/>
    </xf>
    <xf numFmtId="0" fontId="18" fillId="18" borderId="4" xfId="0" applyFont="1" applyFill="1" applyBorder="1" applyAlignment="1">
      <alignment vertical="center" wrapText="1"/>
    </xf>
    <xf numFmtId="0" fontId="18" fillId="12" borderId="4" xfId="0" applyFont="1" applyFill="1" applyBorder="1" applyAlignment="1">
      <alignment vertical="center" wrapText="1"/>
    </xf>
    <xf numFmtId="0" fontId="18" fillId="12" borderId="5" xfId="0" applyFont="1" applyFill="1" applyBorder="1" applyAlignment="1">
      <alignment vertical="center" wrapText="1"/>
    </xf>
    <xf numFmtId="9" fontId="18" fillId="0" borderId="2" xfId="3" applyFont="1" applyBorder="1" applyAlignment="1">
      <alignment vertical="center" wrapText="1"/>
    </xf>
    <xf numFmtId="0" fontId="9" fillId="0" borderId="0" xfId="2"/>
    <xf numFmtId="0" fontId="9" fillId="0" borderId="0" xfId="2" applyBorder="1" applyAlignment="1">
      <alignment horizontal="right"/>
    </xf>
    <xf numFmtId="0" fontId="9" fillId="0" borderId="0" xfId="2" applyBorder="1"/>
    <xf numFmtId="0" fontId="10" fillId="0" borderId="10" xfId="2" applyFont="1" applyBorder="1" applyAlignment="1">
      <alignment wrapText="1"/>
    </xf>
    <xf numFmtId="0" fontId="10" fillId="0" borderId="10" xfId="2" applyFont="1" applyBorder="1"/>
    <xf numFmtId="0" fontId="11" fillId="0" borderId="0" xfId="0" applyFont="1" applyBorder="1" applyAlignment="1">
      <alignment vertical="center" wrapText="1"/>
    </xf>
    <xf numFmtId="0" fontId="0" fillId="19" borderId="16" xfId="0" applyFill="1" applyBorder="1"/>
    <xf numFmtId="0" fontId="0" fillId="19" borderId="17" xfId="0" applyFill="1" applyBorder="1"/>
    <xf numFmtId="0" fontId="0" fillId="19" borderId="8" xfId="0" applyFill="1" applyBorder="1" applyAlignment="1"/>
    <xf numFmtId="0" fontId="0" fillId="0" borderId="0" xfId="0" applyAlignment="1"/>
    <xf numFmtId="49" fontId="0" fillId="0" borderId="0" xfId="0" applyNumberFormat="1"/>
    <xf numFmtId="0" fontId="0" fillId="19" borderId="18" xfId="0" applyFill="1" applyBorder="1"/>
    <xf numFmtId="0" fontId="17" fillId="19" borderId="0" xfId="0" applyFont="1" applyFill="1" applyBorder="1" applyAlignment="1">
      <alignment horizontal="right"/>
    </xf>
    <xf numFmtId="0" fontId="0" fillId="20" borderId="3" xfId="0" applyFill="1" applyBorder="1"/>
    <xf numFmtId="0" fontId="0" fillId="19" borderId="19" xfId="0" applyFill="1" applyBorder="1" applyAlignment="1"/>
    <xf numFmtId="0" fontId="0" fillId="20" borderId="7" xfId="0" applyFill="1" applyBorder="1"/>
    <xf numFmtId="0" fontId="0" fillId="19" borderId="20" xfId="0" applyFill="1" applyBorder="1"/>
    <xf numFmtId="0" fontId="0" fillId="19" borderId="7" xfId="0" applyFill="1" applyBorder="1"/>
    <xf numFmtId="0" fontId="0" fillId="19" borderId="2" xfId="0" applyFill="1" applyBorder="1" applyAlignment="1"/>
    <xf numFmtId="0" fontId="0" fillId="2" borderId="0" xfId="0" applyNumberFormat="1" applyFont="1" applyFill="1" applyAlignment="1" applyProtection="1">
      <alignment horizontal="center" vertical="center"/>
    </xf>
    <xf numFmtId="0" fontId="0" fillId="2" borderId="0" xfId="0" applyNumberFormat="1" applyFont="1" applyFill="1" applyAlignment="1" applyProtection="1">
      <alignment horizontal="left" vertical="top"/>
    </xf>
    <xf numFmtId="1" fontId="0" fillId="2" borderId="0" xfId="0" applyNumberFormat="1" applyFont="1" applyFill="1" applyAlignment="1" applyProtection="1">
      <alignment horizontal="center" vertical="center"/>
    </xf>
    <xf numFmtId="164" fontId="0" fillId="2" borderId="0" xfId="0" applyNumberFormat="1" applyFont="1" applyFill="1" applyAlignment="1" applyProtection="1">
      <alignment horizontal="center" vertical="center"/>
    </xf>
    <xf numFmtId="49" fontId="0" fillId="2" borderId="0" xfId="0" applyNumberFormat="1" applyFont="1" applyFill="1" applyAlignment="1" applyProtection="1">
      <alignment horizontal="center" vertical="center"/>
    </xf>
    <xf numFmtId="0" fontId="12" fillId="6" borderId="0" xfId="0" applyNumberFormat="1" applyFont="1" applyFill="1" applyAlignment="1" applyProtection="1">
      <alignment horizontal="center" vertical="center" wrapText="1"/>
    </xf>
    <xf numFmtId="1" fontId="12" fillId="6" borderId="0" xfId="0" applyNumberFormat="1" applyFont="1" applyFill="1" applyAlignment="1" applyProtection="1">
      <alignment horizontal="center" vertical="center" wrapText="1"/>
    </xf>
    <xf numFmtId="164" fontId="12" fillId="6" borderId="0" xfId="0" applyNumberFormat="1" applyFont="1" applyFill="1" applyAlignment="1" applyProtection="1">
      <alignment horizontal="center" vertical="center" wrapText="1"/>
    </xf>
    <xf numFmtId="49" fontId="12" fillId="6" borderId="0" xfId="0" applyNumberFormat="1" applyFont="1" applyFill="1" applyAlignment="1" applyProtection="1">
      <alignment horizontal="center" vertical="center" wrapText="1"/>
    </xf>
    <xf numFmtId="0" fontId="0" fillId="0" borderId="0" xfId="0" applyAlignment="1">
      <alignment wrapText="1"/>
    </xf>
    <xf numFmtId="172" fontId="0" fillId="2" borderId="0" xfId="0" applyNumberFormat="1" applyFont="1" applyFill="1" applyAlignment="1" applyProtection="1">
      <alignment horizontal="center" vertical="center"/>
    </xf>
    <xf numFmtId="173" fontId="0" fillId="2" borderId="0" xfId="0" applyNumberFormat="1" applyFont="1" applyFill="1" applyAlignment="1" applyProtection="1">
      <alignment horizontal="right" vertical="center"/>
    </xf>
    <xf numFmtId="49" fontId="0" fillId="2" borderId="0" xfId="0" quotePrefix="1" applyNumberFormat="1" applyFont="1" applyFill="1" applyAlignment="1" applyProtection="1">
      <alignment horizontal="left" vertical="center"/>
    </xf>
    <xf numFmtId="49" fontId="0" fillId="2" borderId="0" xfId="0" applyNumberFormat="1" applyFont="1" applyFill="1" applyAlignment="1" applyProtection="1">
      <alignment horizontal="left" vertical="center"/>
    </xf>
    <xf numFmtId="0" fontId="13" fillId="7" borderId="0" xfId="0" applyNumberFormat="1" applyFont="1" applyFill="1" applyAlignment="1" applyProtection="1">
      <alignment horizontal="center" vertical="center"/>
    </xf>
    <xf numFmtId="0" fontId="13" fillId="7" borderId="0" xfId="0" applyNumberFormat="1" applyFont="1" applyFill="1" applyAlignment="1" applyProtection="1">
      <alignment horizontal="left" vertical="top"/>
    </xf>
    <xf numFmtId="1" fontId="13" fillId="7" borderId="0" xfId="0" applyNumberFormat="1" applyFont="1" applyFill="1" applyAlignment="1" applyProtection="1">
      <alignment horizontal="center" vertical="center"/>
    </xf>
    <xf numFmtId="164" fontId="13" fillId="7" borderId="0" xfId="0" applyNumberFormat="1" applyFont="1" applyFill="1" applyAlignment="1" applyProtection="1">
      <alignment horizontal="center" vertical="center"/>
    </xf>
    <xf numFmtId="174" fontId="13" fillId="7" borderId="0" xfId="0" applyNumberFormat="1" applyFont="1" applyFill="1" applyAlignment="1" applyProtection="1">
      <alignment horizontal="center" vertical="center"/>
    </xf>
    <xf numFmtId="0" fontId="0" fillId="2" borderId="0" xfId="0" quotePrefix="1" applyNumberFormat="1" applyFont="1" applyFill="1" applyAlignment="1" applyProtection="1">
      <alignment horizontal="center" vertical="center"/>
    </xf>
    <xf numFmtId="174" fontId="0" fillId="2" borderId="0" xfId="0" applyNumberFormat="1" applyFont="1" applyFill="1" applyAlignment="1" applyProtection="1">
      <alignment horizontal="center" vertical="center"/>
    </xf>
    <xf numFmtId="9" fontId="18" fillId="8" borderId="10" xfId="3" applyFont="1" applyFill="1" applyBorder="1" applyAlignment="1">
      <alignment vertical="center" wrapText="1"/>
    </xf>
    <xf numFmtId="9" fontId="19" fillId="0" borderId="10" xfId="3" applyFont="1" applyBorder="1" applyAlignment="1">
      <alignment vertical="center" wrapText="1"/>
    </xf>
    <xf numFmtId="9" fontId="19" fillId="9" borderId="10" xfId="3" applyFont="1" applyFill="1" applyBorder="1" applyAlignment="1">
      <alignment vertical="center" wrapText="1"/>
    </xf>
    <xf numFmtId="9" fontId="16" fillId="0" borderId="10" xfId="3" applyFont="1" applyBorder="1"/>
    <xf numFmtId="9" fontId="18" fillId="10" borderId="10" xfId="3" applyFont="1" applyFill="1" applyBorder="1" applyAlignment="1">
      <alignment vertical="center" wrapText="1"/>
    </xf>
    <xf numFmtId="9" fontId="18" fillId="11" borderId="10" xfId="3" applyFont="1" applyFill="1" applyBorder="1" applyAlignment="1">
      <alignment vertical="center" wrapText="1"/>
    </xf>
    <xf numFmtId="9" fontId="19" fillId="12" borderId="10" xfId="3" applyFont="1" applyFill="1" applyBorder="1" applyAlignment="1">
      <alignment vertical="center" wrapText="1"/>
    </xf>
    <xf numFmtId="9" fontId="19" fillId="0" borderId="10" xfId="3" applyFont="1" applyFill="1" applyBorder="1" applyAlignment="1">
      <alignment vertical="center" wrapText="1"/>
    </xf>
    <xf numFmtId="9" fontId="18" fillId="12" borderId="10" xfId="3" applyFont="1" applyFill="1" applyBorder="1" applyAlignment="1">
      <alignment vertical="center" wrapText="1"/>
    </xf>
    <xf numFmtId="9" fontId="2" fillId="14" borderId="10" xfId="3" applyFont="1" applyFill="1" applyBorder="1" applyAlignment="1">
      <alignment vertical="center" wrapText="1"/>
    </xf>
    <xf numFmtId="9" fontId="18" fillId="0" borderId="10" xfId="3" applyFont="1" applyBorder="1" applyAlignment="1">
      <alignment vertical="center" wrapText="1"/>
    </xf>
    <xf numFmtId="9" fontId="18" fillId="15" borderId="10" xfId="3" applyFont="1" applyFill="1" applyBorder="1" applyAlignment="1">
      <alignment vertical="center" wrapText="1"/>
    </xf>
    <xf numFmtId="9" fontId="18" fillId="16" borderId="10" xfId="3" applyFont="1" applyFill="1" applyBorder="1" applyAlignment="1">
      <alignment vertical="center" wrapText="1"/>
    </xf>
    <xf numFmtId="9" fontId="23" fillId="13" borderId="10" xfId="3" applyFont="1" applyFill="1" applyBorder="1" applyAlignment="1">
      <alignment vertical="center" wrapText="1"/>
    </xf>
    <xf numFmtId="9" fontId="24" fillId="17" borderId="10" xfId="3" applyFont="1" applyFill="1" applyBorder="1" applyAlignment="1">
      <alignment vertical="center" wrapText="1"/>
    </xf>
    <xf numFmtId="165" fontId="9" fillId="0" borderId="0" xfId="1" applyFont="1"/>
    <xf numFmtId="0" fontId="3" fillId="3" borderId="14" xfId="0" applyFont="1" applyFill="1" applyBorder="1" applyAlignment="1" applyProtection="1">
      <protection locked="0"/>
    </xf>
    <xf numFmtId="171" fontId="0" fillId="0" borderId="0" xfId="0" applyNumberFormat="1"/>
    <xf numFmtId="0" fontId="0" fillId="19" borderId="8" xfId="0" applyFill="1" applyBorder="1"/>
    <xf numFmtId="0" fontId="17" fillId="19" borderId="0" xfId="0" applyFont="1" applyFill="1" applyAlignment="1">
      <alignment horizontal="right"/>
    </xf>
    <xf numFmtId="0" fontId="0" fillId="19" borderId="19" xfId="0" applyFill="1" applyBorder="1"/>
    <xf numFmtId="0" fontId="0" fillId="19" borderId="2" xfId="0" applyFill="1" applyBorder="1"/>
    <xf numFmtId="0" fontId="0" fillId="2" borderId="0" xfId="0" applyFill="1" applyAlignment="1">
      <alignment horizontal="center" vertical="center"/>
    </xf>
    <xf numFmtId="0" fontId="0" fillId="2" borderId="0" xfId="0" applyFill="1" applyAlignment="1">
      <alignment horizontal="left" vertical="top"/>
    </xf>
    <xf numFmtId="1" fontId="0" fillId="2" borderId="0" xfId="0" applyNumberFormat="1" applyFill="1" applyAlignment="1">
      <alignment horizontal="center" vertical="center"/>
    </xf>
    <xf numFmtId="164" fontId="0" fillId="2" borderId="0" xfId="0" applyNumberFormat="1" applyFill="1" applyAlignment="1">
      <alignment horizontal="center" vertical="center"/>
    </xf>
    <xf numFmtId="49" fontId="0" fillId="2" borderId="0" xfId="0" applyNumberFormat="1" applyFill="1" applyAlignment="1">
      <alignment horizontal="center" vertical="center"/>
    </xf>
    <xf numFmtId="0" fontId="12" fillId="6" borderId="0" xfId="0" applyFont="1" applyFill="1" applyAlignment="1">
      <alignment horizontal="center" vertical="center" wrapText="1"/>
    </xf>
    <xf numFmtId="1" fontId="12" fillId="6" borderId="0" xfId="0" applyNumberFormat="1" applyFont="1" applyFill="1" applyAlignment="1">
      <alignment horizontal="center" vertical="center" wrapText="1"/>
    </xf>
    <xf numFmtId="164" fontId="12" fillId="6" borderId="0" xfId="0" applyNumberFormat="1" applyFont="1" applyFill="1" applyAlignment="1">
      <alignment horizontal="center" vertical="center" wrapText="1"/>
    </xf>
    <xf numFmtId="49" fontId="12" fillId="6" borderId="0" xfId="0" applyNumberFormat="1" applyFont="1" applyFill="1" applyAlignment="1">
      <alignment horizontal="center" vertical="center" wrapText="1"/>
    </xf>
    <xf numFmtId="172" fontId="0" fillId="2" borderId="0" xfId="0" applyNumberFormat="1" applyFill="1" applyAlignment="1">
      <alignment horizontal="center" vertical="center"/>
    </xf>
    <xf numFmtId="173" fontId="0" fillId="2" borderId="0" xfId="0" applyNumberFormat="1" applyFill="1" applyAlignment="1">
      <alignment horizontal="right" vertical="center"/>
    </xf>
    <xf numFmtId="49" fontId="0" fillId="2" borderId="0" xfId="0" quotePrefix="1" applyNumberFormat="1" applyFill="1" applyAlignment="1">
      <alignment horizontal="left" vertical="center"/>
    </xf>
    <xf numFmtId="49" fontId="0" fillId="2" borderId="0" xfId="0" applyNumberFormat="1" applyFill="1" applyAlignment="1">
      <alignment horizontal="left" vertical="center"/>
    </xf>
    <xf numFmtId="0" fontId="13" fillId="7" borderId="0" xfId="0" applyFont="1" applyFill="1" applyAlignment="1">
      <alignment horizontal="center" vertical="center"/>
    </xf>
    <xf numFmtId="0" fontId="13" fillId="7" borderId="0" xfId="0" applyFont="1" applyFill="1" applyAlignment="1">
      <alignment horizontal="left" vertical="top"/>
    </xf>
    <xf numFmtId="1" fontId="13" fillId="7" borderId="0" xfId="0" applyNumberFormat="1" applyFont="1" applyFill="1" applyAlignment="1">
      <alignment horizontal="center" vertical="center"/>
    </xf>
    <xf numFmtId="164" fontId="13" fillId="7" borderId="0" xfId="0" applyNumberFormat="1" applyFont="1" applyFill="1" applyAlignment="1">
      <alignment horizontal="center" vertical="center"/>
    </xf>
    <xf numFmtId="174" fontId="13" fillId="7" borderId="0" xfId="0" applyNumberFormat="1" applyFont="1" applyFill="1" applyAlignment="1">
      <alignment horizontal="center" vertical="center"/>
    </xf>
    <xf numFmtId="0" fontId="0" fillId="2" borderId="0" xfId="0" quotePrefix="1" applyFill="1" applyAlignment="1">
      <alignment horizontal="center" vertical="center"/>
    </xf>
    <xf numFmtId="0" fontId="0" fillId="9" borderId="0" xfId="0" applyFill="1"/>
    <xf numFmtId="174" fontId="0" fillId="2" borderId="0" xfId="0" applyNumberFormat="1" applyFill="1" applyAlignment="1">
      <alignment horizontal="center" vertical="center"/>
    </xf>
    <xf numFmtId="4" fontId="0" fillId="0" borderId="0" xfId="0" applyNumberFormat="1"/>
    <xf numFmtId="0" fontId="4" fillId="20" borderId="3" xfId="0" applyFont="1" applyFill="1" applyBorder="1"/>
    <xf numFmtId="0" fontId="0" fillId="20" borderId="3" xfId="0" quotePrefix="1" applyFill="1" applyBorder="1"/>
    <xf numFmtId="2" fontId="0" fillId="2" borderId="0" xfId="0" applyNumberFormat="1" applyFill="1" applyAlignment="1">
      <alignment horizontal="center" vertical="center"/>
    </xf>
    <xf numFmtId="0" fontId="14" fillId="6" borderId="0" xfId="0" applyFont="1" applyFill="1" applyAlignment="1">
      <alignment horizontal="center" vertical="center" wrapText="1"/>
    </xf>
    <xf numFmtId="1" fontId="14" fillId="6" borderId="0" xfId="0" applyNumberFormat="1" applyFont="1" applyFill="1" applyAlignment="1">
      <alignment horizontal="center" vertical="center" wrapText="1"/>
    </xf>
    <xf numFmtId="164" fontId="14" fillId="6" borderId="0" xfId="0" applyNumberFormat="1" applyFont="1" applyFill="1" applyAlignment="1">
      <alignment horizontal="center" vertical="center" wrapText="1"/>
    </xf>
    <xf numFmtId="2" fontId="14" fillId="6" borderId="0" xfId="0" applyNumberFormat="1" applyFont="1" applyFill="1" applyAlignment="1">
      <alignment horizontal="center" vertical="center" wrapText="1"/>
    </xf>
    <xf numFmtId="49" fontId="14" fillId="6" borderId="0" xfId="0" applyNumberFormat="1" applyFont="1" applyFill="1" applyAlignment="1">
      <alignment horizontal="center" vertical="center" wrapText="1"/>
    </xf>
    <xf numFmtId="49" fontId="0" fillId="2" borderId="0" xfId="0" applyNumberFormat="1" applyFill="1" applyAlignment="1">
      <alignment horizontal="left" vertical="top"/>
    </xf>
    <xf numFmtId="0" fontId="15" fillId="7" borderId="0" xfId="0" applyFont="1" applyFill="1" applyAlignment="1">
      <alignment horizontal="center" vertical="center"/>
    </xf>
    <xf numFmtId="0" fontId="15" fillId="7" borderId="0" xfId="0" applyFont="1" applyFill="1" applyAlignment="1">
      <alignment horizontal="left" vertical="top"/>
    </xf>
    <xf numFmtId="1" fontId="15" fillId="7" borderId="0" xfId="0" applyNumberFormat="1" applyFont="1" applyFill="1" applyAlignment="1">
      <alignment horizontal="center" vertical="center"/>
    </xf>
    <xf numFmtId="164" fontId="15" fillId="7" borderId="0" xfId="0" applyNumberFormat="1" applyFont="1" applyFill="1" applyAlignment="1">
      <alignment horizontal="center" vertical="center"/>
    </xf>
    <xf numFmtId="174" fontId="15" fillId="7" borderId="0" xfId="0" applyNumberFormat="1" applyFont="1" applyFill="1" applyAlignment="1">
      <alignment horizontal="center" vertical="center"/>
    </xf>
    <xf numFmtId="49" fontId="0" fillId="2" borderId="0" xfId="0" quotePrefix="1" applyNumberFormat="1" applyFill="1" applyAlignment="1">
      <alignment horizontal="center" vertical="center"/>
    </xf>
    <xf numFmtId="0" fontId="0" fillId="0" borderId="0" xfId="0"/>
    <xf numFmtId="0" fontId="29" fillId="0" borderId="0" xfId="0" applyFont="1"/>
    <xf numFmtId="0" fontId="17" fillId="0" borderId="0" xfId="0" applyFont="1"/>
    <xf numFmtId="0" fontId="30" fillId="0" borderId="0" xfId="0" applyFont="1"/>
    <xf numFmtId="0" fontId="17" fillId="0" borderId="21" xfId="0" applyFont="1" applyBorder="1"/>
    <xf numFmtId="14" fontId="0" fillId="0" borderId="0" xfId="0" applyNumberFormat="1"/>
    <xf numFmtId="0" fontId="3" fillId="3" borderId="22" xfId="0" applyFont="1" applyFill="1" applyBorder="1" applyAlignment="1" applyProtection="1">
      <alignment horizontal="center"/>
      <protection locked="0"/>
    </xf>
    <xf numFmtId="0" fontId="3" fillId="3" borderId="23" xfId="0" applyFont="1" applyFill="1" applyBorder="1" applyAlignment="1" applyProtection="1">
      <alignment horizontal="center"/>
      <protection locked="0"/>
    </xf>
    <xf numFmtId="0" fontId="3" fillId="3" borderId="14" xfId="0" applyFont="1" applyFill="1" applyBorder="1" applyAlignment="1" applyProtection="1">
      <alignment horizontal="center" wrapText="1"/>
      <protection locked="0"/>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9566</xdr:colOff>
      <xdr:row>17</xdr:row>
      <xdr:rowOff>21382</xdr:rowOff>
    </xdr:from>
    <xdr:to>
      <xdr:col>12</xdr:col>
      <xdr:colOff>0</xdr:colOff>
      <xdr:row>141</xdr:row>
      <xdr:rowOff>54429</xdr:rowOff>
    </xdr:to>
    <xdr:sp macro="" textlink="">
      <xdr:nvSpPr>
        <xdr:cNvPr id="2" name="Text Box 29">
          <a:extLst>
            <a:ext uri="{FF2B5EF4-FFF2-40B4-BE49-F238E27FC236}">
              <a16:creationId xmlns:a16="http://schemas.microsoft.com/office/drawing/2014/main" id="{38C29009-E79A-4D61-A806-E946E05F2B65}"/>
            </a:ext>
          </a:extLst>
        </xdr:cNvPr>
        <xdr:cNvSpPr txBox="1">
          <a:spLocks noChangeArrowheads="1"/>
        </xdr:cNvSpPr>
      </xdr:nvSpPr>
      <xdr:spPr bwMode="auto">
        <a:xfrm>
          <a:off x="10277516" y="4240957"/>
          <a:ext cx="390484" cy="42047822"/>
        </a:xfrm>
        <a:prstGeom prst="rect">
          <a:avLst/>
        </a:prstGeom>
        <a:solidFill>
          <a:srgbClr val="800000"/>
        </a:solidFill>
        <a:ln>
          <a:noFill/>
        </a:ln>
      </xdr:spPr>
      <xdr:txBody>
        <a:bodyPr vertOverflow="clip" vert="vert" wrap="square" lIns="45720" tIns="36576" rIns="0" bIns="36576" anchor="b" upright="1"/>
        <a:lstStyle/>
        <a:p>
          <a:pPr algn="just" rtl="0">
            <a:defRPr sz="1000"/>
          </a:pPr>
          <a:r>
            <a:rPr lang="en-GB" sz="2200" b="0" i="0" u="none" strike="noStrike" baseline="0">
              <a:solidFill>
                <a:srgbClr val="FFFFFF"/>
              </a:solidFill>
              <a:latin typeface="Arial"/>
              <a:cs typeface="Arial"/>
            </a:rPr>
            <a:t>Actual Expenditure per Month in USD</a:t>
          </a:r>
        </a:p>
      </xdr:txBody>
    </xdr:sp>
    <xdr:clientData/>
  </xdr:twoCellAnchor>
  <xdr:twoCellAnchor>
    <xdr:from>
      <xdr:col>11</xdr:col>
      <xdr:colOff>9525</xdr:colOff>
      <xdr:row>12</xdr:row>
      <xdr:rowOff>0</xdr:rowOff>
    </xdr:from>
    <xdr:to>
      <xdr:col>12</xdr:col>
      <xdr:colOff>0</xdr:colOff>
      <xdr:row>16</xdr:row>
      <xdr:rowOff>123825</xdr:rowOff>
    </xdr:to>
    <xdr:sp macro="" textlink="">
      <xdr:nvSpPr>
        <xdr:cNvPr id="6256" name="AutoShape 34">
          <a:extLst>
            <a:ext uri="{FF2B5EF4-FFF2-40B4-BE49-F238E27FC236}">
              <a16:creationId xmlns:a16="http://schemas.microsoft.com/office/drawing/2014/main" id="{C72414EF-C350-48D3-B0BD-98F6C679BE4A}"/>
            </a:ext>
          </a:extLst>
        </xdr:cNvPr>
        <xdr:cNvSpPr>
          <a:spLocks noChangeArrowheads="1"/>
        </xdr:cNvSpPr>
      </xdr:nvSpPr>
      <xdr:spPr bwMode="auto">
        <a:xfrm>
          <a:off x="10277475" y="2400300"/>
          <a:ext cx="390525" cy="1733550"/>
        </a:xfrm>
        <a:prstGeom prst="homePlate">
          <a:avLst>
            <a:gd name="adj" fmla="val -2147483648"/>
          </a:avLst>
        </a:prstGeom>
        <a:solidFill>
          <a:srgbClr val="8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9566</xdr:colOff>
      <xdr:row>17</xdr:row>
      <xdr:rowOff>21382</xdr:rowOff>
    </xdr:from>
    <xdr:to>
      <xdr:col>12</xdr:col>
      <xdr:colOff>0</xdr:colOff>
      <xdr:row>141</xdr:row>
      <xdr:rowOff>54429</xdr:rowOff>
    </xdr:to>
    <xdr:sp macro="" textlink="">
      <xdr:nvSpPr>
        <xdr:cNvPr id="2" name="Text Box 29">
          <a:extLst>
            <a:ext uri="{FF2B5EF4-FFF2-40B4-BE49-F238E27FC236}">
              <a16:creationId xmlns:a16="http://schemas.microsoft.com/office/drawing/2014/main" id="{C224538B-FAAF-48F6-90A9-5B83F012A86E}"/>
            </a:ext>
          </a:extLst>
        </xdr:cNvPr>
        <xdr:cNvSpPr txBox="1">
          <a:spLocks noChangeArrowheads="1"/>
        </xdr:cNvSpPr>
      </xdr:nvSpPr>
      <xdr:spPr bwMode="auto">
        <a:xfrm>
          <a:off x="22869566" y="3967453"/>
          <a:ext cx="387588" cy="87050726"/>
        </a:xfrm>
        <a:prstGeom prst="rect">
          <a:avLst/>
        </a:prstGeom>
        <a:solidFill>
          <a:srgbClr val="800000"/>
        </a:solidFill>
        <a:ln>
          <a:noFill/>
        </a:ln>
      </xdr:spPr>
      <xdr:txBody>
        <a:bodyPr vertOverflow="clip" vert="vert" wrap="square" lIns="45720" tIns="36576" rIns="0" bIns="36576" anchor="b" upright="1"/>
        <a:lstStyle/>
        <a:p>
          <a:pPr algn="just" rtl="0">
            <a:defRPr sz="1000"/>
          </a:pPr>
          <a:r>
            <a:rPr lang="en-GB" sz="2200" b="0" i="0" u="none" strike="noStrike" baseline="0">
              <a:solidFill>
                <a:srgbClr val="FFFFFF"/>
              </a:solidFill>
              <a:latin typeface="Arial"/>
              <a:cs typeface="Arial"/>
            </a:rPr>
            <a:t>Actual Expenditure per Month in GB £</a:t>
          </a:r>
        </a:p>
      </xdr:txBody>
    </xdr:sp>
    <xdr:clientData/>
  </xdr:twoCellAnchor>
  <xdr:twoCellAnchor>
    <xdr:from>
      <xdr:col>11</xdr:col>
      <xdr:colOff>9525</xdr:colOff>
      <xdr:row>12</xdr:row>
      <xdr:rowOff>0</xdr:rowOff>
    </xdr:from>
    <xdr:to>
      <xdr:col>12</xdr:col>
      <xdr:colOff>0</xdr:colOff>
      <xdr:row>16</xdr:row>
      <xdr:rowOff>123825</xdr:rowOff>
    </xdr:to>
    <xdr:sp macro="" textlink="">
      <xdr:nvSpPr>
        <xdr:cNvPr id="3236" name="AutoShape 34">
          <a:extLst>
            <a:ext uri="{FF2B5EF4-FFF2-40B4-BE49-F238E27FC236}">
              <a16:creationId xmlns:a16="http://schemas.microsoft.com/office/drawing/2014/main" id="{0115901C-A148-47BB-A21D-17394EB4E001}"/>
            </a:ext>
          </a:extLst>
        </xdr:cNvPr>
        <xdr:cNvSpPr>
          <a:spLocks noChangeArrowheads="1"/>
        </xdr:cNvSpPr>
      </xdr:nvSpPr>
      <xdr:spPr bwMode="auto">
        <a:xfrm>
          <a:off x="10277475" y="2400300"/>
          <a:ext cx="390525" cy="1733550"/>
        </a:xfrm>
        <a:prstGeom prst="homePlate">
          <a:avLst>
            <a:gd name="adj" fmla="val -2147483648"/>
          </a:avLst>
        </a:prstGeom>
        <a:solidFill>
          <a:srgbClr val="8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20(x86)/Infor/Query%20and%20Analysis/LsAgXLB.xl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an%20Bosco.DESKTOP-JO0BJHC/Desktop/DTR%20AP21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Format"/>
      <sheetName val="Scrapbook"/>
      <sheetName val="AutoFormat"/>
      <sheetName val="SheetPicture"/>
      <sheetName val="LsAgXLB"/>
      <sheetName val="LsAgXLB.xla"/>
    </sheetNames>
    <definedNames>
      <definedName name="AG_DTRT"/>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pscrapsheet"/>
      <sheetName val="AP01CR"/>
      <sheetName val="AP99GU"/>
      <sheetName val="AP11FR"/>
      <sheetName val="AP21RR"/>
      <sheetName val="AP21RR-005-19"/>
      <sheetName val="AP61AR"/>
      <sheetName val="Ls_XLB_WorkbookFile"/>
      <sheetName val="Ls_AgXLB_WorkbookFile"/>
      <sheetName val="Invoices"/>
      <sheetName val="AP21RR-004-19"/>
    </sheetNames>
    <sheetDataSet>
      <sheetData sheetId="0"/>
      <sheetData sheetId="1"/>
      <sheetData sheetId="2"/>
      <sheetData sheetId="3"/>
      <sheetData sheetId="4"/>
      <sheetData sheetId="5"/>
      <sheetData sheetId="6"/>
      <sheetData sheetId="7"/>
      <sheetData sheetId="8"/>
      <sheetData sheetId="9"/>
      <sheetData sheetId="10">
        <row r="2">
          <cell r="C2" t="str">
            <v>ALT</v>
          </cell>
        </row>
        <row r="3">
          <cell r="C3" t="str">
            <v>2019/004</v>
          </cell>
        </row>
        <row r="4">
          <cell r="C4" t="str">
            <v>2019/006</v>
          </cell>
        </row>
        <row r="5">
          <cell r="C5">
            <v>4000</v>
          </cell>
        </row>
        <row r="6">
          <cell r="C6">
            <v>9999</v>
          </cell>
        </row>
        <row r="7">
          <cell r="C7" t="str">
            <v>AP21RR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4"/>
  <sheetViews>
    <sheetView tabSelected="1" zoomScale="70" zoomScaleNormal="70" zoomScaleSheetLayoutView="100" workbookViewId="0">
      <selection activeCell="K38" sqref="K38"/>
    </sheetView>
  </sheetViews>
  <sheetFormatPr defaultRowHeight="15" outlineLevelCol="1"/>
  <cols>
    <col min="1" max="1" width="7.140625" customWidth="1"/>
    <col min="2" max="2" width="33.140625" customWidth="1"/>
    <col min="3" max="4" width="45.5703125" customWidth="1"/>
    <col min="5" max="8" width="24.7109375" hidden="1" customWidth="1"/>
    <col min="9" max="10" width="22.5703125" hidden="1" customWidth="1"/>
    <col min="11" max="11" width="22.5703125" customWidth="1" outlineLevel="1"/>
    <col min="12" max="12" width="6" style="85" customWidth="1" outlineLevel="1"/>
    <col min="13" max="13" width="17.7109375" hidden="1" customWidth="1" outlineLevel="1"/>
    <col min="14" max="15" width="14.28515625" hidden="1" customWidth="1" outlineLevel="1"/>
    <col min="16" max="16" width="14.85546875" hidden="1" customWidth="1" outlineLevel="1"/>
    <col min="17" max="18" width="13" hidden="1" customWidth="1" outlineLevel="1"/>
    <col min="19" max="20" width="17.28515625" customWidth="1" outlineLevel="1"/>
    <col min="21" max="21" width="19.7109375" customWidth="1" outlineLevel="1"/>
    <col min="22" max="22" width="38.140625" customWidth="1" outlineLevel="1"/>
  </cols>
  <sheetData>
    <row r="1" spans="1:22">
      <c r="B1" s="75" t="s">
        <v>289</v>
      </c>
      <c r="C1" s="76" t="s">
        <v>307</v>
      </c>
      <c r="D1" s="76"/>
    </row>
    <row r="2" spans="1:22">
      <c r="B2" s="77" t="s">
        <v>290</v>
      </c>
      <c r="C2" s="78" t="s">
        <v>293</v>
      </c>
      <c r="D2" s="78"/>
    </row>
    <row r="3" spans="1:22">
      <c r="B3" s="77" t="s">
        <v>291</v>
      </c>
      <c r="C3" s="78" t="s">
        <v>292</v>
      </c>
      <c r="D3" s="78"/>
    </row>
    <row r="4" spans="1:22">
      <c r="B4" s="77" t="s">
        <v>308</v>
      </c>
      <c r="C4" s="79">
        <v>1.269643579</v>
      </c>
      <c r="D4" s="79"/>
    </row>
    <row r="5" spans="1:22">
      <c r="B5" s="77" t="s">
        <v>294</v>
      </c>
      <c r="C5" s="80" t="s">
        <v>295</v>
      </c>
      <c r="D5" s="80"/>
    </row>
    <row r="6" spans="1:22" ht="18.75">
      <c r="B6" s="77" t="s">
        <v>296</v>
      </c>
      <c r="C6" s="80" t="s">
        <v>309</v>
      </c>
      <c r="D6" s="80"/>
      <c r="E6" s="4"/>
      <c r="F6" s="4"/>
      <c r="G6" s="4"/>
      <c r="H6" s="4"/>
    </row>
    <row r="7" spans="1:22" ht="15.75">
      <c r="B7" s="77" t="s">
        <v>297</v>
      </c>
      <c r="C7" s="78" t="s">
        <v>298</v>
      </c>
      <c r="D7" s="78"/>
      <c r="E7" s="3"/>
      <c r="F7" s="3"/>
      <c r="G7" s="3"/>
      <c r="H7" s="3"/>
    </row>
    <row r="8" spans="1:22" ht="15.75">
      <c r="B8" s="77" t="s">
        <v>299</v>
      </c>
      <c r="C8" s="78" t="s">
        <v>300</v>
      </c>
      <c r="D8" s="78"/>
      <c r="E8" s="3"/>
      <c r="F8" s="3"/>
      <c r="G8" s="3"/>
      <c r="H8" s="3"/>
    </row>
    <row r="9" spans="1:22" ht="15.75">
      <c r="B9" s="77" t="s">
        <v>301</v>
      </c>
      <c r="C9" s="78"/>
      <c r="D9" s="78"/>
      <c r="E9" s="3"/>
      <c r="F9" s="3"/>
      <c r="G9" s="3"/>
      <c r="H9" s="3"/>
    </row>
    <row r="10" spans="1:22" ht="15.75">
      <c r="B10" s="77" t="s">
        <v>302</v>
      </c>
      <c r="C10" s="78" t="s">
        <v>307</v>
      </c>
      <c r="D10" s="78"/>
      <c r="E10" s="3"/>
      <c r="F10" s="3"/>
      <c r="G10" s="3"/>
      <c r="H10" s="3"/>
    </row>
    <row r="11" spans="1:22" ht="15.75">
      <c r="B11" s="77" t="s">
        <v>303</v>
      </c>
      <c r="C11" s="81" t="s">
        <v>310</v>
      </c>
      <c r="D11" s="81"/>
      <c r="E11" s="3"/>
      <c r="F11" s="3"/>
      <c r="G11" s="3"/>
      <c r="H11" s="3"/>
    </row>
    <row r="12" spans="1:22" ht="16.5" thickBot="1">
      <c r="B12" s="77" t="s">
        <v>304</v>
      </c>
      <c r="C12" s="113">
        <v>18</v>
      </c>
      <c r="D12" s="113"/>
      <c r="E12" s="3"/>
      <c r="F12" s="3"/>
      <c r="G12" s="3"/>
      <c r="H12" s="3"/>
    </row>
    <row r="13" spans="1:22" ht="15.75" thickBot="1">
      <c r="B13" s="77" t="s">
        <v>305</v>
      </c>
      <c r="C13" s="82">
        <v>7.0000000000000007E-2</v>
      </c>
      <c r="D13" s="82"/>
      <c r="M13" s="88"/>
      <c r="N13" s="88"/>
      <c r="O13" s="88"/>
      <c r="P13" s="88"/>
      <c r="Q13" s="88"/>
      <c r="R13" s="88"/>
      <c r="S13" s="89"/>
      <c r="T13" s="89"/>
      <c r="U13" s="89"/>
      <c r="V13" s="89"/>
    </row>
    <row r="14" spans="1:22" ht="15.75" thickBot="1">
      <c r="B14" s="77" t="s">
        <v>306</v>
      </c>
      <c r="C14" s="83">
        <v>43409</v>
      </c>
      <c r="D14" s="83"/>
      <c r="M14" s="224"/>
      <c r="N14" s="224"/>
      <c r="O14" s="224"/>
      <c r="P14" s="225"/>
      <c r="S14" s="90"/>
      <c r="T14" s="90"/>
      <c r="U14" s="90"/>
      <c r="V14" s="90"/>
    </row>
    <row r="15" spans="1:22" ht="26.25" thickBot="1">
      <c r="E15" s="21"/>
      <c r="F15" s="21"/>
      <c r="G15" s="21"/>
      <c r="H15" s="21"/>
      <c r="I15" s="21"/>
      <c r="M15" s="92" t="s">
        <v>312</v>
      </c>
      <c r="N15" s="92" t="s">
        <v>313</v>
      </c>
      <c r="O15" s="92" t="s">
        <v>314</v>
      </c>
      <c r="P15" s="92" t="s">
        <v>315</v>
      </c>
      <c r="Q15" s="92" t="s">
        <v>320</v>
      </c>
      <c r="R15" s="91" t="s">
        <v>322</v>
      </c>
      <c r="S15" s="91" t="s">
        <v>4789</v>
      </c>
      <c r="T15" s="91"/>
      <c r="U15" s="91"/>
      <c r="V15" s="91"/>
    </row>
    <row r="16" spans="1:22" ht="79.5" thickBot="1">
      <c r="A16" s="72"/>
      <c r="B16" s="9" t="s">
        <v>0</v>
      </c>
      <c r="C16" s="9" t="s">
        <v>1</v>
      </c>
      <c r="D16" s="9" t="s">
        <v>4</v>
      </c>
      <c r="E16" s="9" t="s">
        <v>89</v>
      </c>
      <c r="F16" s="9" t="s">
        <v>90</v>
      </c>
      <c r="G16" s="9" t="s">
        <v>91</v>
      </c>
      <c r="H16" s="9" t="s">
        <v>92</v>
      </c>
      <c r="I16" s="9" t="s">
        <v>3</v>
      </c>
      <c r="J16" s="9" t="s">
        <v>9</v>
      </c>
      <c r="K16" s="84" t="s">
        <v>311</v>
      </c>
      <c r="M16" s="94" t="s">
        <v>316</v>
      </c>
      <c r="N16" s="94" t="s">
        <v>317</v>
      </c>
      <c r="O16" s="94" t="s">
        <v>318</v>
      </c>
      <c r="P16" s="94" t="s">
        <v>319</v>
      </c>
      <c r="Q16" s="94" t="s">
        <v>321</v>
      </c>
      <c r="R16" s="94" t="s">
        <v>323</v>
      </c>
      <c r="S16" s="93" t="s">
        <v>4791</v>
      </c>
      <c r="T16" s="93" t="s">
        <v>333</v>
      </c>
      <c r="U16" s="226" t="s">
        <v>4790</v>
      </c>
      <c r="V16" s="93" t="s">
        <v>335</v>
      </c>
    </row>
    <row r="17" spans="1:22" ht="16.5" customHeight="1" thickBot="1">
      <c r="A17" s="73"/>
      <c r="B17" s="115" t="s">
        <v>10</v>
      </c>
      <c r="C17" s="115"/>
      <c r="D17" s="115"/>
      <c r="E17" s="115"/>
      <c r="F17" s="115"/>
      <c r="G17" s="115"/>
      <c r="H17" s="115"/>
      <c r="I17" s="115"/>
      <c r="J17" s="115"/>
      <c r="K17" s="115"/>
      <c r="M17" s="95"/>
      <c r="N17" s="95"/>
      <c r="O17" s="95"/>
      <c r="P17" s="95"/>
      <c r="Q17" s="95"/>
      <c r="R17" s="95"/>
      <c r="S17" s="95"/>
      <c r="T17" s="95"/>
      <c r="U17" s="95"/>
      <c r="V17" s="95"/>
    </row>
    <row r="18" spans="1:22" ht="16.5" thickBot="1">
      <c r="A18" s="73"/>
      <c r="B18" s="29" t="s">
        <v>16</v>
      </c>
      <c r="C18" s="29" t="s">
        <v>13</v>
      </c>
      <c r="D18" s="29"/>
      <c r="E18" s="30">
        <f>E19+E20+E23+E26+E29+E30+E31+E32</f>
        <v>23600</v>
      </c>
      <c r="F18" s="30">
        <f>F19+F20+F23+F26+F29+F30+F31+F32</f>
        <v>35500</v>
      </c>
      <c r="G18" s="30">
        <f>G19+G20+G23+G26+G29+G30+G31+G32</f>
        <v>20500</v>
      </c>
      <c r="H18" s="30">
        <f>H19+H20+H23+H26+H29+H30+H31+H32</f>
        <v>41000</v>
      </c>
      <c r="I18" s="31">
        <v>0.5</v>
      </c>
      <c r="J18" s="32"/>
      <c r="K18" s="33">
        <v>120600</v>
      </c>
      <c r="L18"/>
      <c r="M18" s="96">
        <f t="shared" ref="M18:R18" si="0">M19+M20+M23+M26+M29+M30+M31+M32</f>
        <v>0</v>
      </c>
      <c r="N18" s="96">
        <f t="shared" si="0"/>
        <v>6225.7100000000009</v>
      </c>
      <c r="O18" s="96">
        <f t="shared" si="0"/>
        <v>18193.75</v>
      </c>
      <c r="P18" s="96">
        <f t="shared" si="0"/>
        <v>2760.96</v>
      </c>
      <c r="Q18" s="96">
        <f t="shared" si="0"/>
        <v>4082.44</v>
      </c>
      <c r="R18" s="96">
        <f t="shared" si="0"/>
        <v>8505.42</v>
      </c>
      <c r="S18" s="96">
        <f>M18+N18+O18+P18+Q18+R18</f>
        <v>39768.28</v>
      </c>
      <c r="T18" s="96">
        <f>K18-S18</f>
        <v>80831.72</v>
      </c>
      <c r="U18" s="159">
        <f>S18/K18</f>
        <v>0.32975356550580431</v>
      </c>
      <c r="V18" s="96"/>
    </row>
    <row r="19" spans="1:22" ht="32.25" thickBot="1">
      <c r="A19" s="72" t="s">
        <v>199</v>
      </c>
      <c r="B19" s="2" t="s">
        <v>18</v>
      </c>
      <c r="C19" s="10" t="s">
        <v>14</v>
      </c>
      <c r="D19" s="10" t="s">
        <v>325</v>
      </c>
      <c r="E19" s="13">
        <v>0</v>
      </c>
      <c r="F19" s="13">
        <f>10*100*2</f>
        <v>2000</v>
      </c>
      <c r="G19" s="13">
        <f>10*100*2</f>
        <v>2000</v>
      </c>
      <c r="H19" s="13">
        <f>(10*100*2)+(10*100*2)</f>
        <v>4000</v>
      </c>
      <c r="I19" s="2">
        <v>0</v>
      </c>
      <c r="J19" s="2"/>
      <c r="K19" s="28">
        <v>8000</v>
      </c>
      <c r="L19"/>
      <c r="M19" s="114">
        <f>SUMIF(DTRQ1!$A$12:$A$422,'DETAILED REPROT-Q4'!A19:A141,DTRQ1!$J$12:$J$422)</f>
        <v>0</v>
      </c>
      <c r="N19" s="114">
        <f>SUMIF('DTR-Q2'!$A$12:$A$931,'DETAILED REPROT-Q4'!A19,'DTR-Q2'!$J$12:$J$931)</f>
        <v>6225.7100000000009</v>
      </c>
      <c r="O19" s="114">
        <f>SUMIF('DTR3'!$A$12:$A$988,'DETAILED REPROT-Q4'!A19,'DTR3'!$K$12:$K$988)</f>
        <v>0</v>
      </c>
      <c r="P19" s="114">
        <f>SUMIF('DTR-Q4'!$G$9:$G$1082,'DETAILED REPROT-Q4'!A19,'DTR-Q4'!$Z$9:$Z$1082)</f>
        <v>110</v>
      </c>
      <c r="Q19" s="114">
        <f>SUMIF('DTR-Q5'!$S$7:$S$585,'DETAILED REPROT-Q4'!A19,'DTR-Q5'!$Z$7:$Z$585)</f>
        <v>100</v>
      </c>
      <c r="R19" s="114">
        <f>SUMIF('DTR-Q6'!$S$7:$S$653,'DETAILED REPROT-Q4'!A19,'DTR-Q6'!$Z$7:$Z$653)</f>
        <v>0</v>
      </c>
      <c r="S19" s="97">
        <f t="shared" ref="S19:S82" si="1">M19+N19+O19+P19+Q19+R19</f>
        <v>6435.7100000000009</v>
      </c>
      <c r="T19" s="97">
        <f t="shared" ref="T19:T82" si="2">K19-S19</f>
        <v>1564.2899999999991</v>
      </c>
      <c r="U19" s="160">
        <f t="shared" ref="U19:U82" si="3">S19/K19</f>
        <v>0.80446375000000014</v>
      </c>
      <c r="V19" s="97"/>
    </row>
    <row r="20" spans="1:22" ht="32.25" thickBot="1">
      <c r="A20" s="73"/>
      <c r="B20" s="36" t="s">
        <v>19</v>
      </c>
      <c r="C20" s="34" t="s">
        <v>15</v>
      </c>
      <c r="D20" s="34"/>
      <c r="E20" s="35">
        <f>SUM(E21:E22)</f>
        <v>3000</v>
      </c>
      <c r="F20" s="35">
        <f>SUM(F21:F22)</f>
        <v>1500</v>
      </c>
      <c r="G20" s="35">
        <f>SUM(G21:G22)</f>
        <v>1500</v>
      </c>
      <c r="H20" s="35">
        <f>SUM(H21:H22)</f>
        <v>3000</v>
      </c>
      <c r="I20" s="35">
        <v>0</v>
      </c>
      <c r="J20" s="36"/>
      <c r="K20" s="37">
        <v>9000</v>
      </c>
      <c r="M20" s="98">
        <f t="shared" ref="M20:R20" si="4">SUM(M21:M22)</f>
        <v>0</v>
      </c>
      <c r="N20" s="98">
        <f t="shared" si="4"/>
        <v>0</v>
      </c>
      <c r="O20" s="98">
        <f t="shared" si="4"/>
        <v>9723.7599999999984</v>
      </c>
      <c r="P20" s="98">
        <f t="shared" si="4"/>
        <v>0</v>
      </c>
      <c r="Q20" s="98">
        <f t="shared" si="4"/>
        <v>138.84</v>
      </c>
      <c r="R20" s="98">
        <f t="shared" si="4"/>
        <v>69.42</v>
      </c>
      <c r="S20" s="98">
        <f t="shared" si="1"/>
        <v>9932.0199999999986</v>
      </c>
      <c r="T20" s="98">
        <f t="shared" si="2"/>
        <v>-932.01999999999862</v>
      </c>
      <c r="U20" s="161">
        <f t="shared" si="3"/>
        <v>1.1035577777777776</v>
      </c>
      <c r="V20" s="98"/>
    </row>
    <row r="21" spans="1:22" ht="16.5" thickBot="1">
      <c r="A21" s="72" t="s">
        <v>200</v>
      </c>
      <c r="B21" s="6" t="s">
        <v>155</v>
      </c>
      <c r="C21" s="2" t="s">
        <v>93</v>
      </c>
      <c r="D21" s="2" t="s">
        <v>326</v>
      </c>
      <c r="E21" s="13">
        <f>300*10</f>
        <v>3000</v>
      </c>
      <c r="F21" s="13">
        <v>0</v>
      </c>
      <c r="G21" s="13">
        <v>0</v>
      </c>
      <c r="H21" s="13">
        <v>0</v>
      </c>
      <c r="I21" s="13">
        <v>0</v>
      </c>
      <c r="J21" s="2"/>
      <c r="K21" s="28">
        <v>3000</v>
      </c>
      <c r="M21" s="114">
        <f>SUMIF(DTRQ1!$A$12:$A$422,'DETAILED REPROT-Q4'!A21:A142,DTRQ1!$J$12:$J$422)</f>
        <v>0</v>
      </c>
      <c r="N21" s="114">
        <f>SUMIF('DTR-Q2'!$A$12:$A$931,'DETAILED REPROT-Q4'!A21,'DTR-Q2'!$J$12:$J$931)</f>
        <v>0</v>
      </c>
      <c r="O21" s="114">
        <f>SUMIF('DTR3'!$A$12:$A$988,'DETAILED REPROT-Q4'!A21,'DTR3'!$K$12:$K$988)</f>
        <v>4582.2</v>
      </c>
      <c r="P21" s="114">
        <f>SUMIF('DTR-Q4'!$G$9:$G$1082,'DETAILED REPROT-Q4'!A21,'DTR-Q4'!$Z$9:$Z$1082)</f>
        <v>0</v>
      </c>
      <c r="Q21" s="114">
        <f>SUMIF('DTR-Q5'!$S$7:$S$585,'DETAILED REPROT-Q4'!A21,'DTR-Q5'!$Z$7:$Z$585)</f>
        <v>0</v>
      </c>
      <c r="R21" s="114">
        <f>SUMIF('DTR-Q6'!$S$7:$S$653,'DETAILED REPROT-Q4'!A21,'DTR-Q6'!$Z$7:$Z$653)</f>
        <v>0</v>
      </c>
      <c r="S21" s="97">
        <f t="shared" si="1"/>
        <v>4582.2</v>
      </c>
      <c r="T21" s="97">
        <f t="shared" si="2"/>
        <v>-1582.1999999999998</v>
      </c>
      <c r="U21" s="160">
        <f t="shared" si="3"/>
        <v>1.5273999999999999</v>
      </c>
      <c r="V21" s="97"/>
    </row>
    <row r="22" spans="1:22" ht="16.5" thickBot="1">
      <c r="A22" s="72" t="s">
        <v>201</v>
      </c>
      <c r="B22" s="6" t="s">
        <v>156</v>
      </c>
      <c r="C22" s="2" t="s">
        <v>94</v>
      </c>
      <c r="D22" s="10" t="s">
        <v>325</v>
      </c>
      <c r="E22" s="13">
        <v>0</v>
      </c>
      <c r="F22" s="13">
        <f>1500*1</f>
        <v>1500</v>
      </c>
      <c r="G22" s="13">
        <f>1500*1</f>
        <v>1500</v>
      </c>
      <c r="H22" s="13">
        <f>1500*1 + 1500*1</f>
        <v>3000</v>
      </c>
      <c r="I22" s="13">
        <v>0</v>
      </c>
      <c r="J22" s="2"/>
      <c r="K22" s="28">
        <v>6000</v>
      </c>
      <c r="M22" s="114">
        <f>SUMIF(DTRQ1!$A$12:$A$422,'DETAILED REPROT-Q4'!A22:A142,DTRQ1!$J$12:$J$422)</f>
        <v>0</v>
      </c>
      <c r="N22" s="114">
        <f>SUMIF('DTR-Q2'!$A$12:$A$931,'DETAILED REPROT-Q4'!A22,'DTR-Q2'!$J$12:$J$931)</f>
        <v>0</v>
      </c>
      <c r="O22" s="114">
        <f>SUMIF('DTR3'!$A$12:$A$988,'DETAILED REPROT-Q4'!A22,'DTR3'!$K$12:$K$988)</f>
        <v>5141.5599999999995</v>
      </c>
      <c r="P22" s="114">
        <f>SUMIF('DTR-Q4'!$G$9:$G$1082,'DETAILED REPROT-Q4'!A22,'DTR-Q4'!$Z$9:$Z$1082)</f>
        <v>0</v>
      </c>
      <c r="Q22" s="114">
        <f>SUMIF('DTR-Q5'!$S$7:$S$585,'DETAILED REPROT-Q4'!A22,'DTR-Q5'!$Z$7:$Z$585)</f>
        <v>138.84</v>
      </c>
      <c r="R22" s="114">
        <f>SUMIF('DTR-Q6'!$S$7:$S$653,'DETAILED REPROT-Q4'!A22,'DTR-Q6'!$Z$7:$Z$653)</f>
        <v>69.42</v>
      </c>
      <c r="S22" s="97">
        <f t="shared" si="1"/>
        <v>5349.82</v>
      </c>
      <c r="T22" s="97">
        <f t="shared" si="2"/>
        <v>650.18000000000029</v>
      </c>
      <c r="U22" s="160">
        <f t="shared" si="3"/>
        <v>0.89163666666666663</v>
      </c>
      <c r="V22" s="97"/>
    </row>
    <row r="23" spans="1:22" ht="16.5" thickBot="1">
      <c r="A23" s="73"/>
      <c r="B23" s="36" t="s">
        <v>23</v>
      </c>
      <c r="C23" s="34" t="s">
        <v>17</v>
      </c>
      <c r="D23" s="34"/>
      <c r="E23" s="35">
        <f>SUM(E24:E25)</f>
        <v>6000</v>
      </c>
      <c r="F23" s="35">
        <f>SUM(F24:F25)</f>
        <v>2000</v>
      </c>
      <c r="G23" s="35">
        <f>SUM(G24:G25)</f>
        <v>2000</v>
      </c>
      <c r="H23" s="35">
        <f>SUM(H24:H25)</f>
        <v>4000</v>
      </c>
      <c r="I23" s="35">
        <v>0</v>
      </c>
      <c r="J23" s="36"/>
      <c r="K23" s="37">
        <v>14000</v>
      </c>
      <c r="L23" s="86"/>
      <c r="M23" s="98">
        <f t="shared" ref="M23:R23" si="5">SUM(M24:M25)</f>
        <v>0</v>
      </c>
      <c r="N23" s="98">
        <f t="shared" si="5"/>
        <v>0</v>
      </c>
      <c r="O23" s="98">
        <f t="shared" si="5"/>
        <v>4000</v>
      </c>
      <c r="P23" s="98">
        <f t="shared" si="5"/>
        <v>980</v>
      </c>
      <c r="Q23" s="98">
        <f t="shared" si="5"/>
        <v>45</v>
      </c>
      <c r="R23" s="98">
        <f t="shared" si="5"/>
        <v>0</v>
      </c>
      <c r="S23" s="98">
        <f t="shared" si="1"/>
        <v>5025</v>
      </c>
      <c r="T23" s="98">
        <f t="shared" si="2"/>
        <v>8975</v>
      </c>
      <c r="U23" s="161">
        <f t="shared" si="3"/>
        <v>0.35892857142857143</v>
      </c>
      <c r="V23" s="98"/>
    </row>
    <row r="24" spans="1:22" ht="16.5" thickBot="1">
      <c r="A24" s="72" t="s">
        <v>202</v>
      </c>
      <c r="B24" s="6" t="s">
        <v>157</v>
      </c>
      <c r="C24" s="6" t="s">
        <v>95</v>
      </c>
      <c r="D24" s="10" t="s">
        <v>325</v>
      </c>
      <c r="E24" s="13">
        <v>0</v>
      </c>
      <c r="F24" s="13">
        <f>2000*1</f>
        <v>2000</v>
      </c>
      <c r="G24" s="13">
        <f>2000*1</f>
        <v>2000</v>
      </c>
      <c r="H24" s="13">
        <f>2000*1 + 2000*1</f>
        <v>4000</v>
      </c>
      <c r="I24" s="13">
        <v>0</v>
      </c>
      <c r="J24" s="2"/>
      <c r="K24" s="28">
        <v>8000</v>
      </c>
      <c r="M24" s="114">
        <f>SUMIF(DTRQ1!$A$12:$A$422,'DETAILED REPROT-Q4'!A24:A142,DTRQ1!$J$12:$J$422)</f>
        <v>0</v>
      </c>
      <c r="N24" s="114">
        <f>SUMIF('DTR-Q2'!$A$12:$A$931,'DETAILED REPROT-Q4'!A24,'DTR-Q2'!$J$12:$J$931)</f>
        <v>0</v>
      </c>
      <c r="O24" s="114">
        <f>SUMIF('DTR3'!$A$12:$A$988,'DETAILED REPROT-Q4'!A24,'DTR3'!$K$12:$K$988)</f>
        <v>4000</v>
      </c>
      <c r="P24" s="114">
        <f>SUMIF('DTR-Q4'!$G$9:$G$1082,'DETAILED REPROT-Q4'!A24,'DTR-Q4'!$Z$9:$Z$1082)</f>
        <v>980</v>
      </c>
      <c r="Q24" s="114">
        <f>SUMIF('DTR-Q5'!$S$7:$S$585,'DETAILED REPROT-Q4'!A24,'DTR-Q5'!$Z$7:$Z$585)</f>
        <v>0</v>
      </c>
      <c r="R24" s="114">
        <f>SUMIF('DTR-Q6'!$S$7:$S$653,'DETAILED REPROT-Q4'!A24,'DTR-Q6'!$Z$7:$Z$653)</f>
        <v>0</v>
      </c>
      <c r="S24" s="97">
        <f t="shared" si="1"/>
        <v>4980</v>
      </c>
      <c r="T24" s="97">
        <f t="shared" si="2"/>
        <v>3020</v>
      </c>
      <c r="U24" s="160">
        <f t="shared" si="3"/>
        <v>0.62250000000000005</v>
      </c>
      <c r="V24" s="97"/>
    </row>
    <row r="25" spans="1:22" ht="16.5" thickBot="1">
      <c r="A25" s="72" t="s">
        <v>203</v>
      </c>
      <c r="B25" s="6" t="s">
        <v>158</v>
      </c>
      <c r="C25" s="6" t="s">
        <v>96</v>
      </c>
      <c r="D25" s="2" t="s">
        <v>326</v>
      </c>
      <c r="E25" s="14">
        <f>300*20</f>
        <v>6000</v>
      </c>
      <c r="F25" s="13">
        <v>0</v>
      </c>
      <c r="G25" s="13">
        <v>0</v>
      </c>
      <c r="H25" s="13">
        <v>0</v>
      </c>
      <c r="I25" s="13">
        <v>0</v>
      </c>
      <c r="J25" s="2"/>
      <c r="K25" s="28">
        <v>6000</v>
      </c>
      <c r="M25" s="114">
        <f>SUMIF(DTRQ1!$A$12:$A$422,'DETAILED REPROT-Q4'!A25:A142,DTRQ1!$J$12:$J$422)</f>
        <v>0</v>
      </c>
      <c r="N25" s="114">
        <f>SUMIF('DTR-Q2'!$A$12:$A$931,'DETAILED REPROT-Q4'!A25,'DTR-Q2'!$J$12:$J$931)</f>
        <v>0</v>
      </c>
      <c r="O25" s="114">
        <f>SUMIF('DTR3'!$A$12:$A$988,'DETAILED REPROT-Q4'!A25,'DTR3'!$K$12:$K$988)</f>
        <v>0</v>
      </c>
      <c r="P25" s="114">
        <f>SUMIF('DTR-Q4'!$G$9:$G$1082,'DETAILED REPROT-Q4'!A25,'DTR-Q4'!$Z$9:$Z$1082)</f>
        <v>0</v>
      </c>
      <c r="Q25" s="114">
        <f>SUMIF('DTR-Q5'!$S$7:$S$585,'DETAILED REPROT-Q4'!A25,'DTR-Q5'!$Z$7:$Z$585)</f>
        <v>45</v>
      </c>
      <c r="R25" s="114">
        <f>SUMIF('DTR-Q6'!$S$7:$S$653,'DETAILED REPROT-Q4'!A25,'DTR-Q6'!$Z$7:$Z$653)</f>
        <v>0</v>
      </c>
      <c r="S25" s="97">
        <f t="shared" si="1"/>
        <v>45</v>
      </c>
      <c r="T25" s="97">
        <f t="shared" si="2"/>
        <v>5955</v>
      </c>
      <c r="U25" s="160">
        <f t="shared" si="3"/>
        <v>7.4999999999999997E-3</v>
      </c>
      <c r="V25" s="97"/>
    </row>
    <row r="26" spans="1:22" ht="32.25" thickBot="1">
      <c r="A26" s="73"/>
      <c r="B26" s="36" t="s">
        <v>25</v>
      </c>
      <c r="C26" s="34" t="s">
        <v>20</v>
      </c>
      <c r="D26" s="34"/>
      <c r="E26" s="35">
        <f>SUM(E27:E28)</f>
        <v>8100</v>
      </c>
      <c r="F26" s="35">
        <f>SUM(F27:F28)</f>
        <v>3000</v>
      </c>
      <c r="G26" s="35">
        <f>SUM(G27:G28)</f>
        <v>3000</v>
      </c>
      <c r="H26" s="35">
        <f>SUM(H27:H28)</f>
        <v>6000</v>
      </c>
      <c r="I26" s="35">
        <v>0</v>
      </c>
      <c r="J26" s="36"/>
      <c r="K26" s="37">
        <v>20100</v>
      </c>
      <c r="M26" s="98">
        <f t="shared" ref="M26:R26" si="6">SUM(M27:M28)</f>
        <v>0</v>
      </c>
      <c r="N26" s="98">
        <f t="shared" si="6"/>
        <v>0</v>
      </c>
      <c r="O26" s="98">
        <f t="shared" si="6"/>
        <v>3489.99</v>
      </c>
      <c r="P26" s="98">
        <f t="shared" si="6"/>
        <v>1400.96</v>
      </c>
      <c r="Q26" s="98">
        <f t="shared" si="6"/>
        <v>3798.6</v>
      </c>
      <c r="R26" s="98">
        <f t="shared" si="6"/>
        <v>3545</v>
      </c>
      <c r="S26" s="98">
        <f t="shared" si="1"/>
        <v>12234.55</v>
      </c>
      <c r="T26" s="98">
        <f t="shared" si="2"/>
        <v>7865.4500000000007</v>
      </c>
      <c r="U26" s="161">
        <f t="shared" si="3"/>
        <v>0.60868407960199</v>
      </c>
      <c r="V26" s="98"/>
    </row>
    <row r="27" spans="1:22" ht="16.5" thickBot="1">
      <c r="A27" s="72" t="s">
        <v>204</v>
      </c>
      <c r="B27" s="6" t="s">
        <v>159</v>
      </c>
      <c r="C27" s="6" t="s">
        <v>97</v>
      </c>
      <c r="D27" s="10" t="s">
        <v>325</v>
      </c>
      <c r="E27" s="13">
        <v>0</v>
      </c>
      <c r="F27" s="13">
        <f>1000*3</f>
        <v>3000</v>
      </c>
      <c r="G27" s="13">
        <f>1000*3</f>
        <v>3000</v>
      </c>
      <c r="H27" s="13">
        <f>1000*3 + 1000*3</f>
        <v>6000</v>
      </c>
      <c r="I27" s="13">
        <v>0</v>
      </c>
      <c r="J27" s="2"/>
      <c r="K27" s="28">
        <v>12000</v>
      </c>
      <c r="M27" s="114">
        <f>SUMIF(DTRQ1!$A$12:$A$422,'DETAILED REPROT-Q4'!A27:A142,DTRQ1!$J$12:$J$422)</f>
        <v>0</v>
      </c>
      <c r="N27" s="114">
        <f>SUMIF('DTR-Q2'!$A$12:$A$931,'DETAILED REPROT-Q4'!A27,'DTR-Q2'!$J$12:$J$931)</f>
        <v>0</v>
      </c>
      <c r="O27" s="114">
        <f>SUMIF('DTR3'!$A$12:$A$988,'DETAILED REPROT-Q4'!A27,'DTR3'!$K$12:$K$988)</f>
        <v>0</v>
      </c>
      <c r="P27" s="114">
        <f>SUMIF('DTR-Q4'!$G$9:$G$1082,'DETAILED REPROT-Q4'!A27,'DTR-Q4'!$Z$9:$Z$1082)</f>
        <v>0</v>
      </c>
      <c r="Q27" s="114">
        <f>SUMIF('DTR-Q5'!$S$7:$S$585,'DETAILED REPROT-Q4'!A27,'DTR-Q5'!$Z$7:$Z$585)</f>
        <v>3798.6</v>
      </c>
      <c r="R27" s="114">
        <f>SUMIF('DTR-Q6'!$S$7:$S$653,'DETAILED REPROT-Q4'!A27,'DTR-Q6'!$Z$7:$Z$653)</f>
        <v>3545</v>
      </c>
      <c r="S27" s="97">
        <f t="shared" si="1"/>
        <v>7343.6</v>
      </c>
      <c r="T27" s="97">
        <f t="shared" si="2"/>
        <v>4656.3999999999996</v>
      </c>
      <c r="U27" s="160">
        <f t="shared" si="3"/>
        <v>0.61196666666666666</v>
      </c>
      <c r="V27" s="97"/>
    </row>
    <row r="28" spans="1:22" ht="16.5" thickBot="1">
      <c r="A28" s="72" t="s">
        <v>205</v>
      </c>
      <c r="B28" s="6" t="s">
        <v>160</v>
      </c>
      <c r="C28" s="6" t="s">
        <v>98</v>
      </c>
      <c r="D28" s="2" t="s">
        <v>326</v>
      </c>
      <c r="E28" s="13">
        <f>7*300+ 6000</f>
        <v>8100</v>
      </c>
      <c r="F28" s="13">
        <v>0</v>
      </c>
      <c r="G28" s="13">
        <v>0</v>
      </c>
      <c r="H28" s="13">
        <v>0</v>
      </c>
      <c r="I28" s="13">
        <v>0</v>
      </c>
      <c r="J28" s="2"/>
      <c r="K28" s="28">
        <v>8100</v>
      </c>
      <c r="M28" s="114">
        <f>SUMIF(DTRQ1!$A$12:$A$422,'DETAILED REPROT-Q4'!A28:A142,DTRQ1!$J$12:$J$422)</f>
        <v>0</v>
      </c>
      <c r="N28" s="114">
        <f>SUMIF('DTR-Q2'!$A$12:$A$931,'DETAILED REPROT-Q4'!A28,'DTR-Q2'!$J$12:$J$931)</f>
        <v>0</v>
      </c>
      <c r="O28" s="114">
        <f>SUMIF('DTR3'!$A$12:$A$988,'DETAILED REPROT-Q4'!A28,'DTR3'!$K$12:$K$988)</f>
        <v>3489.99</v>
      </c>
      <c r="P28" s="114">
        <f>SUMIF('DTR-Q4'!$G$9:$G$1082,'DETAILED REPROT-Q4'!A28,'DTR-Q4'!$Z$9:$Z$1082)</f>
        <v>1400.96</v>
      </c>
      <c r="Q28" s="114">
        <f>SUMIF('DTR-Q5'!$S$7:$S$585,'DETAILED REPROT-Q4'!A28,'DTR-Q5'!$Z$7:$Z$585)</f>
        <v>0</v>
      </c>
      <c r="R28" s="114">
        <f>SUMIF('DTR-Q6'!$S$7:$S$653,'DETAILED REPROT-Q4'!A28,'DTR-Q6'!$Z$7:$Z$653)</f>
        <v>0</v>
      </c>
      <c r="S28" s="97">
        <f t="shared" si="1"/>
        <v>4890.95</v>
      </c>
      <c r="T28" s="97">
        <f t="shared" si="2"/>
        <v>3209.05</v>
      </c>
      <c r="U28" s="160">
        <f t="shared" si="3"/>
        <v>0.60382098765432102</v>
      </c>
      <c r="V28" s="97"/>
    </row>
    <row r="29" spans="1:22" ht="32.25" thickBot="1">
      <c r="A29" s="72" t="s">
        <v>206</v>
      </c>
      <c r="B29" s="2" t="s">
        <v>26</v>
      </c>
      <c r="C29" s="10" t="s">
        <v>21</v>
      </c>
      <c r="D29" s="10" t="s">
        <v>325</v>
      </c>
      <c r="E29" s="13"/>
      <c r="F29" s="13">
        <f>1000*6</f>
        <v>6000</v>
      </c>
      <c r="G29" s="13">
        <f>1000*6</f>
        <v>6000</v>
      </c>
      <c r="H29" s="13">
        <f>1000*6+1000*6</f>
        <v>12000</v>
      </c>
      <c r="I29" s="13">
        <v>0</v>
      </c>
      <c r="J29" s="2"/>
      <c r="K29" s="28">
        <v>24000</v>
      </c>
      <c r="M29" s="114">
        <f>SUMIF(DTRQ1!$A$12:$A$422,'DETAILED REPROT-Q4'!A29:A142,DTRQ1!$J$12:$J$422)</f>
        <v>0</v>
      </c>
      <c r="N29" s="114">
        <f>SUMIF('DTR-Q2'!$A$12:$A$931,'DETAILED REPROT-Q4'!A29,'DTR-Q2'!$J$12:$J$931)</f>
        <v>0</v>
      </c>
      <c r="O29" s="114">
        <f>SUMIF('DTR3'!$A$12:$A$988,'DETAILED REPROT-Q4'!A29,'DTR3'!$K$12:$K$988)</f>
        <v>980</v>
      </c>
      <c r="P29" s="114">
        <f>SUMIF('DTR-Q4'!$G$9:$G$1082,'DETAILED REPROT-Q4'!A29,'DTR-Q4'!$Z$9:$Z$1082)</f>
        <v>270</v>
      </c>
      <c r="Q29" s="114">
        <f>SUMIF('DTR-Q5'!$S$7:$S$585,'DETAILED REPROT-Q4'!A29,'DTR-Q5'!$Z$7:$Z$585)</f>
        <v>0</v>
      </c>
      <c r="R29" s="114">
        <f>SUMIF('DTR-Q6'!$S$7:$S$653,'DETAILED REPROT-Q4'!A29,'DTR-Q6'!$Z$7:$Z$653)</f>
        <v>4441</v>
      </c>
      <c r="S29" s="97">
        <f t="shared" si="1"/>
        <v>5691</v>
      </c>
      <c r="T29" s="97">
        <f t="shared" si="2"/>
        <v>18309</v>
      </c>
      <c r="U29" s="160">
        <f t="shared" si="3"/>
        <v>0.237125</v>
      </c>
      <c r="V29" s="97"/>
    </row>
    <row r="30" spans="1:22" ht="32.25" thickBot="1">
      <c r="A30" s="72" t="s">
        <v>207</v>
      </c>
      <c r="B30" s="2" t="s">
        <v>27</v>
      </c>
      <c r="C30" s="10" t="s">
        <v>22</v>
      </c>
      <c r="D30" s="10" t="s">
        <v>325</v>
      </c>
      <c r="E30" s="13">
        <v>0</v>
      </c>
      <c r="F30" s="13">
        <f>1200*5</f>
        <v>6000</v>
      </c>
      <c r="G30" s="13">
        <f>1200*5</f>
        <v>6000</v>
      </c>
      <c r="H30" s="13">
        <f>1200*5 + 1200*5</f>
        <v>12000</v>
      </c>
      <c r="I30" s="13">
        <v>0</v>
      </c>
      <c r="J30" s="2"/>
      <c r="K30" s="28">
        <v>24000</v>
      </c>
      <c r="M30" s="114">
        <f>SUMIF(DTRQ1!$A$12:$A$422,'DETAILED REPROT-Q4'!A30:A142,DTRQ1!$J$12:$J$422)</f>
        <v>0</v>
      </c>
      <c r="N30" s="114">
        <f>SUMIF('DTR-Q2'!$A$12:$A$931,'DETAILED REPROT-Q4'!A30,'DTR-Q2'!$J$12:$J$931)</f>
        <v>0</v>
      </c>
      <c r="O30" s="114">
        <f>SUMIF('DTR3'!$A$12:$A$988,'DETAILED REPROT-Q4'!A30,'DTR3'!$K$12:$K$988)</f>
        <v>0</v>
      </c>
      <c r="P30" s="114">
        <f>SUMIF('DTR-Q4'!$G$9:$G$1082,'DETAILED REPROT-Q4'!A30,'DTR-Q4'!$Z$9:$Z$1082)</f>
        <v>0</v>
      </c>
      <c r="Q30" s="114">
        <f>SUMIF('DTR-Q5'!$S$7:$S$585,'DETAILED REPROT-Q4'!A30,'DTR-Q5'!$Z$7:$Z$585)</f>
        <v>0</v>
      </c>
      <c r="R30" s="114">
        <f>SUMIF('DTR-Q6'!$S$7:$S$653,'DETAILED REPROT-Q4'!A30,'DTR-Q6'!$Z$7:$Z$653)</f>
        <v>450</v>
      </c>
      <c r="S30" s="97">
        <f t="shared" si="1"/>
        <v>450</v>
      </c>
      <c r="T30" s="97">
        <f t="shared" si="2"/>
        <v>23550</v>
      </c>
      <c r="U30" s="160">
        <f t="shared" si="3"/>
        <v>1.8749999999999999E-2</v>
      </c>
      <c r="V30" s="97"/>
    </row>
    <row r="31" spans="1:22" ht="48" thickBot="1">
      <c r="A31" s="72" t="s">
        <v>208</v>
      </c>
      <c r="B31" s="2" t="s">
        <v>28</v>
      </c>
      <c r="C31" s="10" t="s">
        <v>24</v>
      </c>
      <c r="D31" s="10" t="s">
        <v>325</v>
      </c>
      <c r="E31" s="13">
        <v>0</v>
      </c>
      <c r="F31" s="13">
        <f>3000*5</f>
        <v>15000</v>
      </c>
      <c r="G31" s="13">
        <v>0</v>
      </c>
      <c r="H31" s="13">
        <v>0</v>
      </c>
      <c r="I31" s="13">
        <v>0</v>
      </c>
      <c r="J31" s="2"/>
      <c r="K31" s="28">
        <v>15000</v>
      </c>
      <c r="M31" s="114">
        <f>SUMIF(DTRQ1!$A$12:$A$422,'DETAILED REPROT-Q4'!A31:A143,DTRQ1!$J$12:$J$422)</f>
        <v>0</v>
      </c>
      <c r="N31" s="114">
        <f>SUMIF('DTR-Q2'!$A$12:$A$931,'DETAILED REPROT-Q4'!A31,'DTR-Q2'!$J$12:$J$931)</f>
        <v>0</v>
      </c>
      <c r="O31" s="114">
        <f>SUMIF('DTR3'!$A$12:$A$988,'DETAILED REPROT-Q4'!A31,'DTR3'!$K$12:$K$988)</f>
        <v>0</v>
      </c>
      <c r="P31" s="114">
        <f>SUMIF('DTR-Q4'!$G$9:$G$1082,'DETAILED REPROT-Q4'!A31,'DTR-Q4'!$Z$9:$Z$1082)</f>
        <v>0</v>
      </c>
      <c r="Q31" s="114">
        <f>SUMIF('DTR-Q5'!$S$7:$S$585,'DETAILED REPROT-Q4'!A31,'DTR-Q5'!$Z$7:$Z$585)</f>
        <v>0</v>
      </c>
      <c r="R31" s="114">
        <f>SUMIF('DTR-Q6'!$S$7:$S$653,'DETAILED REPROT-Q4'!A31,'DTR-Q6'!$Z$7:$Z$653)</f>
        <v>0</v>
      </c>
      <c r="S31" s="97">
        <f t="shared" si="1"/>
        <v>0</v>
      </c>
      <c r="T31" s="97">
        <f t="shared" si="2"/>
        <v>15000</v>
      </c>
      <c r="U31" s="160">
        <f t="shared" si="3"/>
        <v>0</v>
      </c>
      <c r="V31" s="97"/>
    </row>
    <row r="32" spans="1:22" ht="48" thickBot="1">
      <c r="A32" s="72" t="s">
        <v>209</v>
      </c>
      <c r="B32" s="2" t="s">
        <v>30</v>
      </c>
      <c r="C32" s="10" t="s">
        <v>29</v>
      </c>
      <c r="D32" s="2" t="s">
        <v>326</v>
      </c>
      <c r="E32" s="13">
        <f>(300*15)+2000</f>
        <v>6500</v>
      </c>
      <c r="F32" s="13">
        <v>0</v>
      </c>
      <c r="G32" s="13">
        <v>0</v>
      </c>
      <c r="H32" s="13">
        <v>0</v>
      </c>
      <c r="I32" s="13">
        <v>0</v>
      </c>
      <c r="J32" s="2"/>
      <c r="K32" s="28">
        <v>6500</v>
      </c>
      <c r="M32" s="114">
        <f>SUMIF(DTRQ1!$A$12:$A$422,'DETAILED REPROT-Q4'!A32:A144,DTRQ1!$J$12:$J$422)</f>
        <v>0</v>
      </c>
      <c r="N32" s="114">
        <f>SUMIF('DTR-Q2'!$A$12:$A$931,'DETAILED REPROT-Q4'!A32,'DTR-Q2'!$J$12:$J$931)</f>
        <v>0</v>
      </c>
      <c r="O32" s="114">
        <f>SUMIF('DTR3'!$A$12:$A$988,'DETAILED REPROT-Q4'!A32,'DTR3'!$K$12:$K$988)</f>
        <v>0</v>
      </c>
      <c r="P32" s="114">
        <f>SUMIF('DTR-Q4'!$G$9:$G$1082,'DETAILED REPROT-Q4'!A32,'DTR-Q4'!$Z$9:$Z$1082)</f>
        <v>0</v>
      </c>
      <c r="Q32" s="114">
        <f>SUMIF('DTR-Q5'!$S$7:$S$585,'DETAILED REPROT-Q4'!A32,'DTR-Q5'!$Z$7:$Z$585)</f>
        <v>0</v>
      </c>
      <c r="R32" s="114">
        <f>SUMIF('DTR-Q6'!$S$7:$S$653,'DETAILED REPROT-Q4'!A32,'DTR-Q6'!$Z$7:$Z$653)</f>
        <v>0</v>
      </c>
      <c r="S32" s="97">
        <f t="shared" si="1"/>
        <v>0</v>
      </c>
      <c r="T32" s="97">
        <f t="shared" si="2"/>
        <v>6500</v>
      </c>
      <c r="U32" s="160">
        <f t="shared" si="3"/>
        <v>0</v>
      </c>
      <c r="V32" s="97"/>
    </row>
    <row r="33" spans="1:22" ht="79.5" thickBot="1">
      <c r="A33" s="73"/>
      <c r="B33" s="29" t="s">
        <v>32</v>
      </c>
      <c r="C33" s="29" t="s">
        <v>31</v>
      </c>
      <c r="D33" s="29"/>
      <c r="E33" s="30">
        <f>E34</f>
        <v>3524</v>
      </c>
      <c r="F33" s="30">
        <f>F34</f>
        <v>6000</v>
      </c>
      <c r="G33" s="30">
        <f>G34</f>
        <v>6000</v>
      </c>
      <c r="H33" s="30">
        <f>H34</f>
        <v>12000</v>
      </c>
      <c r="I33" s="31">
        <v>0</v>
      </c>
      <c r="J33" s="32"/>
      <c r="K33" s="33">
        <v>27524</v>
      </c>
      <c r="M33" s="96">
        <f t="shared" ref="M33:R33" si="7">M34</f>
        <v>0</v>
      </c>
      <c r="N33" s="96">
        <f t="shared" si="7"/>
        <v>9313.36</v>
      </c>
      <c r="O33" s="96">
        <f t="shared" si="7"/>
        <v>2196.64</v>
      </c>
      <c r="P33" s="96">
        <f t="shared" si="7"/>
        <v>771.57999999999993</v>
      </c>
      <c r="Q33" s="96">
        <f t="shared" si="7"/>
        <v>281.56</v>
      </c>
      <c r="R33" s="96">
        <f t="shared" si="7"/>
        <v>3357.69</v>
      </c>
      <c r="S33" s="96">
        <f t="shared" si="1"/>
        <v>15920.83</v>
      </c>
      <c r="T33" s="96">
        <f t="shared" si="2"/>
        <v>11603.17</v>
      </c>
      <c r="U33" s="159">
        <f t="shared" si="3"/>
        <v>0.57843445720098818</v>
      </c>
      <c r="V33" s="96"/>
    </row>
    <row r="34" spans="1:22" ht="79.5" thickBot="1">
      <c r="A34" s="73"/>
      <c r="B34" s="36" t="s">
        <v>34</v>
      </c>
      <c r="C34" s="34" t="s">
        <v>33</v>
      </c>
      <c r="D34" s="34"/>
      <c r="E34" s="35">
        <f>SUM(E35:E36)</f>
        <v>3524</v>
      </c>
      <c r="F34" s="35">
        <f>SUM(F35:F36)</f>
        <v>6000</v>
      </c>
      <c r="G34" s="35">
        <f>SUM(G35:G36)</f>
        <v>6000</v>
      </c>
      <c r="H34" s="35">
        <f>SUM(H35:H36)</f>
        <v>12000</v>
      </c>
      <c r="I34" s="35">
        <v>0</v>
      </c>
      <c r="J34" s="36"/>
      <c r="K34" s="37">
        <v>27524</v>
      </c>
      <c r="M34" s="98">
        <f t="shared" ref="M34:R34" si="8">SUM(M35:M36)</f>
        <v>0</v>
      </c>
      <c r="N34" s="98">
        <f t="shared" si="8"/>
        <v>9313.36</v>
      </c>
      <c r="O34" s="98">
        <f t="shared" si="8"/>
        <v>2196.64</v>
      </c>
      <c r="P34" s="98">
        <f t="shared" si="8"/>
        <v>771.57999999999993</v>
      </c>
      <c r="Q34" s="98">
        <f t="shared" si="8"/>
        <v>281.56</v>
      </c>
      <c r="R34" s="98">
        <f t="shared" si="8"/>
        <v>3357.69</v>
      </c>
      <c r="S34" s="98">
        <f t="shared" si="1"/>
        <v>15920.83</v>
      </c>
      <c r="T34" s="98">
        <f t="shared" si="2"/>
        <v>11603.17</v>
      </c>
      <c r="U34" s="161">
        <f t="shared" si="3"/>
        <v>0.57843445720098818</v>
      </c>
      <c r="V34" s="98"/>
    </row>
    <row r="35" spans="1:22" ht="32.25" thickBot="1">
      <c r="A35" s="72" t="s">
        <v>210</v>
      </c>
      <c r="B35" s="6" t="s">
        <v>161</v>
      </c>
      <c r="C35" s="6" t="s">
        <v>99</v>
      </c>
      <c r="D35" s="2" t="s">
        <v>326</v>
      </c>
      <c r="E35" s="13">
        <f>300*10+524</f>
        <v>3524</v>
      </c>
      <c r="F35" s="12">
        <v>0</v>
      </c>
      <c r="G35" s="12">
        <v>0</v>
      </c>
      <c r="H35" s="12">
        <v>0</v>
      </c>
      <c r="I35" s="13">
        <v>0</v>
      </c>
      <c r="J35" s="2"/>
      <c r="K35" s="28">
        <v>3524</v>
      </c>
      <c r="M35" s="114">
        <f>SUMIF(DTRQ1!$A$12:$A$422,'DETAILED REPROT-Q4'!A35:A147,DTRQ1!$J$12:$J$422)</f>
        <v>0</v>
      </c>
      <c r="N35" s="114">
        <f>SUMIF('DTR-Q2'!$A$12:$A$931,'DETAILED REPROT-Q4'!A35,'DTR-Q2'!$J$12:$J$931)</f>
        <v>0</v>
      </c>
      <c r="O35" s="114">
        <f>SUMIF('DTR3'!$A$12:$A$988,'DETAILED REPROT-Q4'!A35,'DTR3'!$K$12:$K$988)</f>
        <v>0</v>
      </c>
      <c r="P35" s="114">
        <f>SUMIF('DTR-Q4'!$G$9:$G$1082,'DETAILED REPROT-Q4'!A35,'DTR-Q4'!$Z$9:$Z$1082)</f>
        <v>0</v>
      </c>
      <c r="Q35" s="114">
        <f>SUMIF('DTR-Q5'!$S$7:$S$585,'DETAILED REPROT-Q4'!A35,'DTR-Q5'!$Z$7:$Z$585)</f>
        <v>0</v>
      </c>
      <c r="R35" s="114">
        <f>SUMIF('DTR-Q6'!$S$7:$S$653,'DETAILED REPROT-Q4'!A35,'DTR-Q6'!$Z$7:$Z$653)</f>
        <v>905.15</v>
      </c>
      <c r="S35" s="73">
        <f t="shared" si="1"/>
        <v>905.15</v>
      </c>
      <c r="T35" s="73">
        <f t="shared" si="2"/>
        <v>2618.85</v>
      </c>
      <c r="U35" s="162">
        <f t="shared" si="3"/>
        <v>0.25685300794551646</v>
      </c>
      <c r="V35" s="73"/>
    </row>
    <row r="36" spans="1:22" ht="16.5" thickBot="1">
      <c r="A36" s="72" t="s">
        <v>211</v>
      </c>
      <c r="B36" s="6" t="s">
        <v>162</v>
      </c>
      <c r="C36" s="6" t="s">
        <v>100</v>
      </c>
      <c r="D36" s="10" t="s">
        <v>325</v>
      </c>
      <c r="E36" s="13">
        <v>0</v>
      </c>
      <c r="F36" s="13">
        <f>6000</f>
        <v>6000</v>
      </c>
      <c r="G36" s="13">
        <f>6000</f>
        <v>6000</v>
      </c>
      <c r="H36" s="13">
        <f>6000 + 6000</f>
        <v>12000</v>
      </c>
      <c r="I36" s="13">
        <v>0</v>
      </c>
      <c r="J36" s="2"/>
      <c r="K36" s="28">
        <v>24000</v>
      </c>
      <c r="M36" s="114">
        <f>SUMIF(DTRQ1!$A$12:$A$422,'DETAILED REPROT-Q4'!A36:A148,DTRQ1!$J$12:$J$422)</f>
        <v>0</v>
      </c>
      <c r="N36" s="114">
        <f>SUMIF('DTR-Q2'!$A$12:$A$931,'DETAILED REPROT-Q4'!A36,'DTR-Q2'!$J$12:$J$931)</f>
        <v>9313.36</v>
      </c>
      <c r="O36" s="114">
        <f>SUMIF('DTR3'!$A$12:$A$988,'DETAILED REPROT-Q4'!A36,'DTR3'!$K$12:$K$988)</f>
        <v>2196.64</v>
      </c>
      <c r="P36" s="114">
        <f>SUMIF('DTR-Q4'!$G$9:$G$1082,'DETAILED REPROT-Q4'!A36,'DTR-Q4'!$Z$9:$Z$1082)</f>
        <v>771.57999999999993</v>
      </c>
      <c r="Q36" s="114">
        <f>SUMIF('DTR-Q5'!$S$7:$S$585,'DETAILED REPROT-Q4'!A36,'DTR-Q5'!$Z$7:$Z$585)</f>
        <v>281.56</v>
      </c>
      <c r="R36" s="114">
        <f>SUMIF('DTR-Q6'!$S$7:$S$653,'DETAILED REPROT-Q4'!A36,'DTR-Q6'!$Z$7:$Z$653)</f>
        <v>2452.54</v>
      </c>
      <c r="S36" s="73">
        <f t="shared" si="1"/>
        <v>15015.68</v>
      </c>
      <c r="T36" s="73">
        <f t="shared" si="2"/>
        <v>8984.32</v>
      </c>
      <c r="U36" s="162">
        <f t="shared" si="3"/>
        <v>0.62565333333333339</v>
      </c>
      <c r="V36" s="73"/>
    </row>
    <row r="37" spans="1:22" ht="16.5" thickBot="1">
      <c r="A37" s="73"/>
      <c r="B37" s="39" t="s">
        <v>151</v>
      </c>
      <c r="C37" s="38">
        <f>SUM(E37:H37)</f>
        <v>148124</v>
      </c>
      <c r="D37" s="38"/>
      <c r="E37" s="38">
        <f>E18+E33</f>
        <v>27124</v>
      </c>
      <c r="F37" s="38">
        <f>F18+F33</f>
        <v>41500</v>
      </c>
      <c r="G37" s="38">
        <f>G18+G33</f>
        <v>26500</v>
      </c>
      <c r="H37" s="38">
        <f>H18+H33</f>
        <v>53000</v>
      </c>
      <c r="I37" s="39"/>
      <c r="J37" s="39"/>
      <c r="K37" s="40">
        <v>148124</v>
      </c>
      <c r="M37" s="99">
        <f t="shared" ref="M37:R37" si="9">M18+M33</f>
        <v>0</v>
      </c>
      <c r="N37" s="99">
        <f t="shared" si="9"/>
        <v>15539.070000000002</v>
      </c>
      <c r="O37" s="99">
        <f t="shared" si="9"/>
        <v>20390.39</v>
      </c>
      <c r="P37" s="99">
        <f t="shared" si="9"/>
        <v>3532.54</v>
      </c>
      <c r="Q37" s="99">
        <f t="shared" si="9"/>
        <v>4364</v>
      </c>
      <c r="R37" s="99">
        <f t="shared" si="9"/>
        <v>11863.11</v>
      </c>
      <c r="S37" s="99">
        <f t="shared" si="1"/>
        <v>55689.11</v>
      </c>
      <c r="T37" s="99">
        <f t="shared" si="2"/>
        <v>92434.89</v>
      </c>
      <c r="U37" s="163">
        <f t="shared" si="3"/>
        <v>0.37596277443223247</v>
      </c>
      <c r="V37" s="99"/>
    </row>
    <row r="38" spans="1:22" ht="16.5" customHeight="1" thickBot="1">
      <c r="A38" s="73"/>
      <c r="B38" s="42" t="s">
        <v>192</v>
      </c>
      <c r="C38" s="42"/>
      <c r="D38" s="42"/>
      <c r="E38" s="42"/>
      <c r="F38" s="42"/>
      <c r="G38" s="42"/>
      <c r="H38" s="42"/>
      <c r="I38" s="42"/>
      <c r="J38" s="42"/>
      <c r="K38" s="42"/>
      <c r="M38" s="100"/>
      <c r="N38" s="100"/>
      <c r="O38" s="100"/>
      <c r="P38" s="100"/>
      <c r="Q38" s="100"/>
      <c r="R38" s="100"/>
      <c r="S38" s="100"/>
      <c r="T38" s="100"/>
      <c r="U38" s="164"/>
      <c r="V38" s="100"/>
    </row>
    <row r="39" spans="1:22" ht="16.5" thickBot="1">
      <c r="A39" s="73"/>
      <c r="B39" s="29" t="s">
        <v>41</v>
      </c>
      <c r="C39" s="29" t="s">
        <v>35</v>
      </c>
      <c r="D39" s="29"/>
      <c r="E39" s="30">
        <f>E40+E43+E46+E49</f>
        <v>4500</v>
      </c>
      <c r="F39" s="30">
        <f>F40+F43+F46+F49+F52</f>
        <v>13783.2</v>
      </c>
      <c r="G39" s="30">
        <f>G40+G43+G46+G49+G52</f>
        <v>18283.2</v>
      </c>
      <c r="H39" s="30">
        <f>H40+H43+H46+H49+H52</f>
        <v>27566.400000000001</v>
      </c>
      <c r="I39" s="31">
        <v>0.5</v>
      </c>
      <c r="J39" s="32"/>
      <c r="K39" s="33">
        <v>64132.800000000003</v>
      </c>
      <c r="M39" s="96">
        <f t="shared" ref="M39:R39" si="10">M40+M43+M46+M49+M52</f>
        <v>0</v>
      </c>
      <c r="N39" s="96">
        <f t="shared" si="10"/>
        <v>144.11000000000001</v>
      </c>
      <c r="O39" s="96">
        <f t="shared" si="10"/>
        <v>16505.84</v>
      </c>
      <c r="P39" s="96">
        <f t="shared" si="10"/>
        <v>3372.1499999999996</v>
      </c>
      <c r="Q39" s="96">
        <f t="shared" si="10"/>
        <v>52.68</v>
      </c>
      <c r="R39" s="96">
        <f t="shared" si="10"/>
        <v>6621.5</v>
      </c>
      <c r="S39" s="96">
        <f t="shared" si="1"/>
        <v>26696.28</v>
      </c>
      <c r="T39" s="96">
        <f t="shared" si="2"/>
        <v>37436.520000000004</v>
      </c>
      <c r="U39" s="159">
        <f t="shared" si="3"/>
        <v>0.41626562383055155</v>
      </c>
      <c r="V39" s="96"/>
    </row>
    <row r="40" spans="1:22" ht="32.25" thickBot="1">
      <c r="A40" s="73"/>
      <c r="B40" s="66" t="s">
        <v>42</v>
      </c>
      <c r="C40" s="34" t="s">
        <v>36</v>
      </c>
      <c r="D40" s="34"/>
      <c r="E40" s="35">
        <f>SUM(E41:E42)</f>
        <v>1500</v>
      </c>
      <c r="F40" s="35">
        <f>SUM(F41:F42)</f>
        <v>0</v>
      </c>
      <c r="G40" s="35">
        <f>SUM(G41:G42)</f>
        <v>4500</v>
      </c>
      <c r="H40" s="35">
        <f>SUM(H41:H42)</f>
        <v>0</v>
      </c>
      <c r="I40" s="35">
        <v>0</v>
      </c>
      <c r="J40" s="36"/>
      <c r="K40" s="37">
        <v>6000</v>
      </c>
      <c r="M40" s="98">
        <f t="shared" ref="M40:R40" si="11">SUM(M41:M42)</f>
        <v>0</v>
      </c>
      <c r="N40" s="98">
        <f t="shared" si="11"/>
        <v>143</v>
      </c>
      <c r="O40" s="98">
        <f t="shared" si="11"/>
        <v>3220</v>
      </c>
      <c r="P40" s="98">
        <f t="shared" si="11"/>
        <v>0</v>
      </c>
      <c r="Q40" s="98">
        <f t="shared" si="11"/>
        <v>0</v>
      </c>
      <c r="R40" s="98">
        <f t="shared" si="11"/>
        <v>0</v>
      </c>
      <c r="S40" s="98">
        <f t="shared" si="1"/>
        <v>3363</v>
      </c>
      <c r="T40" s="98">
        <f t="shared" si="2"/>
        <v>2637</v>
      </c>
      <c r="U40" s="161">
        <f t="shared" si="3"/>
        <v>0.5605</v>
      </c>
      <c r="V40" s="98"/>
    </row>
    <row r="41" spans="1:22" ht="16.5" thickBot="1">
      <c r="A41" s="72" t="s">
        <v>212</v>
      </c>
      <c r="B41" s="67" t="s">
        <v>163</v>
      </c>
      <c r="C41" s="6" t="s">
        <v>101</v>
      </c>
      <c r="D41" s="2" t="s">
        <v>326</v>
      </c>
      <c r="E41" s="13">
        <f>300*5</f>
        <v>1500</v>
      </c>
      <c r="F41" s="13">
        <v>0</v>
      </c>
      <c r="G41" s="13">
        <v>0</v>
      </c>
      <c r="H41" s="13">
        <v>0</v>
      </c>
      <c r="I41" s="13">
        <v>0</v>
      </c>
      <c r="J41" s="2"/>
      <c r="K41" s="28">
        <v>1500</v>
      </c>
      <c r="M41" s="114">
        <f>SUMIF(DTRQ1!$A$12:$A$422,'DETAILED REPROT-Q4'!A41:A153,DTRQ1!$J$12:$J$422)</f>
        <v>0</v>
      </c>
      <c r="N41" s="114">
        <f>SUMIF('DTR-Q2'!$A$12:$A$931,'DETAILED REPROT-Q4'!A41,'DTR-Q2'!$J$12:$J$931)</f>
        <v>77</v>
      </c>
      <c r="O41" s="114">
        <f>SUMIF('DTR3'!$A$12:$A$988,'DETAILED REPROT-Q4'!A41,'DTR3'!$K$12:$K$988)</f>
        <v>1420</v>
      </c>
      <c r="P41" s="114">
        <f>SUMIF('DTR-Q4'!$G$9:$G$1082,'DETAILED REPROT-Q4'!A41,'DTR-Q4'!$Z$9:$Z$1082)</f>
        <v>0</v>
      </c>
      <c r="Q41" s="114">
        <f>SUMIF('DTR-Q5'!$S$7:$S$585,'DETAILED REPROT-Q4'!A41,'DTR-Q5'!$Z$7:$Z$585)</f>
        <v>0</v>
      </c>
      <c r="R41" s="114">
        <f>SUMIF('DTR-Q6'!$S$7:$S$653,'DETAILED REPROT-Q4'!A41,'DTR-Q6'!$Z$7:$Z$653)</f>
        <v>0</v>
      </c>
      <c r="S41" s="73">
        <f t="shared" si="1"/>
        <v>1497</v>
      </c>
      <c r="T41" s="73">
        <f t="shared" si="2"/>
        <v>3</v>
      </c>
      <c r="U41" s="162">
        <f t="shared" si="3"/>
        <v>0.998</v>
      </c>
      <c r="V41" s="73"/>
    </row>
    <row r="42" spans="1:22" ht="16.5" thickBot="1">
      <c r="A42" s="72" t="s">
        <v>213</v>
      </c>
      <c r="B42" s="67" t="s">
        <v>164</v>
      </c>
      <c r="C42" s="6" t="s">
        <v>102</v>
      </c>
      <c r="D42" s="10" t="s">
        <v>325</v>
      </c>
      <c r="E42" s="13">
        <v>0</v>
      </c>
      <c r="F42" s="13">
        <v>0</v>
      </c>
      <c r="G42" s="13">
        <f>4500</f>
        <v>4500</v>
      </c>
      <c r="H42" s="13">
        <v>0</v>
      </c>
      <c r="I42" s="13">
        <v>0</v>
      </c>
      <c r="J42" s="2"/>
      <c r="K42" s="28">
        <v>4500</v>
      </c>
      <c r="M42" s="114">
        <f>SUMIF(DTRQ1!$A$12:$A$422,'DETAILED REPROT-Q4'!A42:A154,DTRQ1!$J$12:$J$422)</f>
        <v>0</v>
      </c>
      <c r="N42" s="114">
        <f>SUMIF('DTR-Q2'!$A$12:$A$931,'DETAILED REPROT-Q4'!A42,'DTR-Q2'!$J$12:$J$931)</f>
        <v>66</v>
      </c>
      <c r="O42" s="114">
        <f>SUMIF('DTR3'!$A$12:$A$988,'DETAILED REPROT-Q4'!A42,'DTR3'!$K$12:$K$988)</f>
        <v>1800</v>
      </c>
      <c r="P42" s="114">
        <f>SUMIF('DTR-Q4'!$G$9:$G$1082,'DETAILED REPROT-Q4'!A42,'DTR-Q4'!$Z$9:$Z$1082)</f>
        <v>0</v>
      </c>
      <c r="Q42" s="114">
        <f>SUMIF('DTR-Q5'!$S$7:$S$585,'DETAILED REPROT-Q4'!A42,'DTR-Q5'!$Z$7:$Z$585)</f>
        <v>0</v>
      </c>
      <c r="R42" s="114">
        <f>SUMIF('DTR-Q6'!$S$7:$S$653,'DETAILED REPROT-Q4'!A42,'DTR-Q6'!$Z$7:$Z$653)</f>
        <v>0</v>
      </c>
      <c r="S42" s="73">
        <f t="shared" si="1"/>
        <v>1866</v>
      </c>
      <c r="T42" s="73">
        <f t="shared" si="2"/>
        <v>2634</v>
      </c>
      <c r="U42" s="162">
        <f t="shared" si="3"/>
        <v>0.41466666666666668</v>
      </c>
      <c r="V42" s="73"/>
    </row>
    <row r="43" spans="1:22" ht="32.25" thickBot="1">
      <c r="A43" s="73"/>
      <c r="B43" s="66" t="s">
        <v>43</v>
      </c>
      <c r="C43" s="34" t="s">
        <v>37</v>
      </c>
      <c r="D43" s="34"/>
      <c r="E43" s="35">
        <f>SUM(E44:E45)</f>
        <v>0</v>
      </c>
      <c r="F43" s="35">
        <f>SUM(F44:F45)</f>
        <v>3333.2</v>
      </c>
      <c r="G43" s="35">
        <f>SUM(G44:G45)</f>
        <v>3333.2</v>
      </c>
      <c r="H43" s="35">
        <f>SUM(H44:H45)</f>
        <v>6666.4</v>
      </c>
      <c r="I43" s="35">
        <v>0</v>
      </c>
      <c r="J43" s="36"/>
      <c r="K43" s="37">
        <v>13332.8</v>
      </c>
      <c r="M43" s="98">
        <f t="shared" ref="M43:R43" si="12">SUM(M44:M45)</f>
        <v>0</v>
      </c>
      <c r="N43" s="98">
        <f t="shared" si="12"/>
        <v>0</v>
      </c>
      <c r="O43" s="98">
        <f t="shared" si="12"/>
        <v>13208</v>
      </c>
      <c r="P43" s="98">
        <f t="shared" si="12"/>
        <v>0</v>
      </c>
      <c r="Q43" s="98">
        <f t="shared" si="12"/>
        <v>0</v>
      </c>
      <c r="R43" s="98">
        <f t="shared" si="12"/>
        <v>0</v>
      </c>
      <c r="S43" s="98">
        <f t="shared" si="1"/>
        <v>13208</v>
      </c>
      <c r="T43" s="98">
        <f t="shared" si="2"/>
        <v>124.79999999999927</v>
      </c>
      <c r="U43" s="161">
        <f t="shared" si="3"/>
        <v>0.9906396255850235</v>
      </c>
      <c r="V43" s="98"/>
    </row>
    <row r="44" spans="1:22" ht="16.5" thickBot="1">
      <c r="A44" s="72" t="s">
        <v>214</v>
      </c>
      <c r="B44" s="67" t="s">
        <v>165</v>
      </c>
      <c r="C44" s="6" t="s">
        <v>103</v>
      </c>
      <c r="D44" s="10" t="s">
        <v>325</v>
      </c>
      <c r="E44" s="13">
        <v>0</v>
      </c>
      <c r="F44" s="13">
        <f>666.6*2</f>
        <v>1333.2</v>
      </c>
      <c r="G44" s="13">
        <f>666.6*2</f>
        <v>1333.2</v>
      </c>
      <c r="H44" s="13">
        <f>666.6*2 + 666.6*2</f>
        <v>2666.4</v>
      </c>
      <c r="I44" s="13">
        <v>0</v>
      </c>
      <c r="J44" s="2"/>
      <c r="K44" s="28">
        <v>5332.8</v>
      </c>
      <c r="M44" s="114">
        <f>SUMIF(DTRQ1!$A$12:$A$422,'DETAILED REPROT-Q4'!A44:A156,DTRQ1!$J$12:$J$422)</f>
        <v>0</v>
      </c>
      <c r="N44" s="114">
        <f>SUMIF('DTR-Q2'!$A$12:$A$931,'DETAILED REPROT-Q4'!A44,'DTR-Q2'!$J$12:$J$931)</f>
        <v>0</v>
      </c>
      <c r="O44" s="114">
        <f>SUMIF('DTR3'!$A$12:$A$988,'DETAILED REPROT-Q4'!A44,'DTR3'!$K$12:$K$988)</f>
        <v>5285</v>
      </c>
      <c r="P44" s="114">
        <f>SUMIF('DTR-Q4'!$G$9:$G$1082,'DETAILED REPROT-Q4'!A44,'DTR-Q4'!$Z$9:$Z$1082)</f>
        <v>0</v>
      </c>
      <c r="Q44" s="114">
        <f>SUMIF('DTR-Q5'!$S$7:$S$585,'DETAILED REPROT-Q4'!A44,'DTR-Q5'!$Z$7:$Z$585)</f>
        <v>0</v>
      </c>
      <c r="R44" s="114">
        <f>SUMIF('DTR-Q6'!$S$7:$S$653,'DETAILED REPROT-Q4'!A44,'DTR-Q6'!$Z$7:$Z$653)</f>
        <v>0</v>
      </c>
      <c r="S44" s="73">
        <f t="shared" si="1"/>
        <v>5285</v>
      </c>
      <c r="T44" s="73">
        <f t="shared" si="2"/>
        <v>47.800000000000182</v>
      </c>
      <c r="U44" s="162">
        <f t="shared" si="3"/>
        <v>0.99103660366036606</v>
      </c>
      <c r="V44" s="73"/>
    </row>
    <row r="45" spans="1:22" ht="32.25" thickBot="1">
      <c r="A45" s="72" t="s">
        <v>215</v>
      </c>
      <c r="B45" s="67" t="s">
        <v>166</v>
      </c>
      <c r="C45" s="6" t="s">
        <v>104</v>
      </c>
      <c r="D45" s="10" t="s">
        <v>325</v>
      </c>
      <c r="E45" s="13">
        <v>0</v>
      </c>
      <c r="F45" s="13">
        <f>5*100*4</f>
        <v>2000</v>
      </c>
      <c r="G45" s="13">
        <f>5*100*4</f>
        <v>2000</v>
      </c>
      <c r="H45" s="13">
        <f>(5*100*4)+(5*100*4)</f>
        <v>4000</v>
      </c>
      <c r="I45" s="13">
        <v>0</v>
      </c>
      <c r="J45" s="2"/>
      <c r="K45" s="28">
        <v>8000</v>
      </c>
      <c r="M45" s="114">
        <f>SUMIF(DTRQ1!$A$12:$A$422,'DETAILED REPROT-Q4'!A45:A157,DTRQ1!$J$12:$J$422)</f>
        <v>0</v>
      </c>
      <c r="N45" s="114">
        <f>SUMIF('DTR-Q2'!$A$12:$A$931,'DETAILED REPROT-Q4'!A45,'DTR-Q2'!$J$12:$J$931)</f>
        <v>0</v>
      </c>
      <c r="O45" s="114">
        <f>SUMIF('DTR3'!$A$12:$A$988,'DETAILED REPROT-Q4'!A45,'DTR3'!$K$12:$K$988)</f>
        <v>7923</v>
      </c>
      <c r="P45" s="114">
        <f>SUMIF('DTR-Q4'!$G$9:$G$1082,'DETAILED REPROT-Q4'!A45,'DTR-Q4'!$Z$9:$Z$1082)</f>
        <v>0</v>
      </c>
      <c r="Q45" s="114">
        <f>SUMIF('DTR-Q5'!$S$7:$S$585,'DETAILED REPROT-Q4'!A45,'DTR-Q5'!$Z$7:$Z$585)</f>
        <v>0</v>
      </c>
      <c r="R45" s="114">
        <f>SUMIF('DTR-Q6'!$S$7:$S$653,'DETAILED REPROT-Q4'!A45,'DTR-Q6'!$Z$7:$Z$653)</f>
        <v>0</v>
      </c>
      <c r="S45" s="73">
        <f t="shared" si="1"/>
        <v>7923</v>
      </c>
      <c r="T45" s="73">
        <f t="shared" si="2"/>
        <v>77</v>
      </c>
      <c r="U45" s="162">
        <f t="shared" si="3"/>
        <v>0.99037500000000001</v>
      </c>
      <c r="V45" s="73"/>
    </row>
    <row r="46" spans="1:22" ht="16.5" thickBot="1">
      <c r="A46" s="73"/>
      <c r="B46" s="66" t="s">
        <v>45</v>
      </c>
      <c r="C46" s="34" t="s">
        <v>38</v>
      </c>
      <c r="D46" s="34"/>
      <c r="E46" s="35">
        <f>SUM(E47:E48)</f>
        <v>3000</v>
      </c>
      <c r="F46" s="35">
        <f>SUM(F47:F48)</f>
        <v>1050</v>
      </c>
      <c r="G46" s="35">
        <f>SUM(G47:G48)</f>
        <v>1050</v>
      </c>
      <c r="H46" s="35">
        <f>SUM(H47:H48)</f>
        <v>2100</v>
      </c>
      <c r="I46" s="36"/>
      <c r="J46" s="36"/>
      <c r="K46" s="37">
        <v>7200</v>
      </c>
      <c r="M46" s="98">
        <f t="shared" ref="M46:R46" si="13">SUM(M47:M48)</f>
        <v>0</v>
      </c>
      <c r="N46" s="98">
        <f t="shared" si="13"/>
        <v>0</v>
      </c>
      <c r="O46" s="98">
        <f t="shared" si="13"/>
        <v>0</v>
      </c>
      <c r="P46" s="98">
        <f t="shared" si="13"/>
        <v>1050</v>
      </c>
      <c r="Q46" s="98">
        <f t="shared" si="13"/>
        <v>52.68</v>
      </c>
      <c r="R46" s="98">
        <f t="shared" si="13"/>
        <v>1384</v>
      </c>
      <c r="S46" s="98">
        <f t="shared" si="1"/>
        <v>2486.6800000000003</v>
      </c>
      <c r="T46" s="98">
        <f t="shared" si="2"/>
        <v>4713.32</v>
      </c>
      <c r="U46" s="161">
        <f t="shared" si="3"/>
        <v>0.34537222222222225</v>
      </c>
      <c r="V46" s="98"/>
    </row>
    <row r="47" spans="1:22" ht="16.5" thickBot="1">
      <c r="A47" s="72" t="s">
        <v>216</v>
      </c>
      <c r="B47" s="67" t="s">
        <v>167</v>
      </c>
      <c r="C47" s="6" t="s">
        <v>116</v>
      </c>
      <c r="D47" s="2" t="s">
        <v>326</v>
      </c>
      <c r="E47" s="13">
        <f>300*10</f>
        <v>3000</v>
      </c>
      <c r="F47" s="13">
        <v>0</v>
      </c>
      <c r="G47" s="13">
        <v>0</v>
      </c>
      <c r="H47" s="13">
        <v>0</v>
      </c>
      <c r="I47" s="13">
        <v>0</v>
      </c>
      <c r="J47" s="2"/>
      <c r="K47" s="28">
        <v>3000</v>
      </c>
      <c r="M47" s="114">
        <f>SUMIF(DTRQ1!$A$12:$A$422,'DETAILED REPROT-Q4'!A47:A159,DTRQ1!$J$12:$J$422)</f>
        <v>0</v>
      </c>
      <c r="N47" s="114">
        <f>SUMIF('DTR-Q2'!$A$12:$A$931,'DETAILED REPROT-Q4'!A47,'DTR-Q2'!$J$12:$J$931)</f>
        <v>0</v>
      </c>
      <c r="O47" s="114">
        <f>SUMIF('DTR3'!$A$12:$A$988,'DETAILED REPROT-Q4'!A47,'DTR3'!$K$12:$K$988)</f>
        <v>0</v>
      </c>
      <c r="P47" s="114">
        <f>SUMIF('DTR-Q4'!$G$9:$G$1082,'DETAILED REPROT-Q4'!A47,'DTR-Q4'!$Z$9:$Z$1082)</f>
        <v>0</v>
      </c>
      <c r="Q47" s="114">
        <f>SUMIF('DTR-Q5'!$S$7:$S$585,'DETAILED REPROT-Q4'!A47,'DTR-Q5'!$Z$7:$Z$585)</f>
        <v>0</v>
      </c>
      <c r="R47" s="114">
        <f>SUMIF('DTR-Q6'!$S$7:$S$653,'DETAILED REPROT-Q4'!A47,'DTR-Q6'!$Z$7:$Z$653)</f>
        <v>0</v>
      </c>
      <c r="S47" s="73">
        <f t="shared" si="1"/>
        <v>0</v>
      </c>
      <c r="T47" s="73">
        <f t="shared" si="2"/>
        <v>3000</v>
      </c>
      <c r="U47" s="162">
        <f t="shared" si="3"/>
        <v>0</v>
      </c>
      <c r="V47" s="73"/>
    </row>
    <row r="48" spans="1:22" ht="16.5" thickBot="1">
      <c r="A48" s="72" t="s">
        <v>217</v>
      </c>
      <c r="B48" s="67" t="s">
        <v>168</v>
      </c>
      <c r="C48" s="6" t="s">
        <v>102</v>
      </c>
      <c r="D48" s="10" t="s">
        <v>325</v>
      </c>
      <c r="E48" s="13">
        <v>0</v>
      </c>
      <c r="F48" s="13">
        <f>1050</f>
        <v>1050</v>
      </c>
      <c r="G48" s="13">
        <f>1050</f>
        <v>1050</v>
      </c>
      <c r="H48" s="13">
        <f>1050+1050</f>
        <v>2100</v>
      </c>
      <c r="I48" s="13">
        <v>0</v>
      </c>
      <c r="J48" s="2"/>
      <c r="K48" s="28">
        <v>4200</v>
      </c>
      <c r="M48" s="114">
        <f>SUMIF(DTRQ1!$A$12:$A$422,'DETAILED REPROT-Q4'!A48:A160,DTRQ1!$J$12:$J$422)</f>
        <v>0</v>
      </c>
      <c r="N48" s="114">
        <f>SUMIF('DTR-Q2'!$A$12:$A$931,'DETAILED REPROT-Q4'!A48,'DTR-Q2'!$J$12:$J$931)</f>
        <v>0</v>
      </c>
      <c r="O48" s="114">
        <f>SUMIF('DTR3'!$A$12:$A$988,'DETAILED REPROT-Q4'!A48,'DTR3'!$K$12:$K$988)</f>
        <v>0</v>
      </c>
      <c r="P48" s="114">
        <f>SUMIF('DTR-Q4'!$G$9:$G$1082,'DETAILED REPROT-Q4'!A48,'DTR-Q4'!$Z$9:$Z$1082)</f>
        <v>1050</v>
      </c>
      <c r="Q48" s="114">
        <f>SUMIF('DTR-Q5'!$S$7:$S$585,'DETAILED REPROT-Q4'!A48,'DTR-Q5'!$Z$7:$Z$585)</f>
        <v>52.68</v>
      </c>
      <c r="R48" s="114">
        <f>SUMIF('DTR-Q6'!$S$7:$S$653,'DETAILED REPROT-Q4'!A48,'DTR-Q6'!$Z$7:$Z$653)</f>
        <v>1384</v>
      </c>
      <c r="S48" s="73">
        <f t="shared" si="1"/>
        <v>2486.6800000000003</v>
      </c>
      <c r="T48" s="73">
        <f t="shared" si="2"/>
        <v>1713.3199999999997</v>
      </c>
      <c r="U48" s="162">
        <f t="shared" si="3"/>
        <v>0.59206666666666674</v>
      </c>
      <c r="V48" s="73"/>
    </row>
    <row r="49" spans="1:22" ht="16.5" thickBot="1">
      <c r="A49" s="73"/>
      <c r="B49" s="66" t="s">
        <v>46</v>
      </c>
      <c r="C49" s="34" t="s">
        <v>11</v>
      </c>
      <c r="D49" s="34"/>
      <c r="E49" s="35">
        <f>SUM(E50:E51)</f>
        <v>0</v>
      </c>
      <c r="F49" s="35">
        <f>SUM(F50:F51)</f>
        <v>8400</v>
      </c>
      <c r="G49" s="35">
        <f>SUM(G50:G51)</f>
        <v>8400</v>
      </c>
      <c r="H49" s="35">
        <f>SUM(H50:H51)</f>
        <v>16800</v>
      </c>
      <c r="I49" s="35">
        <v>0</v>
      </c>
      <c r="J49" s="36"/>
      <c r="K49" s="37">
        <v>33600</v>
      </c>
      <c r="M49" s="98">
        <f t="shared" ref="M49:R49" si="14">SUM(M50:M51)</f>
        <v>0</v>
      </c>
      <c r="N49" s="98">
        <f t="shared" si="14"/>
        <v>0</v>
      </c>
      <c r="O49" s="98">
        <f t="shared" si="14"/>
        <v>74.540000000000006</v>
      </c>
      <c r="P49" s="98">
        <f t="shared" si="14"/>
        <v>2325.4499999999998</v>
      </c>
      <c r="Q49" s="98">
        <f t="shared" si="14"/>
        <v>0</v>
      </c>
      <c r="R49" s="98">
        <f t="shared" si="14"/>
        <v>5237.5</v>
      </c>
      <c r="S49" s="98">
        <f t="shared" si="1"/>
        <v>7637.49</v>
      </c>
      <c r="T49" s="98">
        <f t="shared" si="2"/>
        <v>25962.510000000002</v>
      </c>
      <c r="U49" s="161">
        <f t="shared" si="3"/>
        <v>0.22730624999999999</v>
      </c>
      <c r="V49" s="98"/>
    </row>
    <row r="50" spans="1:22" ht="16.5" thickBot="1">
      <c r="A50" s="72" t="s">
        <v>218</v>
      </c>
      <c r="B50" s="67" t="s">
        <v>169</v>
      </c>
      <c r="C50" s="6" t="s">
        <v>105</v>
      </c>
      <c r="D50" s="10" t="s">
        <v>325</v>
      </c>
      <c r="E50" s="13">
        <v>0</v>
      </c>
      <c r="F50" s="13">
        <f>2*3*14*50</f>
        <v>4200</v>
      </c>
      <c r="G50" s="13">
        <f>2*3*14*50</f>
        <v>4200</v>
      </c>
      <c r="H50" s="13">
        <f>(2*3*14*50)*2</f>
        <v>8400</v>
      </c>
      <c r="I50" s="13">
        <v>0</v>
      </c>
      <c r="J50" s="2"/>
      <c r="K50" s="28">
        <v>16800</v>
      </c>
      <c r="M50" s="114">
        <f>SUMIF(DTRQ1!$A$12:$A$422,'DETAILED REPROT-Q4'!A50:A162,DTRQ1!$J$12:$J$422)</f>
        <v>0</v>
      </c>
      <c r="N50" s="114">
        <f>SUMIF('DTR-Q2'!$A$12:$A$931,'DETAILED REPROT-Q4'!A50,'DTR-Q2'!$J$12:$J$931)</f>
        <v>0</v>
      </c>
      <c r="O50" s="114">
        <f>SUMIF('DTR3'!$A$12:$A$988,'DETAILED REPROT-Q4'!A50,'DTR3'!$K$12:$K$988)</f>
        <v>74.540000000000006</v>
      </c>
      <c r="P50" s="114">
        <f>SUMIF('DTR-Q4'!$G$9:$G$1082,'DETAILED REPROT-Q4'!A50,'DTR-Q4'!$Z$9:$Z$1082)</f>
        <v>2325.4499999999998</v>
      </c>
      <c r="Q50" s="114">
        <f>SUMIF('DTR-Q5'!$S$7:$S$585,'DETAILED REPROT-Q4'!A50,'DTR-Q5'!$Z$7:$Z$585)</f>
        <v>0</v>
      </c>
      <c r="R50" s="114">
        <f>SUMIF('DTR-Q6'!$S$7:$S$653,'DETAILED REPROT-Q4'!A50,'DTR-Q6'!$Z$7:$Z$653)</f>
        <v>2175</v>
      </c>
      <c r="S50" s="73">
        <f t="shared" si="1"/>
        <v>4574.99</v>
      </c>
      <c r="T50" s="73">
        <f t="shared" si="2"/>
        <v>12225.01</v>
      </c>
      <c r="U50" s="162">
        <f t="shared" si="3"/>
        <v>0.27232083333333335</v>
      </c>
      <c r="V50" s="73"/>
    </row>
    <row r="51" spans="1:22" ht="16.5" thickBot="1">
      <c r="A51" s="72" t="s">
        <v>219</v>
      </c>
      <c r="B51" s="67" t="s">
        <v>170</v>
      </c>
      <c r="C51" s="6" t="s">
        <v>106</v>
      </c>
      <c r="D51" s="10" t="s">
        <v>325</v>
      </c>
      <c r="E51" s="13">
        <v>0</v>
      </c>
      <c r="F51" s="13">
        <f>42*50*2</f>
        <v>4200</v>
      </c>
      <c r="G51" s="13">
        <f>42*50*2</f>
        <v>4200</v>
      </c>
      <c r="H51" s="13">
        <f>(42*50*2)*2</f>
        <v>8400</v>
      </c>
      <c r="I51" s="13">
        <v>0</v>
      </c>
      <c r="J51" s="2"/>
      <c r="K51" s="28">
        <v>16800</v>
      </c>
      <c r="M51" s="114">
        <f>SUMIF(DTRQ1!$A$12:$A$422,'DETAILED REPROT-Q4'!A51:A163,DTRQ1!$J$12:$J$422)</f>
        <v>0</v>
      </c>
      <c r="N51" s="114">
        <f>SUMIF('DTR-Q2'!$A$12:$A$931,'DETAILED REPROT-Q4'!A51,'DTR-Q2'!$J$12:$J$931)</f>
        <v>0</v>
      </c>
      <c r="O51" s="114">
        <f>SUMIF('DTR3'!$A$12:$A$988,'DETAILED REPROT-Q4'!A51,'DTR3'!$K$12:$K$988)</f>
        <v>0</v>
      </c>
      <c r="P51" s="114">
        <f>SUMIF('DTR-Q4'!$G$9:$G$1082,'DETAILED REPROT-Q4'!A51,'DTR-Q4'!$Z$9:$Z$1082)</f>
        <v>0</v>
      </c>
      <c r="Q51" s="114">
        <f>SUMIF('DTR-Q5'!$S$7:$S$585,'DETAILED REPROT-Q4'!A51,'DTR-Q5'!$Z$7:$Z$585)</f>
        <v>0</v>
      </c>
      <c r="R51" s="114">
        <f>SUMIF('DTR-Q6'!$S$7:$S$653,'DETAILED REPROT-Q4'!A51,'DTR-Q6'!$Z$7:$Z$653)</f>
        <v>3062.5</v>
      </c>
      <c r="S51" s="73">
        <f t="shared" si="1"/>
        <v>3062.5</v>
      </c>
      <c r="T51" s="73">
        <f t="shared" si="2"/>
        <v>13737.5</v>
      </c>
      <c r="U51" s="162">
        <f t="shared" si="3"/>
        <v>0.18229166666666666</v>
      </c>
      <c r="V51" s="73"/>
    </row>
    <row r="52" spans="1:22" ht="16.5" thickBot="1">
      <c r="A52" s="72" t="s">
        <v>220</v>
      </c>
      <c r="B52" s="68" t="s">
        <v>188</v>
      </c>
      <c r="C52" s="10" t="s">
        <v>189</v>
      </c>
      <c r="D52" s="10" t="s">
        <v>325</v>
      </c>
      <c r="E52" s="13">
        <v>0</v>
      </c>
      <c r="F52" s="13">
        <v>1000</v>
      </c>
      <c r="G52" s="13">
        <v>1000</v>
      </c>
      <c r="H52" s="13">
        <f>2*1000</f>
        <v>2000</v>
      </c>
      <c r="I52" s="13"/>
      <c r="J52" s="2"/>
      <c r="K52" s="28">
        <v>4000</v>
      </c>
      <c r="M52" s="114">
        <f>SUMIF(DTRQ1!$A$12:$A$422,'DETAILED REPROT-Q4'!A52:A164,DTRQ1!$J$12:$J$422)</f>
        <v>0</v>
      </c>
      <c r="N52" s="114">
        <f>SUMIF('DTR-Q2'!$A$12:$A$931,'DETAILED REPROT-Q4'!A52,'DTR-Q2'!$J$12:$J$931)</f>
        <v>1.1100000000000001</v>
      </c>
      <c r="O52" s="114">
        <f>SUMIF('DTR3'!$A$12:$A$988,'DETAILED REPROT-Q4'!A52,'DTR3'!$K$12:$K$988)</f>
        <v>3.3</v>
      </c>
      <c r="P52" s="114">
        <f>SUMIF('DTR-Q4'!$G$9:$G$1082,'DETAILED REPROT-Q4'!A52,'DTR-Q4'!$Z$9:$Z$1082)</f>
        <v>-3.3</v>
      </c>
      <c r="Q52" s="114">
        <f>SUMIF('DTR-Q5'!$S$7:$S$585,'DETAILED REPROT-Q4'!A52,'DTR-Q5'!$Z$7:$Z$585)</f>
        <v>0</v>
      </c>
      <c r="R52" s="114">
        <f>SUMIF('DTR-Q6'!$S$7:$S$653,'DETAILED REPROT-Q4'!A52,'DTR-Q6'!$Z$7:$Z$653)</f>
        <v>0</v>
      </c>
      <c r="S52" s="73">
        <f t="shared" si="1"/>
        <v>1.1100000000000003</v>
      </c>
      <c r="T52" s="73">
        <f t="shared" si="2"/>
        <v>3998.89</v>
      </c>
      <c r="U52" s="162">
        <f t="shared" si="3"/>
        <v>2.7750000000000008E-4</v>
      </c>
      <c r="V52" s="73"/>
    </row>
    <row r="53" spans="1:22" ht="16.5" thickBot="1">
      <c r="A53" s="73"/>
      <c r="B53" s="29" t="s">
        <v>47</v>
      </c>
      <c r="C53" s="29" t="s">
        <v>39</v>
      </c>
      <c r="D53" s="29"/>
      <c r="E53" s="30">
        <f>E54+E57+E60+E63+E64</f>
        <v>7800</v>
      </c>
      <c r="F53" s="30">
        <f>F54+F57+F60+F63+F64</f>
        <v>19437</v>
      </c>
      <c r="G53" s="30">
        <f>G54+G57+G60+G63+G64</f>
        <v>2613</v>
      </c>
      <c r="H53" s="30">
        <f>H54+H57+H60+H63+H64</f>
        <v>5226</v>
      </c>
      <c r="I53" s="31">
        <v>0.5</v>
      </c>
      <c r="J53" s="32"/>
      <c r="K53" s="33">
        <v>35076</v>
      </c>
      <c r="M53" s="96">
        <f t="shared" ref="M53:R53" si="15">M54+M57+M60+M63+M64</f>
        <v>0</v>
      </c>
      <c r="N53" s="96">
        <f t="shared" si="15"/>
        <v>0</v>
      </c>
      <c r="O53" s="96">
        <f t="shared" si="15"/>
        <v>27556.29</v>
      </c>
      <c r="P53" s="96">
        <f t="shared" si="15"/>
        <v>6151.4</v>
      </c>
      <c r="Q53" s="96">
        <f t="shared" si="15"/>
        <v>369.19</v>
      </c>
      <c r="R53" s="96">
        <f t="shared" si="15"/>
        <v>923</v>
      </c>
      <c r="S53" s="96">
        <f t="shared" si="1"/>
        <v>34999.880000000005</v>
      </c>
      <c r="T53" s="96">
        <f t="shared" si="2"/>
        <v>76.119999999995343</v>
      </c>
      <c r="U53" s="159">
        <f t="shared" si="3"/>
        <v>0.99782985517162748</v>
      </c>
      <c r="V53" s="96"/>
    </row>
    <row r="54" spans="1:22" ht="32.25" thickBot="1">
      <c r="A54" s="73"/>
      <c r="B54" s="66" t="s">
        <v>49</v>
      </c>
      <c r="C54" s="34" t="s">
        <v>40</v>
      </c>
      <c r="D54" s="34"/>
      <c r="E54" s="35">
        <f>SUM(E55:E56)</f>
        <v>6900</v>
      </c>
      <c r="F54" s="35">
        <f>SUM(F55:F56)</f>
        <v>0</v>
      </c>
      <c r="G54" s="35">
        <f>SUM(G55:G56)</f>
        <v>0</v>
      </c>
      <c r="H54" s="35">
        <f>SUM(H55:H56)</f>
        <v>0</v>
      </c>
      <c r="I54" s="35">
        <v>0</v>
      </c>
      <c r="J54" s="36"/>
      <c r="K54" s="37">
        <v>6900</v>
      </c>
      <c r="M54" s="98">
        <f t="shared" ref="M54:R54" si="16">SUM(M55:M56)</f>
        <v>0</v>
      </c>
      <c r="N54" s="98">
        <f t="shared" si="16"/>
        <v>0</v>
      </c>
      <c r="O54" s="98">
        <f t="shared" si="16"/>
        <v>9778.48</v>
      </c>
      <c r="P54" s="98">
        <f t="shared" si="16"/>
        <v>-420</v>
      </c>
      <c r="Q54" s="98">
        <f t="shared" si="16"/>
        <v>0</v>
      </c>
      <c r="R54" s="98">
        <f t="shared" si="16"/>
        <v>0</v>
      </c>
      <c r="S54" s="98">
        <f t="shared" si="1"/>
        <v>9358.48</v>
      </c>
      <c r="T54" s="98">
        <f t="shared" si="2"/>
        <v>-2458.4799999999996</v>
      </c>
      <c r="U54" s="161">
        <f t="shared" si="3"/>
        <v>1.3563014492753622</v>
      </c>
      <c r="V54" s="98"/>
    </row>
    <row r="55" spans="1:22" ht="16.5" thickBot="1">
      <c r="A55" s="74" t="s">
        <v>221</v>
      </c>
      <c r="B55" s="67" t="s">
        <v>171</v>
      </c>
      <c r="C55" s="6" t="s">
        <v>116</v>
      </c>
      <c r="D55" s="2" t="s">
        <v>326</v>
      </c>
      <c r="E55" s="13">
        <f>300*5</f>
        <v>1500</v>
      </c>
      <c r="F55" s="13">
        <v>0</v>
      </c>
      <c r="G55" s="13">
        <v>0</v>
      </c>
      <c r="H55" s="13">
        <v>0</v>
      </c>
      <c r="I55" s="13">
        <v>0</v>
      </c>
      <c r="J55" s="2"/>
      <c r="K55" s="28">
        <v>1500</v>
      </c>
      <c r="M55" s="114">
        <f>SUMIF(DTRQ1!$A$12:$A$422,'DETAILED REPROT-Q4'!A55:A167,DTRQ1!$J$12:$J$422)</f>
        <v>0</v>
      </c>
      <c r="N55" s="114">
        <f>SUMIF('DTR-Q2'!$A$12:$A$931,'DETAILED REPROT-Q4'!A55,'DTR-Q2'!$J$12:$J$931)</f>
        <v>0</v>
      </c>
      <c r="O55" s="114">
        <f>SUMIF('DTR3'!$A$12:$A$988,'DETAILED REPROT-Q4'!A55,'DTR3'!$K$12:$K$988)</f>
        <v>2290.48</v>
      </c>
      <c r="P55" s="114">
        <f>SUMIF('DTR-Q4'!$G$9:$G$1082,'DETAILED REPROT-Q4'!A55,'DTR-Q4'!$Z$9:$Z$1082)</f>
        <v>-420</v>
      </c>
      <c r="Q55" s="114">
        <f>SUMIF('DTR-Q5'!$S$7:$S$585,'DETAILED REPROT-Q4'!A55,'DTR-Q5'!$Z$7:$Z$585)</f>
        <v>0</v>
      </c>
      <c r="R55" s="114">
        <f>SUMIF('DTR-Q6'!$S$7:$S$653,'DETAILED REPROT-Q4'!A55,'DTR-Q6'!$Z$7:$Z$653)</f>
        <v>0</v>
      </c>
      <c r="S55" s="73">
        <f t="shared" si="1"/>
        <v>1870.48</v>
      </c>
      <c r="T55" s="73">
        <f t="shared" si="2"/>
        <v>-370.48</v>
      </c>
      <c r="U55" s="162">
        <f t="shared" si="3"/>
        <v>1.2469866666666667</v>
      </c>
      <c r="V55" s="73"/>
    </row>
    <row r="56" spans="1:22" ht="16.5" thickBot="1">
      <c r="A56" s="74" t="s">
        <v>222</v>
      </c>
      <c r="B56" s="67" t="s">
        <v>172</v>
      </c>
      <c r="C56" s="6" t="s">
        <v>102</v>
      </c>
      <c r="D56" s="2" t="s">
        <v>326</v>
      </c>
      <c r="E56" s="13">
        <f>4500+300*3</f>
        <v>5400</v>
      </c>
      <c r="F56" s="13">
        <v>0</v>
      </c>
      <c r="G56" s="13">
        <v>0</v>
      </c>
      <c r="H56" s="13">
        <v>0</v>
      </c>
      <c r="I56" s="13">
        <v>0</v>
      </c>
      <c r="J56" s="2"/>
      <c r="K56" s="28">
        <v>5400</v>
      </c>
      <c r="M56" s="114">
        <f>SUMIF(DTRQ1!$A$12:$A$422,'DETAILED REPROT-Q4'!A56:A168,DTRQ1!$J$12:$J$422)</f>
        <v>0</v>
      </c>
      <c r="N56" s="114">
        <f>SUMIF('DTR-Q2'!$A$12:$A$931,'DETAILED REPROT-Q4'!A56,'DTR-Q2'!$J$12:$J$931)</f>
        <v>0</v>
      </c>
      <c r="O56" s="114">
        <f>SUMIF('DTR3'!$A$12:$A$988,'DETAILED REPROT-Q4'!A56,'DTR3'!$K$12:$K$988)</f>
        <v>7488</v>
      </c>
      <c r="P56" s="114">
        <f>SUMIF('DTR-Q4'!$G$9:$G$1082,'DETAILED REPROT-Q4'!A56,'DTR-Q4'!$Z$9:$Z$1082)</f>
        <v>0</v>
      </c>
      <c r="Q56" s="114">
        <f>SUMIF('DTR-Q5'!$S$7:$S$585,'DETAILED REPROT-Q4'!A56,'DTR-Q5'!$Z$7:$Z$585)</f>
        <v>0</v>
      </c>
      <c r="R56" s="114">
        <f>SUMIF('DTR-Q6'!$S$7:$S$653,'DETAILED REPROT-Q4'!A56,'DTR-Q6'!$Z$7:$Z$653)</f>
        <v>0</v>
      </c>
      <c r="S56" s="73">
        <f t="shared" si="1"/>
        <v>7488</v>
      </c>
      <c r="T56" s="73">
        <f t="shared" si="2"/>
        <v>-2088</v>
      </c>
      <c r="U56" s="162">
        <f t="shared" si="3"/>
        <v>1.3866666666666667</v>
      </c>
      <c r="V56" s="73"/>
    </row>
    <row r="57" spans="1:22" ht="16.5" thickBot="1">
      <c r="A57" s="73"/>
      <c r="B57" s="66" t="s">
        <v>107</v>
      </c>
      <c r="C57" s="34" t="s">
        <v>44</v>
      </c>
      <c r="D57" s="34"/>
      <c r="E57" s="35">
        <f>SUM(E58:E59)</f>
        <v>0</v>
      </c>
      <c r="F57" s="35">
        <f>SUM(F58:F59)</f>
        <v>2025</v>
      </c>
      <c r="G57" s="35">
        <f>SUM(G58:G59)</f>
        <v>2025</v>
      </c>
      <c r="H57" s="35">
        <f>SUM(H58:H59)</f>
        <v>4050</v>
      </c>
      <c r="I57" s="35">
        <v>0</v>
      </c>
      <c r="J57" s="36"/>
      <c r="K57" s="37">
        <v>8100</v>
      </c>
      <c r="M57" s="98">
        <f t="shared" ref="M57:R57" si="17">SUM(M58:M59)</f>
        <v>0</v>
      </c>
      <c r="N57" s="98">
        <f t="shared" si="17"/>
        <v>0</v>
      </c>
      <c r="O57" s="98">
        <f t="shared" si="17"/>
        <v>1570</v>
      </c>
      <c r="P57" s="98">
        <f t="shared" si="17"/>
        <v>1659</v>
      </c>
      <c r="Q57" s="98">
        <f t="shared" si="17"/>
        <v>0</v>
      </c>
      <c r="R57" s="98">
        <f t="shared" si="17"/>
        <v>665</v>
      </c>
      <c r="S57" s="98">
        <f t="shared" si="1"/>
        <v>3894</v>
      </c>
      <c r="T57" s="98">
        <f t="shared" si="2"/>
        <v>4206</v>
      </c>
      <c r="U57" s="161">
        <f t="shared" si="3"/>
        <v>0.48074074074074075</v>
      </c>
      <c r="V57" s="98"/>
    </row>
    <row r="58" spans="1:22" ht="32.25" thickBot="1">
      <c r="A58" s="72" t="s">
        <v>223</v>
      </c>
      <c r="B58" s="67" t="s">
        <v>173</v>
      </c>
      <c r="C58" s="6" t="s">
        <v>108</v>
      </c>
      <c r="D58" s="10" t="s">
        <v>325</v>
      </c>
      <c r="E58" s="13">
        <v>0</v>
      </c>
      <c r="F58" s="13">
        <f>175*3</f>
        <v>525</v>
      </c>
      <c r="G58" s="13">
        <f>175*3</f>
        <v>525</v>
      </c>
      <c r="H58" s="13">
        <f>175*3+175*3</f>
        <v>1050</v>
      </c>
      <c r="I58" s="13">
        <v>0</v>
      </c>
      <c r="J58" s="2"/>
      <c r="K58" s="28">
        <v>2100</v>
      </c>
      <c r="M58" s="114">
        <f>SUMIF(DTRQ1!$A$12:$A$422,'DETAILED REPROT-Q4'!A58:A170,DTRQ1!$J$12:$J$422)</f>
        <v>0</v>
      </c>
      <c r="N58" s="114">
        <f>SUMIF('DTR-Q2'!$A$12:$A$931,'DETAILED REPROT-Q4'!A58,'DTR-Q2'!$J$12:$J$931)</f>
        <v>0</v>
      </c>
      <c r="O58" s="114">
        <f>SUMIF('DTR3'!$A$12:$A$988,'DETAILED REPROT-Q4'!A58,'DTR3'!$K$12:$K$988)</f>
        <v>1570</v>
      </c>
      <c r="P58" s="114">
        <f>SUMIF('DTR-Q4'!$G$9:$G$1082,'DETAILED REPROT-Q4'!A58,'DTR-Q4'!$Z$9:$Z$1082)</f>
        <v>159</v>
      </c>
      <c r="Q58" s="114">
        <f>SUMIF('DTR-Q5'!$S$7:$S$585,'DETAILED REPROT-Q4'!A58,'DTR-Q5'!$Z$7:$Z$585)</f>
        <v>0</v>
      </c>
      <c r="R58" s="114">
        <f>SUMIF('DTR-Q6'!$S$7:$S$653,'DETAILED REPROT-Q4'!A58,'DTR-Q6'!$Z$7:$Z$653)</f>
        <v>0</v>
      </c>
      <c r="S58" s="73">
        <f t="shared" si="1"/>
        <v>1729</v>
      </c>
      <c r="T58" s="73">
        <f t="shared" si="2"/>
        <v>371</v>
      </c>
      <c r="U58" s="162">
        <f t="shared" si="3"/>
        <v>0.82333333333333336</v>
      </c>
      <c r="V58" s="73"/>
    </row>
    <row r="59" spans="1:22" ht="32.25" thickBot="1">
      <c r="A59" s="72" t="s">
        <v>224</v>
      </c>
      <c r="B59" s="67" t="s">
        <v>174</v>
      </c>
      <c r="C59" s="6" t="s">
        <v>109</v>
      </c>
      <c r="D59" s="10" t="s">
        <v>325</v>
      </c>
      <c r="E59" s="13">
        <v>0</v>
      </c>
      <c r="F59" s="13">
        <f>5*100*3</f>
        <v>1500</v>
      </c>
      <c r="G59" s="13">
        <f>5*100*3</f>
        <v>1500</v>
      </c>
      <c r="H59" s="13">
        <f>(5*100*3)+(5*100*3)</f>
        <v>3000</v>
      </c>
      <c r="I59" s="13">
        <v>0</v>
      </c>
      <c r="J59" s="2"/>
      <c r="K59" s="28">
        <v>6000</v>
      </c>
      <c r="M59" s="114">
        <f>SUMIF(DTRQ1!$A$12:$A$422,'DETAILED REPROT-Q4'!A59:A171,DTRQ1!$J$12:$J$422)</f>
        <v>0</v>
      </c>
      <c r="N59" s="114">
        <f>SUMIF('DTR-Q2'!$A$12:$A$931,'DETAILED REPROT-Q4'!A59,'DTR-Q2'!$J$12:$J$931)</f>
        <v>0</v>
      </c>
      <c r="O59" s="114">
        <f>SUMIF('DTR3'!$A$12:$A$988,'DETAILED REPROT-Q4'!A59,'DTR3'!$K$12:$K$988)</f>
        <v>0</v>
      </c>
      <c r="P59" s="114">
        <f>SUMIF('DTR-Q4'!$G$9:$G$1082,'DETAILED REPROT-Q4'!A59,'DTR-Q4'!$Z$9:$Z$1082)</f>
        <v>1500</v>
      </c>
      <c r="Q59" s="114">
        <f>SUMIF('DTR-Q5'!$S$7:$S$585,'DETAILED REPROT-Q4'!A59,'DTR-Q5'!$Z$7:$Z$585)</f>
        <v>0</v>
      </c>
      <c r="R59" s="114">
        <f>SUMIF('DTR-Q6'!$S$7:$S$653,'DETAILED REPROT-Q4'!A59,'DTR-Q6'!$Z$7:$Z$653)</f>
        <v>665</v>
      </c>
      <c r="S59" s="73">
        <f t="shared" si="1"/>
        <v>2165</v>
      </c>
      <c r="T59" s="73">
        <f t="shared" si="2"/>
        <v>3835</v>
      </c>
      <c r="U59" s="162">
        <f t="shared" si="3"/>
        <v>0.36083333333333334</v>
      </c>
      <c r="V59" s="73"/>
    </row>
    <row r="60" spans="1:22" ht="48" thickBot="1">
      <c r="A60" s="73"/>
      <c r="B60" s="66" t="s">
        <v>50</v>
      </c>
      <c r="C60" s="34" t="s">
        <v>48</v>
      </c>
      <c r="D60" s="34"/>
      <c r="E60" s="35">
        <f>SUM(E61:E62)</f>
        <v>900</v>
      </c>
      <c r="F60" s="35">
        <f>SUM(F61:F62)</f>
        <v>12000</v>
      </c>
      <c r="G60" s="35">
        <f>SUM(G61:G62)</f>
        <v>0</v>
      </c>
      <c r="H60" s="35">
        <f>SUM(H61:H62)</f>
        <v>0</v>
      </c>
      <c r="I60" s="35">
        <v>0</v>
      </c>
      <c r="J60" s="36"/>
      <c r="K60" s="37">
        <v>12900</v>
      </c>
      <c r="M60" s="98">
        <f t="shared" ref="M60:R60" si="18">SUM(M61:M62)</f>
        <v>0</v>
      </c>
      <c r="N60" s="98">
        <f t="shared" si="18"/>
        <v>0</v>
      </c>
      <c r="O60" s="98">
        <f t="shared" si="18"/>
        <v>16177.81</v>
      </c>
      <c r="P60" s="98">
        <f t="shared" si="18"/>
        <v>90</v>
      </c>
      <c r="Q60" s="98">
        <f t="shared" si="18"/>
        <v>0</v>
      </c>
      <c r="R60" s="98">
        <f t="shared" si="18"/>
        <v>0</v>
      </c>
      <c r="S60" s="98">
        <f t="shared" si="1"/>
        <v>16267.81</v>
      </c>
      <c r="T60" s="98">
        <f t="shared" si="2"/>
        <v>-3367.8099999999995</v>
      </c>
      <c r="U60" s="161">
        <f t="shared" si="3"/>
        <v>1.2610705426356588</v>
      </c>
      <c r="V60" s="98"/>
    </row>
    <row r="61" spans="1:22" ht="16.5" thickBot="1">
      <c r="A61" s="72" t="s">
        <v>225</v>
      </c>
      <c r="B61" s="67" t="s">
        <v>175</v>
      </c>
      <c r="C61" s="6" t="s">
        <v>110</v>
      </c>
      <c r="D61" s="2" t="s">
        <v>326</v>
      </c>
      <c r="E61" s="13">
        <f>300*3</f>
        <v>900</v>
      </c>
      <c r="F61" s="13">
        <v>0</v>
      </c>
      <c r="G61" s="13">
        <v>0</v>
      </c>
      <c r="H61" s="13">
        <v>0</v>
      </c>
      <c r="I61" s="13">
        <v>0</v>
      </c>
      <c r="J61" s="2"/>
      <c r="K61" s="28">
        <v>900</v>
      </c>
      <c r="M61" s="114">
        <f>SUMIF(DTRQ1!$A$12:$A$422,'DETAILED REPROT-Q4'!A61:A173,DTRQ1!$J$12:$J$422)</f>
        <v>0</v>
      </c>
      <c r="N61" s="114">
        <f>SUMIF('DTR-Q2'!$A$12:$A$931,'DETAILED REPROT-Q4'!A61,'DTR-Q2'!$J$12:$J$931)</f>
        <v>0</v>
      </c>
      <c r="O61" s="114">
        <f>SUMIF('DTR3'!$A$12:$A$988,'DETAILED REPROT-Q4'!A61,'DTR3'!$K$12:$K$988)</f>
        <v>1179.99</v>
      </c>
      <c r="P61" s="114">
        <f>SUMIF('DTR-Q4'!$G$9:$G$1082,'DETAILED REPROT-Q4'!A61,'DTR-Q4'!$Z$9:$Z$1082)</f>
        <v>90</v>
      </c>
      <c r="Q61" s="114">
        <f>SUMIF('DTR-Q5'!$S$7:$S$585,'DETAILED REPROT-Q4'!A61,'DTR-Q5'!$Z$7:$Z$585)</f>
        <v>0</v>
      </c>
      <c r="R61" s="114">
        <f>SUMIF('DTR-Q6'!$S$7:$S$653,'DETAILED REPROT-Q4'!A61,'DTR-Q6'!$Z$7:$Z$653)</f>
        <v>0</v>
      </c>
      <c r="S61" s="101">
        <f t="shared" si="1"/>
        <v>1269.99</v>
      </c>
      <c r="T61" s="101">
        <f t="shared" si="2"/>
        <v>-369.99</v>
      </c>
      <c r="U61" s="160">
        <f t="shared" si="3"/>
        <v>1.4111</v>
      </c>
      <c r="V61" s="101"/>
    </row>
    <row r="62" spans="1:22" ht="16.5" thickBot="1">
      <c r="A62" s="72" t="s">
        <v>226</v>
      </c>
      <c r="B62" s="67" t="s">
        <v>176</v>
      </c>
      <c r="C62" s="6" t="s">
        <v>111</v>
      </c>
      <c r="D62" s="10" t="s">
        <v>325</v>
      </c>
      <c r="E62" s="13">
        <v>0</v>
      </c>
      <c r="F62" s="13">
        <f>4500*2+ 300*10</f>
        <v>12000</v>
      </c>
      <c r="G62" s="13">
        <v>0</v>
      </c>
      <c r="H62" s="13">
        <v>0</v>
      </c>
      <c r="I62" s="13">
        <v>0</v>
      </c>
      <c r="J62" s="2"/>
      <c r="K62" s="28">
        <v>12000</v>
      </c>
      <c r="M62" s="114">
        <f>SUMIF(DTRQ1!$A$12:$A$422,'DETAILED REPROT-Q4'!A62:A174,DTRQ1!$J$12:$J$422)</f>
        <v>0</v>
      </c>
      <c r="N62" s="114">
        <f>SUMIF('DTR-Q2'!$A$12:$A$931,'DETAILED REPROT-Q4'!A62,'DTR-Q2'!$J$12:$J$931)</f>
        <v>0</v>
      </c>
      <c r="O62" s="114">
        <f>SUMIF('DTR3'!$A$12:$A$988,'DETAILED REPROT-Q4'!A62,'DTR3'!$K$12:$K$988)</f>
        <v>14997.82</v>
      </c>
      <c r="P62" s="114">
        <f>SUMIF('DTR-Q4'!$G$9:$G$1082,'DETAILED REPROT-Q4'!A62,'DTR-Q4'!$Z$9:$Z$1082)</f>
        <v>0</v>
      </c>
      <c r="Q62" s="114">
        <f>SUMIF('DTR-Q5'!$S$7:$S$585,'DETAILED REPROT-Q4'!A62,'DTR-Q5'!$Z$7:$Z$585)</f>
        <v>0</v>
      </c>
      <c r="R62" s="114">
        <f>SUMIF('DTR-Q6'!$S$7:$S$653,'DETAILED REPROT-Q4'!A62,'DTR-Q6'!$Z$7:$Z$653)</f>
        <v>0</v>
      </c>
      <c r="S62" s="101">
        <f t="shared" si="1"/>
        <v>14997.82</v>
      </c>
      <c r="T62" s="101">
        <f t="shared" si="2"/>
        <v>-2997.8199999999997</v>
      </c>
      <c r="U62" s="160">
        <f t="shared" si="3"/>
        <v>1.2498183333333333</v>
      </c>
      <c r="V62" s="101"/>
    </row>
    <row r="63" spans="1:22" ht="32.25" thickBot="1">
      <c r="A63" s="72" t="s">
        <v>227</v>
      </c>
      <c r="B63" s="68" t="s">
        <v>52</v>
      </c>
      <c r="C63" s="10" t="s">
        <v>51</v>
      </c>
      <c r="D63" s="10" t="s">
        <v>325</v>
      </c>
      <c r="E63" s="13">
        <v>0</v>
      </c>
      <c r="F63" s="13">
        <f>3024+300*6</f>
        <v>4824</v>
      </c>
      <c r="G63" s="13">
        <v>0</v>
      </c>
      <c r="H63" s="13">
        <v>0</v>
      </c>
      <c r="I63" s="13">
        <v>0</v>
      </c>
      <c r="J63" s="2"/>
      <c r="K63" s="28">
        <v>4824</v>
      </c>
      <c r="M63" s="114">
        <f>SUMIF(DTRQ1!$A$12:$A$422,'DETAILED REPROT-Q4'!A63:A175,DTRQ1!$J$12:$J$422)</f>
        <v>0</v>
      </c>
      <c r="N63" s="114">
        <f>SUMIF('DTR-Q2'!$A$12:$A$931,'DETAILED REPROT-Q4'!A63,'DTR-Q2'!$J$12:$J$931)</f>
        <v>0</v>
      </c>
      <c r="O63" s="114">
        <f>SUMIF('DTR3'!$A$12:$A$988,'DETAILED REPROT-Q4'!A63,'DTR3'!$K$12:$K$988)</f>
        <v>30</v>
      </c>
      <c r="P63" s="114">
        <f>SUMIF('DTR-Q4'!$G$9:$G$1082,'DETAILED REPROT-Q4'!A63,'DTR-Q4'!$Z$9:$Z$1082)</f>
        <v>4822.3999999999996</v>
      </c>
      <c r="Q63" s="114">
        <f>SUMIF('DTR-Q5'!$S$7:$S$585,'DETAILED REPROT-Q4'!A63,'DTR-Q5'!$Z$7:$Z$585)</f>
        <v>0</v>
      </c>
      <c r="R63" s="114">
        <f>SUMIF('DTR-Q6'!$S$7:$S$653,'DETAILED REPROT-Q4'!A63,'DTR-Q6'!$Z$7:$Z$653)</f>
        <v>0</v>
      </c>
      <c r="S63" s="101">
        <f t="shared" si="1"/>
        <v>4852.3999999999996</v>
      </c>
      <c r="T63" s="101">
        <f t="shared" si="2"/>
        <v>-28.399999999999636</v>
      </c>
      <c r="U63" s="160">
        <f t="shared" si="3"/>
        <v>1.005887230514096</v>
      </c>
      <c r="V63" s="101"/>
    </row>
    <row r="64" spans="1:22" ht="16.5" thickBot="1">
      <c r="A64" s="74" t="s">
        <v>228</v>
      </c>
      <c r="B64" s="68" t="s">
        <v>54</v>
      </c>
      <c r="C64" s="10" t="s">
        <v>53</v>
      </c>
      <c r="D64" s="10" t="s">
        <v>325</v>
      </c>
      <c r="E64" s="13">
        <v>0</v>
      </c>
      <c r="F64" s="13">
        <f>42*14</f>
        <v>588</v>
      </c>
      <c r="G64" s="13">
        <f>42*14</f>
        <v>588</v>
      </c>
      <c r="H64" s="13">
        <f>(42*14)*2</f>
        <v>1176</v>
      </c>
      <c r="I64" s="13">
        <v>0</v>
      </c>
      <c r="J64" s="2"/>
      <c r="K64" s="28">
        <v>2352</v>
      </c>
      <c r="M64" s="114">
        <f>SUMIF(DTRQ1!$A$12:$A$422,'DETAILED REPROT-Q4'!A64:A176,DTRQ1!$J$12:$J$422)</f>
        <v>0</v>
      </c>
      <c r="N64" s="114">
        <f>SUMIF('DTR-Q2'!$A$12:$A$931,'DETAILED REPROT-Q4'!A64,'DTR-Q2'!$J$12:$J$931)</f>
        <v>0</v>
      </c>
      <c r="O64" s="114">
        <f>SUMIF('DTR3'!$A$12:$A$988,'DETAILED REPROT-Q4'!A64,'DTR3'!$K$12:$K$988)</f>
        <v>0</v>
      </c>
      <c r="P64" s="114">
        <f>SUMIF('DTR-Q4'!$G$9:$G$1082,'DETAILED REPROT-Q4'!A64,'DTR-Q4'!$Z$9:$Z$1082)</f>
        <v>0</v>
      </c>
      <c r="Q64" s="114">
        <f>SUMIF('DTR-Q5'!$S$7:$S$585,'DETAILED REPROT-Q4'!A64,'DTR-Q5'!$Z$7:$Z$585)</f>
        <v>369.19</v>
      </c>
      <c r="R64" s="114">
        <f>SUMIF('DTR-Q6'!$S$7:$S$653,'DETAILED REPROT-Q4'!A64,'DTR-Q6'!$Z$7:$Z$653)</f>
        <v>258</v>
      </c>
      <c r="S64" s="101">
        <f t="shared" si="1"/>
        <v>627.19000000000005</v>
      </c>
      <c r="T64" s="101">
        <f t="shared" si="2"/>
        <v>1724.81</v>
      </c>
      <c r="U64" s="160">
        <f t="shared" si="3"/>
        <v>0.26666241496598642</v>
      </c>
      <c r="V64" s="101"/>
    </row>
    <row r="65" spans="1:22" ht="32.25" thickBot="1">
      <c r="A65" s="73"/>
      <c r="B65" s="29" t="s">
        <v>56</v>
      </c>
      <c r="C65" s="29" t="s">
        <v>55</v>
      </c>
      <c r="D65" s="29"/>
      <c r="E65" s="30">
        <f>E66+E67+E68</f>
        <v>0</v>
      </c>
      <c r="F65" s="30">
        <f>F66+F67+F68</f>
        <v>26800</v>
      </c>
      <c r="G65" s="30">
        <f>G66+G67+G68</f>
        <v>26800</v>
      </c>
      <c r="H65" s="30">
        <f>H66+H67+H68</f>
        <v>53600</v>
      </c>
      <c r="I65" s="31">
        <v>0.5</v>
      </c>
      <c r="J65" s="32"/>
      <c r="K65" s="33">
        <v>107200</v>
      </c>
      <c r="M65" s="96">
        <f t="shared" ref="M65:R65" si="19">M66+M67+M68</f>
        <v>0</v>
      </c>
      <c r="N65" s="96">
        <f t="shared" si="19"/>
        <v>0</v>
      </c>
      <c r="O65" s="96">
        <f t="shared" si="19"/>
        <v>42.01</v>
      </c>
      <c r="P65" s="96">
        <f t="shared" si="19"/>
        <v>6258</v>
      </c>
      <c r="Q65" s="96">
        <f t="shared" si="19"/>
        <v>0</v>
      </c>
      <c r="R65" s="96">
        <f t="shared" si="19"/>
        <v>0</v>
      </c>
      <c r="S65" s="96">
        <f t="shared" si="1"/>
        <v>6300.01</v>
      </c>
      <c r="T65" s="96">
        <f t="shared" si="2"/>
        <v>100899.99</v>
      </c>
      <c r="U65" s="159">
        <f t="shared" si="3"/>
        <v>5.8768750000000002E-2</v>
      </c>
      <c r="V65" s="96"/>
    </row>
    <row r="66" spans="1:22" ht="32.25" thickBot="1">
      <c r="A66" s="74" t="s">
        <v>229</v>
      </c>
      <c r="B66" s="2" t="s">
        <v>12</v>
      </c>
      <c r="C66" s="10" t="s">
        <v>57</v>
      </c>
      <c r="D66" s="10" t="s">
        <v>325</v>
      </c>
      <c r="E66" s="13">
        <v>0</v>
      </c>
      <c r="F66" s="13">
        <f>400*4</f>
        <v>1600</v>
      </c>
      <c r="G66" s="13">
        <f>400*4</f>
        <v>1600</v>
      </c>
      <c r="H66" s="13">
        <f>400*4+400*4</f>
        <v>3200</v>
      </c>
      <c r="I66" s="13">
        <v>0</v>
      </c>
      <c r="J66" s="2"/>
      <c r="K66" s="28">
        <v>6400</v>
      </c>
      <c r="M66" s="114">
        <f>SUMIF(DTRQ1!$A$12:$A$422,'DETAILED REPROT-Q4'!A66:A178,DTRQ1!$J$12:$J$422)</f>
        <v>0</v>
      </c>
      <c r="N66" s="114">
        <f>SUMIF('DTR-Q2'!$A$12:$A$931,'DETAILED REPROT-Q4'!A66,'DTR-Q2'!$J$12:$J$931)</f>
        <v>0</v>
      </c>
      <c r="O66" s="114">
        <f>SUMIF('DTR3'!$A$12:$A$988,'DETAILED REPROT-Q4'!A66,'DTR3'!$K$12:$K$988)</f>
        <v>0</v>
      </c>
      <c r="P66" s="114">
        <f>SUMIF('DTR-Q4'!$G$9:$G$1082,'DETAILED REPROT-Q4'!A66,'DTR-Q4'!$Z$9:$Z$1082)</f>
        <v>6300</v>
      </c>
      <c r="Q66" s="114">
        <f>SUMIF('DTR-Q5'!$S$7:$S$585,'DETAILED REPROT-Q4'!A66,'DTR-Q5'!$Z$7:$Z$585)</f>
        <v>0</v>
      </c>
      <c r="R66" s="114">
        <f>SUMIF('DTR-Q6'!$S$7:$S$653,'DETAILED REPROT-Q4'!A66,'DTR-Q6'!$Z$7:$Z$653)</f>
        <v>0</v>
      </c>
      <c r="S66" s="101">
        <f t="shared" si="1"/>
        <v>6300</v>
      </c>
      <c r="T66" s="101">
        <f t="shared" si="2"/>
        <v>100</v>
      </c>
      <c r="U66" s="160">
        <f t="shared" si="3"/>
        <v>0.984375</v>
      </c>
      <c r="V66" s="101"/>
    </row>
    <row r="67" spans="1:22" ht="32.25" thickBot="1">
      <c r="A67" s="74" t="s">
        <v>230</v>
      </c>
      <c r="B67" s="2" t="s">
        <v>59</v>
      </c>
      <c r="C67" s="10" t="s">
        <v>58</v>
      </c>
      <c r="D67" s="10" t="s">
        <v>325</v>
      </c>
      <c r="E67" s="13">
        <v>0</v>
      </c>
      <c r="F67" s="13">
        <f>6000*3</f>
        <v>18000</v>
      </c>
      <c r="G67" s="13">
        <f>6000*3</f>
        <v>18000</v>
      </c>
      <c r="H67" s="13">
        <f>6000*3+6000*3</f>
        <v>36000</v>
      </c>
      <c r="I67" s="13">
        <v>0</v>
      </c>
      <c r="J67" s="2"/>
      <c r="K67" s="28">
        <v>72000</v>
      </c>
      <c r="M67" s="114">
        <f>SUMIF(DTRQ1!$A$12:$A$422,'DETAILED REPROT-Q4'!A67:A179,DTRQ1!$J$12:$J$422)</f>
        <v>0</v>
      </c>
      <c r="N67" s="114">
        <f>SUMIF('DTR-Q2'!$A$12:$A$931,'DETAILED REPROT-Q4'!A67,'DTR-Q2'!$J$12:$J$931)</f>
        <v>0</v>
      </c>
      <c r="O67" s="114">
        <f>SUMIF('DTR3'!$A$12:$A$988,'DETAILED REPROT-Q4'!A67,'DTR3'!$K$12:$K$988)</f>
        <v>0</v>
      </c>
      <c r="P67" s="114">
        <f>SUMIF('DTR-Q4'!$G$9:$G$1082,'DETAILED REPROT-Q4'!A67,'DTR-Q4'!$Z$9:$Z$1082)</f>
        <v>0</v>
      </c>
      <c r="Q67" s="114">
        <f>SUMIF('DTR-Q5'!$S$7:$S$585,'DETAILED REPROT-Q4'!A67,'DTR-Q5'!$Z$7:$Z$585)</f>
        <v>0</v>
      </c>
      <c r="R67" s="114">
        <f>SUMIF('DTR-Q6'!$S$7:$S$653,'DETAILED REPROT-Q4'!A67,'DTR-Q6'!$Z$7:$Z$653)</f>
        <v>0</v>
      </c>
      <c r="S67" s="101">
        <f t="shared" si="1"/>
        <v>0</v>
      </c>
      <c r="T67" s="101">
        <f t="shared" si="2"/>
        <v>72000</v>
      </c>
      <c r="U67" s="160">
        <f t="shared" si="3"/>
        <v>0</v>
      </c>
      <c r="V67" s="101"/>
    </row>
    <row r="68" spans="1:22" ht="48" thickBot="1">
      <c r="A68" s="73"/>
      <c r="B68" s="66" t="s">
        <v>61</v>
      </c>
      <c r="C68" s="34" t="s">
        <v>60</v>
      </c>
      <c r="D68" s="34"/>
      <c r="E68" s="35">
        <v>0</v>
      </c>
      <c r="F68" s="35">
        <f>SUM(F69:F70)</f>
        <v>7200</v>
      </c>
      <c r="G68" s="35">
        <f>SUM(G69:G70)</f>
        <v>7200</v>
      </c>
      <c r="H68" s="35">
        <f>SUM(H69:H70)</f>
        <v>14400</v>
      </c>
      <c r="I68" s="35">
        <v>0</v>
      </c>
      <c r="J68" s="36"/>
      <c r="K68" s="37">
        <v>28800</v>
      </c>
      <c r="M68" s="98">
        <f t="shared" ref="M68:R68" si="20">SUM(M69:M70)</f>
        <v>0</v>
      </c>
      <c r="N68" s="98">
        <f t="shared" si="20"/>
        <v>0</v>
      </c>
      <c r="O68" s="98">
        <f t="shared" si="20"/>
        <v>42.01</v>
      </c>
      <c r="P68" s="98">
        <f t="shared" si="20"/>
        <v>-42</v>
      </c>
      <c r="Q68" s="98">
        <f t="shared" si="20"/>
        <v>0</v>
      </c>
      <c r="R68" s="98">
        <f t="shared" si="20"/>
        <v>0</v>
      </c>
      <c r="S68" s="98">
        <f t="shared" si="1"/>
        <v>9.9999999999980105E-3</v>
      </c>
      <c r="T68" s="98">
        <f t="shared" si="2"/>
        <v>28799.99</v>
      </c>
      <c r="U68" s="161">
        <f t="shared" si="3"/>
        <v>3.4722222222215315E-7</v>
      </c>
      <c r="V68" s="98"/>
    </row>
    <row r="69" spans="1:22" ht="16.5" thickBot="1">
      <c r="A69" s="74" t="s">
        <v>231</v>
      </c>
      <c r="B69" s="67" t="s">
        <v>198</v>
      </c>
      <c r="C69" s="6" t="s">
        <v>112</v>
      </c>
      <c r="D69" s="10" t="s">
        <v>325</v>
      </c>
      <c r="E69" s="13">
        <v>0</v>
      </c>
      <c r="F69" s="13">
        <f>1200*3</f>
        <v>3600</v>
      </c>
      <c r="G69" s="13">
        <f>1200*3</f>
        <v>3600</v>
      </c>
      <c r="H69" s="13">
        <f>1200*3+1200*3</f>
        <v>7200</v>
      </c>
      <c r="I69" s="13">
        <v>0</v>
      </c>
      <c r="J69" s="2"/>
      <c r="K69" s="28">
        <v>14400</v>
      </c>
      <c r="M69" s="114">
        <f>SUMIF(DTRQ1!$A$12:$A$422,'DETAILED REPROT-Q4'!A69:A181,DTRQ1!$J$12:$J$422)</f>
        <v>0</v>
      </c>
      <c r="N69" s="114">
        <f>SUMIF('DTR-Q2'!$A$12:$A$931,'DETAILED REPROT-Q4'!A69,'DTR-Q2'!$J$12:$J$931)</f>
        <v>0</v>
      </c>
      <c r="O69" s="114">
        <f>SUMIF('DTR3'!$A$12:$A$988,'DETAILED REPROT-Q4'!A69,'DTR3'!$K$12:$K$988)</f>
        <v>0</v>
      </c>
      <c r="P69" s="114">
        <f>SUMIF('DTR-Q4'!$G$9:$G$1082,'DETAILED REPROT-Q4'!A69,'DTR-Q4'!$Z$9:$Z$1082)</f>
        <v>0</v>
      </c>
      <c r="Q69" s="114">
        <f>SUMIF('DTR-Q5'!$S$7:$S$585,'DETAILED REPROT-Q4'!A69,'DTR-Q5'!$Z$7:$Z$585)</f>
        <v>0</v>
      </c>
      <c r="R69" s="114">
        <f>SUMIF('DTR-Q6'!$S$7:$S$653,'DETAILED REPROT-Q4'!A69,'DTR-Q6'!$Z$7:$Z$653)</f>
        <v>0</v>
      </c>
      <c r="S69" s="101">
        <f t="shared" si="1"/>
        <v>0</v>
      </c>
      <c r="T69" s="101">
        <f t="shared" si="2"/>
        <v>14400</v>
      </c>
      <c r="U69" s="160">
        <f t="shared" si="3"/>
        <v>0</v>
      </c>
      <c r="V69" s="101"/>
    </row>
    <row r="70" spans="1:22" ht="16.5" thickBot="1">
      <c r="A70" s="74" t="s">
        <v>232</v>
      </c>
      <c r="B70" s="67" t="s">
        <v>197</v>
      </c>
      <c r="C70" s="6" t="s">
        <v>113</v>
      </c>
      <c r="D70" s="10" t="s">
        <v>325</v>
      </c>
      <c r="E70" s="13">
        <v>0</v>
      </c>
      <c r="F70" s="13">
        <f>1200*3</f>
        <v>3600</v>
      </c>
      <c r="G70" s="13">
        <f>1200*3</f>
        <v>3600</v>
      </c>
      <c r="H70" s="13">
        <f>1200*3+1200*3</f>
        <v>7200</v>
      </c>
      <c r="I70" s="13">
        <v>0</v>
      </c>
      <c r="J70" s="2"/>
      <c r="K70" s="28">
        <v>14400</v>
      </c>
      <c r="M70" s="114">
        <f>SUMIF(DTRQ1!$A$12:$A$422,'DETAILED REPROT-Q4'!A70:A182,DTRQ1!$J$12:$J$422)</f>
        <v>0</v>
      </c>
      <c r="N70" s="114">
        <f>SUMIF('DTR-Q2'!$A$12:$A$931,'DETAILED REPROT-Q4'!A70,'DTR-Q2'!$J$12:$J$931)</f>
        <v>0</v>
      </c>
      <c r="O70" s="114">
        <f>SUMIF('DTR3'!$A$12:$A$988,'DETAILED REPROT-Q4'!A70,'DTR3'!$K$12:$K$988)</f>
        <v>42.01</v>
      </c>
      <c r="P70" s="114">
        <f>SUMIF('DTR-Q4'!$G$9:$G$1082,'DETAILED REPROT-Q4'!A70,'DTR-Q4'!$Z$9:$Z$1082)</f>
        <v>-42</v>
      </c>
      <c r="Q70" s="114">
        <f>SUMIF('DTR-Q5'!$S$7:$S$585,'DETAILED REPROT-Q4'!A70,'DTR-Q5'!$Z$7:$Z$585)</f>
        <v>0</v>
      </c>
      <c r="R70" s="114">
        <f>SUMIF('DTR-Q6'!$S$7:$S$653,'DETAILED REPROT-Q4'!A70,'DTR-Q6'!$Z$7:$Z$653)</f>
        <v>0</v>
      </c>
      <c r="S70" s="101">
        <f t="shared" si="1"/>
        <v>9.9999999999980105E-3</v>
      </c>
      <c r="T70" s="101">
        <f t="shared" si="2"/>
        <v>14399.99</v>
      </c>
      <c r="U70" s="160">
        <f t="shared" si="3"/>
        <v>6.9444444444430631E-7</v>
      </c>
      <c r="V70" s="101"/>
    </row>
    <row r="71" spans="1:22" ht="32.25" thickBot="1">
      <c r="A71" s="73"/>
      <c r="B71" s="29" t="s">
        <v>63</v>
      </c>
      <c r="C71" s="29" t="s">
        <v>62</v>
      </c>
      <c r="D71" s="29"/>
      <c r="E71" s="30">
        <f>E72+E73+E74+E75</f>
        <v>0</v>
      </c>
      <c r="F71" s="30">
        <f>F72+F73+F74+F75</f>
        <v>47013.4</v>
      </c>
      <c r="G71" s="30">
        <f>G72+G73+G74+G75</f>
        <v>8089.7</v>
      </c>
      <c r="H71" s="30">
        <f>H72+H73+H74+H75</f>
        <v>0</v>
      </c>
      <c r="I71" s="31">
        <v>0</v>
      </c>
      <c r="J71" s="32"/>
      <c r="K71" s="33">
        <v>55103.1</v>
      </c>
      <c r="M71" s="96">
        <f t="shared" ref="M71:R71" si="21">M72+M73+M74+M75</f>
        <v>0</v>
      </c>
      <c r="N71" s="96">
        <f t="shared" si="21"/>
        <v>0</v>
      </c>
      <c r="O71" s="96">
        <f t="shared" si="21"/>
        <v>0</v>
      </c>
      <c r="P71" s="96">
        <f t="shared" si="21"/>
        <v>3996.6400000000003</v>
      </c>
      <c r="Q71" s="96">
        <f t="shared" si="21"/>
        <v>0.05</v>
      </c>
      <c r="R71" s="96">
        <f t="shared" si="21"/>
        <v>2050</v>
      </c>
      <c r="S71" s="96">
        <f t="shared" si="1"/>
        <v>6046.6900000000005</v>
      </c>
      <c r="T71" s="96">
        <f t="shared" si="2"/>
        <v>49056.409999999996</v>
      </c>
      <c r="U71" s="159">
        <f t="shared" si="3"/>
        <v>0.10973411659235144</v>
      </c>
      <c r="V71" s="96"/>
    </row>
    <row r="72" spans="1:22" ht="16.5" thickBot="1">
      <c r="A72" s="74" t="s">
        <v>233</v>
      </c>
      <c r="B72" s="2" t="s">
        <v>66</v>
      </c>
      <c r="C72" s="10" t="s">
        <v>64</v>
      </c>
      <c r="D72" s="10" t="s">
        <v>325</v>
      </c>
      <c r="E72" s="13">
        <v>0</v>
      </c>
      <c r="F72" s="13">
        <f>2089.7*2</f>
        <v>4179.3999999999996</v>
      </c>
      <c r="G72" s="13">
        <v>2089.6999999999998</v>
      </c>
      <c r="H72" s="13">
        <v>0</v>
      </c>
      <c r="I72" s="13">
        <v>0</v>
      </c>
      <c r="J72" s="2"/>
      <c r="K72" s="28">
        <v>6269.0999999999995</v>
      </c>
      <c r="M72" s="114">
        <f>SUMIF(DTRQ1!$A$12:$A$422,'DETAILED REPROT-Q4'!A72:A184,DTRQ1!$J$12:$J$422)</f>
        <v>0</v>
      </c>
      <c r="N72" s="114">
        <f>SUMIF('DTR-Q2'!$A$12:$A$931,'DETAILED REPROT-Q4'!A72,'DTR-Q2'!$J$12:$J$931)</f>
        <v>0</v>
      </c>
      <c r="O72" s="114">
        <f>SUMIF('DTR3'!$A$12:$A$988,'DETAILED REPROT-Q4'!A72,'DTR3'!$K$12:$K$988)</f>
        <v>0</v>
      </c>
      <c r="P72" s="114">
        <f>SUMIF('DTR-Q4'!$G$9:$G$1082,'DETAILED REPROT-Q4'!A72,'DTR-Q4'!$Z$9:$Z$1082)</f>
        <v>3996.6400000000003</v>
      </c>
      <c r="Q72" s="114">
        <f>SUMIF('DTR-Q5'!$S$7:$S$585,'DETAILED REPROT-Q4'!A72,'DTR-Q5'!$Z$7:$Z$585)</f>
        <v>0.05</v>
      </c>
      <c r="R72" s="114">
        <f>SUMIF('DTR-Q6'!$S$7:$S$653,'DETAILED REPROT-Q4'!A72,'DTR-Q6'!$Z$7:$Z$653)</f>
        <v>0</v>
      </c>
      <c r="S72" s="101">
        <f t="shared" si="1"/>
        <v>3996.6900000000005</v>
      </c>
      <c r="T72" s="101">
        <f t="shared" si="2"/>
        <v>2272.4099999999989</v>
      </c>
      <c r="U72" s="160">
        <f t="shared" si="3"/>
        <v>0.63752213236349731</v>
      </c>
      <c r="V72" s="101"/>
    </row>
    <row r="73" spans="1:22" ht="32.25" thickBot="1">
      <c r="A73" s="74" t="s">
        <v>234</v>
      </c>
      <c r="B73" s="2" t="s">
        <v>68</v>
      </c>
      <c r="C73" s="10" t="s">
        <v>67</v>
      </c>
      <c r="D73" s="10" t="s">
        <v>325</v>
      </c>
      <c r="E73" s="13">
        <v>0</v>
      </c>
      <c r="F73" s="13">
        <v>16834</v>
      </c>
      <c r="G73" s="13"/>
      <c r="H73" s="13">
        <v>0</v>
      </c>
      <c r="I73" s="13">
        <v>0</v>
      </c>
      <c r="J73" s="2"/>
      <c r="K73" s="28">
        <v>16834</v>
      </c>
      <c r="M73" s="114">
        <f>SUMIF(DTRQ1!$A$12:$A$422,'DETAILED REPROT-Q4'!A73:A185,DTRQ1!$J$12:$J$422)</f>
        <v>0</v>
      </c>
      <c r="N73" s="114">
        <f>SUMIF('DTR-Q2'!$A$12:$A$931,'DETAILED REPROT-Q4'!A73,'DTR-Q2'!$J$12:$J$931)</f>
        <v>0</v>
      </c>
      <c r="O73" s="114">
        <f>SUMIF('DTR3'!$A$12:$A$988,'DETAILED REPROT-Q4'!A73,'DTR3'!$K$12:$K$988)</f>
        <v>0</v>
      </c>
      <c r="P73" s="114">
        <f>SUMIF('DTR-Q4'!$G$9:$G$1082,'DETAILED REPROT-Q4'!A73,'DTR-Q4'!$Z$9:$Z$1082)</f>
        <v>0</v>
      </c>
      <c r="Q73" s="114">
        <f>SUMIF('DTR-Q5'!$S$7:$S$585,'DETAILED REPROT-Q4'!A73,'DTR-Q5'!$Z$7:$Z$585)</f>
        <v>0</v>
      </c>
      <c r="R73" s="114">
        <f>SUMIF('DTR-Q6'!$S$7:$S$653,'DETAILED REPROT-Q4'!A73,'DTR-Q6'!$Z$7:$Z$653)</f>
        <v>0</v>
      </c>
      <c r="S73" s="101">
        <f t="shared" si="1"/>
        <v>0</v>
      </c>
      <c r="T73" s="101">
        <f t="shared" si="2"/>
        <v>16834</v>
      </c>
      <c r="U73" s="160">
        <f t="shared" si="3"/>
        <v>0</v>
      </c>
      <c r="V73" s="101"/>
    </row>
    <row r="74" spans="1:22" ht="32.25" thickBot="1">
      <c r="A74" s="74" t="s">
        <v>235</v>
      </c>
      <c r="B74" s="2" t="s">
        <v>69</v>
      </c>
      <c r="C74" s="10" t="s">
        <v>65</v>
      </c>
      <c r="D74" s="10" t="s">
        <v>325</v>
      </c>
      <c r="E74" s="13">
        <v>0</v>
      </c>
      <c r="F74" s="13">
        <v>20000</v>
      </c>
      <c r="G74" s="13">
        <v>0</v>
      </c>
      <c r="H74" s="13">
        <v>0</v>
      </c>
      <c r="I74" s="13">
        <v>0</v>
      </c>
      <c r="J74" s="2"/>
      <c r="K74" s="28">
        <v>20000</v>
      </c>
      <c r="M74" s="114">
        <f>SUMIF(DTRQ1!$A$12:$A$422,'DETAILED REPROT-Q4'!A74:A186,DTRQ1!$J$12:$J$422)</f>
        <v>0</v>
      </c>
      <c r="N74" s="114">
        <f>SUMIF('DTR-Q2'!$A$12:$A$931,'DETAILED REPROT-Q4'!A74,'DTR-Q2'!$J$12:$J$931)</f>
        <v>0</v>
      </c>
      <c r="O74" s="114">
        <f>SUMIF('DTR3'!$A$12:$A$988,'DETAILED REPROT-Q4'!A74,'DTR3'!$K$12:$K$988)</f>
        <v>0</v>
      </c>
      <c r="P74" s="114">
        <f>SUMIF('DTR-Q4'!$G$9:$G$1082,'DETAILED REPROT-Q4'!A74,'DTR-Q4'!$Z$9:$Z$1082)</f>
        <v>0</v>
      </c>
      <c r="Q74" s="114">
        <f>SUMIF('DTR-Q5'!$S$7:$S$585,'DETAILED REPROT-Q4'!A74,'DTR-Q5'!$Z$7:$Z$585)</f>
        <v>0</v>
      </c>
      <c r="R74" s="114">
        <f>SUMIF('DTR-Q6'!$S$7:$S$653,'DETAILED REPROT-Q4'!A74,'DTR-Q6'!$Z$7:$Z$653)</f>
        <v>2050</v>
      </c>
      <c r="S74" s="101">
        <f t="shared" si="1"/>
        <v>2050</v>
      </c>
      <c r="T74" s="101">
        <f t="shared" si="2"/>
        <v>17950</v>
      </c>
      <c r="U74" s="160">
        <f t="shared" si="3"/>
        <v>0.10249999999999999</v>
      </c>
      <c r="V74" s="101"/>
    </row>
    <row r="75" spans="1:22" ht="32.25" thickBot="1">
      <c r="A75" s="74" t="s">
        <v>236</v>
      </c>
      <c r="B75" s="2" t="s">
        <v>71</v>
      </c>
      <c r="C75" s="10" t="s">
        <v>70</v>
      </c>
      <c r="D75" s="10" t="s">
        <v>325</v>
      </c>
      <c r="E75" s="13">
        <v>0</v>
      </c>
      <c r="F75" s="13">
        <v>6000</v>
      </c>
      <c r="G75" s="13">
        <f>6000</f>
        <v>6000</v>
      </c>
      <c r="H75" s="13">
        <v>0</v>
      </c>
      <c r="I75" s="13">
        <v>0</v>
      </c>
      <c r="J75" s="2"/>
      <c r="K75" s="28">
        <v>12000</v>
      </c>
      <c r="L75" s="86"/>
      <c r="M75" s="114">
        <f>SUMIF(DTRQ1!$A$12:$A$422,'DETAILED REPROT-Q4'!A75:A187,DTRQ1!$J$12:$J$422)</f>
        <v>0</v>
      </c>
      <c r="N75" s="114">
        <f>SUMIF('DTR-Q2'!$A$12:$A$931,'DETAILED REPROT-Q4'!A75,'DTR-Q2'!$J$12:$J$931)</f>
        <v>0</v>
      </c>
      <c r="O75" s="114">
        <f>SUMIF('DTR3'!$A$12:$A$988,'DETAILED REPROT-Q4'!A75,'DTR3'!$K$12:$K$988)</f>
        <v>0</v>
      </c>
      <c r="P75" s="114">
        <f>SUMIF('DTR-Q4'!$G$9:$G$1082,'DETAILED REPROT-Q4'!A75,'DTR-Q4'!$Z$9:$Z$1082)</f>
        <v>0</v>
      </c>
      <c r="Q75" s="114">
        <f>SUMIF('DTR-Q5'!$S$7:$S$585,'DETAILED REPROT-Q4'!A75,'DTR-Q5'!$Z$7:$Z$585)</f>
        <v>0</v>
      </c>
      <c r="R75" s="114">
        <f>SUMIF('DTR-Q6'!$S$7:$S$653,'DETAILED REPROT-Q4'!A75,'DTR-Q6'!$Z$7:$Z$653)</f>
        <v>0</v>
      </c>
      <c r="S75" s="101">
        <f t="shared" si="1"/>
        <v>0</v>
      </c>
      <c r="T75" s="101">
        <f t="shared" si="2"/>
        <v>12000</v>
      </c>
      <c r="U75" s="160">
        <f t="shared" si="3"/>
        <v>0</v>
      </c>
      <c r="V75" s="101"/>
    </row>
    <row r="76" spans="1:22" ht="16.5" thickBot="1">
      <c r="A76" s="73"/>
      <c r="B76" s="42" t="s">
        <v>152</v>
      </c>
      <c r="C76" s="41">
        <f>SUM(E76:H76)</f>
        <v>261511.9</v>
      </c>
      <c r="D76" s="41"/>
      <c r="E76" s="41">
        <f>E71+E65+E53+E39</f>
        <v>12300</v>
      </c>
      <c r="F76" s="41">
        <f>F71+F65+F53+F39</f>
        <v>107033.59999999999</v>
      </c>
      <c r="G76" s="41">
        <f>G71+G65+G53+G39</f>
        <v>55785.899999999994</v>
      </c>
      <c r="H76" s="41">
        <f>H71+H65+H53+H39</f>
        <v>86392.4</v>
      </c>
      <c r="I76" s="42"/>
      <c r="J76" s="42"/>
      <c r="K76" s="43">
        <v>261511.9</v>
      </c>
      <c r="M76" s="102">
        <f t="shared" ref="M76:R76" si="22">M71+M65+M53+M39</f>
        <v>0</v>
      </c>
      <c r="N76" s="102">
        <f t="shared" si="22"/>
        <v>144.11000000000001</v>
      </c>
      <c r="O76" s="102">
        <f t="shared" si="22"/>
        <v>44104.14</v>
      </c>
      <c r="P76" s="102">
        <f t="shared" si="22"/>
        <v>19778.190000000002</v>
      </c>
      <c r="Q76" s="102">
        <f t="shared" si="22"/>
        <v>421.92</v>
      </c>
      <c r="R76" s="102">
        <f t="shared" si="22"/>
        <v>9594.5</v>
      </c>
      <c r="S76" s="102">
        <f t="shared" si="1"/>
        <v>74042.86</v>
      </c>
      <c r="T76" s="102">
        <f t="shared" si="2"/>
        <v>187469.03999999998</v>
      </c>
      <c r="U76" s="164">
        <f t="shared" si="3"/>
        <v>0.28313380767758561</v>
      </c>
      <c r="V76" s="102"/>
    </row>
    <row r="77" spans="1:22" ht="16.5" customHeight="1" thickBot="1">
      <c r="A77" s="73"/>
      <c r="B77" s="116" t="s">
        <v>191</v>
      </c>
      <c r="C77" s="116"/>
      <c r="D77" s="116"/>
      <c r="E77" s="116"/>
      <c r="F77" s="116"/>
      <c r="G77" s="116"/>
      <c r="H77" s="116"/>
      <c r="I77" s="117"/>
      <c r="J77" s="44"/>
      <c r="K77" s="45">
        <v>0</v>
      </c>
      <c r="M77" s="103"/>
      <c r="N77" s="103"/>
      <c r="O77" s="103"/>
      <c r="P77" s="103"/>
      <c r="Q77" s="103"/>
      <c r="R77" s="103"/>
      <c r="S77" s="103">
        <f t="shared" si="1"/>
        <v>0</v>
      </c>
      <c r="T77" s="103"/>
      <c r="U77" s="165"/>
      <c r="V77" s="103"/>
    </row>
    <row r="78" spans="1:22" ht="16.5" thickBot="1">
      <c r="A78" s="73"/>
      <c r="B78" s="29" t="s">
        <v>72</v>
      </c>
      <c r="C78" s="29" t="s">
        <v>190</v>
      </c>
      <c r="D78" s="29"/>
      <c r="E78" s="30">
        <f>E79+E80</f>
        <v>0</v>
      </c>
      <c r="F78" s="30">
        <f>F79+F80</f>
        <v>8150</v>
      </c>
      <c r="G78" s="30">
        <f>G79+G80</f>
        <v>8150</v>
      </c>
      <c r="H78" s="30">
        <f>H79+H80</f>
        <v>16300</v>
      </c>
      <c r="I78" s="31">
        <v>0.5</v>
      </c>
      <c r="J78" s="32"/>
      <c r="K78" s="33">
        <v>32600</v>
      </c>
      <c r="M78" s="96">
        <f t="shared" ref="M78:R78" si="23">M79+M80</f>
        <v>0</v>
      </c>
      <c r="N78" s="96">
        <f t="shared" si="23"/>
        <v>0</v>
      </c>
      <c r="O78" s="96">
        <f t="shared" si="23"/>
        <v>0</v>
      </c>
      <c r="P78" s="96">
        <f t="shared" si="23"/>
        <v>4723.38</v>
      </c>
      <c r="Q78" s="96">
        <f t="shared" si="23"/>
        <v>0</v>
      </c>
      <c r="R78" s="96">
        <f t="shared" si="23"/>
        <v>3303.5</v>
      </c>
      <c r="S78" s="96">
        <f t="shared" si="1"/>
        <v>8026.88</v>
      </c>
      <c r="T78" s="96">
        <f t="shared" si="2"/>
        <v>24573.119999999999</v>
      </c>
      <c r="U78" s="159">
        <f t="shared" si="3"/>
        <v>0.24622331288343557</v>
      </c>
      <c r="V78" s="96"/>
    </row>
    <row r="79" spans="1:22" ht="48" thickBot="1">
      <c r="A79" s="72" t="s">
        <v>237</v>
      </c>
      <c r="B79" s="7" t="s">
        <v>74</v>
      </c>
      <c r="C79" s="7" t="s">
        <v>73</v>
      </c>
      <c r="D79" s="10" t="s">
        <v>325</v>
      </c>
      <c r="E79" s="14">
        <v>0</v>
      </c>
      <c r="F79" s="14">
        <f>2000</f>
        <v>2000</v>
      </c>
      <c r="G79" s="14">
        <f>2000</f>
        <v>2000</v>
      </c>
      <c r="H79" s="14">
        <f>2000*2</f>
        <v>4000</v>
      </c>
      <c r="I79" s="13">
        <v>0</v>
      </c>
      <c r="J79" s="7"/>
      <c r="K79" s="28">
        <v>8000</v>
      </c>
      <c r="M79" s="114">
        <f>SUMIF(DTRQ1!$A$12:$A$422,'DETAILED REPROT-Q4'!A79:A191,DTRQ1!$J$12:$J$422)</f>
        <v>0</v>
      </c>
      <c r="N79" s="114">
        <f>SUMIF('DTR-Q2'!$A$12:$A$931,'DETAILED REPROT-Q4'!A79,'DTR-Q2'!$J$12:$J$931)</f>
        <v>0</v>
      </c>
      <c r="O79" s="114">
        <f>SUMIF('DTR3'!$A$12:$A$988,'DETAILED REPROT-Q4'!A79,'DTR3'!$K$12:$K$988)</f>
        <v>0</v>
      </c>
      <c r="P79" s="114">
        <f>SUMIF('DTR-Q4'!$G$9:$G$1082,'DETAILED REPROT-Q4'!A79,'DTR-Q4'!$Z$9:$Z$1082)</f>
        <v>1857.5</v>
      </c>
      <c r="Q79" s="114">
        <f>SUMIF('DTR-Q5'!$S$7:$S$585,'DETAILED REPROT-Q4'!A79,'DTR-Q5'!$Z$7:$Z$585)</f>
        <v>0</v>
      </c>
      <c r="R79" s="114">
        <f>SUMIF('DTR-Q6'!$S$7:$S$653,'DETAILED REPROT-Q4'!A79,'DTR-Q6'!$Z$7:$Z$653)</f>
        <v>1320</v>
      </c>
      <c r="S79" s="104">
        <f t="shared" si="1"/>
        <v>3177.5</v>
      </c>
      <c r="T79" s="104">
        <f t="shared" si="2"/>
        <v>4822.5</v>
      </c>
      <c r="U79" s="166">
        <f t="shared" si="3"/>
        <v>0.39718750000000003</v>
      </c>
      <c r="V79" s="104"/>
    </row>
    <row r="80" spans="1:22" ht="16.5" thickBot="1">
      <c r="A80" s="72" t="s">
        <v>238</v>
      </c>
      <c r="B80" s="2" t="s">
        <v>75</v>
      </c>
      <c r="C80" s="2" t="s">
        <v>117</v>
      </c>
      <c r="D80" s="10" t="s">
        <v>325</v>
      </c>
      <c r="E80" s="13">
        <v>0</v>
      </c>
      <c r="F80" s="13">
        <f>1230*5</f>
        <v>6150</v>
      </c>
      <c r="G80" s="13">
        <f>1230*5</f>
        <v>6150</v>
      </c>
      <c r="H80" s="13">
        <f>1230*5+1230*5</f>
        <v>12300</v>
      </c>
      <c r="I80" s="13">
        <v>0</v>
      </c>
      <c r="J80" s="2"/>
      <c r="K80" s="28">
        <v>24600</v>
      </c>
      <c r="M80" s="114">
        <f>SUMIF(DTRQ1!$A$12:$A$422,'DETAILED REPROT-Q4'!A80:A192,DTRQ1!$J$12:$J$422)</f>
        <v>0</v>
      </c>
      <c r="N80" s="114">
        <f>SUMIF('DTR-Q2'!$A$12:$A$931,'DETAILED REPROT-Q4'!A80,'DTR-Q2'!$J$12:$J$931)</f>
        <v>0</v>
      </c>
      <c r="O80" s="114">
        <f>SUMIF('DTR3'!$A$12:$A$988,'DETAILED REPROT-Q4'!A80,'DTR3'!$K$12:$K$988)</f>
        <v>0</v>
      </c>
      <c r="P80" s="114">
        <f>SUMIF('DTR-Q4'!$G$9:$G$1082,'DETAILED REPROT-Q4'!A80,'DTR-Q4'!$Z$9:$Z$1082)</f>
        <v>2865.88</v>
      </c>
      <c r="Q80" s="114">
        <f>SUMIF('DTR-Q5'!$S$7:$S$585,'DETAILED REPROT-Q4'!A80,'DTR-Q5'!$Z$7:$Z$585)</f>
        <v>0</v>
      </c>
      <c r="R80" s="114">
        <f>SUMIF('DTR-Q6'!$S$7:$S$653,'DETAILED REPROT-Q4'!A80,'DTR-Q6'!$Z$7:$Z$653)</f>
        <v>1983.5</v>
      </c>
      <c r="S80" s="101">
        <f t="shared" si="1"/>
        <v>4849.38</v>
      </c>
      <c r="T80" s="101">
        <f t="shared" si="2"/>
        <v>19750.62</v>
      </c>
      <c r="U80" s="160">
        <f t="shared" si="3"/>
        <v>0.19712926829268293</v>
      </c>
      <c r="V80" s="101"/>
    </row>
    <row r="81" spans="1:22" ht="48" thickBot="1">
      <c r="A81" s="73"/>
      <c r="B81" s="29" t="s">
        <v>79</v>
      </c>
      <c r="C81" s="29" t="s">
        <v>78</v>
      </c>
      <c r="D81" s="29"/>
      <c r="E81" s="30">
        <f>SUM(E82+E83)</f>
        <v>0</v>
      </c>
      <c r="F81" s="30">
        <f>SUM(F82+F83)</f>
        <v>5500</v>
      </c>
      <c r="G81" s="30">
        <f>SUM(G82+G83)</f>
        <v>5500</v>
      </c>
      <c r="H81" s="30">
        <f>SUM(H82+H83)</f>
        <v>9750</v>
      </c>
      <c r="I81" s="31">
        <v>0</v>
      </c>
      <c r="J81" s="32"/>
      <c r="K81" s="33">
        <v>20750</v>
      </c>
      <c r="M81" s="96">
        <f t="shared" ref="M81:R81" si="24">SUM(M82+M83)</f>
        <v>0</v>
      </c>
      <c r="N81" s="96">
        <f t="shared" si="24"/>
        <v>1905</v>
      </c>
      <c r="O81" s="96">
        <f t="shared" si="24"/>
        <v>0</v>
      </c>
      <c r="P81" s="96">
        <f t="shared" si="24"/>
        <v>17471.54</v>
      </c>
      <c r="Q81" s="96">
        <f t="shared" si="24"/>
        <v>0</v>
      </c>
      <c r="R81" s="96">
        <f t="shared" si="24"/>
        <v>0</v>
      </c>
      <c r="S81" s="96">
        <f t="shared" si="1"/>
        <v>19376.54</v>
      </c>
      <c r="T81" s="96">
        <f t="shared" si="2"/>
        <v>1373.4599999999991</v>
      </c>
      <c r="U81" s="159">
        <f t="shared" si="3"/>
        <v>0.9338091566265061</v>
      </c>
      <c r="V81" s="96"/>
    </row>
    <row r="82" spans="1:22" ht="63.75" thickBot="1">
      <c r="A82" s="72" t="s">
        <v>239</v>
      </c>
      <c r="B82" s="2" t="s">
        <v>77</v>
      </c>
      <c r="C82" s="2" t="s">
        <v>76</v>
      </c>
      <c r="D82" s="10" t="s">
        <v>325</v>
      </c>
      <c r="E82" s="13">
        <v>0</v>
      </c>
      <c r="F82" s="13">
        <v>500</v>
      </c>
      <c r="G82" s="13">
        <v>500</v>
      </c>
      <c r="H82" s="13">
        <f>8750+500*2</f>
        <v>9750</v>
      </c>
      <c r="I82" s="13">
        <v>0</v>
      </c>
      <c r="J82" s="2"/>
      <c r="K82" s="28">
        <v>10750</v>
      </c>
      <c r="M82" s="114">
        <f>SUMIF(DTRQ1!$A$12:$A$422,'DETAILED REPROT-Q4'!A82:A194,DTRQ1!$J$12:$J$422)</f>
        <v>0</v>
      </c>
      <c r="N82" s="114">
        <f>SUMIF('DTR-Q2'!$A$12:$A$931,'DETAILED REPROT-Q4'!A82,'DTR-Q2'!$J$12:$J$931)</f>
        <v>1905</v>
      </c>
      <c r="O82" s="114">
        <f>SUMIF('DTR3'!$A$12:$A$988,'DETAILED REPROT-Q4'!A82,'DTR3'!$K$12:$K$988)</f>
        <v>0</v>
      </c>
      <c r="P82" s="114">
        <f>SUMIF('DTR-Q4'!$G$9:$G$1082,'DETAILED REPROT-Q4'!A82,'DTR-Q4'!$Z$9:$Z$1082)</f>
        <v>9631</v>
      </c>
      <c r="Q82" s="114">
        <f>SUMIF('DTR-Q5'!$S$7:$S$585,'DETAILED REPROT-Q4'!A82,'DTR-Q5'!$Z$7:$Z$585)</f>
        <v>0</v>
      </c>
      <c r="R82" s="114">
        <f>SUMIF('DTR-Q6'!$S$7:$S$653,'DETAILED REPROT-Q4'!A82,'DTR-Q6'!$Z$7:$Z$653)</f>
        <v>0</v>
      </c>
      <c r="S82" s="101">
        <f t="shared" si="1"/>
        <v>11536</v>
      </c>
      <c r="T82" s="101">
        <f t="shared" si="2"/>
        <v>-786</v>
      </c>
      <c r="U82" s="160">
        <f t="shared" si="3"/>
        <v>1.0731162790697675</v>
      </c>
      <c r="V82" s="101"/>
    </row>
    <row r="83" spans="1:22" ht="32.25" thickBot="1">
      <c r="A83" s="72" t="s">
        <v>240</v>
      </c>
      <c r="B83" s="2" t="s">
        <v>81</v>
      </c>
      <c r="C83" s="2" t="s">
        <v>80</v>
      </c>
      <c r="D83" s="10" t="s">
        <v>325</v>
      </c>
      <c r="E83" s="13">
        <v>0</v>
      </c>
      <c r="F83" s="13">
        <v>5000</v>
      </c>
      <c r="G83" s="13">
        <v>5000</v>
      </c>
      <c r="H83" s="13">
        <v>0</v>
      </c>
      <c r="I83" s="13">
        <v>0</v>
      </c>
      <c r="J83" s="2"/>
      <c r="K83" s="28">
        <v>10000</v>
      </c>
      <c r="M83" s="114">
        <f>SUMIF(DTRQ1!$A$12:$A$422,'DETAILED REPROT-Q4'!A83:A195,DTRQ1!$J$12:$J$422)</f>
        <v>0</v>
      </c>
      <c r="N83" s="114">
        <f>SUMIF('DTR-Q2'!$A$12:$A$931,'DETAILED REPROT-Q4'!A83,'DTR-Q2'!$J$12:$J$931)</f>
        <v>0</v>
      </c>
      <c r="O83" s="114">
        <f>SUMIF('DTR3'!$A$12:$A$988,'DETAILED REPROT-Q4'!A83,'DTR3'!$K$12:$K$988)</f>
        <v>0</v>
      </c>
      <c r="P83" s="114">
        <f>SUMIF('DTR-Q4'!$G$9:$G$1082,'DETAILED REPROT-Q4'!A83,'DTR-Q4'!$Z$9:$Z$1082)</f>
        <v>7840.54</v>
      </c>
      <c r="Q83" s="114">
        <f>SUMIF('DTR-Q5'!$S$7:$S$585,'DETAILED REPROT-Q4'!A83,'DTR-Q5'!$Z$7:$Z$585)</f>
        <v>0</v>
      </c>
      <c r="R83" s="114">
        <f>SUMIF('DTR-Q6'!$S$7:$S$653,'DETAILED REPROT-Q4'!A83,'DTR-Q6'!$Z$7:$Z$653)</f>
        <v>0</v>
      </c>
      <c r="S83" s="101">
        <f t="shared" ref="S83:S141" si="25">M83+N83+O83+P83+Q83+R83</f>
        <v>7840.54</v>
      </c>
      <c r="T83" s="101">
        <f t="shared" ref="T83:T141" si="26">K83-S83</f>
        <v>2159.46</v>
      </c>
      <c r="U83" s="160">
        <f t="shared" ref="U83:U139" si="27">S83/K83</f>
        <v>0.78405400000000003</v>
      </c>
      <c r="V83" s="101"/>
    </row>
    <row r="84" spans="1:22" ht="32.25" thickBot="1">
      <c r="A84" s="73"/>
      <c r="B84" s="29" t="s">
        <v>82</v>
      </c>
      <c r="C84" s="29" t="s">
        <v>187</v>
      </c>
      <c r="D84" s="29"/>
      <c r="E84" s="30">
        <f>SUM(E85+E86+E87+E88+E89)</f>
        <v>0</v>
      </c>
      <c r="F84" s="30">
        <f>F85+F86+F89</f>
        <v>24866.54</v>
      </c>
      <c r="G84" s="30">
        <f>G85+G86+G89</f>
        <v>24866.54</v>
      </c>
      <c r="H84" s="30">
        <f>H85+H86+H89</f>
        <v>45733.08</v>
      </c>
      <c r="I84" s="31">
        <v>0</v>
      </c>
      <c r="J84" s="32"/>
      <c r="K84" s="33">
        <v>95466.16</v>
      </c>
      <c r="M84" s="96">
        <f t="shared" ref="M84:R84" si="28">M85+M86+M89</f>
        <v>0</v>
      </c>
      <c r="N84" s="96">
        <f t="shared" si="28"/>
        <v>0</v>
      </c>
      <c r="O84" s="96">
        <f t="shared" si="28"/>
        <v>0</v>
      </c>
      <c r="P84" s="96">
        <f t="shared" si="28"/>
        <v>0</v>
      </c>
      <c r="Q84" s="96">
        <f t="shared" si="28"/>
        <v>0</v>
      </c>
      <c r="R84" s="96">
        <f t="shared" si="28"/>
        <v>0</v>
      </c>
      <c r="S84" s="96">
        <f t="shared" si="25"/>
        <v>0</v>
      </c>
      <c r="T84" s="96">
        <f t="shared" si="26"/>
        <v>95466.16</v>
      </c>
      <c r="U84" s="159">
        <f t="shared" si="27"/>
        <v>0</v>
      </c>
      <c r="V84" s="96"/>
    </row>
    <row r="85" spans="1:22" ht="32.25" thickBot="1">
      <c r="A85" s="72" t="s">
        <v>241</v>
      </c>
      <c r="B85" s="69" t="s">
        <v>84</v>
      </c>
      <c r="C85" s="2" t="s">
        <v>83</v>
      </c>
      <c r="D85" s="10" t="s">
        <v>325</v>
      </c>
      <c r="E85" s="13">
        <v>0</v>
      </c>
      <c r="F85" s="13">
        <v>2000</v>
      </c>
      <c r="G85" s="13">
        <v>2000</v>
      </c>
      <c r="H85" s="13">
        <v>0</v>
      </c>
      <c r="I85" s="13">
        <v>0</v>
      </c>
      <c r="J85" s="2"/>
      <c r="K85" s="28">
        <v>4000</v>
      </c>
      <c r="M85" s="114">
        <f>SUMIF(DTRQ1!$A$12:$A$422,'DETAILED REPROT-Q4'!A85:A197,DTRQ1!$J$12:$J$422)</f>
        <v>0</v>
      </c>
      <c r="N85" s="114">
        <f>SUMIF('DTR-Q2'!$A$12:$A$931,'DETAILED REPROT-Q4'!A85,'DTR-Q2'!$J$12:$J$931)</f>
        <v>0</v>
      </c>
      <c r="O85" s="114">
        <f>SUMIF('DTR3'!$A$12:$A$988,'DETAILED REPROT-Q4'!A85,'DTR3'!$K$12:$K$988)</f>
        <v>0</v>
      </c>
      <c r="P85" s="114">
        <f>SUMIF('DTR-Q4'!$G$9:$G$1082,'DETAILED REPROT-Q4'!A85,'DTR-Q4'!$Z$9:$Z$1082)</f>
        <v>0</v>
      </c>
      <c r="Q85" s="114">
        <f>SUMIF('DTR-Q5'!$S$7:$S$585,'DETAILED REPROT-Q4'!A85,'DTR-Q5'!$Z$7:$Z$585)</f>
        <v>0</v>
      </c>
      <c r="R85" s="114">
        <f>SUMIF('DTR-Q6'!$S$7:$S$653,'DETAILED REPROT-Q4'!A85,'DTR-Q6'!$Z$7:$Z$653)</f>
        <v>0</v>
      </c>
      <c r="S85" s="101">
        <f t="shared" si="25"/>
        <v>0</v>
      </c>
      <c r="T85" s="101">
        <f t="shared" si="26"/>
        <v>4000</v>
      </c>
      <c r="U85" s="160">
        <f t="shared" si="27"/>
        <v>0</v>
      </c>
      <c r="V85" s="101"/>
    </row>
    <row r="86" spans="1:22" ht="16.5" thickBot="1">
      <c r="A86" s="73"/>
      <c r="B86" s="66" t="s">
        <v>86</v>
      </c>
      <c r="C86" s="36" t="s">
        <v>85</v>
      </c>
      <c r="D86" s="36"/>
      <c r="E86" s="35">
        <f>E87+E88</f>
        <v>0</v>
      </c>
      <c r="F86" s="35">
        <f>F87+F88</f>
        <v>13000</v>
      </c>
      <c r="G86" s="35">
        <f>G87+G88</f>
        <v>13000</v>
      </c>
      <c r="H86" s="35">
        <f>H87+H88</f>
        <v>26000</v>
      </c>
      <c r="I86" s="35">
        <v>0</v>
      </c>
      <c r="J86" s="35"/>
      <c r="K86" s="37">
        <v>52000</v>
      </c>
      <c r="M86" s="98">
        <f t="shared" ref="M86:R86" si="29">M87+M88</f>
        <v>0</v>
      </c>
      <c r="N86" s="98">
        <f t="shared" si="29"/>
        <v>0</v>
      </c>
      <c r="O86" s="98">
        <f t="shared" si="29"/>
        <v>0</v>
      </c>
      <c r="P86" s="98">
        <f t="shared" si="29"/>
        <v>0</v>
      </c>
      <c r="Q86" s="98">
        <f t="shared" si="29"/>
        <v>0</v>
      </c>
      <c r="R86" s="98">
        <f t="shared" si="29"/>
        <v>0</v>
      </c>
      <c r="S86" s="98">
        <f t="shared" si="25"/>
        <v>0</v>
      </c>
      <c r="T86" s="98">
        <f t="shared" si="26"/>
        <v>52000</v>
      </c>
      <c r="U86" s="161">
        <f t="shared" si="27"/>
        <v>0</v>
      </c>
      <c r="V86" s="98"/>
    </row>
    <row r="87" spans="1:22" ht="32.25" thickBot="1">
      <c r="A87" s="72" t="s">
        <v>242</v>
      </c>
      <c r="B87" s="67" t="s">
        <v>177</v>
      </c>
      <c r="C87" s="6" t="s">
        <v>114</v>
      </c>
      <c r="D87" s="10" t="s">
        <v>325</v>
      </c>
      <c r="E87" s="13">
        <v>0</v>
      </c>
      <c r="F87" s="13">
        <f>1000</f>
        <v>1000</v>
      </c>
      <c r="G87" s="13">
        <f>1000</f>
        <v>1000</v>
      </c>
      <c r="H87" s="13">
        <f>1000+1000</f>
        <v>2000</v>
      </c>
      <c r="I87" s="13">
        <v>0</v>
      </c>
      <c r="J87" s="2"/>
      <c r="K87" s="28">
        <v>4000</v>
      </c>
      <c r="M87" s="114">
        <f>SUMIF(DTRQ1!$A$12:$A$422,'DETAILED REPROT-Q4'!A87:A199,DTRQ1!$J$12:$J$422)</f>
        <v>0</v>
      </c>
      <c r="N87" s="114">
        <f>SUMIF('DTR-Q2'!$A$12:$A$931,'DETAILED REPROT-Q4'!A87,'DTR-Q2'!$J$12:$J$931)</f>
        <v>0</v>
      </c>
      <c r="O87" s="114">
        <f>SUMIF('DTR3'!$A$12:$A$988,'DETAILED REPROT-Q4'!A87,'DTR3'!$K$12:$K$988)</f>
        <v>0</v>
      </c>
      <c r="P87" s="114">
        <f>SUMIF('DTR-Q4'!$G$9:$G$1082,'DETAILED REPROT-Q4'!A87,'DTR-Q4'!$Z$9:$Z$1082)</f>
        <v>0</v>
      </c>
      <c r="Q87" s="114">
        <f>SUMIF('DTR-Q5'!$S$7:$S$585,'DETAILED REPROT-Q4'!A87,'DTR-Q5'!$Z$7:$Z$585)</f>
        <v>0</v>
      </c>
      <c r="R87" s="114">
        <f>SUMIF('DTR-Q6'!$S$7:$S$653,'DETAILED REPROT-Q4'!A87,'DTR-Q6'!$Z$7:$Z$653)</f>
        <v>0</v>
      </c>
      <c r="S87" s="101">
        <f t="shared" si="25"/>
        <v>0</v>
      </c>
      <c r="T87" s="101">
        <f t="shared" si="26"/>
        <v>4000</v>
      </c>
      <c r="U87" s="160">
        <f t="shared" si="27"/>
        <v>0</v>
      </c>
      <c r="V87" s="101"/>
    </row>
    <row r="88" spans="1:22" ht="16.5" thickBot="1">
      <c r="A88" s="72" t="s">
        <v>243</v>
      </c>
      <c r="B88" s="6" t="s">
        <v>178</v>
      </c>
      <c r="C88" s="6" t="s">
        <v>115</v>
      </c>
      <c r="D88" s="10" t="s">
        <v>325</v>
      </c>
      <c r="E88" s="13">
        <v>0</v>
      </c>
      <c r="F88" s="13">
        <f>6000*2</f>
        <v>12000</v>
      </c>
      <c r="G88" s="13">
        <f>6000*2</f>
        <v>12000</v>
      </c>
      <c r="H88" s="13">
        <f>6000*4</f>
        <v>24000</v>
      </c>
      <c r="I88" s="13">
        <v>0</v>
      </c>
      <c r="J88" s="2"/>
      <c r="K88" s="28">
        <v>48000</v>
      </c>
      <c r="M88" s="114">
        <f>SUMIF(DTRQ1!$A$12:$A$422,'DETAILED REPROT-Q4'!A88:A200,DTRQ1!$J$12:$J$422)</f>
        <v>0</v>
      </c>
      <c r="N88" s="114">
        <f>SUMIF('DTR-Q2'!$A$12:$A$931,'DETAILED REPROT-Q4'!A88,'DTR-Q2'!$J$12:$J$931)</f>
        <v>0</v>
      </c>
      <c r="O88" s="114">
        <f>SUMIF('DTR3'!$A$12:$A$988,'DETAILED REPROT-Q4'!A88,'DTR3'!$K$12:$K$988)</f>
        <v>0</v>
      </c>
      <c r="P88" s="114">
        <f>SUMIF('DTR-Q4'!$G$9:$G$1082,'DETAILED REPROT-Q4'!A88,'DTR-Q4'!$Z$9:$Z$1082)</f>
        <v>0</v>
      </c>
      <c r="Q88" s="114">
        <f>SUMIF('DTR-Q5'!$S$7:$S$585,'DETAILED REPROT-Q4'!A88,'DTR-Q5'!$Z$7:$Z$585)</f>
        <v>0</v>
      </c>
      <c r="R88" s="114">
        <f>SUMIF('DTR-Q6'!$S$7:$S$653,'DETAILED REPROT-Q4'!A88,'DTR-Q6'!$Z$7:$Z$653)</f>
        <v>0</v>
      </c>
      <c r="S88" s="101">
        <f t="shared" si="25"/>
        <v>0</v>
      </c>
      <c r="T88" s="101">
        <f t="shared" si="26"/>
        <v>48000</v>
      </c>
      <c r="U88" s="160">
        <f t="shared" si="27"/>
        <v>0</v>
      </c>
      <c r="V88" s="101"/>
    </row>
    <row r="89" spans="1:22" ht="32.25" thickBot="1">
      <c r="A89" s="72" t="s">
        <v>244</v>
      </c>
      <c r="B89" s="7" t="s">
        <v>87</v>
      </c>
      <c r="C89" s="7" t="s">
        <v>88</v>
      </c>
      <c r="D89" s="10" t="s">
        <v>325</v>
      </c>
      <c r="E89" s="14">
        <v>0</v>
      </c>
      <c r="F89" s="14">
        <f>6000+3866.54</f>
        <v>9866.5400000000009</v>
      </c>
      <c r="G89" s="14">
        <f>6000+3866.54</f>
        <v>9866.5400000000009</v>
      </c>
      <c r="H89" s="14">
        <f>(6000+3866.54)*2</f>
        <v>19733.080000000002</v>
      </c>
      <c r="I89" s="13">
        <v>0</v>
      </c>
      <c r="J89" s="7"/>
      <c r="K89" s="28">
        <v>39466.160000000003</v>
      </c>
      <c r="M89" s="114">
        <f>SUMIF(DTRQ1!$A$12:$A$422,'DETAILED REPROT-Q4'!A89:A201,DTRQ1!$J$12:$J$422)</f>
        <v>0</v>
      </c>
      <c r="N89" s="114">
        <f>SUMIF('DTR-Q2'!$A$12:$A$931,'DETAILED REPROT-Q4'!A89,'DTR-Q2'!$J$12:$J$931)</f>
        <v>0</v>
      </c>
      <c r="O89" s="114">
        <f>SUMIF('DTR3'!$A$12:$A$988,'DETAILED REPROT-Q4'!A89,'DTR3'!$K$12:$K$988)</f>
        <v>0</v>
      </c>
      <c r="P89" s="114">
        <f>SUMIF('DTR-Q4'!$G$9:$G$1082,'DETAILED REPROT-Q4'!A89,'DTR-Q4'!$Z$9:$Z$1082)</f>
        <v>0</v>
      </c>
      <c r="Q89" s="114">
        <f>SUMIF('DTR-Q5'!$S$7:$S$585,'DETAILED REPROT-Q4'!A89,'DTR-Q5'!$Z$7:$Z$585)</f>
        <v>0</v>
      </c>
      <c r="R89" s="114">
        <f>SUMIF('DTR-Q6'!$S$7:$S$653,'DETAILED REPROT-Q4'!A89,'DTR-Q6'!$Z$7:$Z$653)</f>
        <v>0</v>
      </c>
      <c r="S89" s="104">
        <f t="shared" si="25"/>
        <v>0</v>
      </c>
      <c r="T89" s="104">
        <f t="shared" si="26"/>
        <v>39466.160000000003</v>
      </c>
      <c r="U89" s="166">
        <f t="shared" si="27"/>
        <v>0</v>
      </c>
      <c r="V89" s="104"/>
    </row>
    <row r="90" spans="1:22" ht="16.5" thickBot="1">
      <c r="A90" s="73"/>
      <c r="B90" s="47" t="s">
        <v>153</v>
      </c>
      <c r="C90" s="46">
        <f>SUM(E90:H90)</f>
        <v>148816.16</v>
      </c>
      <c r="D90" s="46"/>
      <c r="E90" s="46">
        <f>E84+E81+E78</f>
        <v>0</v>
      </c>
      <c r="F90" s="46">
        <f>F84+F81+F78</f>
        <v>38516.54</v>
      </c>
      <c r="G90" s="46">
        <f>G84+G81+G78</f>
        <v>38516.54</v>
      </c>
      <c r="H90" s="46">
        <f>H84+H81+H78</f>
        <v>71783.08</v>
      </c>
      <c r="I90" s="47">
        <v>0</v>
      </c>
      <c r="J90" s="47">
        <v>0</v>
      </c>
      <c r="K90" s="45">
        <v>148816.16</v>
      </c>
      <c r="M90" s="105">
        <f t="shared" ref="M90:R90" si="30">M84+M81+M78</f>
        <v>0</v>
      </c>
      <c r="N90" s="105">
        <f t="shared" si="30"/>
        <v>1905</v>
      </c>
      <c r="O90" s="105">
        <f t="shared" si="30"/>
        <v>0</v>
      </c>
      <c r="P90" s="105">
        <f t="shared" si="30"/>
        <v>22194.920000000002</v>
      </c>
      <c r="Q90" s="105">
        <f t="shared" si="30"/>
        <v>0</v>
      </c>
      <c r="R90" s="105">
        <f t="shared" si="30"/>
        <v>3303.5</v>
      </c>
      <c r="S90" s="105">
        <f t="shared" si="25"/>
        <v>27403.420000000002</v>
      </c>
      <c r="T90" s="105">
        <f t="shared" si="26"/>
        <v>121412.74</v>
      </c>
      <c r="U90" s="167">
        <f t="shared" si="27"/>
        <v>0.18414277051632028</v>
      </c>
      <c r="V90" s="105"/>
    </row>
    <row r="91" spans="1:22" ht="57" thickBot="1">
      <c r="A91" s="73"/>
      <c r="B91" s="70" t="s">
        <v>6</v>
      </c>
      <c r="C91" s="50" t="e">
        <f>SUM(E91:H91)</f>
        <v>#REF!</v>
      </c>
      <c r="D91" s="50"/>
      <c r="E91" s="50" t="e">
        <f>SUM(E93:E108)</f>
        <v>#REF!</v>
      </c>
      <c r="F91" s="50">
        <f>SUM(F93:F108)</f>
        <v>18400</v>
      </c>
      <c r="G91" s="50">
        <f>SUM(G93:G108)</f>
        <v>0</v>
      </c>
      <c r="H91" s="50">
        <f>SUM(H93:H108)</f>
        <v>18400</v>
      </c>
      <c r="I91" s="49"/>
      <c r="J91" s="49"/>
      <c r="K91" s="51">
        <v>355412.78865</v>
      </c>
      <c r="M91" s="106">
        <f t="shared" ref="M91:R91" si="31">SUM(M93:M108)</f>
        <v>29063.629999999997</v>
      </c>
      <c r="N91" s="106">
        <f t="shared" si="31"/>
        <v>43417.810000000019</v>
      </c>
      <c r="O91" s="106">
        <f t="shared" si="31"/>
        <v>47899.78</v>
      </c>
      <c r="P91" s="106">
        <f t="shared" si="31"/>
        <v>56957.68</v>
      </c>
      <c r="Q91" s="106">
        <f t="shared" si="31"/>
        <v>35268.259999999995</v>
      </c>
      <c r="R91" s="106">
        <f t="shared" si="31"/>
        <v>26889.64</v>
      </c>
      <c r="S91" s="106">
        <f t="shared" si="25"/>
        <v>239496.80000000005</v>
      </c>
      <c r="T91" s="106">
        <f t="shared" si="26"/>
        <v>115915.98864999996</v>
      </c>
      <c r="U91" s="168">
        <f t="shared" si="27"/>
        <v>0.67385532442348162</v>
      </c>
      <c r="V91" s="106"/>
    </row>
    <row r="92" spans="1:22" ht="16.5" thickBot="1">
      <c r="A92" s="73"/>
      <c r="B92" s="10"/>
      <c r="C92" s="15" t="s">
        <v>182</v>
      </c>
      <c r="D92" s="12"/>
      <c r="E92" s="12"/>
      <c r="F92" s="12"/>
      <c r="G92" s="15"/>
      <c r="H92" s="15"/>
      <c r="I92" s="1"/>
      <c r="J92" s="1"/>
      <c r="K92" s="28"/>
      <c r="M92" s="114"/>
      <c r="N92" s="114"/>
      <c r="O92" s="114"/>
      <c r="P92" s="114"/>
      <c r="Q92" s="114"/>
      <c r="R92" s="114"/>
      <c r="S92" s="107"/>
      <c r="T92" s="107"/>
      <c r="U92" s="169"/>
      <c r="V92" s="107"/>
    </row>
    <row r="93" spans="1:22" ht="16.5" thickBot="1">
      <c r="A93" s="72" t="s">
        <v>245</v>
      </c>
      <c r="B93" s="9" t="s">
        <v>118</v>
      </c>
      <c r="C93" s="22" t="e">
        <f>E93/#REF!</f>
        <v>#REF!</v>
      </c>
      <c r="D93" s="118" t="s">
        <v>327</v>
      </c>
      <c r="E93" s="14">
        <f>3819*20*100%</f>
        <v>76380</v>
      </c>
      <c r="F93" s="23"/>
      <c r="G93" s="24"/>
      <c r="H93" s="24"/>
      <c r="I93" s="25"/>
      <c r="J93" s="25"/>
      <c r="K93" s="28">
        <v>76380</v>
      </c>
      <c r="M93" s="114">
        <f>SUMIF(DTRQ1!$A$12:$A$422,'DETAILED REPROT-Q4'!A93:A205,DTRQ1!$J$12:$J$422)</f>
        <v>7351.16</v>
      </c>
      <c r="N93" s="114">
        <f>SUMIF('DTR-Q2'!$A$12:$A$931,'DETAILED REPROT-Q4'!A93,'DTR-Q2'!$J$12:$J$931)</f>
        <v>11320.6</v>
      </c>
      <c r="O93" s="114">
        <f>SUMIF('DTR3'!$A$12:$A$988,'DETAILED REPROT-Q4'!A93,'DTR3'!$K$12:$K$988)</f>
        <v>11324.59</v>
      </c>
      <c r="P93" s="114">
        <f>SUMIF('DTR-Q4'!$G$9:$G$1082,'DETAILED REPROT-Q4'!A93,'DTR-Q4'!$Z$9:$Z$1082)</f>
        <v>14609.59</v>
      </c>
      <c r="Q93" s="114">
        <f>SUMIF('DTR-Q5'!$S$7:$S$585,'DETAILED REPROT-Q4'!A93,'DTR-Q5'!$Z$7:$Z$585)</f>
        <v>11648.65</v>
      </c>
      <c r="R93" s="114">
        <f>SUMIF('DTR-Q6'!$S$7:$S$653,'DETAILED REPROT-Q4'!A93,'DTR-Q6'!$Z$7:$Z$653)</f>
        <v>7711.1</v>
      </c>
      <c r="S93" s="104">
        <f t="shared" si="25"/>
        <v>63965.69</v>
      </c>
      <c r="T93" s="104">
        <f t="shared" si="26"/>
        <v>12414.309999999998</v>
      </c>
      <c r="U93" s="166">
        <f t="shared" si="27"/>
        <v>0.83746648337261065</v>
      </c>
      <c r="V93" s="104"/>
    </row>
    <row r="94" spans="1:22" ht="16.5" thickBot="1">
      <c r="A94" s="72" t="s">
        <v>246</v>
      </c>
      <c r="B94" s="9" t="s">
        <v>129</v>
      </c>
      <c r="C94" s="22">
        <v>1</v>
      </c>
      <c r="D94" s="118" t="s">
        <v>327</v>
      </c>
      <c r="E94" s="14"/>
      <c r="F94" s="14">
        <f>(920*20)*100%</f>
        <v>18400</v>
      </c>
      <c r="G94" s="14"/>
      <c r="H94" s="14">
        <f>(920*20)*100%</f>
        <v>18400</v>
      </c>
      <c r="I94" s="25"/>
      <c r="J94" s="25"/>
      <c r="K94" s="28">
        <v>36800</v>
      </c>
      <c r="M94" s="114">
        <f>SUMIF(DTRQ1!$A$12:$A$422,'DETAILED REPROT-Q4'!A94:A206,DTRQ1!$J$12:$J$422)</f>
        <v>0</v>
      </c>
      <c r="N94" s="114">
        <f>SUMIF('DTR-Q2'!$A$12:$A$931,'DETAILED REPROT-Q4'!A94,'DTR-Q2'!$J$12:$J$931)</f>
        <v>2002</v>
      </c>
      <c r="O94" s="114">
        <f>SUMIF('DTR3'!$A$12:$A$988,'DETAILED REPROT-Q4'!A94,'DTR3'!$K$12:$K$988)</f>
        <v>6805.81</v>
      </c>
      <c r="P94" s="114">
        <f>SUMIF('DTR-Q4'!$G$9:$G$1082,'DETAILED REPROT-Q4'!A94,'DTR-Q4'!$Z$9:$Z$1082)</f>
        <v>8805.2999999999993</v>
      </c>
      <c r="Q94" s="114">
        <f>SUMIF('DTR-Q5'!$S$7:$S$585,'DETAILED REPROT-Q4'!A94,'DTR-Q5'!$Z$7:$Z$585)</f>
        <v>799.8</v>
      </c>
      <c r="R94" s="114">
        <f>SUMIF('DTR-Q6'!$S$7:$S$653,'DETAILED REPROT-Q4'!A94,'DTR-Q6'!$Z$7:$Z$653)</f>
        <v>2403.48</v>
      </c>
      <c r="S94" s="104">
        <f t="shared" si="25"/>
        <v>20816.39</v>
      </c>
      <c r="T94" s="104">
        <f t="shared" si="26"/>
        <v>15983.61</v>
      </c>
      <c r="U94" s="166">
        <f t="shared" si="27"/>
        <v>0.56566277173913038</v>
      </c>
      <c r="V94" s="104"/>
    </row>
    <row r="95" spans="1:22" ht="16.5" thickBot="1">
      <c r="A95" s="72" t="s">
        <v>247</v>
      </c>
      <c r="B95" s="9" t="s">
        <v>119</v>
      </c>
      <c r="C95" s="20">
        <v>0.05</v>
      </c>
      <c r="D95" s="118" t="s">
        <v>327</v>
      </c>
      <c r="E95" s="13" t="e">
        <f>#REF!*C95</f>
        <v>#REF!</v>
      </c>
      <c r="F95" s="16"/>
      <c r="G95" s="16"/>
      <c r="H95" s="16"/>
      <c r="I95" s="19"/>
      <c r="J95" s="5"/>
      <c r="K95" s="28">
        <v>8453.7000000000007</v>
      </c>
      <c r="M95" s="114">
        <f>SUMIF(DTRQ1!$A$12:$A$422,'DETAILED REPROT-Q4'!A95:A207,DTRQ1!$J$12:$J$422)</f>
        <v>1022.9900000000001</v>
      </c>
      <c r="N95" s="114">
        <f>SUMIF('DTR-Q2'!$A$12:$A$931,'DETAILED REPROT-Q4'!A95,'DTR-Q2'!$J$12:$J$931)</f>
        <v>1746.2600000000002</v>
      </c>
      <c r="O95" s="114">
        <f>SUMIF('DTR3'!$A$12:$A$988,'DETAILED REPROT-Q4'!A95,'DTR3'!$K$12:$K$988)</f>
        <v>0</v>
      </c>
      <c r="P95" s="114">
        <f>SUMIF('DTR-Q4'!$G$9:$G$1082,'DETAILED REPROT-Q4'!A95,'DTR-Q4'!$Z$9:$Z$1082)</f>
        <v>1071.4199999999998</v>
      </c>
      <c r="Q95" s="114">
        <f>SUMIF('DTR-Q5'!$S$7:$S$585,'DETAILED REPROT-Q4'!A95,'DTR-Q5'!$Z$7:$Z$585)</f>
        <v>170</v>
      </c>
      <c r="R95" s="114">
        <f>SUMIF('DTR-Q6'!$S$7:$S$653,'DETAILED REPROT-Q4'!A95,'DTR-Q6'!$Z$7:$Z$653)</f>
        <v>135.33999999999997</v>
      </c>
      <c r="S95" s="101">
        <f t="shared" si="25"/>
        <v>4146.01</v>
      </c>
      <c r="T95" s="101">
        <f t="shared" si="26"/>
        <v>4307.6900000000005</v>
      </c>
      <c r="U95" s="160">
        <f t="shared" si="27"/>
        <v>0.49043732330222267</v>
      </c>
      <c r="V95" s="101"/>
    </row>
    <row r="96" spans="1:22" ht="32.25" thickBot="1">
      <c r="A96" s="72" t="s">
        <v>248</v>
      </c>
      <c r="B96" s="9" t="s">
        <v>120</v>
      </c>
      <c r="C96" s="20">
        <v>4.9999962247425839E-2</v>
      </c>
      <c r="D96" s="118" t="s">
        <v>327</v>
      </c>
      <c r="E96" s="13" t="e">
        <f>#REF!*C96</f>
        <v>#REF!</v>
      </c>
      <c r="F96" s="13"/>
      <c r="G96" s="16"/>
      <c r="H96" s="16"/>
      <c r="I96" s="5"/>
      <c r="J96" s="5"/>
      <c r="K96" s="28">
        <v>9933.09</v>
      </c>
      <c r="M96" s="114">
        <f>SUMIF(DTRQ1!$A$12:$A$422,'DETAILED REPROT-Q4'!A96:A208,DTRQ1!$J$12:$J$422)</f>
        <v>1488.0100000000002</v>
      </c>
      <c r="N96" s="114">
        <f>SUMIF('DTR-Q2'!$A$12:$A$931,'DETAILED REPROT-Q4'!A96,'DTR-Q2'!$J$12:$J$931)</f>
        <v>1874.36</v>
      </c>
      <c r="O96" s="114">
        <f>SUMIF('DTR3'!$A$12:$A$988,'DETAILED REPROT-Q4'!A96,'DTR3'!$K$12:$K$988)</f>
        <v>1593.7700000000002</v>
      </c>
      <c r="P96" s="114">
        <f>SUMIF('DTR-Q4'!$G$9:$G$1082,'DETAILED REPROT-Q4'!A96,'DTR-Q4'!$Z$9:$Z$1082)</f>
        <v>382.71999999999997</v>
      </c>
      <c r="Q96" s="114">
        <f>SUMIF('DTR-Q5'!$S$7:$S$585,'DETAILED REPROT-Q4'!A96,'DTR-Q5'!$Z$7:$Z$585)</f>
        <v>872.23</v>
      </c>
      <c r="R96" s="114">
        <f>SUMIF('DTR-Q6'!$S$7:$S$653,'DETAILED REPROT-Q4'!A96,'DTR-Q6'!$Z$7:$Z$653)</f>
        <v>833.0999999999998</v>
      </c>
      <c r="S96" s="101">
        <f t="shared" si="25"/>
        <v>7044.19</v>
      </c>
      <c r="T96" s="101">
        <f t="shared" si="26"/>
        <v>2888.9000000000005</v>
      </c>
      <c r="U96" s="160">
        <f t="shared" si="27"/>
        <v>0.70916401643395954</v>
      </c>
      <c r="V96" s="101"/>
    </row>
    <row r="97" spans="1:22" ht="16.5" thickBot="1">
      <c r="A97" s="72" t="s">
        <v>249</v>
      </c>
      <c r="B97" s="9" t="s">
        <v>121</v>
      </c>
      <c r="C97" s="20">
        <v>7.0000000000000007E-2</v>
      </c>
      <c r="D97" s="118" t="s">
        <v>327</v>
      </c>
      <c r="E97" s="13" t="e">
        <f>#REF!*C97</f>
        <v>#REF!</v>
      </c>
      <c r="F97" s="13"/>
      <c r="G97" s="16"/>
      <c r="H97" s="16"/>
      <c r="I97" s="5"/>
      <c r="J97" s="5"/>
      <c r="K97" s="28">
        <v>16963.758000000002</v>
      </c>
      <c r="M97" s="114">
        <f>SUMIF(DTRQ1!$A$12:$A$422,'DETAILED REPROT-Q4'!A97:A209,DTRQ1!$J$12:$J$422)</f>
        <v>771.37999999999988</v>
      </c>
      <c r="N97" s="114">
        <f>SUMIF('DTR-Q2'!$A$12:$A$931,'DETAILED REPROT-Q4'!A97,'DTR-Q2'!$J$12:$J$931)</f>
        <v>786.5</v>
      </c>
      <c r="O97" s="114">
        <f>SUMIF('DTR3'!$A$12:$A$988,'DETAILED REPROT-Q4'!A97,'DTR3'!$K$12:$K$988)</f>
        <v>783.66000000000008</v>
      </c>
      <c r="P97" s="114">
        <f>SUMIF('DTR-Q4'!$G$9:$G$1082,'DETAILED REPROT-Q4'!A97,'DTR-Q4'!$Z$9:$Z$1082)</f>
        <v>2212.6999999999994</v>
      </c>
      <c r="Q97" s="114">
        <f>SUMIF('DTR-Q5'!$S$7:$S$585,'DETAILED REPROT-Q4'!A97,'DTR-Q5'!$Z$7:$Z$585)</f>
        <v>1595.01</v>
      </c>
      <c r="R97" s="114">
        <f>SUMIF('DTR-Q6'!$S$7:$S$653,'DETAILED REPROT-Q4'!A97,'DTR-Q6'!$Z$7:$Z$653)</f>
        <v>1180.3699999999999</v>
      </c>
      <c r="S97" s="101">
        <f t="shared" si="25"/>
        <v>7329.62</v>
      </c>
      <c r="T97" s="101">
        <f t="shared" si="26"/>
        <v>9634.1380000000026</v>
      </c>
      <c r="U97" s="160">
        <f t="shared" si="27"/>
        <v>0.43207525125034202</v>
      </c>
      <c r="V97" s="101"/>
    </row>
    <row r="98" spans="1:22" ht="16.5" thickBot="1">
      <c r="A98" s="72" t="s">
        <v>250</v>
      </c>
      <c r="B98" s="9" t="s">
        <v>122</v>
      </c>
      <c r="C98" s="20">
        <v>0.09</v>
      </c>
      <c r="D98" s="118" t="s">
        <v>327</v>
      </c>
      <c r="E98" s="13" t="e">
        <f>#REF!*C98</f>
        <v>#REF!</v>
      </c>
      <c r="F98" s="13"/>
      <c r="G98" s="16"/>
      <c r="H98" s="16"/>
      <c r="I98" s="5"/>
      <c r="J98" s="5"/>
      <c r="K98" s="28">
        <v>12540.518549999999</v>
      </c>
      <c r="M98" s="114">
        <f>SUMIF(DTRQ1!$A$12:$A$422,'DETAILED REPROT-Q4'!A98:A210,DTRQ1!$J$12:$J$422)</f>
        <v>615.3599999999999</v>
      </c>
      <c r="N98" s="114">
        <f>SUMIF('DTR-Q2'!$A$12:$A$931,'DETAILED REPROT-Q4'!A98,'DTR-Q2'!$J$12:$J$931)</f>
        <v>801.61</v>
      </c>
      <c r="O98" s="114">
        <f>SUMIF('DTR3'!$A$12:$A$988,'DETAILED REPROT-Q4'!A98,'DTR3'!$K$12:$K$988)</f>
        <v>0</v>
      </c>
      <c r="P98" s="114">
        <f>SUMIF('DTR-Q4'!$G$9:$G$1082,'DETAILED REPROT-Q4'!A98,'DTR-Q4'!$Z$9:$Z$1082)</f>
        <v>1936</v>
      </c>
      <c r="Q98" s="114">
        <f>SUMIF('DTR-Q5'!$S$7:$S$585,'DETAILED REPROT-Q4'!A98,'DTR-Q5'!$Z$7:$Z$585)</f>
        <v>1718.26</v>
      </c>
      <c r="R98" s="114">
        <f>SUMIF('DTR-Q6'!$S$7:$S$653,'DETAILED REPROT-Q4'!A98,'DTR-Q6'!$Z$7:$Z$653)</f>
        <v>1069.8</v>
      </c>
      <c r="S98" s="101">
        <f t="shared" si="25"/>
        <v>6141.03</v>
      </c>
      <c r="T98" s="101">
        <f t="shared" si="26"/>
        <v>6399.4885499999991</v>
      </c>
      <c r="U98" s="160">
        <f t="shared" si="27"/>
        <v>0.4896950612939367</v>
      </c>
      <c r="V98" s="101"/>
    </row>
    <row r="99" spans="1:22" ht="16.5" thickBot="1">
      <c r="A99" s="72" t="s">
        <v>251</v>
      </c>
      <c r="B99" s="9" t="s">
        <v>123</v>
      </c>
      <c r="C99" s="20">
        <v>0.09</v>
      </c>
      <c r="D99" s="118" t="s">
        <v>327</v>
      </c>
      <c r="E99" s="13" t="e">
        <f>#REF!*C99</f>
        <v>#REF!</v>
      </c>
      <c r="F99" s="13"/>
      <c r="G99" s="16"/>
      <c r="H99" s="16"/>
      <c r="I99" s="5"/>
      <c r="J99" s="5"/>
      <c r="K99" s="28">
        <v>10839.552299999999</v>
      </c>
      <c r="M99" s="114">
        <f>SUMIF(DTRQ1!$A$12:$A$422,'DETAILED REPROT-Q4'!A99:A211,DTRQ1!$J$12:$J$422)</f>
        <v>809.3</v>
      </c>
      <c r="N99" s="114">
        <f>SUMIF('DTR-Q2'!$A$12:$A$931,'DETAILED REPROT-Q4'!A99,'DTR-Q2'!$J$12:$J$931)</f>
        <v>837.08</v>
      </c>
      <c r="O99" s="114">
        <f>SUMIF('DTR3'!$A$12:$A$988,'DETAILED REPROT-Q4'!A99,'DTR3'!$K$12:$K$988)</f>
        <v>2657.0199999999995</v>
      </c>
      <c r="P99" s="114">
        <f>SUMIF('DTR-Q4'!$G$9:$G$1082,'DETAILED REPROT-Q4'!A99,'DTR-Q4'!$Z$9:$Z$1082)</f>
        <v>1396.92</v>
      </c>
      <c r="Q99" s="114">
        <f>SUMIF('DTR-Q5'!$S$7:$S$585,'DETAILED REPROT-Q4'!A99,'DTR-Q5'!$Z$7:$Z$585)</f>
        <v>2724.44</v>
      </c>
      <c r="R99" s="114">
        <f>SUMIF('DTR-Q6'!$S$7:$S$653,'DETAILED REPROT-Q4'!A99,'DTR-Q6'!$Z$7:$Z$653)</f>
        <v>2823.85</v>
      </c>
      <c r="S99" s="101">
        <f t="shared" si="25"/>
        <v>11248.61</v>
      </c>
      <c r="T99" s="101">
        <f t="shared" si="26"/>
        <v>-409.0577000000012</v>
      </c>
      <c r="U99" s="160">
        <f t="shared" si="27"/>
        <v>1.0377375087714649</v>
      </c>
      <c r="V99" s="101"/>
    </row>
    <row r="100" spans="1:22" ht="16.5" thickBot="1">
      <c r="A100" s="72" t="s">
        <v>252</v>
      </c>
      <c r="B100" s="9" t="s">
        <v>186</v>
      </c>
      <c r="C100" s="20">
        <v>0.09</v>
      </c>
      <c r="D100" s="118" t="s">
        <v>327</v>
      </c>
      <c r="E100" s="13" t="e">
        <f>#REF!*C100</f>
        <v>#REF!</v>
      </c>
      <c r="F100" s="13"/>
      <c r="G100" s="16"/>
      <c r="H100" s="16"/>
      <c r="I100" s="5"/>
      <c r="J100" s="5"/>
      <c r="K100" s="28">
        <v>6660.7199999999993</v>
      </c>
      <c r="M100" s="114">
        <f>SUMIF(DTRQ1!$A$12:$A$422,'DETAILED REPROT-Q4'!A100:A212,DTRQ1!$J$12:$J$422)</f>
        <v>984.9899999999999</v>
      </c>
      <c r="N100" s="114">
        <f>SUMIF('DTR-Q2'!$A$12:$A$931,'DETAILED REPROT-Q4'!A100,'DTR-Q2'!$J$12:$J$931)</f>
        <v>851.06</v>
      </c>
      <c r="O100" s="114">
        <f>SUMIF('DTR3'!$A$12:$A$988,'DETAILED REPROT-Q4'!A100,'DTR3'!$K$12:$K$988)</f>
        <v>0</v>
      </c>
      <c r="P100" s="114">
        <f>SUMIF('DTR-Q4'!$G$9:$G$1082,'DETAILED REPROT-Q4'!A100,'DTR-Q4'!$Z$9:$Z$1082)</f>
        <v>253.4</v>
      </c>
      <c r="Q100" s="114">
        <f>SUMIF('DTR-Q5'!$S$7:$S$585,'DETAILED REPROT-Q4'!A100,'DTR-Q5'!$Z$7:$Z$585)</f>
        <v>1760.0000000000002</v>
      </c>
      <c r="R100" s="114">
        <f>SUMIF('DTR-Q6'!$S$7:$S$653,'DETAILED REPROT-Q4'!A100,'DTR-Q6'!$Z$7:$Z$653)</f>
        <v>1582.47</v>
      </c>
      <c r="S100" s="101">
        <f t="shared" si="25"/>
        <v>5431.92</v>
      </c>
      <c r="T100" s="101">
        <f t="shared" si="26"/>
        <v>1228.7999999999993</v>
      </c>
      <c r="U100" s="160">
        <f t="shared" si="27"/>
        <v>0.81551543977227692</v>
      </c>
      <c r="V100" s="101"/>
    </row>
    <row r="101" spans="1:22" ht="32.25" thickBot="1">
      <c r="A101" s="72" t="s">
        <v>253</v>
      </c>
      <c r="B101" s="9" t="s">
        <v>124</v>
      </c>
      <c r="C101" s="20">
        <v>0.09</v>
      </c>
      <c r="D101" s="118" t="s">
        <v>327</v>
      </c>
      <c r="E101" s="13" t="e">
        <f>#REF!*C101</f>
        <v>#REF!</v>
      </c>
      <c r="F101" s="13"/>
      <c r="G101" s="16"/>
      <c r="H101" s="16"/>
      <c r="I101" s="5"/>
      <c r="J101" s="5"/>
      <c r="K101" s="28">
        <v>9591.9498000000003</v>
      </c>
      <c r="M101" s="114">
        <f>SUMIF(DTRQ1!$A$12:$A$422,'DETAILED REPROT-Q4'!A101:A213,DTRQ1!$J$12:$J$422)</f>
        <v>0</v>
      </c>
      <c r="N101" s="114">
        <f>SUMIF('DTR-Q2'!$A$12:$A$931,'DETAILED REPROT-Q4'!A101,'DTR-Q2'!$J$12:$J$931)</f>
        <v>742.51</v>
      </c>
      <c r="O101" s="114">
        <f>SUMIF('DTR3'!$A$12:$A$988,'DETAILED REPROT-Q4'!A101,'DTR3'!$K$12:$K$988)</f>
        <v>0</v>
      </c>
      <c r="P101" s="114">
        <f>SUMIF('DTR-Q4'!$G$9:$G$1082,'DETAILED REPROT-Q4'!A101,'DTR-Q4'!$Z$9:$Z$1082)</f>
        <v>0</v>
      </c>
      <c r="Q101" s="114">
        <f>SUMIF('DTR-Q5'!$S$7:$S$585,'DETAILED REPROT-Q4'!A101,'DTR-Q5'!$Z$7:$Z$585)</f>
        <v>15</v>
      </c>
      <c r="R101" s="114">
        <f>SUMIF('DTR-Q6'!$S$7:$S$653,'DETAILED REPROT-Q4'!A101,'DTR-Q6'!$Z$7:$Z$653)</f>
        <v>21</v>
      </c>
      <c r="S101" s="101">
        <f t="shared" si="25"/>
        <v>778.51</v>
      </c>
      <c r="T101" s="101">
        <f t="shared" si="26"/>
        <v>8813.4398000000001</v>
      </c>
      <c r="U101" s="160">
        <f t="shared" si="27"/>
        <v>8.1162851790571297E-2</v>
      </c>
      <c r="V101" s="101"/>
    </row>
    <row r="102" spans="1:22" ht="32.25" thickBot="1">
      <c r="A102" s="72" t="s">
        <v>254</v>
      </c>
      <c r="B102" s="9" t="s">
        <v>183</v>
      </c>
      <c r="C102" s="20">
        <v>0.15</v>
      </c>
      <c r="D102" s="118" t="s">
        <v>327</v>
      </c>
      <c r="E102" s="13" t="e">
        <f>#REF!*C102</f>
        <v>#REF!</v>
      </c>
      <c r="F102" s="13"/>
      <c r="G102" s="16"/>
      <c r="H102" s="16"/>
      <c r="I102" s="5"/>
      <c r="J102" s="5"/>
      <c r="K102" s="28">
        <v>42150</v>
      </c>
      <c r="M102" s="114">
        <f>SUMIF(DTRQ1!$A$12:$A$422,'DETAILED REPROT-Q4'!A102:A214,DTRQ1!$J$12:$J$422)</f>
        <v>2777.45</v>
      </c>
      <c r="N102" s="114">
        <f>SUMIF('DTR-Q2'!$A$12:$A$931,'DETAILED REPROT-Q4'!A102,'DTR-Q2'!$J$12:$J$931)</f>
        <v>4844.4400000000014</v>
      </c>
      <c r="O102" s="114">
        <f>SUMIF('DTR3'!$A$12:$A$988,'DETAILED REPROT-Q4'!A102,'DTR3'!$K$12:$K$988)</f>
        <v>6656.8699999999972</v>
      </c>
      <c r="P102" s="114">
        <f>SUMIF('DTR-Q4'!$G$9:$G$1082,'DETAILED REPROT-Q4'!A102,'DTR-Q4'!$Z$9:$Z$1082)</f>
        <v>6787.0300000000016</v>
      </c>
      <c r="Q102" s="114">
        <f>SUMIF('DTR-Q5'!$S$7:$S$585,'DETAILED REPROT-Q4'!A102,'DTR-Q5'!$Z$7:$Z$585)</f>
        <v>8548.010000000002</v>
      </c>
      <c r="R102" s="114">
        <f>SUMIF('DTR-Q6'!$S$7:$S$653,'DETAILED REPROT-Q4'!A102,'DTR-Q6'!$Z$7:$Z$653)</f>
        <v>7045.64</v>
      </c>
      <c r="S102" s="101">
        <f t="shared" si="25"/>
        <v>36659.440000000002</v>
      </c>
      <c r="T102" s="101">
        <f t="shared" si="26"/>
        <v>5490.5599999999977</v>
      </c>
      <c r="U102" s="160">
        <f t="shared" si="27"/>
        <v>0.86973760379596687</v>
      </c>
      <c r="V102" s="101"/>
    </row>
    <row r="103" spans="1:22" ht="32.25" thickBot="1">
      <c r="A103" s="72" t="s">
        <v>255</v>
      </c>
      <c r="B103" s="9" t="s">
        <v>184</v>
      </c>
      <c r="C103" s="20">
        <v>0.15</v>
      </c>
      <c r="D103" s="118" t="s">
        <v>327</v>
      </c>
      <c r="E103" s="13" t="e">
        <f>#REF!*C103</f>
        <v>#REF!</v>
      </c>
      <c r="F103" s="13"/>
      <c r="G103" s="16"/>
      <c r="H103" s="16"/>
      <c r="I103" s="5"/>
      <c r="J103" s="5"/>
      <c r="K103" s="28">
        <v>45750</v>
      </c>
      <c r="M103" s="114">
        <f>SUMIF(DTRQ1!$A$12:$A$422,'DETAILED REPROT-Q4'!A103:A215,DTRQ1!$J$12:$J$422)</f>
        <v>9616.7599999999966</v>
      </c>
      <c r="N103" s="114">
        <f>SUMIF('DTR-Q2'!$A$12:$A$931,'DETAILED REPROT-Q4'!A103,'DTR-Q2'!$J$12:$J$931)</f>
        <v>11937.59</v>
      </c>
      <c r="O103" s="114">
        <f>SUMIF('DTR3'!$A$12:$A$988,'DETAILED REPROT-Q4'!A103,'DTR3'!$K$12:$K$988)</f>
        <v>10766.689999999999</v>
      </c>
      <c r="P103" s="114">
        <f>SUMIF('DTR-Q4'!$G$9:$G$1082,'DETAILED REPROT-Q4'!A103,'DTR-Q4'!$Z$9:$Z$1082)</f>
        <v>10293.169999999995</v>
      </c>
      <c r="Q103" s="114">
        <f>SUMIF('DTR-Q5'!$S$7:$S$585,'DETAILED REPROT-Q4'!A103,'DTR-Q5'!$Z$7:$Z$585)</f>
        <v>2625.6799999999994</v>
      </c>
      <c r="R103" s="114">
        <f>SUMIF('DTR-Q6'!$S$7:$S$653,'DETAILED REPROT-Q4'!A103,'DTR-Q6'!$Z$7:$Z$653)</f>
        <v>844.2199999999998</v>
      </c>
      <c r="S103" s="101">
        <f t="shared" si="25"/>
        <v>46084.109999999993</v>
      </c>
      <c r="T103" s="101">
        <f t="shared" si="26"/>
        <v>-334.10999999999331</v>
      </c>
      <c r="U103" s="160">
        <f t="shared" si="27"/>
        <v>1.007302950819672</v>
      </c>
      <c r="V103" s="101"/>
    </row>
    <row r="104" spans="1:22" ht="16.5" thickBot="1">
      <c r="A104" s="72" t="s">
        <v>256</v>
      </c>
      <c r="B104" s="9" t="s">
        <v>125</v>
      </c>
      <c r="C104" s="20">
        <v>0.4</v>
      </c>
      <c r="D104" s="118" t="s">
        <v>327</v>
      </c>
      <c r="E104" s="13" t="e">
        <f>#REF!*C104</f>
        <v>#REF!</v>
      </c>
      <c r="F104" s="13"/>
      <c r="G104" s="16"/>
      <c r="H104" s="16"/>
      <c r="I104" s="5"/>
      <c r="J104" s="5"/>
      <c r="K104" s="28">
        <v>36000</v>
      </c>
      <c r="M104" s="114">
        <f>SUMIF(DTRQ1!$A$12:$A$422,'DETAILED REPROT-Q4'!A104:A216,DTRQ1!$J$12:$J$422)</f>
        <v>729.97</v>
      </c>
      <c r="N104" s="114">
        <f>SUMIF('DTR-Q2'!$A$12:$A$931,'DETAILED REPROT-Q4'!A104,'DTR-Q2'!$J$12:$J$931)</f>
        <v>1825.73</v>
      </c>
      <c r="O104" s="114">
        <f>SUMIF('DTR3'!$A$12:$A$988,'DETAILED REPROT-Q4'!A104,'DTR3'!$K$12:$K$988)</f>
        <v>2216.2400000000002</v>
      </c>
      <c r="P104" s="114">
        <f>SUMIF('DTR-Q4'!$G$9:$G$1082,'DETAILED REPROT-Q4'!A104,'DTR-Q4'!$Z$9:$Z$1082)</f>
        <v>966.93000000000006</v>
      </c>
      <c r="Q104" s="114">
        <f>SUMIF('DTR-Q5'!$S$7:$S$585,'DETAILED REPROT-Q4'!A104,'DTR-Q5'!$Z$7:$Z$585)</f>
        <v>1261.3999999999996</v>
      </c>
      <c r="R104" s="114">
        <f>SUMIF('DTR-Q6'!$S$7:$S$653,'DETAILED REPROT-Q4'!A104,'DTR-Q6'!$Z$7:$Z$653)</f>
        <v>1021.4700000000001</v>
      </c>
      <c r="S104" s="101">
        <f t="shared" si="25"/>
        <v>8021.7400000000007</v>
      </c>
      <c r="T104" s="101">
        <f t="shared" si="26"/>
        <v>27978.26</v>
      </c>
      <c r="U104" s="160">
        <f t="shared" si="27"/>
        <v>0.22282611111111114</v>
      </c>
      <c r="V104" s="101"/>
    </row>
    <row r="105" spans="1:22" ht="16.5" thickBot="1">
      <c r="A105" s="72" t="s">
        <v>257</v>
      </c>
      <c r="B105" s="9" t="s">
        <v>194</v>
      </c>
      <c r="C105" s="20">
        <v>1</v>
      </c>
      <c r="D105" s="118" t="s">
        <v>327</v>
      </c>
      <c r="E105" s="13">
        <v>14300</v>
      </c>
      <c r="F105" s="13"/>
      <c r="G105" s="16"/>
      <c r="H105" s="16"/>
      <c r="I105" s="5"/>
      <c r="J105" s="5"/>
      <c r="K105" s="28">
        <v>14300</v>
      </c>
      <c r="M105" s="114">
        <f>SUMIF(DTRQ1!$A$12:$A$422,'DETAILED REPROT-Q4'!A105:A217,DTRQ1!$J$12:$J$422)</f>
        <v>0</v>
      </c>
      <c r="N105" s="114">
        <f>SUMIF('DTR-Q2'!$A$12:$A$931,'DETAILED REPROT-Q4'!A105,'DTR-Q2'!$J$12:$J$931)</f>
        <v>270.01</v>
      </c>
      <c r="O105" s="114">
        <f>SUMIF('DTR3'!$A$12:$A$988,'DETAILED REPROT-Q4'!A105,'DTR3'!$K$12:$K$988)</f>
        <v>3179.49</v>
      </c>
      <c r="P105" s="114">
        <f>SUMIF('DTR-Q4'!$G$9:$G$1082,'DETAILED REPROT-Q4'!A105,'DTR-Q4'!$Z$9:$Z$1082)</f>
        <v>6408.579999999999</v>
      </c>
      <c r="Q105" s="114">
        <f>SUMIF('DTR-Q5'!$S$7:$S$585,'DETAILED REPROT-Q4'!A105,'DTR-Q5'!$Z$7:$Z$585)</f>
        <v>0</v>
      </c>
      <c r="R105" s="114">
        <f>SUMIF('DTR-Q6'!$S$7:$S$653,'DETAILED REPROT-Q4'!A105,'DTR-Q6'!$Z$7:$Z$653)</f>
        <v>0</v>
      </c>
      <c r="S105" s="101">
        <f t="shared" si="25"/>
        <v>9858.0799999999981</v>
      </c>
      <c r="T105" s="101">
        <f t="shared" si="26"/>
        <v>4441.9200000000019</v>
      </c>
      <c r="U105" s="160">
        <f t="shared" si="27"/>
        <v>0.68937622377622365</v>
      </c>
      <c r="V105" s="101"/>
    </row>
    <row r="106" spans="1:22" ht="16.5" thickBot="1">
      <c r="A106" s="72" t="s">
        <v>258</v>
      </c>
      <c r="B106" s="9" t="s">
        <v>126</v>
      </c>
      <c r="C106" s="20">
        <v>1</v>
      </c>
      <c r="D106" s="118" t="s">
        <v>327</v>
      </c>
      <c r="E106" s="13" t="e">
        <f>#REF!*C106</f>
        <v>#REF!</v>
      </c>
      <c r="F106" s="13"/>
      <c r="G106" s="16"/>
      <c r="H106" s="16"/>
      <c r="I106" s="5"/>
      <c r="J106" s="5"/>
      <c r="K106" s="28">
        <v>8120</v>
      </c>
      <c r="M106" s="114">
        <f>SUMIF(DTRQ1!$A$12:$A$422,'DETAILED REPROT-Q4'!A106:A218,DTRQ1!$J$12:$J$422)</f>
        <v>2283.0100000000002</v>
      </c>
      <c r="N106" s="114">
        <f>SUMIF('DTR-Q2'!$A$12:$A$931,'DETAILED REPROT-Q4'!A106,'DTR-Q2'!$J$12:$J$931)</f>
        <v>1680.01</v>
      </c>
      <c r="O106" s="114">
        <f>SUMIF('DTR3'!$A$12:$A$988,'DETAILED REPROT-Q4'!A106,'DTR3'!$K$12:$K$988)</f>
        <v>0</v>
      </c>
      <c r="P106" s="114">
        <f>SUMIF('DTR-Q4'!$G$9:$G$1082,'DETAILED REPROT-Q4'!A106,'DTR-Q4'!$Z$9:$Z$1082)</f>
        <v>0</v>
      </c>
      <c r="Q106" s="114">
        <f>SUMIF('DTR-Q5'!$S$7:$S$585,'DETAILED REPROT-Q4'!A106,'DTR-Q5'!$Z$7:$Z$585)</f>
        <v>0</v>
      </c>
      <c r="R106" s="114">
        <f>SUMIF('DTR-Q6'!$S$7:$S$653,'DETAILED REPROT-Q4'!A106,'DTR-Q6'!$Z$7:$Z$653)</f>
        <v>0</v>
      </c>
      <c r="S106" s="101">
        <f t="shared" si="25"/>
        <v>3963.0200000000004</v>
      </c>
      <c r="T106" s="101">
        <f t="shared" si="26"/>
        <v>4156.9799999999996</v>
      </c>
      <c r="U106" s="160">
        <f t="shared" si="27"/>
        <v>0.48805665024630546</v>
      </c>
      <c r="V106" s="101"/>
    </row>
    <row r="107" spans="1:22" ht="32.25" thickBot="1">
      <c r="A107" s="72" t="s">
        <v>259</v>
      </c>
      <c r="B107" s="9" t="s">
        <v>127</v>
      </c>
      <c r="C107" s="20">
        <v>0.09</v>
      </c>
      <c r="D107" s="118" t="s">
        <v>327</v>
      </c>
      <c r="E107" s="13" t="e">
        <f>#REF!*C107</f>
        <v>#REF!</v>
      </c>
      <c r="F107" s="13"/>
      <c r="G107" s="16"/>
      <c r="H107" s="16"/>
      <c r="I107" s="5"/>
      <c r="J107" s="5"/>
      <c r="K107" s="28">
        <v>16362</v>
      </c>
      <c r="M107" s="114">
        <f>SUMIF(DTRQ1!$A$12:$A$422,'DETAILED REPROT-Q4'!A107:A219,DTRQ1!$J$12:$J$422)</f>
        <v>613.25</v>
      </c>
      <c r="N107" s="114">
        <f>SUMIF('DTR-Q2'!$A$12:$A$931,'DETAILED REPROT-Q4'!A107,'DTR-Q2'!$J$12:$J$931)</f>
        <v>1555.79</v>
      </c>
      <c r="O107" s="114">
        <f>SUMIF('DTR3'!$A$12:$A$988,'DETAILED REPROT-Q4'!A107,'DTR3'!$K$12:$K$988)</f>
        <v>710.36</v>
      </c>
      <c r="P107" s="114">
        <f>SUMIF('DTR-Q4'!$G$9:$G$1082,'DETAILED REPROT-Q4'!A107,'DTR-Q4'!$Z$9:$Z$1082)</f>
        <v>1658.3899999999999</v>
      </c>
      <c r="Q107" s="114">
        <f>SUMIF('DTR-Q5'!$S$7:$S$585,'DETAILED REPROT-Q4'!A107,'DTR-Q5'!$Z$7:$Z$585)</f>
        <v>941.5</v>
      </c>
      <c r="R107" s="114">
        <f>SUMIF('DTR-Q6'!$S$7:$S$653,'DETAILED REPROT-Q4'!A107,'DTR-Q6'!$Z$7:$Z$653)</f>
        <v>60</v>
      </c>
      <c r="S107" s="101">
        <f t="shared" si="25"/>
        <v>5539.29</v>
      </c>
      <c r="T107" s="101">
        <f t="shared" si="26"/>
        <v>10822.71</v>
      </c>
      <c r="U107" s="160">
        <f t="shared" si="27"/>
        <v>0.33854602126879352</v>
      </c>
      <c r="V107" s="101"/>
    </row>
    <row r="108" spans="1:22" ht="48" thickBot="1">
      <c r="A108" s="72" t="s">
        <v>260</v>
      </c>
      <c r="B108" s="9" t="s">
        <v>128</v>
      </c>
      <c r="C108" s="20">
        <v>0.09</v>
      </c>
      <c r="D108" s="118" t="s">
        <v>327</v>
      </c>
      <c r="E108" s="13" t="e">
        <f>#REF!*C108</f>
        <v>#REF!</v>
      </c>
      <c r="F108" s="13"/>
      <c r="G108" s="16"/>
      <c r="H108" s="16"/>
      <c r="I108" s="5"/>
      <c r="J108" s="5"/>
      <c r="K108" s="28">
        <v>4567.5</v>
      </c>
      <c r="M108" s="114">
        <f>SUMIF(DTRQ1!$A$12:$A$422,'DETAILED REPROT-Q4'!A108:A220,DTRQ1!$J$12:$J$422)</f>
        <v>0</v>
      </c>
      <c r="N108" s="114">
        <f>SUMIF('DTR-Q2'!$A$12:$A$931,'DETAILED REPROT-Q4'!A108,'DTR-Q2'!$J$12:$J$931)</f>
        <v>342.26</v>
      </c>
      <c r="O108" s="114">
        <f>SUMIF('DTR3'!$A$12:$A$988,'DETAILED REPROT-Q4'!A108,'DTR3'!$K$12:$K$988)</f>
        <v>1205.28</v>
      </c>
      <c r="P108" s="114">
        <f>SUMIF('DTR-Q4'!$G$9:$G$1082,'DETAILED REPROT-Q4'!A108,'DTR-Q4'!$Z$9:$Z$1082)</f>
        <v>175.53</v>
      </c>
      <c r="Q108" s="114">
        <f>SUMIF('DTR-Q5'!$S$7:$S$585,'DETAILED REPROT-Q4'!A108,'DTR-Q5'!$Z$7:$Z$585)</f>
        <v>588.28</v>
      </c>
      <c r="R108" s="114">
        <f>SUMIF('DTR-Q6'!$S$7:$S$653,'DETAILED REPROT-Q4'!A108,'DTR-Q6'!$Z$7:$Z$653)</f>
        <v>157.80000000000001</v>
      </c>
      <c r="S108" s="101">
        <f t="shared" si="25"/>
        <v>2469.15</v>
      </c>
      <c r="T108" s="101">
        <f t="shared" si="26"/>
        <v>2098.35</v>
      </c>
      <c r="U108" s="160">
        <f t="shared" si="27"/>
        <v>0.54059113300492612</v>
      </c>
      <c r="V108" s="101"/>
    </row>
    <row r="109" spans="1:22" ht="32.25" thickBot="1">
      <c r="A109" s="73"/>
      <c r="B109" s="71" t="s">
        <v>7</v>
      </c>
      <c r="C109" s="53">
        <f>SUM(E109:H109)</f>
        <v>253587.815</v>
      </c>
      <c r="D109" s="53"/>
      <c r="E109" s="53">
        <f>SUM(E110:E122)</f>
        <v>123830.8</v>
      </c>
      <c r="F109" s="53">
        <f>SUM(F110:F123)</f>
        <v>46762.534999999996</v>
      </c>
      <c r="G109" s="53">
        <f>SUM(G110:G123)</f>
        <v>30200.61</v>
      </c>
      <c r="H109" s="53">
        <f>SUM(H110:H123)</f>
        <v>52793.869999999995</v>
      </c>
      <c r="I109" s="52"/>
      <c r="J109" s="52"/>
      <c r="K109" s="54">
        <v>253587.815</v>
      </c>
      <c r="M109" s="108">
        <f t="shared" ref="M109:R109" si="32">SUM(M110:M123)</f>
        <v>4889.1100000000006</v>
      </c>
      <c r="N109" s="108">
        <f t="shared" si="32"/>
        <v>39679.509999999951</v>
      </c>
      <c r="O109" s="108">
        <f t="shared" si="32"/>
        <v>30258.760000000002</v>
      </c>
      <c r="P109" s="108">
        <f t="shared" si="32"/>
        <v>37959.579999999987</v>
      </c>
      <c r="Q109" s="108">
        <f t="shared" si="32"/>
        <v>16938.739999999998</v>
      </c>
      <c r="R109" s="108">
        <f t="shared" si="32"/>
        <v>25684.28</v>
      </c>
      <c r="S109" s="108">
        <f>M109+N109+O109+P109+Q109+R109</f>
        <v>155409.97999999992</v>
      </c>
      <c r="T109" s="108">
        <f t="shared" si="26"/>
        <v>98177.835000000079</v>
      </c>
      <c r="U109" s="170">
        <f t="shared" si="27"/>
        <v>0.61284482458275813</v>
      </c>
      <c r="V109" s="108"/>
    </row>
    <row r="110" spans="1:22" ht="32.25" thickBot="1">
      <c r="A110" s="72" t="s">
        <v>261</v>
      </c>
      <c r="B110" s="2" t="s">
        <v>130</v>
      </c>
      <c r="C110" s="13"/>
      <c r="D110" s="13" t="s">
        <v>328</v>
      </c>
      <c r="E110" s="13">
        <v>9999</v>
      </c>
      <c r="F110" s="12"/>
      <c r="G110" s="12"/>
      <c r="H110" s="12"/>
      <c r="I110" s="10"/>
      <c r="J110" s="10"/>
      <c r="K110" s="28">
        <v>9999</v>
      </c>
      <c r="M110" s="114">
        <f>SUMIF(DTRQ1!$A$12:$A$422,'DETAILED REPROT-Q4'!A110:A222,DTRQ1!$J$12:$J$422)</f>
        <v>50.49</v>
      </c>
      <c r="N110" s="114">
        <f>SUMIF('DTR-Q2'!$A$12:$A$931,'DETAILED REPROT-Q4'!A110,'DTR-Q2'!$J$12:$J$931)</f>
        <v>1302.8899999999999</v>
      </c>
      <c r="O110" s="114">
        <f>SUMIF('DTR3'!$A$12:$A$988,'DETAILED REPROT-Q4'!A110,'DTR3'!$K$12:$K$988)</f>
        <v>656.5</v>
      </c>
      <c r="P110" s="114">
        <f>SUMIF('DTR-Q4'!$G$9:$G$1082,'DETAILED REPROT-Q4'!A110,'DTR-Q4'!$Z$9:$Z$1082)</f>
        <v>311.14999999999998</v>
      </c>
      <c r="Q110" s="114">
        <f>SUMIF('DTR-Q5'!$S$7:$S$585,'DETAILED REPROT-Q4'!A110,'DTR-Q5'!$Z$7:$Z$585)</f>
        <v>558.99</v>
      </c>
      <c r="R110" s="114">
        <f>SUMIF('DTR-Q6'!$S$7:$S$653,'DETAILED REPROT-Q4'!A110,'DTR-Q6'!$Z$7:$Z$653)</f>
        <v>587.78</v>
      </c>
      <c r="S110" s="101">
        <f t="shared" si="25"/>
        <v>3467.7999999999993</v>
      </c>
      <c r="T110" s="101">
        <f t="shared" si="26"/>
        <v>6531.2000000000007</v>
      </c>
      <c r="U110" s="160">
        <f t="shared" si="27"/>
        <v>0.34681468146814676</v>
      </c>
      <c r="V110" s="101"/>
    </row>
    <row r="111" spans="1:22" ht="48" thickBot="1">
      <c r="A111" s="74" t="s">
        <v>262</v>
      </c>
      <c r="B111" s="2" t="s">
        <v>131</v>
      </c>
      <c r="C111" s="13"/>
      <c r="D111" s="13" t="s">
        <v>328</v>
      </c>
      <c r="E111" s="13">
        <v>9090</v>
      </c>
      <c r="F111" s="12"/>
      <c r="G111" s="12"/>
      <c r="H111" s="12"/>
      <c r="I111" s="10"/>
      <c r="J111" s="10"/>
      <c r="K111" s="28">
        <v>9090</v>
      </c>
      <c r="M111" s="114">
        <f>SUMIF(DTRQ1!$A$12:$A$422,'DETAILED REPROT-Q4'!A111:A223,DTRQ1!$J$12:$J$422)</f>
        <v>0</v>
      </c>
      <c r="N111" s="114">
        <f>SUMIF('DTR-Q2'!$A$12:$A$931,'DETAILED REPROT-Q4'!A111,'DTR-Q2'!$J$12:$J$931)</f>
        <v>1219.51</v>
      </c>
      <c r="O111" s="114">
        <f>SUMIF('DTR3'!$A$12:$A$988,'DETAILED REPROT-Q4'!A111,'DTR3'!$K$12:$K$988)</f>
        <v>2112.0699999999997</v>
      </c>
      <c r="P111" s="114">
        <f>SUMIF('DTR-Q4'!$G$9:$G$1082,'DETAILED REPROT-Q4'!A111,'DTR-Q4'!$Z$9:$Z$1082)</f>
        <v>338.1</v>
      </c>
      <c r="Q111" s="114">
        <f>SUMIF('DTR-Q5'!$S$7:$S$585,'DETAILED REPROT-Q4'!A111,'DTR-Q5'!$Z$7:$Z$585)</f>
        <v>918</v>
      </c>
      <c r="R111" s="114">
        <f>SUMIF('DTR-Q6'!$S$7:$S$653,'DETAILED REPROT-Q4'!A111,'DTR-Q6'!$Z$7:$Z$653)</f>
        <v>0</v>
      </c>
      <c r="S111" s="101">
        <f t="shared" si="25"/>
        <v>4587.68</v>
      </c>
      <c r="T111" s="101">
        <f t="shared" si="26"/>
        <v>4502.32</v>
      </c>
      <c r="U111" s="160">
        <f t="shared" si="27"/>
        <v>0.50469526952695276</v>
      </c>
      <c r="V111" s="101"/>
    </row>
    <row r="112" spans="1:22" ht="16.5" thickBot="1">
      <c r="A112" s="74" t="s">
        <v>263</v>
      </c>
      <c r="B112" s="2" t="s">
        <v>132</v>
      </c>
      <c r="C112" s="13"/>
      <c r="D112" s="13" t="s">
        <v>329</v>
      </c>
      <c r="E112" s="13">
        <v>24360</v>
      </c>
      <c r="F112" s="12"/>
      <c r="G112" s="12"/>
      <c r="H112" s="12"/>
      <c r="I112" s="10"/>
      <c r="J112" s="10"/>
      <c r="K112" s="28">
        <v>24360</v>
      </c>
      <c r="M112" s="114">
        <f>SUMIF(DTRQ1!$A$12:$A$422,'DETAILED REPROT-Q4'!A112:A224,DTRQ1!$J$12:$J$422)</f>
        <v>0</v>
      </c>
      <c r="N112" s="114">
        <f>SUMIF('DTR-Q2'!$A$12:$A$931,'DETAILED REPROT-Q4'!A112,'DTR-Q2'!$J$12:$J$931)</f>
        <v>0</v>
      </c>
      <c r="O112" s="114">
        <f>SUMIF('DTR3'!$A$12:$A$988,'DETAILED REPROT-Q4'!A112,'DTR3'!$K$12:$K$988)</f>
        <v>0</v>
      </c>
      <c r="P112" s="114">
        <f>SUMIF('DTR-Q4'!$G$9:$G$1082,'DETAILED REPROT-Q4'!A112,'DTR-Q4'!$Z$9:$Z$1082)</f>
        <v>0</v>
      </c>
      <c r="Q112" s="114">
        <f>SUMIF('DTR-Q5'!$S$7:$S$585,'DETAILED REPROT-Q4'!A112,'DTR-Q5'!$Z$7:$Z$585)</f>
        <v>0</v>
      </c>
      <c r="R112" s="114">
        <f>SUMIF('DTR-Q6'!$S$7:$S$653,'DETAILED REPROT-Q4'!A112,'DTR-Q6'!$Z$7:$Z$653)</f>
        <v>0</v>
      </c>
      <c r="S112" s="101">
        <f t="shared" si="25"/>
        <v>0</v>
      </c>
      <c r="T112" s="101">
        <f t="shared" si="26"/>
        <v>24360</v>
      </c>
      <c r="U112" s="160">
        <f t="shared" si="27"/>
        <v>0</v>
      </c>
      <c r="V112" s="101"/>
    </row>
    <row r="113" spans="1:22" ht="16.5" thickBot="1">
      <c r="A113" s="74" t="s">
        <v>264</v>
      </c>
      <c r="B113" s="2" t="s">
        <v>133</v>
      </c>
      <c r="C113" s="13"/>
      <c r="D113" s="13" t="s">
        <v>330</v>
      </c>
      <c r="E113" s="13">
        <v>18000</v>
      </c>
      <c r="F113" s="12"/>
      <c r="G113" s="12"/>
      <c r="H113" s="12"/>
      <c r="I113" s="10"/>
      <c r="J113" s="10"/>
      <c r="K113" s="28">
        <v>18000</v>
      </c>
      <c r="M113" s="114">
        <f>SUMIF(DTRQ1!$A$12:$A$422,'DETAILED REPROT-Q4'!A113:A225,DTRQ1!$J$12:$J$422)</f>
        <v>1056.31</v>
      </c>
      <c r="N113" s="114">
        <f>SUMIF('DTR-Q2'!$A$12:$A$931,'DETAILED REPROT-Q4'!A113,'DTR-Q2'!$J$12:$J$931)</f>
        <v>2944.4</v>
      </c>
      <c r="O113" s="114">
        <f>SUMIF('DTR3'!$A$12:$A$988,'DETAILED REPROT-Q4'!A113,'DTR3'!$K$12:$K$988)</f>
        <v>1509.52</v>
      </c>
      <c r="P113" s="114">
        <f>SUMIF('DTR-Q4'!$G$9:$G$1082,'DETAILED REPROT-Q4'!A113,'DTR-Q4'!$Z$9:$Z$1082)</f>
        <v>1745.1000000000001</v>
      </c>
      <c r="Q113" s="114">
        <f>SUMIF('DTR-Q5'!$S$7:$S$585,'DETAILED REPROT-Q4'!A113,'DTR-Q5'!$Z$7:$Z$585)</f>
        <v>1452.3500000000001</v>
      </c>
      <c r="R113" s="114">
        <f>SUMIF('DTR-Q6'!$S$7:$S$653,'DETAILED REPROT-Q4'!A113,'DTR-Q6'!$Z$7:$Z$653)</f>
        <v>98</v>
      </c>
      <c r="S113" s="101">
        <f t="shared" si="25"/>
        <v>8805.68</v>
      </c>
      <c r="T113" s="101">
        <f t="shared" si="26"/>
        <v>9194.32</v>
      </c>
      <c r="U113" s="160">
        <f t="shared" si="27"/>
        <v>0.48920444444444444</v>
      </c>
      <c r="V113" s="101"/>
    </row>
    <row r="114" spans="1:22" ht="32.25" thickBot="1">
      <c r="A114" s="74" t="s">
        <v>265</v>
      </c>
      <c r="B114" s="2" t="s">
        <v>134</v>
      </c>
      <c r="C114" s="13"/>
      <c r="D114" s="13" t="s">
        <v>331</v>
      </c>
      <c r="E114" s="13">
        <v>3636</v>
      </c>
      <c r="F114" s="12"/>
      <c r="G114" s="12"/>
      <c r="H114" s="12"/>
      <c r="I114" s="10"/>
      <c r="J114" s="10"/>
      <c r="K114" s="28">
        <v>3636</v>
      </c>
      <c r="M114" s="114">
        <f>SUMIF(DTRQ1!$A$12:$A$422,'DETAILED REPROT-Q4'!A114:A226,DTRQ1!$J$12:$J$422)</f>
        <v>720</v>
      </c>
      <c r="N114" s="114">
        <f>SUMIF('DTR-Q2'!$A$12:$A$931,'DETAILED REPROT-Q4'!A114,'DTR-Q2'!$J$12:$J$931)</f>
        <v>31</v>
      </c>
      <c r="O114" s="114">
        <f>SUMIF('DTR3'!$A$12:$A$988,'DETAILED REPROT-Q4'!A114,'DTR3'!$K$12:$K$988)</f>
        <v>2099.9899999999998</v>
      </c>
      <c r="P114" s="114">
        <f>SUMIF('DTR-Q4'!$G$9:$G$1082,'DETAILED REPROT-Q4'!A114,'DTR-Q4'!$Z$9:$Z$1082)</f>
        <v>0</v>
      </c>
      <c r="Q114" s="114">
        <f>SUMIF('DTR-Q5'!$S$7:$S$585,'DETAILED REPROT-Q4'!A114,'DTR-Q5'!$Z$7:$Z$585)</f>
        <v>5</v>
      </c>
      <c r="R114" s="114">
        <f>SUMIF('DTR-Q6'!$S$7:$S$653,'DETAILED REPROT-Q4'!A114,'DTR-Q6'!$Z$7:$Z$653)</f>
        <v>0</v>
      </c>
      <c r="S114" s="101">
        <f t="shared" si="25"/>
        <v>2855.99</v>
      </c>
      <c r="T114" s="101">
        <f t="shared" si="26"/>
        <v>780.01000000000022</v>
      </c>
      <c r="U114" s="160">
        <f t="shared" si="27"/>
        <v>0.78547579757975794</v>
      </c>
      <c r="V114" s="101"/>
    </row>
    <row r="115" spans="1:22" ht="16.5" thickBot="1">
      <c r="A115" s="74" t="s">
        <v>266</v>
      </c>
      <c r="B115" s="2" t="s">
        <v>135</v>
      </c>
      <c r="C115" s="13"/>
      <c r="D115" s="13" t="s">
        <v>328</v>
      </c>
      <c r="E115" s="13">
        <v>1000</v>
      </c>
      <c r="F115" s="12"/>
      <c r="G115" s="12"/>
      <c r="H115" s="12"/>
      <c r="I115" s="10"/>
      <c r="J115" s="10"/>
      <c r="K115" s="28">
        <v>1000</v>
      </c>
      <c r="M115" s="114">
        <f>SUMIF(DTRQ1!$A$12:$A$422,'DETAILED REPROT-Q4'!A115:A227,DTRQ1!$J$12:$J$422)</f>
        <v>200</v>
      </c>
      <c r="N115" s="114">
        <f>SUMIF('DTR-Q2'!$A$12:$A$931,'DETAILED REPROT-Q4'!A115,'DTR-Q2'!$J$12:$J$931)</f>
        <v>0</v>
      </c>
      <c r="O115" s="114">
        <f>SUMIF('DTR3'!$A$12:$A$988,'DETAILED REPROT-Q4'!A115,'DTR3'!$K$12:$K$988)</f>
        <v>0</v>
      </c>
      <c r="P115" s="114">
        <f>SUMIF('DTR-Q4'!$G$9:$G$1082,'DETAILED REPROT-Q4'!A115,'DTR-Q4'!$Z$9:$Z$1082)</f>
        <v>237.22</v>
      </c>
      <c r="Q115" s="114">
        <f>SUMIF('DTR-Q5'!$S$7:$S$585,'DETAILED REPROT-Q4'!A115,'DTR-Q5'!$Z$7:$Z$585)</f>
        <v>0</v>
      </c>
      <c r="R115" s="114">
        <f>SUMIF('DTR-Q6'!$S$7:$S$653,'DETAILED REPROT-Q4'!A115,'DTR-Q6'!$Z$7:$Z$653)</f>
        <v>25</v>
      </c>
      <c r="S115" s="101">
        <f t="shared" si="25"/>
        <v>462.22</v>
      </c>
      <c r="T115" s="101">
        <f t="shared" si="26"/>
        <v>537.78</v>
      </c>
      <c r="U115" s="160">
        <f t="shared" si="27"/>
        <v>0.46222000000000002</v>
      </c>
      <c r="V115" s="101"/>
    </row>
    <row r="116" spans="1:22" ht="48" thickBot="1">
      <c r="A116" s="74" t="s">
        <v>267</v>
      </c>
      <c r="B116" s="2" t="s">
        <v>136</v>
      </c>
      <c r="C116" s="13"/>
      <c r="D116" s="13" t="s">
        <v>329</v>
      </c>
      <c r="E116" s="13">
        <v>3636</v>
      </c>
      <c r="F116" s="12"/>
      <c r="G116" s="12"/>
      <c r="H116" s="12"/>
      <c r="I116" s="10"/>
      <c r="J116" s="10"/>
      <c r="K116" s="28">
        <v>3636</v>
      </c>
      <c r="M116" s="114">
        <f>SUMIF(DTRQ1!$A$12:$A$422,'DETAILED REPROT-Q4'!A116:A228,DTRQ1!$J$12:$J$422)</f>
        <v>345</v>
      </c>
      <c r="N116" s="114">
        <f>SUMIF('DTR-Q2'!$A$12:$A$931,'DETAILED REPROT-Q4'!A116,'DTR-Q2'!$J$12:$J$931)</f>
        <v>317.01</v>
      </c>
      <c r="O116" s="114">
        <f>SUMIF('DTR3'!$A$12:$A$988,'DETAILED REPROT-Q4'!A116,'DTR3'!$K$12:$K$988)</f>
        <v>752.74</v>
      </c>
      <c r="P116" s="114">
        <f>SUMIF('DTR-Q4'!$G$9:$G$1082,'DETAILED REPROT-Q4'!A116,'DTR-Q4'!$Z$9:$Z$1082)</f>
        <v>363</v>
      </c>
      <c r="Q116" s="114">
        <f>SUMIF('DTR-Q5'!$S$7:$S$585,'DETAILED REPROT-Q4'!A116,'DTR-Q5'!$Z$7:$Z$585)</f>
        <v>489</v>
      </c>
      <c r="R116" s="114">
        <f>SUMIF('DTR-Q6'!$S$7:$S$653,'DETAILED REPROT-Q4'!A116,'DTR-Q6'!$Z$7:$Z$653)</f>
        <v>245.7</v>
      </c>
      <c r="S116" s="101">
        <f t="shared" si="25"/>
        <v>2512.4499999999998</v>
      </c>
      <c r="T116" s="101">
        <f t="shared" si="26"/>
        <v>1123.5500000000002</v>
      </c>
      <c r="U116" s="160">
        <f t="shared" si="27"/>
        <v>0.69099284928492843</v>
      </c>
      <c r="V116" s="101"/>
    </row>
    <row r="117" spans="1:22" ht="16.5" thickBot="1">
      <c r="A117" s="74" t="s">
        <v>268</v>
      </c>
      <c r="B117" s="2" t="s">
        <v>137</v>
      </c>
      <c r="C117" s="13"/>
      <c r="D117" s="13" t="s">
        <v>328</v>
      </c>
      <c r="E117" s="13">
        <v>14499</v>
      </c>
      <c r="F117" s="12"/>
      <c r="G117" s="12"/>
      <c r="H117" s="12"/>
      <c r="I117" s="10"/>
      <c r="J117" s="10"/>
      <c r="K117" s="28">
        <v>14499</v>
      </c>
      <c r="M117" s="114">
        <f>SUMIF(DTRQ1!$A$12:$A$422,'DETAILED REPROT-Q4'!A117:A229,DTRQ1!$J$12:$J$422)</f>
        <v>480</v>
      </c>
      <c r="N117" s="114">
        <f>SUMIF('DTR-Q2'!$A$12:$A$931,'DETAILED REPROT-Q4'!A117,'DTR-Q2'!$J$12:$J$931)</f>
        <v>464.99</v>
      </c>
      <c r="O117" s="114">
        <f>SUMIF('DTR3'!$A$12:$A$988,'DETAILED REPROT-Q4'!A117,'DTR3'!$K$12:$K$988)</f>
        <v>2660.02</v>
      </c>
      <c r="P117" s="114">
        <f>SUMIF('DTR-Q4'!$G$9:$G$1082,'DETAILED REPROT-Q4'!A117,'DTR-Q4'!$Z$9:$Z$1082)</f>
        <v>30</v>
      </c>
      <c r="Q117" s="114">
        <f>SUMIF('DTR-Q5'!$S$7:$S$585,'DETAILED REPROT-Q4'!A117,'DTR-Q5'!$Z$7:$Z$585)</f>
        <v>4488</v>
      </c>
      <c r="R117" s="114">
        <f>SUMIF('DTR-Q6'!$S$7:$S$653,'DETAILED REPROT-Q4'!A117,'DTR-Q6'!$Z$7:$Z$653)</f>
        <v>1920</v>
      </c>
      <c r="S117" s="101">
        <f t="shared" si="25"/>
        <v>10043.01</v>
      </c>
      <c r="T117" s="101">
        <f t="shared" si="26"/>
        <v>4455.99</v>
      </c>
      <c r="U117" s="160">
        <f t="shared" si="27"/>
        <v>0.69266914959652393</v>
      </c>
      <c r="V117" s="101"/>
    </row>
    <row r="118" spans="1:22" ht="32.25" thickBot="1">
      <c r="A118" s="74" t="s">
        <v>269</v>
      </c>
      <c r="B118" s="2" t="s">
        <v>138</v>
      </c>
      <c r="C118" s="13"/>
      <c r="D118" s="13" t="s">
        <v>328</v>
      </c>
      <c r="E118" s="13">
        <v>1636.2</v>
      </c>
      <c r="F118" s="12"/>
      <c r="G118" s="12"/>
      <c r="H118" s="12"/>
      <c r="I118" s="10"/>
      <c r="J118" s="10"/>
      <c r="K118" s="28">
        <v>1636.2</v>
      </c>
      <c r="M118" s="114">
        <f>SUMIF(DTRQ1!$A$12:$A$422,'DETAILED REPROT-Q4'!A118:A230,DTRQ1!$J$12:$J$422)</f>
        <v>218.97</v>
      </c>
      <c r="N118" s="114">
        <f>SUMIF('DTR-Q2'!$A$12:$A$931,'DETAILED REPROT-Q4'!A118,'DTR-Q2'!$J$12:$J$931)</f>
        <v>668.91000000000008</v>
      </c>
      <c r="O118" s="114">
        <f>SUMIF('DTR3'!$A$12:$A$988,'DETAILED REPROT-Q4'!A118,'DTR3'!$K$12:$K$988)</f>
        <v>480.09999999999991</v>
      </c>
      <c r="P118" s="114">
        <f>SUMIF('DTR-Q4'!$G$9:$G$1082,'DETAILED REPROT-Q4'!A118,'DTR-Q4'!$Z$9:$Z$1082)</f>
        <v>578.14</v>
      </c>
      <c r="Q118" s="114">
        <f>SUMIF('DTR-Q5'!$S$7:$S$585,'DETAILED REPROT-Q4'!A118,'DTR-Q5'!$Z$7:$Z$585)</f>
        <v>209.41</v>
      </c>
      <c r="R118" s="114">
        <f>SUMIF('DTR-Q6'!$S$7:$S$653,'DETAILED REPROT-Q4'!A118,'DTR-Q6'!$Z$7:$Z$653)</f>
        <v>148.47</v>
      </c>
      <c r="S118" s="101">
        <f t="shared" si="25"/>
        <v>2303.9999999999995</v>
      </c>
      <c r="T118" s="101">
        <f t="shared" si="26"/>
        <v>-667.7999999999995</v>
      </c>
      <c r="U118" s="160">
        <f t="shared" si="27"/>
        <v>1.4081408140814078</v>
      </c>
      <c r="V118" s="101"/>
    </row>
    <row r="119" spans="1:22" ht="32.25" thickBot="1">
      <c r="A119" s="74" t="s">
        <v>270</v>
      </c>
      <c r="B119" s="2" t="s">
        <v>139</v>
      </c>
      <c r="C119" s="13"/>
      <c r="D119" s="13" t="s">
        <v>328</v>
      </c>
      <c r="E119" s="13">
        <v>13332</v>
      </c>
      <c r="F119" s="12"/>
      <c r="G119" s="12"/>
      <c r="H119" s="12"/>
      <c r="I119" s="10"/>
      <c r="J119" s="10"/>
      <c r="K119" s="28">
        <v>13332</v>
      </c>
      <c r="M119" s="114">
        <f>SUMIF(DTRQ1!$A$12:$A$422,'DETAILED REPROT-Q4'!A119:A231,DTRQ1!$J$12:$J$422)</f>
        <v>127.5</v>
      </c>
      <c r="N119" s="114">
        <f>SUMIF('DTR-Q2'!$A$12:$A$931,'DETAILED REPROT-Q4'!A119,'DTR-Q2'!$J$12:$J$931)</f>
        <v>119.49</v>
      </c>
      <c r="O119" s="114">
        <f>SUMIF('DTR3'!$A$12:$A$988,'DETAILED REPROT-Q4'!A119,'DTR3'!$K$12:$K$988)</f>
        <v>182.99</v>
      </c>
      <c r="P119" s="114">
        <f>SUMIF('DTR-Q4'!$G$9:$G$1082,'DETAILED REPROT-Q4'!A119,'DTR-Q4'!$Z$9:$Z$1082)</f>
        <v>232.5</v>
      </c>
      <c r="Q119" s="114">
        <f>SUMIF('DTR-Q5'!$S$7:$S$585,'DETAILED REPROT-Q4'!A119,'DTR-Q5'!$Z$7:$Z$585)</f>
        <v>5004.76</v>
      </c>
      <c r="R119" s="114">
        <f>SUMIF('DTR-Q6'!$S$7:$S$653,'DETAILED REPROT-Q4'!A119,'DTR-Q6'!$Z$7:$Z$653)</f>
        <v>3072.3499999999995</v>
      </c>
      <c r="S119" s="101">
        <f t="shared" si="25"/>
        <v>8739.59</v>
      </c>
      <c r="T119" s="101">
        <f t="shared" si="26"/>
        <v>4592.41</v>
      </c>
      <c r="U119" s="160">
        <f t="shared" si="27"/>
        <v>0.65553480348034809</v>
      </c>
      <c r="V119" s="101"/>
    </row>
    <row r="120" spans="1:22" ht="32.25" thickBot="1">
      <c r="A120" s="74" t="s">
        <v>271</v>
      </c>
      <c r="B120" s="2" t="s">
        <v>140</v>
      </c>
      <c r="C120" s="13"/>
      <c r="D120" s="13" t="s">
        <v>328</v>
      </c>
      <c r="E120" s="13">
        <v>5817.6</v>
      </c>
      <c r="F120" s="12"/>
      <c r="G120" s="12"/>
      <c r="H120" s="12"/>
      <c r="I120" s="10"/>
      <c r="J120" s="10"/>
      <c r="K120" s="28">
        <v>5817.6</v>
      </c>
      <c r="M120" s="114">
        <f>SUMIF(DTRQ1!$A$12:$A$422,'DETAILED REPROT-Q4'!A120:A232,DTRQ1!$J$12:$J$422)</f>
        <v>52.23</v>
      </c>
      <c r="N120" s="114">
        <f>SUMIF('DTR-Q2'!$A$12:$A$931,'DETAILED REPROT-Q4'!A120,'DTR-Q2'!$J$12:$J$931)</f>
        <v>360.18000000000006</v>
      </c>
      <c r="O120" s="114">
        <f>SUMIF('DTR3'!$A$12:$A$988,'DETAILED REPROT-Q4'!A120,'DTR3'!$K$12:$K$988)</f>
        <v>1389.0700000000002</v>
      </c>
      <c r="P120" s="114">
        <f>SUMIF('DTR-Q4'!$G$9:$G$1082,'DETAILED REPROT-Q4'!A120,'DTR-Q4'!$Z$9:$Z$1082)</f>
        <v>758.09</v>
      </c>
      <c r="Q120" s="114">
        <f>SUMIF('DTR-Q5'!$S$7:$S$585,'DETAILED REPROT-Q4'!A120,'DTR-Q5'!$Z$7:$Z$585)</f>
        <v>664.72</v>
      </c>
      <c r="R120" s="114">
        <f>SUMIF('DTR-Q6'!$S$7:$S$653,'DETAILED REPROT-Q4'!A120,'DTR-Q6'!$Z$7:$Z$653)</f>
        <v>1021.3299999999999</v>
      </c>
      <c r="S120" s="101">
        <f t="shared" si="25"/>
        <v>4245.62</v>
      </c>
      <c r="T120" s="101">
        <f t="shared" si="26"/>
        <v>1571.9800000000005</v>
      </c>
      <c r="U120" s="160">
        <f t="shared" si="27"/>
        <v>0.72978891639163912</v>
      </c>
      <c r="V120" s="101"/>
    </row>
    <row r="121" spans="1:22" ht="32.25" thickBot="1">
      <c r="A121" s="74" t="s">
        <v>272</v>
      </c>
      <c r="B121" s="2" t="s">
        <v>141</v>
      </c>
      <c r="C121" s="13"/>
      <c r="D121" s="13" t="s">
        <v>328</v>
      </c>
      <c r="E121" s="13">
        <v>5630</v>
      </c>
      <c r="F121" s="12"/>
      <c r="G121" s="12"/>
      <c r="H121" s="12"/>
      <c r="I121" s="10"/>
      <c r="J121" s="10"/>
      <c r="K121" s="28">
        <v>5630</v>
      </c>
      <c r="M121" s="114">
        <f>SUMIF(DTRQ1!$A$12:$A$422,'DETAILED REPROT-Q4'!A121:A233,DTRQ1!$J$12:$J$422)</f>
        <v>628.68000000000006</v>
      </c>
      <c r="N121" s="114">
        <f>SUMIF('DTR-Q2'!$A$12:$A$931,'DETAILED REPROT-Q4'!A121,'DTR-Q2'!$J$12:$J$931)</f>
        <v>1197.4599999999998</v>
      </c>
      <c r="O121" s="114">
        <f>SUMIF('DTR3'!$A$12:$A$988,'DETAILED REPROT-Q4'!A121,'DTR3'!$K$12:$K$988)</f>
        <v>1154.52</v>
      </c>
      <c r="P121" s="114">
        <f>SUMIF('DTR-Q4'!$G$9:$G$1082,'DETAILED REPROT-Q4'!A121,'DTR-Q4'!$Z$9:$Z$1082)</f>
        <v>234.18</v>
      </c>
      <c r="Q121" s="114">
        <f>SUMIF('DTR-Q5'!$S$7:$S$585,'DETAILED REPROT-Q4'!A121,'DTR-Q5'!$Z$7:$Z$585)</f>
        <v>1084.6599999999999</v>
      </c>
      <c r="R121" s="114">
        <f>SUMIF('DTR-Q6'!$S$7:$S$653,'DETAILED REPROT-Q4'!A121,'DTR-Q6'!$Z$7:$Z$653)</f>
        <v>554.29999999999995</v>
      </c>
      <c r="S121" s="101">
        <f t="shared" si="25"/>
        <v>4853.8</v>
      </c>
      <c r="T121" s="101">
        <f t="shared" si="26"/>
        <v>776.19999999999982</v>
      </c>
      <c r="U121" s="160">
        <f t="shared" si="27"/>
        <v>0.86213143872113684</v>
      </c>
      <c r="V121" s="101"/>
    </row>
    <row r="122" spans="1:22" ht="16.5" thickBot="1">
      <c r="A122" s="74" t="s">
        <v>273</v>
      </c>
      <c r="B122" s="2" t="s">
        <v>142</v>
      </c>
      <c r="C122" s="13"/>
      <c r="D122" s="13" t="s">
        <v>328</v>
      </c>
      <c r="E122" s="13">
        <v>13195</v>
      </c>
      <c r="F122" s="12"/>
      <c r="G122" s="12"/>
      <c r="H122" s="12"/>
      <c r="I122" s="10"/>
      <c r="J122" s="10"/>
      <c r="K122" s="28">
        <v>13195</v>
      </c>
      <c r="M122" s="114">
        <f>SUMIF(DTRQ1!$A$12:$A$422,'DETAILED REPROT-Q4'!A122:A234,DTRQ1!$J$12:$J$422)</f>
        <v>1009.9300000000001</v>
      </c>
      <c r="N122" s="114">
        <f>SUMIF('DTR-Q2'!$A$12:$A$931,'DETAILED REPROT-Q4'!A122,'DTR-Q2'!$J$12:$J$931)</f>
        <v>2042.9900000000005</v>
      </c>
      <c r="O122" s="114">
        <f>SUMIF('DTR3'!$A$12:$A$988,'DETAILED REPROT-Q4'!A122,'DTR3'!$K$12:$K$988)</f>
        <v>1430.0400000000002</v>
      </c>
      <c r="P122" s="114">
        <f>SUMIF('DTR-Q4'!$G$9:$G$1082,'DETAILED REPROT-Q4'!A122,'DTR-Q4'!$Z$9:$Z$1082)</f>
        <v>1161.19</v>
      </c>
      <c r="Q122" s="114">
        <f>SUMIF('DTR-Q5'!$S$7:$S$585,'DETAILED REPROT-Q4'!A122,'DTR-Q5'!$Z$7:$Z$585)</f>
        <v>2063.8500000000004</v>
      </c>
      <c r="R122" s="114">
        <f>SUMIF('DTR-Q6'!$S$7:$S$653,'DETAILED REPROT-Q4'!A122,'DTR-Q6'!$Z$7:$Z$653)</f>
        <v>1212.4299999999994</v>
      </c>
      <c r="S122" s="101">
        <f t="shared" si="25"/>
        <v>8920.43</v>
      </c>
      <c r="T122" s="101">
        <f t="shared" si="26"/>
        <v>4274.57</v>
      </c>
      <c r="U122" s="160">
        <f t="shared" si="27"/>
        <v>0.67604622963243655</v>
      </c>
      <c r="V122" s="101"/>
    </row>
    <row r="123" spans="1:22" ht="16.5" thickBot="1">
      <c r="A123" s="74" t="s">
        <v>274</v>
      </c>
      <c r="B123" s="2" t="s">
        <v>143</v>
      </c>
      <c r="C123" s="13"/>
      <c r="D123" s="10" t="s">
        <v>325</v>
      </c>
      <c r="E123" s="13"/>
      <c r="F123" s="13">
        <f>0.25*(F90+F76+F37)</f>
        <v>46762.534999999996</v>
      </c>
      <c r="G123" s="18">
        <f>0.25*(G90+G76+G37)</f>
        <v>30200.61</v>
      </c>
      <c r="H123" s="18">
        <f>0.25*(H90+H76+H37)</f>
        <v>52793.869999999995</v>
      </c>
      <c r="I123" s="2"/>
      <c r="J123" s="2"/>
      <c r="K123" s="28">
        <v>129757.01499999998</v>
      </c>
      <c r="M123" s="114">
        <f>SUMIF(DTRQ1!$A$12:$A$422,'DETAILED REPROT-Q4'!A123:A235,DTRQ1!$J$12:$J$422)</f>
        <v>0</v>
      </c>
      <c r="N123" s="114">
        <f>SUMIF('DTR-Q2'!$A$12:$A$931,'DETAILED REPROT-Q4'!A123,'DTR-Q2'!$J$12:$J$931)</f>
        <v>29010.679999999953</v>
      </c>
      <c r="O123" s="114">
        <f>SUMIF('DTR3'!$A$12:$A$988,'DETAILED REPROT-Q4'!A123,'DTR3'!$K$12:$K$988)</f>
        <v>15831.199999999999</v>
      </c>
      <c r="P123" s="114">
        <f>SUMIF('DTR-Q4'!$G$9:$G$1082,'DETAILED REPROT-Q4'!A123,'DTR-Q4'!$Z$9:$Z$1082)</f>
        <v>31970.909999999989</v>
      </c>
      <c r="Q123" s="114">
        <f>SUMIF('DTR-Q5'!$S$7:$S$585,'DETAILED REPROT-Q4'!A123,'DTR-Q5'!$Z$7:$Z$585)</f>
        <v>0</v>
      </c>
      <c r="R123" s="114">
        <f>SUMIF('DTR-Q6'!$S$7:$S$653,'DETAILED REPROT-Q4'!A123,'DTR-Q6'!$Z$7:$Z$653)</f>
        <v>16798.919999999998</v>
      </c>
      <c r="S123" s="101">
        <f t="shared" si="25"/>
        <v>93611.709999999948</v>
      </c>
      <c r="T123" s="101">
        <f t="shared" si="26"/>
        <v>36145.305000000037</v>
      </c>
      <c r="U123" s="160">
        <f t="shared" si="27"/>
        <v>0.72143852877626657</v>
      </c>
      <c r="V123" s="101"/>
    </row>
    <row r="124" spans="1:22" ht="16.5" thickBot="1">
      <c r="A124" s="73"/>
      <c r="B124" s="55" t="s">
        <v>8</v>
      </c>
      <c r="C124" s="56" t="e">
        <f>SUM(E124:H124)</f>
        <v>#REF!</v>
      </c>
      <c r="D124" s="56"/>
      <c r="E124" s="57" t="e">
        <f>SUM(E125:E137)</f>
        <v>#REF!</v>
      </c>
      <c r="F124" s="57"/>
      <c r="G124" s="57"/>
      <c r="H124" s="57"/>
      <c r="I124" s="58"/>
      <c r="J124" s="58"/>
      <c r="K124" s="59">
        <v>234416.49100000001</v>
      </c>
      <c r="M124" s="109">
        <f t="shared" ref="M124:R124" si="33">SUM(M125:M137)</f>
        <v>2960.02</v>
      </c>
      <c r="N124" s="109">
        <f>SUM(N125:N137)</f>
        <v>74852.819999999992</v>
      </c>
      <c r="O124" s="109">
        <f t="shared" si="33"/>
        <v>19510.39</v>
      </c>
      <c r="P124" s="109">
        <f t="shared" si="33"/>
        <v>5977.6799999999994</v>
      </c>
      <c r="Q124" s="109">
        <f t="shared" si="33"/>
        <v>13714.95</v>
      </c>
      <c r="R124" s="109">
        <f t="shared" si="33"/>
        <v>4668.6899999999996</v>
      </c>
      <c r="S124" s="109">
        <f t="shared" si="25"/>
        <v>121684.54999999999</v>
      </c>
      <c r="T124" s="109">
        <f t="shared" si="26"/>
        <v>112731.94100000002</v>
      </c>
      <c r="U124" s="171">
        <f t="shared" si="27"/>
        <v>0.51909551875341386</v>
      </c>
      <c r="V124" s="109"/>
    </row>
    <row r="125" spans="1:22" ht="32.25" thickBot="1">
      <c r="A125" s="74" t="s">
        <v>275</v>
      </c>
      <c r="B125" s="2" t="s">
        <v>196</v>
      </c>
      <c r="C125" s="13"/>
      <c r="D125" s="2" t="s">
        <v>326</v>
      </c>
      <c r="E125" s="13">
        <v>20000</v>
      </c>
      <c r="F125" s="13"/>
      <c r="G125" s="13"/>
      <c r="H125" s="13"/>
      <c r="I125" s="2"/>
      <c r="J125" s="2"/>
      <c r="K125" s="28">
        <v>20000</v>
      </c>
      <c r="M125" s="114">
        <f>SUMIF(DTRQ1!$A$12:$A$422,'DETAILED REPROT-Q4'!A125:A237,DTRQ1!$J$12:$J$422)</f>
        <v>0</v>
      </c>
      <c r="N125" s="114">
        <f>SUMIF('DTR-Q2'!$A$12:$A$931,'DETAILED REPROT-Q4'!A125,'DTR-Q2'!$J$12:$J$931)</f>
        <v>5909.3899999999994</v>
      </c>
      <c r="O125" s="114">
        <f>SUMIF('DTR3'!$A$12:$A$988,'DETAILED REPROT-Q4'!A125,'DTR3'!$K$12:$K$988)</f>
        <v>9750</v>
      </c>
      <c r="P125" s="114">
        <f>SUMIF('DTR-Q4'!$G$9:$G$1082,'DETAILED REPROT-Q4'!A125,'DTR-Q4'!$Z$9:$Z$1082)</f>
        <v>0</v>
      </c>
      <c r="Q125" s="114">
        <f>SUMIF('DTR-Q5'!$S$7:$S$585,'DETAILED REPROT-Q4'!A125,'DTR-Q5'!$Z$7:$Z$585)</f>
        <v>3361.3</v>
      </c>
      <c r="R125" s="114">
        <f>SUMIF('DTR-Q6'!$S$7:$S$653,'DETAILED REPROT-Q4'!A125,'DTR-Q6'!$Z$7:$Z$653)</f>
        <v>0</v>
      </c>
      <c r="S125" s="101">
        <f t="shared" si="25"/>
        <v>19020.689999999999</v>
      </c>
      <c r="T125" s="101">
        <f t="shared" si="26"/>
        <v>979.31000000000131</v>
      </c>
      <c r="U125" s="160">
        <f t="shared" si="27"/>
        <v>0.95103449999999989</v>
      </c>
      <c r="V125" s="101"/>
    </row>
    <row r="126" spans="1:22" ht="16.5" thickBot="1">
      <c r="A126" s="74" t="s">
        <v>276</v>
      </c>
      <c r="B126" s="2" t="s">
        <v>185</v>
      </c>
      <c r="C126" s="13"/>
      <c r="D126" s="2" t="s">
        <v>326</v>
      </c>
      <c r="E126" s="13">
        <v>25000</v>
      </c>
      <c r="F126" s="13"/>
      <c r="G126" s="13"/>
      <c r="H126" s="13"/>
      <c r="I126" s="2"/>
      <c r="J126" s="2"/>
      <c r="K126" s="28">
        <v>25000</v>
      </c>
      <c r="M126" s="114">
        <f>SUMIF(DTRQ1!$A$12:$A$422,'DETAILED REPROT-Q4'!A126:A238,DTRQ1!$J$12:$J$422)</f>
        <v>59.99</v>
      </c>
      <c r="N126" s="114">
        <f>SUMIF('DTR-Q2'!$A$12:$A$931,'DETAILED REPROT-Q4'!A126,'DTR-Q2'!$J$12:$J$931)</f>
        <v>17135.36</v>
      </c>
      <c r="O126" s="114">
        <f>SUMIF('DTR3'!$A$12:$A$988,'DETAILED REPROT-Q4'!A126,'DTR3'!$K$12:$K$988)</f>
        <v>2636.39</v>
      </c>
      <c r="P126" s="114">
        <f>SUMIF('DTR-Q4'!$G$9:$G$1082,'DETAILED REPROT-Q4'!A126,'DTR-Q4'!$Z$9:$Z$1082)</f>
        <v>125</v>
      </c>
      <c r="Q126" s="114">
        <f>SUMIF('DTR-Q5'!$S$7:$S$585,'DETAILED REPROT-Q4'!A126,'DTR-Q5'!$Z$7:$Z$585)</f>
        <v>210</v>
      </c>
      <c r="R126" s="114">
        <f>SUMIF('DTR-Q6'!$S$7:$S$653,'DETAILED REPROT-Q4'!A126,'DTR-Q6'!$Z$7:$Z$653)</f>
        <v>0</v>
      </c>
      <c r="S126" s="101">
        <f t="shared" si="25"/>
        <v>20166.740000000002</v>
      </c>
      <c r="T126" s="101">
        <f t="shared" si="26"/>
        <v>4833.2599999999984</v>
      </c>
      <c r="U126" s="160">
        <f t="shared" si="27"/>
        <v>0.8066696000000001</v>
      </c>
      <c r="V126" s="101"/>
    </row>
    <row r="127" spans="1:22" ht="16.5" thickBot="1">
      <c r="A127" s="74" t="s">
        <v>277</v>
      </c>
      <c r="B127" s="2" t="s">
        <v>144</v>
      </c>
      <c r="C127" s="13"/>
      <c r="D127" s="2" t="s">
        <v>326</v>
      </c>
      <c r="E127" s="13">
        <v>30000</v>
      </c>
      <c r="F127" s="13"/>
      <c r="G127" s="13"/>
      <c r="H127" s="13"/>
      <c r="I127" s="2"/>
      <c r="J127" s="2"/>
      <c r="K127" s="28">
        <v>30000</v>
      </c>
      <c r="M127" s="114">
        <f>SUMIF(DTRQ1!$A$12:$A$422,'DETAILED REPROT-Q4'!A127:A239,DTRQ1!$J$12:$J$422)</f>
        <v>927.99</v>
      </c>
      <c r="N127" s="114">
        <f>SUMIF('DTR-Q2'!$A$12:$A$931,'DETAILED REPROT-Q4'!A127,'DTR-Q2'!$J$12:$J$931)</f>
        <v>9970.0399999999991</v>
      </c>
      <c r="O127" s="114">
        <f>SUMIF('DTR3'!$A$12:$A$988,'DETAILED REPROT-Q4'!A127,'DTR3'!$K$12:$K$988)</f>
        <v>0</v>
      </c>
      <c r="P127" s="114">
        <f>SUMIF('DTR-Q4'!$G$9:$G$1082,'DETAILED REPROT-Q4'!A127,'DTR-Q4'!$Z$9:$Z$1082)</f>
        <v>0</v>
      </c>
      <c r="Q127" s="114">
        <f>SUMIF('DTR-Q5'!$S$7:$S$585,'DETAILED REPROT-Q4'!A127,'DTR-Q5'!$Z$7:$Z$585)</f>
        <v>0</v>
      </c>
      <c r="R127" s="114">
        <f>SUMIF('DTR-Q6'!$S$7:$S$653,'DETAILED REPROT-Q4'!A127,'DTR-Q6'!$Z$7:$Z$653)</f>
        <v>0</v>
      </c>
      <c r="S127" s="101">
        <f t="shared" si="25"/>
        <v>10898.029999999999</v>
      </c>
      <c r="T127" s="101">
        <f t="shared" si="26"/>
        <v>19101.97</v>
      </c>
      <c r="U127" s="160">
        <f t="shared" si="27"/>
        <v>0.36326766666666666</v>
      </c>
      <c r="V127" s="101"/>
    </row>
    <row r="128" spans="1:22" ht="16.5" thickBot="1">
      <c r="A128" s="74" t="s">
        <v>278</v>
      </c>
      <c r="B128" s="2" t="s">
        <v>145</v>
      </c>
      <c r="C128" s="13"/>
      <c r="D128" s="2" t="s">
        <v>326</v>
      </c>
      <c r="E128" s="13">
        <v>3000</v>
      </c>
      <c r="F128" s="13"/>
      <c r="G128" s="13"/>
      <c r="H128" s="13"/>
      <c r="I128" s="2"/>
      <c r="J128" s="2"/>
      <c r="K128" s="28">
        <v>3000</v>
      </c>
      <c r="L128" s="86"/>
      <c r="M128" s="114">
        <f>SUMIF(DTRQ1!$A$12:$A$422,'DETAILED REPROT-Q4'!A128:A240,DTRQ1!$J$12:$J$422)</f>
        <v>0</v>
      </c>
      <c r="N128" s="114">
        <f>SUMIF('DTR-Q2'!$A$12:$A$931,'DETAILED REPROT-Q4'!A128,'DTR-Q2'!$J$12:$J$931)</f>
        <v>0</v>
      </c>
      <c r="O128" s="114">
        <f>SUMIF('DTR3'!$A$12:$A$988,'DETAILED REPROT-Q4'!A128,'DTR3'!$K$12:$K$988)</f>
        <v>0</v>
      </c>
      <c r="P128" s="114">
        <f>SUMIF('DTR-Q4'!$G$9:$G$1082,'DETAILED REPROT-Q4'!A128,'DTR-Q4'!$Z$9:$Z$1082)</f>
        <v>0</v>
      </c>
      <c r="Q128" s="114">
        <f>SUMIF('DTR-Q5'!$S$7:$S$585,'DETAILED REPROT-Q4'!A128,'DTR-Q5'!$Z$7:$Z$585)</f>
        <v>0</v>
      </c>
      <c r="R128" s="114">
        <f>SUMIF('DTR-Q6'!$S$7:$S$653,'DETAILED REPROT-Q4'!A128,'DTR-Q6'!$Z$7:$Z$653)</f>
        <v>0</v>
      </c>
      <c r="S128" s="101">
        <f t="shared" si="25"/>
        <v>0</v>
      </c>
      <c r="T128" s="101">
        <f t="shared" si="26"/>
        <v>3000</v>
      </c>
      <c r="U128" s="160">
        <f t="shared" si="27"/>
        <v>0</v>
      </c>
      <c r="V128" s="101"/>
    </row>
    <row r="129" spans="1:22" ht="16.5" thickBot="1">
      <c r="A129" s="74" t="s">
        <v>279</v>
      </c>
      <c r="B129" s="2" t="s">
        <v>146</v>
      </c>
      <c r="C129" s="13"/>
      <c r="D129" s="2" t="s">
        <v>326</v>
      </c>
      <c r="E129" s="13">
        <v>25000</v>
      </c>
      <c r="F129" s="13"/>
      <c r="G129" s="13"/>
      <c r="H129" s="13"/>
      <c r="I129" s="2"/>
      <c r="J129" s="2"/>
      <c r="K129" s="28">
        <v>25000</v>
      </c>
      <c r="L129" s="86"/>
      <c r="M129" s="114">
        <f>SUMIF(DTRQ1!$A$12:$A$422,'DETAILED REPROT-Q4'!A129:A241,DTRQ1!$J$12:$J$422)</f>
        <v>0</v>
      </c>
      <c r="N129" s="114">
        <f>SUMIF('DTR-Q2'!$A$12:$A$931,'DETAILED REPROT-Q4'!A129,'DTR-Q2'!$J$12:$J$931)</f>
        <v>33054.859999999993</v>
      </c>
      <c r="O129" s="114">
        <f>SUMIF('DTR3'!$A$12:$A$988,'DETAILED REPROT-Q4'!A129,'DTR3'!$K$12:$K$988)</f>
        <v>337.95</v>
      </c>
      <c r="P129" s="114">
        <f>SUMIF('DTR-Q4'!$G$9:$G$1082,'DETAILED REPROT-Q4'!A129,'DTR-Q4'!$Z$9:$Z$1082)</f>
        <v>0</v>
      </c>
      <c r="Q129" s="114">
        <f>SUMIF('DTR-Q5'!$S$7:$S$585,'DETAILED REPROT-Q4'!A129,'DTR-Q5'!$Z$7:$Z$585)</f>
        <v>0</v>
      </c>
      <c r="R129" s="114">
        <f>SUMIF('DTR-Q6'!$S$7:$S$653,'DETAILED REPROT-Q4'!A129,'DTR-Q6'!$Z$7:$Z$653)</f>
        <v>0</v>
      </c>
      <c r="S129" s="101">
        <f t="shared" si="25"/>
        <v>33392.80999999999</v>
      </c>
      <c r="T129" s="101">
        <f t="shared" si="26"/>
        <v>-8392.8099999999904</v>
      </c>
      <c r="U129" s="160">
        <f t="shared" si="27"/>
        <v>1.3357123999999996</v>
      </c>
      <c r="V129" s="101"/>
    </row>
    <row r="130" spans="1:22" ht="32.25" thickBot="1">
      <c r="A130" s="74" t="s">
        <v>280</v>
      </c>
      <c r="B130" s="2" t="s">
        <v>147</v>
      </c>
      <c r="C130" s="13"/>
      <c r="D130" s="2" t="s">
        <v>326</v>
      </c>
      <c r="E130" s="13">
        <f>4800*6</f>
        <v>28800</v>
      </c>
      <c r="F130" s="13"/>
      <c r="G130" s="13"/>
      <c r="H130" s="13"/>
      <c r="I130" s="2"/>
      <c r="J130" s="2"/>
      <c r="K130" s="28">
        <v>28800</v>
      </c>
      <c r="L130" s="86"/>
      <c r="M130" s="114">
        <f>SUMIF(DTRQ1!$A$12:$A$422,'DETAILED REPROT-Q4'!A130:A242,DTRQ1!$J$12:$J$422)</f>
        <v>0</v>
      </c>
      <c r="N130" s="114">
        <f>SUMIF('DTR-Q2'!$A$12:$A$931,'DETAILED REPROT-Q4'!A130,'DTR-Q2'!$J$12:$J$931)</f>
        <v>1093.3999999999999</v>
      </c>
      <c r="O130" s="114">
        <f>SUMIF('DTR3'!$A$12:$A$988,'DETAILED REPROT-Q4'!A130,'DTR3'!$K$12:$K$988)</f>
        <v>2553.0100000000002</v>
      </c>
      <c r="P130" s="114">
        <f>SUMIF('DTR-Q4'!$G$9:$G$1082,'DETAILED REPROT-Q4'!A130,'DTR-Q4'!$Z$9:$Z$1082)</f>
        <v>4616.25</v>
      </c>
      <c r="Q130" s="114">
        <f>SUMIF('DTR-Q5'!$S$7:$S$585,'DETAILED REPROT-Q4'!A130,'DTR-Q5'!$Z$7:$Z$585)</f>
        <v>4364.41</v>
      </c>
      <c r="R130" s="114">
        <f>SUMIF('DTR-Q6'!$S$7:$S$653,'DETAILED REPROT-Q4'!A130,'DTR-Q6'!$Z$7:$Z$653)</f>
        <v>1861</v>
      </c>
      <c r="S130" s="101">
        <f t="shared" si="25"/>
        <v>14488.07</v>
      </c>
      <c r="T130" s="101">
        <f t="shared" si="26"/>
        <v>14311.93</v>
      </c>
      <c r="U130" s="160">
        <f t="shared" si="27"/>
        <v>0.50305798611111108</v>
      </c>
      <c r="V130" s="101"/>
    </row>
    <row r="131" spans="1:22" ht="32.25" thickBot="1">
      <c r="A131" s="74" t="s">
        <v>281</v>
      </c>
      <c r="B131" s="2" t="s">
        <v>193</v>
      </c>
      <c r="C131" s="13"/>
      <c r="D131" s="2" t="s">
        <v>326</v>
      </c>
      <c r="E131" s="13">
        <v>2000</v>
      </c>
      <c r="F131" s="13"/>
      <c r="G131" s="13"/>
      <c r="H131" s="13"/>
      <c r="I131" s="2"/>
      <c r="J131" s="2"/>
      <c r="K131" s="28">
        <v>2000</v>
      </c>
      <c r="M131" s="114">
        <f>SUMIF(DTRQ1!$A$12:$A$422,'DETAILED REPROT-Q4'!A131:A243,DTRQ1!$J$12:$J$422)</f>
        <v>0</v>
      </c>
      <c r="N131" s="114">
        <f>SUMIF('DTR-Q2'!$A$12:$A$931,'DETAILED REPROT-Q4'!A131,'DTR-Q2'!$J$12:$J$931)</f>
        <v>0</v>
      </c>
      <c r="O131" s="114">
        <f>SUMIF('DTR3'!$A$12:$A$988,'DETAILED REPROT-Q4'!A131,'DTR3'!$K$12:$K$988)</f>
        <v>0</v>
      </c>
      <c r="P131" s="114">
        <f>SUMIF('DTR-Q4'!$G$9:$G$1082,'DETAILED REPROT-Q4'!A131,'DTR-Q4'!$Z$9:$Z$1082)</f>
        <v>0</v>
      </c>
      <c r="Q131" s="114">
        <f>SUMIF('DTR-Q5'!$S$7:$S$585,'DETAILED REPROT-Q4'!A131,'DTR-Q5'!$Z$7:$Z$585)</f>
        <v>47.910000000000025</v>
      </c>
      <c r="R131" s="114">
        <f>SUMIF('DTR-Q6'!$S$7:$S$653,'DETAILED REPROT-Q4'!A131,'DTR-Q6'!$Z$7:$Z$653)</f>
        <v>0</v>
      </c>
      <c r="S131" s="101">
        <f t="shared" si="25"/>
        <v>47.910000000000025</v>
      </c>
      <c r="T131" s="101">
        <f t="shared" si="26"/>
        <v>1952.09</v>
      </c>
      <c r="U131" s="160">
        <f t="shared" si="27"/>
        <v>2.3955000000000011E-2</v>
      </c>
      <c r="V131" s="101"/>
    </row>
    <row r="132" spans="1:22" ht="16.5" thickBot="1">
      <c r="A132" s="74" t="s">
        <v>282</v>
      </c>
      <c r="B132" s="2" t="s">
        <v>148</v>
      </c>
      <c r="C132" s="13"/>
      <c r="D132" s="2" t="s">
        <v>326</v>
      </c>
      <c r="E132" s="13">
        <v>30000</v>
      </c>
      <c r="F132" s="13"/>
      <c r="G132" s="13"/>
      <c r="H132" s="13"/>
      <c r="I132" s="2"/>
      <c r="J132" s="2"/>
      <c r="K132" s="28">
        <v>30000</v>
      </c>
      <c r="M132" s="114">
        <f>SUMIF(DTRQ1!$A$12:$A$422,'DETAILED REPROT-Q4'!A132:A244,DTRQ1!$J$12:$J$422)</f>
        <v>0</v>
      </c>
      <c r="N132" s="114">
        <f>SUMIF('DTR-Q2'!$A$12:$A$931,'DETAILED REPROT-Q4'!A132,'DTR-Q2'!$J$12:$J$931)</f>
        <v>0</v>
      </c>
      <c r="O132" s="114">
        <f>SUMIF('DTR3'!$A$12:$A$988,'DETAILED REPROT-Q4'!A132,'DTR3'!$K$12:$K$988)</f>
        <v>0</v>
      </c>
      <c r="P132" s="114">
        <f>SUMIF('DTR-Q4'!$G$9:$G$1082,'DETAILED REPROT-Q4'!A132,'DTR-Q4'!$Z$9:$Z$1082)</f>
        <v>0</v>
      </c>
      <c r="Q132" s="114">
        <f>SUMIF('DTR-Q5'!$S$7:$S$585,'DETAILED REPROT-Q4'!A132,'DTR-Q5'!$Z$7:$Z$585)</f>
        <v>0</v>
      </c>
      <c r="R132" s="114">
        <f>SUMIF('DTR-Q6'!$S$7:$S$653,'DETAILED REPROT-Q4'!A132,'DTR-Q6'!$Z$7:$Z$653)</f>
        <v>0</v>
      </c>
      <c r="S132" s="101">
        <f t="shared" si="25"/>
        <v>0</v>
      </c>
      <c r="T132" s="101">
        <f t="shared" si="26"/>
        <v>30000</v>
      </c>
      <c r="U132" s="160">
        <f t="shared" si="27"/>
        <v>0</v>
      </c>
      <c r="V132" s="101"/>
    </row>
    <row r="133" spans="1:22" ht="16.5" thickBot="1">
      <c r="A133" s="74" t="s">
        <v>283</v>
      </c>
      <c r="B133" s="2" t="s">
        <v>149</v>
      </c>
      <c r="C133" s="13"/>
      <c r="D133" s="2" t="s">
        <v>326</v>
      </c>
      <c r="E133" s="13">
        <v>25000</v>
      </c>
      <c r="F133" s="13"/>
      <c r="G133" s="13"/>
      <c r="H133" s="13"/>
      <c r="I133" s="2"/>
      <c r="J133" s="2"/>
      <c r="K133" s="28">
        <v>25000</v>
      </c>
      <c r="M133" s="114">
        <f>SUMIF(DTRQ1!$A$12:$A$422,'DETAILED REPROT-Q4'!A133:A245,DTRQ1!$J$12:$J$422)</f>
        <v>0</v>
      </c>
      <c r="N133" s="114">
        <f>SUMIF('DTR-Q2'!$A$12:$A$931,'DETAILED REPROT-Q4'!A133,'DTR-Q2'!$J$12:$J$931)</f>
        <v>3506.7</v>
      </c>
      <c r="O133" s="114">
        <f>SUMIF('DTR3'!$A$12:$A$988,'DETAILED REPROT-Q4'!A133,'DTR3'!$K$12:$K$988)</f>
        <v>675</v>
      </c>
      <c r="P133" s="114">
        <f>SUMIF('DTR-Q4'!$G$9:$G$1082,'DETAILED REPROT-Q4'!A133,'DTR-Q4'!$Z$9:$Z$1082)</f>
        <v>150</v>
      </c>
      <c r="Q133" s="114">
        <f>SUMIF('DTR-Q5'!$S$7:$S$585,'DETAILED REPROT-Q4'!A133,'DTR-Q5'!$Z$7:$Z$585)</f>
        <v>524.25</v>
      </c>
      <c r="R133" s="114">
        <f>SUMIF('DTR-Q6'!$S$7:$S$653,'DETAILED REPROT-Q4'!A133,'DTR-Q6'!$Z$7:$Z$653)</f>
        <v>0</v>
      </c>
      <c r="S133" s="101">
        <f t="shared" si="25"/>
        <v>4855.95</v>
      </c>
      <c r="T133" s="101">
        <f t="shared" si="26"/>
        <v>20144.05</v>
      </c>
      <c r="U133" s="160">
        <f t="shared" si="27"/>
        <v>0.19423799999999999</v>
      </c>
      <c r="V133" s="101"/>
    </row>
    <row r="134" spans="1:22" ht="32.25" thickBot="1">
      <c r="A134" s="74" t="s">
        <v>284</v>
      </c>
      <c r="B134" s="2" t="s">
        <v>179</v>
      </c>
      <c r="C134" s="20">
        <v>0.15</v>
      </c>
      <c r="D134" s="118" t="s">
        <v>327</v>
      </c>
      <c r="E134" s="13" t="e">
        <f>#REF!*C134</f>
        <v>#REF!</v>
      </c>
      <c r="F134" s="13"/>
      <c r="G134" s="13"/>
      <c r="H134" s="13"/>
      <c r="I134" s="2"/>
      <c r="J134" s="2"/>
      <c r="K134" s="28">
        <v>11022</v>
      </c>
      <c r="M134" s="114">
        <f>SUMIF(DTRQ1!$A$12:$A$422,'DETAILED REPROT-Q4'!A134:A246,DTRQ1!$J$12:$J$422)</f>
        <v>1088.7299999999998</v>
      </c>
      <c r="N134" s="114">
        <f>SUMIF('DTR-Q2'!$A$12:$A$931,'DETAILED REPROT-Q4'!A134,'DTR-Q2'!$J$12:$J$931)</f>
        <v>2538.92</v>
      </c>
      <c r="O134" s="114">
        <f>SUMIF('DTR3'!$A$12:$A$988,'DETAILED REPROT-Q4'!A134,'DTR3'!$K$12:$K$988)</f>
        <v>2185.8999999999996</v>
      </c>
      <c r="P134" s="114">
        <f>SUMIF('DTR-Q4'!$G$9:$G$1082,'DETAILED REPROT-Q4'!A134,'DTR-Q4'!$Z$9:$Z$1082)</f>
        <v>808.15</v>
      </c>
      <c r="Q134" s="114">
        <f>SUMIF('DTR-Q5'!$S$7:$S$585,'DETAILED REPROT-Q4'!A134,'DTR-Q5'!$Z$7:$Z$585)</f>
        <v>359.03</v>
      </c>
      <c r="R134" s="114">
        <f>SUMIF('DTR-Q6'!$S$7:$S$653,'DETAILED REPROT-Q4'!A134,'DTR-Q6'!$Z$7:$Z$653)</f>
        <v>384.71</v>
      </c>
      <c r="S134" s="101">
        <f t="shared" si="25"/>
        <v>7365.4399999999987</v>
      </c>
      <c r="T134" s="101">
        <f t="shared" si="26"/>
        <v>3656.5600000000013</v>
      </c>
      <c r="U134" s="160">
        <f t="shared" si="27"/>
        <v>0.66824895663219008</v>
      </c>
      <c r="V134" s="101"/>
    </row>
    <row r="135" spans="1:22" ht="32.25" thickBot="1">
      <c r="A135" s="74" t="s">
        <v>285</v>
      </c>
      <c r="B135" s="2" t="s">
        <v>180</v>
      </c>
      <c r="C135" s="20">
        <v>0.3</v>
      </c>
      <c r="D135" s="118" t="s">
        <v>327</v>
      </c>
      <c r="E135" s="13" t="e">
        <f>#REF!*C135</f>
        <v>#REF!</v>
      </c>
      <c r="F135" s="13"/>
      <c r="G135" s="13"/>
      <c r="H135" s="13"/>
      <c r="I135" s="2"/>
      <c r="J135" s="2"/>
      <c r="K135" s="28">
        <v>8916.6</v>
      </c>
      <c r="M135" s="114">
        <f>SUMIF(DTRQ1!$A$12:$A$422,'DETAILED REPROT-Q4'!A135:A247,DTRQ1!$J$12:$J$422)</f>
        <v>0</v>
      </c>
      <c r="N135" s="114">
        <f>SUMIF('DTR-Q2'!$A$12:$A$931,'DETAILED REPROT-Q4'!A135,'DTR-Q2'!$J$12:$J$931)</f>
        <v>1394.1599999999999</v>
      </c>
      <c r="O135" s="114">
        <f>SUMIF('DTR3'!$A$12:$A$988,'DETAILED REPROT-Q4'!A135,'DTR3'!$K$12:$K$988)</f>
        <v>1372.1399999999999</v>
      </c>
      <c r="P135" s="114">
        <f>SUMIF('DTR-Q4'!$G$9:$G$1082,'DETAILED REPROT-Q4'!A135,'DTR-Q4'!$Z$9:$Z$1082)</f>
        <v>278.28000000000003</v>
      </c>
      <c r="Q135" s="114">
        <f>SUMIF('DTR-Q5'!$S$7:$S$585,'DETAILED REPROT-Q4'!A135,'DTR-Q5'!$Z$7:$Z$585)</f>
        <v>2381.0299999999997</v>
      </c>
      <c r="R135" s="114">
        <f>SUMIF('DTR-Q6'!$S$7:$S$653,'DETAILED REPROT-Q4'!A135,'DTR-Q6'!$Z$7:$Z$653)</f>
        <v>1141.2699999999998</v>
      </c>
      <c r="S135" s="101">
        <f t="shared" si="25"/>
        <v>6566.8799999999992</v>
      </c>
      <c r="T135" s="101">
        <f t="shared" si="26"/>
        <v>2349.7200000000012</v>
      </c>
      <c r="U135" s="160">
        <f t="shared" si="27"/>
        <v>0.73647802974227827</v>
      </c>
      <c r="V135" s="101"/>
    </row>
    <row r="136" spans="1:22" ht="32.25" thickBot="1">
      <c r="A136" s="74" t="s">
        <v>286</v>
      </c>
      <c r="B136" s="2" t="s">
        <v>195</v>
      </c>
      <c r="C136" s="20">
        <v>0.06</v>
      </c>
      <c r="D136" s="118" t="s">
        <v>327</v>
      </c>
      <c r="E136" s="13">
        <f>7080*18*0.06</f>
        <v>7646.4</v>
      </c>
      <c r="F136" s="13"/>
      <c r="G136" s="13"/>
      <c r="H136" s="13"/>
      <c r="I136" s="2"/>
      <c r="J136" s="2"/>
      <c r="K136" s="28">
        <v>7646.4</v>
      </c>
      <c r="M136" s="114">
        <f>SUMIF(DTRQ1!$A$12:$A$422,'DETAILED REPROT-Q4'!A136:A248,DTRQ1!$J$12:$J$422)</f>
        <v>0</v>
      </c>
      <c r="N136" s="114">
        <f>SUMIF('DTR-Q2'!$A$12:$A$931,'DETAILED REPROT-Q4'!A136,'DTR-Q2'!$J$12:$J$931)</f>
        <v>0</v>
      </c>
      <c r="O136" s="114">
        <f>SUMIF('DTR3'!$A$12:$A$988,'DETAILED REPROT-Q4'!A136,'DTR3'!$K$12:$K$988)</f>
        <v>0</v>
      </c>
      <c r="P136" s="114">
        <f>SUMIF('DTR-Q4'!$G$9:$G$1082,'DETAILED REPROT-Q4'!A136,'DTR-Q4'!$Z$9:$Z$1082)</f>
        <v>0</v>
      </c>
      <c r="Q136" s="114">
        <f>SUMIF('DTR-Q5'!$S$7:$S$585,'DETAILED REPROT-Q4'!A136,'DTR-Q5'!$Z$7:$Z$585)</f>
        <v>1787.3600000000001</v>
      </c>
      <c r="R136" s="114">
        <f>SUMIF('DTR-Q6'!$S$7:$S$653,'DETAILED REPROT-Q4'!A136,'DTR-Q6'!$Z$7:$Z$653)</f>
        <v>1281.7100000000003</v>
      </c>
      <c r="S136" s="101">
        <f t="shared" si="25"/>
        <v>3069.0700000000006</v>
      </c>
      <c r="T136" s="101">
        <f t="shared" si="26"/>
        <v>4577.329999999999</v>
      </c>
      <c r="U136" s="160">
        <f t="shared" si="27"/>
        <v>0.40137450303410765</v>
      </c>
      <c r="V136" s="101"/>
    </row>
    <row r="137" spans="1:22" ht="63.75" thickBot="1">
      <c r="A137" s="74" t="s">
        <v>287</v>
      </c>
      <c r="B137" s="2" t="s">
        <v>181</v>
      </c>
      <c r="C137" s="20">
        <v>0.15</v>
      </c>
      <c r="D137" s="118" t="s">
        <v>327</v>
      </c>
      <c r="E137" s="13">
        <f>6678.33*18*15%</f>
        <v>18031.490999999998</v>
      </c>
      <c r="F137" s="13"/>
      <c r="G137" s="13"/>
      <c r="H137" s="18"/>
      <c r="I137" s="2"/>
      <c r="J137" s="2"/>
      <c r="K137" s="28">
        <v>18031.490999999998</v>
      </c>
      <c r="M137" s="114">
        <f>SUMIF(DTRQ1!$A$12:$A$422,'DETAILED REPROT-Q4'!A137:A249,DTRQ1!$J$12:$J$422)</f>
        <v>883.31000000000006</v>
      </c>
      <c r="N137" s="114">
        <f>SUMIF('DTR-Q2'!$A$12:$A$931,'DETAILED REPROT-Q4'!A137,'DTR-Q2'!$J$12:$J$931)</f>
        <v>249.99</v>
      </c>
      <c r="O137" s="114">
        <f>SUMIF('DTR3'!$A$12:$A$988,'DETAILED REPROT-Q4'!A137,'DTR3'!$K$12:$K$988)</f>
        <v>0</v>
      </c>
      <c r="P137" s="114">
        <f>SUMIF('DTR-Q4'!$G$9:$G$1082,'DETAILED REPROT-Q4'!A137,'DTR-Q4'!$Z$9:$Z$1082)</f>
        <v>0</v>
      </c>
      <c r="Q137" s="114">
        <f>SUMIF('DTR-Q5'!$S$7:$S$585,'DETAILED REPROT-Q4'!A137,'DTR-Q5'!$Z$7:$Z$585)</f>
        <v>679.66</v>
      </c>
      <c r="R137" s="114">
        <f>SUMIF('DTR-Q6'!$S$7:$S$653,'DETAILED REPROT-Q4'!A137,'DTR-Q6'!$Z$7:$Z$653)</f>
        <v>0</v>
      </c>
      <c r="S137" s="101">
        <f t="shared" si="25"/>
        <v>1812.96</v>
      </c>
      <c r="T137" s="101">
        <f t="shared" si="26"/>
        <v>16218.530999999999</v>
      </c>
      <c r="U137" s="160">
        <f t="shared" si="27"/>
        <v>0.1005440981003734</v>
      </c>
      <c r="V137" s="101"/>
    </row>
    <row r="138" spans="1:22" ht="32.25" thickBot="1">
      <c r="A138" s="73"/>
      <c r="B138" s="61" t="s">
        <v>2</v>
      </c>
      <c r="C138" s="60"/>
      <c r="D138" s="60"/>
      <c r="E138" s="60" t="e">
        <f>E124+E109+E91+E90+E76+E37</f>
        <v>#REF!</v>
      </c>
      <c r="F138" s="60">
        <f>F124+F109+F91+F90+F76+F37</f>
        <v>252212.67499999999</v>
      </c>
      <c r="G138" s="60">
        <f>G124+G109+G91+G90+G76+G37</f>
        <v>151003.04999999999</v>
      </c>
      <c r="H138" s="60">
        <f>H124+H109+H91+H90+H76+H37</f>
        <v>282369.34999999998</v>
      </c>
      <c r="I138" s="61"/>
      <c r="J138" s="61"/>
      <c r="K138" s="48">
        <v>1401869.1546499999</v>
      </c>
      <c r="M138" s="110">
        <f t="shared" ref="M138:R138" si="34">M124+M109+M91+M90+M76+M37</f>
        <v>36912.759999999995</v>
      </c>
      <c r="N138" s="110">
        <f t="shared" si="34"/>
        <v>175538.31999999995</v>
      </c>
      <c r="O138" s="110">
        <f t="shared" si="34"/>
        <v>162163.46000000002</v>
      </c>
      <c r="P138" s="110">
        <f t="shared" si="34"/>
        <v>146400.59</v>
      </c>
      <c r="Q138" s="110">
        <f t="shared" si="34"/>
        <v>70707.87</v>
      </c>
      <c r="R138" s="110">
        <f t="shared" si="34"/>
        <v>82003.72</v>
      </c>
      <c r="S138" s="110">
        <f t="shared" si="25"/>
        <v>673726.72</v>
      </c>
      <c r="T138" s="110">
        <f t="shared" si="26"/>
        <v>728142.43464999995</v>
      </c>
      <c r="U138" s="172">
        <f t="shared" si="27"/>
        <v>0.48059172838295822</v>
      </c>
      <c r="V138" s="110"/>
    </row>
    <row r="139" spans="1:22" ht="16.5" thickBot="1">
      <c r="A139" s="74" t="s">
        <v>288</v>
      </c>
      <c r="B139" s="8" t="s">
        <v>150</v>
      </c>
      <c r="C139" s="27">
        <f>C138*7%</f>
        <v>0</v>
      </c>
      <c r="D139" s="27" t="s">
        <v>332</v>
      </c>
      <c r="E139" s="17"/>
      <c r="F139" s="17"/>
      <c r="G139" s="17"/>
      <c r="H139" s="17"/>
      <c r="I139" s="8"/>
      <c r="J139" s="8"/>
      <c r="K139" s="28">
        <v>98130.84082550001</v>
      </c>
      <c r="M139" s="114">
        <f>SUMIF(DTRQ1!$A$12:$A$422,'DETAILED REPROT-Q4'!A139:A251,DTRQ1!$J$12:$J$422)</f>
        <v>2609.59</v>
      </c>
      <c r="N139" s="114">
        <f>SUMIF('DTR-Q2'!$A$12:$A$931,'DETAILED REPROT-Q4'!A139,'DTR-Q2'!$J$12:$J$931)</f>
        <v>12246.49</v>
      </c>
      <c r="O139" s="114">
        <f>SUMIF('DTR3'!$A$12:$A$988,'DETAILED REPROT-Q4'!A139,'DTR3'!$K$12:$K$988)</f>
        <v>11301.14</v>
      </c>
      <c r="P139" s="114">
        <f>SUMIF('DTR-Q4'!$G$9:$G$1082,'DETAILED REPROT-Q4'!A139,'DTR-Q4'!$Z$9:$Z$1082)</f>
        <v>10299.959999999999</v>
      </c>
      <c r="Q139" s="114">
        <f>SUMIF('DTR-Q5'!$S$7:$S$585,'DETAILED REPROT-Q4'!A139,'DTR-Q5'!$Z$7:$Z$585)</f>
        <v>4836.51</v>
      </c>
      <c r="R139" s="114">
        <f>SUMIF('DTR-Q6'!$S$7:$S$653,'DETAILED REPROT-Q4'!A139,'DTR-Q6'!$Z$7:$Z$653)</f>
        <v>5759.0456994168253</v>
      </c>
      <c r="S139" s="97">
        <f t="shared" si="25"/>
        <v>47052.735699416829</v>
      </c>
      <c r="T139" s="97">
        <f t="shared" si="26"/>
        <v>51078.105126083181</v>
      </c>
      <c r="U139" s="160">
        <f t="shared" si="27"/>
        <v>0.47948978428797723</v>
      </c>
      <c r="V139" s="97"/>
    </row>
    <row r="140" spans="1:22" ht="16.5" thickBot="1">
      <c r="A140" s="73"/>
      <c r="B140" s="8"/>
      <c r="C140" s="17"/>
      <c r="D140" s="17"/>
      <c r="E140" s="17"/>
      <c r="F140" s="17"/>
      <c r="G140" s="17"/>
      <c r="H140" s="17"/>
      <c r="I140" s="8"/>
      <c r="J140" s="8"/>
      <c r="K140" s="28">
        <v>0</v>
      </c>
      <c r="M140" s="97"/>
      <c r="N140" s="97"/>
      <c r="O140" s="97"/>
      <c r="P140" s="97"/>
      <c r="Q140" s="97"/>
      <c r="R140" s="97"/>
      <c r="S140" s="97"/>
      <c r="T140" s="97"/>
      <c r="U140" s="160"/>
      <c r="V140" s="97"/>
    </row>
    <row r="141" spans="1:22" ht="41.25" thickBot="1">
      <c r="A141" s="73"/>
      <c r="B141" s="64" t="s">
        <v>154</v>
      </c>
      <c r="C141" s="62">
        <f>C138+C139</f>
        <v>0</v>
      </c>
      <c r="D141" s="62"/>
      <c r="E141" s="63"/>
      <c r="F141" s="63"/>
      <c r="G141" s="63"/>
      <c r="H141" s="63"/>
      <c r="I141" s="64"/>
      <c r="J141" s="64"/>
      <c r="K141" s="65">
        <v>1499999.9954754999</v>
      </c>
      <c r="M141" s="112">
        <f t="shared" ref="M141:R141" si="35">M139+M138</f>
        <v>39522.349999999991</v>
      </c>
      <c r="N141" s="112">
        <f t="shared" si="35"/>
        <v>187784.80999999994</v>
      </c>
      <c r="O141" s="112">
        <f t="shared" si="35"/>
        <v>173464.60000000003</v>
      </c>
      <c r="P141" s="112">
        <f t="shared" si="35"/>
        <v>156700.54999999999</v>
      </c>
      <c r="Q141" s="112">
        <f t="shared" si="35"/>
        <v>75544.37999999999</v>
      </c>
      <c r="R141" s="112">
        <f t="shared" si="35"/>
        <v>87762.765699416821</v>
      </c>
      <c r="S141" s="111">
        <f t="shared" si="25"/>
        <v>720779.45569941681</v>
      </c>
      <c r="T141" s="111">
        <f t="shared" si="26"/>
        <v>779220.53977608308</v>
      </c>
      <c r="U141" s="173">
        <f>S141/K141</f>
        <v>0.48051963858235197</v>
      </c>
      <c r="V141" s="111"/>
    </row>
    <row r="142" spans="1:22">
      <c r="C142" s="21"/>
      <c r="D142" s="21"/>
      <c r="E142" s="11"/>
      <c r="F142" s="11"/>
      <c r="G142" s="11"/>
      <c r="N142" s="11"/>
      <c r="Q142" s="21"/>
      <c r="R142" s="21"/>
    </row>
    <row r="143" spans="1:22">
      <c r="E143" s="26"/>
      <c r="F143" s="26"/>
      <c r="M143" s="11"/>
      <c r="O143" s="11"/>
      <c r="T143" s="11"/>
    </row>
    <row r="144" spans="1:22">
      <c r="M144" s="176"/>
    </row>
    <row r="164" spans="12:12">
      <c r="L164" s="87"/>
    </row>
  </sheetData>
  <autoFilter ref="A16:W141" xr:uid="{00000000-0009-0000-0000-000000000000}"/>
  <mergeCells count="1">
    <mergeCell ref="M14:P14"/>
  </mergeCells>
  <dataValidations count="14">
    <dataValidation type="textLength" errorStyle="information" allowBlank="1" showInputMessage="1" error="XLBVal:2=0_x000d__x000a_" sqref="M85:R85 M66:R67 M92:R108 M110:R123 M125:R137 M21:R22 M24:R25 M27:R32 M35:R36 M41:R42 M44:R45 M47:R48 M50:R52 M55:R56 M58:R59 M87:R89 M69:R70 M19:R19 M82:R83 M79:R80 M72:R75 M61:R64 M139:R139" xr:uid="{00000000-0002-0000-0000-000000000000}">
      <formula1>0</formula1>
      <formula2>300</formula2>
    </dataValidation>
    <dataValidation allowBlank="1" showInputMessage="1" showErrorMessage="1" promptTitle="Project Code Funder" prompt="Usually allocated by the funder as part of the grant contract._x000a_During the application process this row can usually be grouped and collapsed._x000a_Please do NOT delete the row!" sqref="C5:D5" xr:uid="{00000000-0002-0000-0000-000001000000}"/>
    <dataValidation allowBlank="1" showInputMessage="1" showErrorMessage="1" promptTitle="Fund Code International Alert" prompt="Please fill in the allocated Fund Code after the project has been funded._x000a_During the application process this row can be grouped and collapsed._x000a_Please do NOT delete the row!" sqref="C6:D6" xr:uid="{00000000-0002-0000-0000-000002000000}"/>
    <dataValidation allowBlank="1" showInputMessage="1" showErrorMessage="1" promptTitle="International Alert Programme" prompt="Please fill in the name of the International Alert Programme that carries out the project._x000a_Please do NOT delete the row!" sqref="C7:D7" xr:uid="{00000000-0002-0000-0000-000003000000}"/>
    <dataValidation allowBlank="1" showInputMessage="1" showErrorMessage="1" promptTitle="Programme Manager" prompt="Name of the International Alert Programme manager that implements this project._x000a_Please do NOT delete this row!" sqref="C8:D8" xr:uid="{00000000-0002-0000-0000-000004000000}"/>
    <dataValidation allowBlank="1" showInputMessage="1" showErrorMessage="1" promptTitle="Project Title" prompt="Name of the International Alert Project that is proposed to the donor with this budget._x000a_Please do NOT delete this row!" sqref="C10:D10" xr:uid="{00000000-0002-0000-0000-000005000000}"/>
    <dataValidation type="decimal" allowBlank="1" showInputMessage="1" showErrorMessage="1" promptTitle="General Overheads Contribution" prompt="Please fill in the General contribution to overheads as a percentage of the total budget -before overheads-_x000a_Do NOT delete this row!" sqref="C13:D13" xr:uid="{00000000-0002-0000-0000-000006000000}">
      <formula1>0.05</formula1>
      <formula2>0.4</formula2>
    </dataValidation>
    <dataValidation allowBlank="1" showInputMessage="1" showErrorMessage="1" promptTitle="Base Currency" prompt="Please do not change Base Currency_x000a_Do NOT delete this row!" sqref="C2:D3" xr:uid="{00000000-0002-0000-0000-000007000000}"/>
    <dataValidation allowBlank="1" showInputMessage="1" showErrorMessage="1" promptTitle="Exchange Rate, Source and Policy" prompt="IA uses reliable sources, such as oanda.com and xe.com to base its exchange rates on._x000a_IA also takes into account factors such as the volatility of the currency exchange rate (against the GBP) over past periods with a duration comparable to the proposed." sqref="B4" xr:uid="{00000000-0002-0000-0000-000008000000}"/>
    <dataValidation allowBlank="1" showInputMessage="1" showErrorMessage="1" promptTitle="Currency Rate (from table)" prompt="Please do not change the rate here!_x000a__x000a_Please fill in the countervalue of GBP 1 with an accuracy of up to 5 digits in the table to the extreme right (Starting at column IO)_x000a__x000a_Please do not delete this row or any row below row 30!" sqref="C4:D4" xr:uid="{00000000-0002-0000-0000-000009000000}"/>
    <dataValidation allowBlank="1" showInputMessage="1" showErrorMessage="1" promptTitle="Budget Holder" prompt="Name of the International Alert Budget Holder that holds the budget for this project._x000a_Please do NOT delete this row!" sqref="C9:D9" xr:uid="{00000000-0002-0000-0000-00000A000000}"/>
    <dataValidation allowBlank="1" showInputMessage="1" showErrorMessage="1" promptTitle="Name Donor" prompt="Please fill in the name of the donor/funder._x000a_Do NOT delete this row or any other rows above row 30!" sqref="C1:D1" xr:uid="{00000000-0002-0000-0000-00000B000000}"/>
    <dataValidation operator="greaterThan" allowBlank="1" showInputMessage="1" showErrorMessage="1" promptTitle="Project Period" prompt="Please enter the project's implementation period into this cell._x000a_Please use the format MMM-YY-MMM-YY_x000a_Do NOT delete this row!" sqref="C11:D11" xr:uid="{00000000-0002-0000-0000-00000C000000}"/>
    <dataValidation allowBlank="1" showErrorMessage="1" sqref="B123 B125:B137" xr:uid="{00000000-0002-0000-0000-00000D000000}"/>
  </dataValidations>
  <pageMargins left="0.7" right="0.7" top="0.75" bottom="0.75" header="0.3" footer="0.3"/>
  <pageSetup scale="74" orientation="landscape" r:id="rId1"/>
  <rowBreaks count="1" manualBreakCount="1">
    <brk id="76" max="16383"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8336"/>
  <sheetViews>
    <sheetView topLeftCell="F977" workbookViewId="0">
      <selection activeCell="K993" sqref="K993"/>
    </sheetView>
  </sheetViews>
  <sheetFormatPr defaultRowHeight="15" outlineLevelRow="1"/>
  <cols>
    <col min="1" max="1" width="16.85546875" bestFit="1" customWidth="1"/>
    <col min="2" max="2" width="18.140625" bestFit="1" customWidth="1"/>
    <col min="3" max="3" width="17" bestFit="1" customWidth="1"/>
    <col min="4" max="4" width="35.140625" bestFit="1" customWidth="1"/>
    <col min="5" max="5" width="52.85546875" bestFit="1" customWidth="1"/>
    <col min="6" max="6" width="11.140625" style="129" bestFit="1" customWidth="1"/>
    <col min="7" max="7" width="19.28515625" bestFit="1" customWidth="1"/>
    <col min="8" max="8" width="20" bestFit="1" customWidth="1"/>
    <col min="9" max="9" width="14.7109375" bestFit="1" customWidth="1"/>
    <col min="10" max="11" width="11.28515625" bestFit="1" customWidth="1"/>
    <col min="12" max="12" width="14" bestFit="1" customWidth="1"/>
    <col min="13" max="13" width="37.7109375" bestFit="1" customWidth="1"/>
    <col min="14" max="14" width="19.7109375" bestFit="1" customWidth="1"/>
    <col min="15" max="15" width="19.5703125" bestFit="1" customWidth="1"/>
    <col min="16" max="16" width="13.85546875" bestFit="1" customWidth="1"/>
    <col min="17" max="17" width="13.42578125" bestFit="1" customWidth="1"/>
    <col min="18" max="18" width="10.140625" bestFit="1" customWidth="1"/>
    <col min="19" max="19" width="12.85546875" bestFit="1" customWidth="1"/>
    <col min="20" max="20" width="18.28515625" bestFit="1" customWidth="1"/>
  </cols>
  <sheetData>
    <row r="1" spans="1:20" ht="15.75" thickBot="1">
      <c r="A1" s="125"/>
      <c r="B1" s="126"/>
      <c r="C1" s="126"/>
      <c r="D1" s="177"/>
    </row>
    <row r="2" spans="1:20" ht="15.75" thickBot="1">
      <c r="A2" s="130"/>
      <c r="B2" s="178" t="s">
        <v>344</v>
      </c>
      <c r="C2" s="132" t="s">
        <v>345</v>
      </c>
      <c r="D2" s="179"/>
    </row>
    <row r="3" spans="1:20" ht="15.75" thickBot="1">
      <c r="A3" s="130"/>
      <c r="B3" s="178" t="s">
        <v>346</v>
      </c>
      <c r="C3" s="203" t="s">
        <v>1566</v>
      </c>
      <c r="D3" s="179"/>
    </row>
    <row r="4" spans="1:20" ht="15.75" thickBot="1">
      <c r="A4" s="130"/>
      <c r="B4" s="178" t="s">
        <v>348</v>
      </c>
      <c r="C4" s="203" t="s">
        <v>1567</v>
      </c>
      <c r="D4" s="179"/>
    </row>
    <row r="5" spans="1:20" ht="15.75" thickBot="1">
      <c r="A5" s="130"/>
      <c r="B5" s="178" t="s">
        <v>350</v>
      </c>
      <c r="C5" s="204">
        <v>4000</v>
      </c>
      <c r="D5" s="179"/>
    </row>
    <row r="6" spans="1:20" ht="15.75" thickBot="1">
      <c r="A6" s="130"/>
      <c r="B6" s="178" t="s">
        <v>351</v>
      </c>
      <c r="C6" s="132">
        <v>9999</v>
      </c>
      <c r="D6" s="179"/>
    </row>
    <row r="7" spans="1:20" ht="15.75" thickBot="1">
      <c r="A7" s="130"/>
      <c r="B7" s="178" t="s">
        <v>352</v>
      </c>
      <c r="C7" s="203" t="s">
        <v>309</v>
      </c>
      <c r="D7" s="179"/>
    </row>
    <row r="8" spans="1:20" ht="15.75" thickBot="1">
      <c r="A8" s="135"/>
      <c r="B8" s="136"/>
      <c r="C8" s="136"/>
      <c r="D8" s="180"/>
    </row>
    <row r="10" spans="1:20">
      <c r="A10" s="181" t="e">
        <f ca="1">[1]!AG_DTRT("0,AP21NR,1",$C$5,$C$6,$C$3,$C$4,$C$7,$C$7)</f>
        <v>#NAME?</v>
      </c>
      <c r="B10" s="181"/>
      <c r="C10" s="181"/>
      <c r="D10" s="181"/>
      <c r="E10" s="182"/>
      <c r="F10" s="183"/>
      <c r="G10" s="184"/>
      <c r="H10" s="181"/>
      <c r="I10" s="181"/>
      <c r="J10" s="205"/>
      <c r="K10" s="205"/>
      <c r="L10" s="181"/>
      <c r="M10" s="182"/>
      <c r="N10" s="181"/>
      <c r="O10" s="185"/>
      <c r="P10" s="185"/>
      <c r="Q10" s="181"/>
      <c r="R10" s="181"/>
      <c r="S10" s="181"/>
      <c r="T10" s="181"/>
    </row>
    <row r="11" spans="1:20" s="147" customFormat="1" ht="74.25" customHeight="1">
      <c r="A11" s="206" t="s">
        <v>353</v>
      </c>
      <c r="B11" s="206" t="s">
        <v>354</v>
      </c>
      <c r="C11" s="206" t="s">
        <v>355</v>
      </c>
      <c r="D11" s="206" t="s">
        <v>356</v>
      </c>
      <c r="E11" s="206" t="s">
        <v>357</v>
      </c>
      <c r="F11" s="207" t="s">
        <v>358</v>
      </c>
      <c r="G11" s="208" t="s">
        <v>359</v>
      </c>
      <c r="H11" s="206" t="s">
        <v>360</v>
      </c>
      <c r="I11" s="206" t="s">
        <v>361</v>
      </c>
      <c r="J11" s="209" t="s">
        <v>1568</v>
      </c>
      <c r="K11" s="209" t="s">
        <v>292</v>
      </c>
      <c r="L11" s="206" t="s">
        <v>363</v>
      </c>
      <c r="M11" s="206" t="s">
        <v>1569</v>
      </c>
      <c r="N11" s="206" t="s">
        <v>364</v>
      </c>
      <c r="O11" s="210" t="s">
        <v>365</v>
      </c>
      <c r="P11" s="206" t="s">
        <v>366</v>
      </c>
      <c r="Q11" s="206" t="s">
        <v>367</v>
      </c>
      <c r="R11" s="206" t="s">
        <v>368</v>
      </c>
      <c r="S11" s="206" t="s">
        <v>369</v>
      </c>
      <c r="T11" s="206" t="s">
        <v>370</v>
      </c>
    </row>
    <row r="12" spans="1:20" outlineLevel="1">
      <c r="A12" s="199" t="s">
        <v>200</v>
      </c>
      <c r="B12" s="181" t="s">
        <v>1566</v>
      </c>
      <c r="C12" s="190">
        <v>43675</v>
      </c>
      <c r="D12" s="181" t="s">
        <v>1570</v>
      </c>
      <c r="E12" s="182" t="s">
        <v>1571</v>
      </c>
      <c r="F12" s="183">
        <v>76665</v>
      </c>
      <c r="G12" s="184">
        <v>55.12</v>
      </c>
      <c r="H12" s="181">
        <v>70</v>
      </c>
      <c r="I12" s="181" t="s">
        <v>292</v>
      </c>
      <c r="J12" s="191">
        <v>61.64</v>
      </c>
      <c r="K12" s="191">
        <v>70</v>
      </c>
      <c r="L12" s="199" t="s">
        <v>1034</v>
      </c>
      <c r="M12" s="211" t="s">
        <v>1572</v>
      </c>
      <c r="N12" s="185" t="s">
        <v>396</v>
      </c>
      <c r="O12" s="185" t="s">
        <v>309</v>
      </c>
      <c r="P12" s="185"/>
      <c r="Q12" s="185"/>
      <c r="R12" s="185" t="s">
        <v>381</v>
      </c>
      <c r="S12" s="185" t="s">
        <v>295</v>
      </c>
      <c r="T12" s="185" t="s">
        <v>379</v>
      </c>
    </row>
    <row r="13" spans="1:20" outlineLevel="1">
      <c r="A13" s="199" t="s">
        <v>200</v>
      </c>
      <c r="B13" s="181" t="s">
        <v>1566</v>
      </c>
      <c r="C13" s="190">
        <v>43675</v>
      </c>
      <c r="D13" s="181" t="s">
        <v>1570</v>
      </c>
      <c r="E13" s="182" t="s">
        <v>1573</v>
      </c>
      <c r="F13" s="183">
        <v>76665</v>
      </c>
      <c r="G13" s="184">
        <v>173.24</v>
      </c>
      <c r="H13" s="181">
        <v>220</v>
      </c>
      <c r="I13" s="181" t="s">
        <v>292</v>
      </c>
      <c r="J13" s="191">
        <v>193.72</v>
      </c>
      <c r="K13" s="191">
        <v>220</v>
      </c>
      <c r="L13" s="199" t="s">
        <v>592</v>
      </c>
      <c r="M13" s="211" t="s">
        <v>1574</v>
      </c>
      <c r="N13" s="185" t="s">
        <v>396</v>
      </c>
      <c r="O13" s="185" t="s">
        <v>309</v>
      </c>
      <c r="P13" s="185"/>
      <c r="Q13" s="185"/>
      <c r="R13" s="185" t="s">
        <v>381</v>
      </c>
      <c r="S13" s="185" t="s">
        <v>295</v>
      </c>
      <c r="T13" s="185" t="s">
        <v>379</v>
      </c>
    </row>
    <row r="14" spans="1:20" outlineLevel="1">
      <c r="A14" s="199" t="s">
        <v>200</v>
      </c>
      <c r="B14" s="181" t="s">
        <v>1575</v>
      </c>
      <c r="C14" s="190">
        <v>43682</v>
      </c>
      <c r="D14" s="181" t="s">
        <v>1576</v>
      </c>
      <c r="E14" s="182" t="s">
        <v>1577</v>
      </c>
      <c r="F14" s="183">
        <v>76932</v>
      </c>
      <c r="G14" s="184">
        <v>40.92</v>
      </c>
      <c r="H14" s="181">
        <v>50</v>
      </c>
      <c r="I14" s="181" t="s">
        <v>292</v>
      </c>
      <c r="J14" s="191">
        <v>44.65</v>
      </c>
      <c r="K14" s="191">
        <v>50</v>
      </c>
      <c r="L14" s="199" t="s">
        <v>592</v>
      </c>
      <c r="M14" s="211" t="s">
        <v>1574</v>
      </c>
      <c r="N14" s="185" t="s">
        <v>396</v>
      </c>
      <c r="O14" s="185" t="s">
        <v>309</v>
      </c>
      <c r="P14" s="185"/>
      <c r="Q14" s="185"/>
      <c r="R14" s="185" t="s">
        <v>381</v>
      </c>
      <c r="S14" s="185" t="s">
        <v>295</v>
      </c>
      <c r="T14" s="185" t="s">
        <v>379</v>
      </c>
    </row>
    <row r="15" spans="1:20" outlineLevel="1">
      <c r="A15" s="199" t="s">
        <v>200</v>
      </c>
      <c r="B15" s="181" t="s">
        <v>1575</v>
      </c>
      <c r="C15" s="190">
        <v>43682</v>
      </c>
      <c r="D15" s="181" t="s">
        <v>1578</v>
      </c>
      <c r="E15" s="182" t="s">
        <v>1579</v>
      </c>
      <c r="F15" s="183">
        <v>76932</v>
      </c>
      <c r="G15" s="184">
        <v>2455.41</v>
      </c>
      <c r="H15" s="181">
        <v>3000</v>
      </c>
      <c r="I15" s="181" t="s">
        <v>292</v>
      </c>
      <c r="J15" s="191">
        <v>2679.02</v>
      </c>
      <c r="K15" s="191">
        <v>3000</v>
      </c>
      <c r="L15" s="199" t="s">
        <v>640</v>
      </c>
      <c r="M15" s="211" t="s">
        <v>1580</v>
      </c>
      <c r="N15" s="185" t="s">
        <v>396</v>
      </c>
      <c r="O15" s="185" t="s">
        <v>309</v>
      </c>
      <c r="P15" s="185"/>
      <c r="Q15" s="185"/>
      <c r="R15" s="185" t="s">
        <v>381</v>
      </c>
      <c r="S15" s="185" t="s">
        <v>295</v>
      </c>
      <c r="T15" s="185" t="s">
        <v>379</v>
      </c>
    </row>
    <row r="16" spans="1:20" outlineLevel="1">
      <c r="A16" s="199" t="s">
        <v>200</v>
      </c>
      <c r="B16" s="181" t="s">
        <v>1567</v>
      </c>
      <c r="C16" s="190">
        <v>43720</v>
      </c>
      <c r="D16" s="181" t="s">
        <v>1581</v>
      </c>
      <c r="E16" s="182" t="s">
        <v>1582</v>
      </c>
      <c r="F16" s="183">
        <v>77221</v>
      </c>
      <c r="G16" s="184">
        <v>445.82</v>
      </c>
      <c r="H16" s="181">
        <v>542.20000000000005</v>
      </c>
      <c r="I16" s="181" t="s">
        <v>292</v>
      </c>
      <c r="J16" s="191">
        <v>492.45</v>
      </c>
      <c r="K16" s="191">
        <v>542.20000000000005</v>
      </c>
      <c r="L16" s="199" t="s">
        <v>640</v>
      </c>
      <c r="M16" s="211" t="s">
        <v>1580</v>
      </c>
      <c r="N16" s="185" t="s">
        <v>396</v>
      </c>
      <c r="O16" s="185" t="s">
        <v>309</v>
      </c>
      <c r="P16" s="185"/>
      <c r="Q16" s="185"/>
      <c r="R16" s="185" t="s">
        <v>381</v>
      </c>
      <c r="S16" s="185" t="s">
        <v>295</v>
      </c>
      <c r="T16" s="185" t="s">
        <v>379</v>
      </c>
    </row>
    <row r="17" spans="1:20" outlineLevel="1">
      <c r="A17" s="199" t="s">
        <v>200</v>
      </c>
      <c r="B17" s="181" t="s">
        <v>1567</v>
      </c>
      <c r="C17" s="190">
        <v>43720</v>
      </c>
      <c r="D17" s="181" t="s">
        <v>1583</v>
      </c>
      <c r="E17" s="182" t="s">
        <v>1584</v>
      </c>
      <c r="F17" s="183">
        <v>77221</v>
      </c>
      <c r="G17" s="184">
        <v>575.57000000000005</v>
      </c>
      <c r="H17" s="181">
        <v>700</v>
      </c>
      <c r="I17" s="181" t="s">
        <v>292</v>
      </c>
      <c r="J17" s="191">
        <v>635.77</v>
      </c>
      <c r="K17" s="191">
        <v>700</v>
      </c>
      <c r="L17" s="199" t="s">
        <v>640</v>
      </c>
      <c r="M17" s="211" t="s">
        <v>1580</v>
      </c>
      <c r="N17" s="185" t="s">
        <v>396</v>
      </c>
      <c r="O17" s="185" t="s">
        <v>309</v>
      </c>
      <c r="P17" s="185"/>
      <c r="Q17" s="185"/>
      <c r="R17" s="185" t="s">
        <v>381</v>
      </c>
      <c r="S17" s="185" t="s">
        <v>295</v>
      </c>
      <c r="T17" s="185" t="s">
        <v>379</v>
      </c>
    </row>
    <row r="18" spans="1:20">
      <c r="A18" s="212" t="s">
        <v>378</v>
      </c>
      <c r="B18" s="212"/>
      <c r="C18" s="212"/>
      <c r="D18" s="212"/>
      <c r="E18" s="213"/>
      <c r="F18" s="214"/>
      <c r="G18" s="215">
        <f>SUM(G12:G17)</f>
        <v>3746.0800000000004</v>
      </c>
      <c r="H18" s="216">
        <f>SUM(H12:H17)</f>
        <v>4582.2</v>
      </c>
      <c r="I18" s="212"/>
      <c r="J18" s="216">
        <f>SUM(J12:J17)</f>
        <v>4107.25</v>
      </c>
      <c r="K18" s="216">
        <f>SUM(K12:K17)</f>
        <v>4582.2</v>
      </c>
      <c r="L18" s="212"/>
      <c r="M18" s="213"/>
      <c r="N18" s="212"/>
      <c r="O18" s="212"/>
      <c r="P18" s="212"/>
      <c r="Q18" s="212"/>
      <c r="R18" s="212"/>
      <c r="S18" s="212"/>
      <c r="T18" s="212"/>
    </row>
    <row r="19" spans="1:20" outlineLevel="1">
      <c r="A19" s="199" t="s">
        <v>201</v>
      </c>
      <c r="B19" s="181" t="s">
        <v>1575</v>
      </c>
      <c r="C19" s="190">
        <v>43682</v>
      </c>
      <c r="D19" s="181" t="s">
        <v>1578</v>
      </c>
      <c r="E19" s="182" t="s">
        <v>1579</v>
      </c>
      <c r="F19" s="183">
        <v>76932</v>
      </c>
      <c r="G19" s="184">
        <v>401.05</v>
      </c>
      <c r="H19" s="181">
        <v>490</v>
      </c>
      <c r="I19" s="181" t="s">
        <v>292</v>
      </c>
      <c r="J19" s="191">
        <v>437.57</v>
      </c>
      <c r="K19" s="191">
        <v>490</v>
      </c>
      <c r="L19" s="199" t="s">
        <v>640</v>
      </c>
      <c r="M19" s="211" t="s">
        <v>1580</v>
      </c>
      <c r="N19" s="185" t="s">
        <v>396</v>
      </c>
      <c r="O19" s="185" t="s">
        <v>309</v>
      </c>
      <c r="P19" s="185"/>
      <c r="Q19" s="185"/>
      <c r="R19" s="185" t="s">
        <v>381</v>
      </c>
      <c r="S19" s="185" t="s">
        <v>295</v>
      </c>
      <c r="T19" s="185" t="s">
        <v>379</v>
      </c>
    </row>
    <row r="20" spans="1:20" outlineLevel="1">
      <c r="A20" s="199" t="s">
        <v>201</v>
      </c>
      <c r="B20" s="181" t="s">
        <v>1567</v>
      </c>
      <c r="C20" s="190">
        <v>43720</v>
      </c>
      <c r="D20" s="181" t="s">
        <v>1583</v>
      </c>
      <c r="E20" s="182" t="s">
        <v>1584</v>
      </c>
      <c r="F20" s="183">
        <v>77221</v>
      </c>
      <c r="G20" s="184">
        <v>64.180000000000007</v>
      </c>
      <c r="H20" s="181">
        <v>78.05</v>
      </c>
      <c r="I20" s="181" t="s">
        <v>292</v>
      </c>
      <c r="J20" s="191">
        <v>70.89</v>
      </c>
      <c r="K20" s="191">
        <v>78.05</v>
      </c>
      <c r="L20" s="199" t="s">
        <v>640</v>
      </c>
      <c r="M20" s="211" t="s">
        <v>1580</v>
      </c>
      <c r="N20" s="185" t="s">
        <v>396</v>
      </c>
      <c r="O20" s="185" t="s">
        <v>309</v>
      </c>
      <c r="P20" s="185"/>
      <c r="Q20" s="185"/>
      <c r="R20" s="185" t="s">
        <v>381</v>
      </c>
      <c r="S20" s="185" t="s">
        <v>295</v>
      </c>
      <c r="T20" s="185" t="s">
        <v>379</v>
      </c>
    </row>
    <row r="21" spans="1:20" outlineLevel="1">
      <c r="A21" s="199" t="s">
        <v>201</v>
      </c>
      <c r="B21" s="181" t="s">
        <v>1567</v>
      </c>
      <c r="C21" s="190">
        <v>43720</v>
      </c>
      <c r="D21" s="181" t="s">
        <v>1581</v>
      </c>
      <c r="E21" s="182" t="s">
        <v>1582</v>
      </c>
      <c r="F21" s="183">
        <v>77221</v>
      </c>
      <c r="G21" s="184">
        <v>60.44</v>
      </c>
      <c r="H21" s="181">
        <v>73.5</v>
      </c>
      <c r="I21" s="181" t="s">
        <v>292</v>
      </c>
      <c r="J21" s="191">
        <v>66.760000000000005</v>
      </c>
      <c r="K21" s="191">
        <v>73.510000000000005</v>
      </c>
      <c r="L21" s="199" t="s">
        <v>640</v>
      </c>
      <c r="M21" s="211" t="s">
        <v>1580</v>
      </c>
      <c r="N21" s="185" t="s">
        <v>396</v>
      </c>
      <c r="O21" s="185" t="s">
        <v>309</v>
      </c>
      <c r="P21" s="185"/>
      <c r="Q21" s="185"/>
      <c r="R21" s="185" t="s">
        <v>381</v>
      </c>
      <c r="S21" s="185" t="s">
        <v>295</v>
      </c>
      <c r="T21" s="185" t="s">
        <v>379</v>
      </c>
    </row>
    <row r="22" spans="1:20" outlineLevel="1">
      <c r="A22" s="199" t="s">
        <v>201</v>
      </c>
      <c r="B22" s="181" t="s">
        <v>1567</v>
      </c>
      <c r="C22" s="190">
        <v>43738</v>
      </c>
      <c r="D22" s="181" t="s">
        <v>1585</v>
      </c>
      <c r="E22" s="182" t="s">
        <v>1586</v>
      </c>
      <c r="F22" s="183">
        <v>77216</v>
      </c>
      <c r="G22" s="184">
        <v>359.11</v>
      </c>
      <c r="H22" s="181">
        <v>420</v>
      </c>
      <c r="I22" s="181" t="s">
        <v>292</v>
      </c>
      <c r="J22" s="191">
        <v>381.46</v>
      </c>
      <c r="K22" s="191">
        <v>420</v>
      </c>
      <c r="L22" s="199" t="s">
        <v>752</v>
      </c>
      <c r="M22" s="211" t="s">
        <v>1587</v>
      </c>
      <c r="N22" s="185" t="s">
        <v>396</v>
      </c>
      <c r="O22" s="185" t="s">
        <v>309</v>
      </c>
      <c r="P22" s="185"/>
      <c r="Q22" s="185" t="s">
        <v>743</v>
      </c>
      <c r="R22" s="185" t="s">
        <v>381</v>
      </c>
      <c r="S22" s="185" t="s">
        <v>295</v>
      </c>
      <c r="T22" s="185" t="s">
        <v>379</v>
      </c>
    </row>
    <row r="23" spans="1:20" outlineLevel="1">
      <c r="A23" s="199" t="s">
        <v>201</v>
      </c>
      <c r="B23" s="181" t="s">
        <v>1567</v>
      </c>
      <c r="C23" s="190">
        <v>43738</v>
      </c>
      <c r="D23" s="181" t="s">
        <v>1585</v>
      </c>
      <c r="E23" s="182" t="s">
        <v>1588</v>
      </c>
      <c r="F23" s="183">
        <v>77216</v>
      </c>
      <c r="G23" s="184">
        <v>34.200000000000003</v>
      </c>
      <c r="H23" s="181">
        <v>40</v>
      </c>
      <c r="I23" s="181" t="s">
        <v>292</v>
      </c>
      <c r="J23" s="191">
        <v>36.33</v>
      </c>
      <c r="K23" s="191">
        <v>40</v>
      </c>
      <c r="L23" s="199" t="s">
        <v>752</v>
      </c>
      <c r="M23" s="211" t="s">
        <v>1587</v>
      </c>
      <c r="N23" s="185" t="s">
        <v>396</v>
      </c>
      <c r="O23" s="185" t="s">
        <v>309</v>
      </c>
      <c r="P23" s="185"/>
      <c r="Q23" s="185" t="s">
        <v>743</v>
      </c>
      <c r="R23" s="185" t="s">
        <v>381</v>
      </c>
      <c r="S23" s="185" t="s">
        <v>295</v>
      </c>
      <c r="T23" s="185" t="s">
        <v>379</v>
      </c>
    </row>
    <row r="24" spans="1:20" outlineLevel="1">
      <c r="A24" s="199" t="s">
        <v>201</v>
      </c>
      <c r="B24" s="181" t="s">
        <v>1567</v>
      </c>
      <c r="C24" s="190">
        <v>43738</v>
      </c>
      <c r="D24" s="181" t="s">
        <v>1585</v>
      </c>
      <c r="E24" s="182" t="s">
        <v>1589</v>
      </c>
      <c r="F24" s="183">
        <v>77216</v>
      </c>
      <c r="G24" s="184">
        <v>294.99</v>
      </c>
      <c r="H24" s="181">
        <v>345</v>
      </c>
      <c r="I24" s="181" t="s">
        <v>292</v>
      </c>
      <c r="J24" s="191">
        <v>313.35000000000002</v>
      </c>
      <c r="K24" s="191">
        <v>345</v>
      </c>
      <c r="L24" s="199" t="s">
        <v>752</v>
      </c>
      <c r="M24" s="211" t="s">
        <v>1587</v>
      </c>
      <c r="N24" s="185" t="s">
        <v>396</v>
      </c>
      <c r="O24" s="185" t="s">
        <v>309</v>
      </c>
      <c r="P24" s="185"/>
      <c r="Q24" s="185" t="s">
        <v>743</v>
      </c>
      <c r="R24" s="185" t="s">
        <v>381</v>
      </c>
      <c r="S24" s="185" t="s">
        <v>295</v>
      </c>
      <c r="T24" s="185" t="s">
        <v>379</v>
      </c>
    </row>
    <row r="25" spans="1:20" outlineLevel="1">
      <c r="A25" s="199" t="s">
        <v>201</v>
      </c>
      <c r="B25" s="181" t="s">
        <v>1567</v>
      </c>
      <c r="C25" s="190">
        <v>43738</v>
      </c>
      <c r="D25" s="181" t="s">
        <v>1585</v>
      </c>
      <c r="E25" s="182" t="s">
        <v>1590</v>
      </c>
      <c r="F25" s="183">
        <v>77216</v>
      </c>
      <c r="G25" s="184">
        <v>85.5</v>
      </c>
      <c r="H25" s="181">
        <v>100</v>
      </c>
      <c r="I25" s="181" t="s">
        <v>292</v>
      </c>
      <c r="J25" s="191">
        <v>90.82</v>
      </c>
      <c r="K25" s="191">
        <v>100</v>
      </c>
      <c r="L25" s="199" t="s">
        <v>752</v>
      </c>
      <c r="M25" s="211" t="s">
        <v>1587</v>
      </c>
      <c r="N25" s="185" t="s">
        <v>396</v>
      </c>
      <c r="O25" s="185" t="s">
        <v>309</v>
      </c>
      <c r="P25" s="185"/>
      <c r="Q25" s="185" t="s">
        <v>743</v>
      </c>
      <c r="R25" s="185" t="s">
        <v>381</v>
      </c>
      <c r="S25" s="185" t="s">
        <v>295</v>
      </c>
      <c r="T25" s="185" t="s">
        <v>379</v>
      </c>
    </row>
    <row r="26" spans="1:20" outlineLevel="1">
      <c r="A26" s="199" t="s">
        <v>201</v>
      </c>
      <c r="B26" s="181" t="s">
        <v>1567</v>
      </c>
      <c r="C26" s="190">
        <v>43738</v>
      </c>
      <c r="D26" s="181" t="s">
        <v>1585</v>
      </c>
      <c r="E26" s="182" t="s">
        <v>1591</v>
      </c>
      <c r="F26" s="183">
        <v>77216</v>
      </c>
      <c r="G26" s="184">
        <v>508.74</v>
      </c>
      <c r="H26" s="181">
        <v>595</v>
      </c>
      <c r="I26" s="181" t="s">
        <v>292</v>
      </c>
      <c r="J26" s="191">
        <v>540.41</v>
      </c>
      <c r="K26" s="191">
        <v>595</v>
      </c>
      <c r="L26" s="199" t="s">
        <v>752</v>
      </c>
      <c r="M26" s="211" t="s">
        <v>1587</v>
      </c>
      <c r="N26" s="185" t="s">
        <v>396</v>
      </c>
      <c r="O26" s="185" t="s">
        <v>309</v>
      </c>
      <c r="P26" s="185"/>
      <c r="Q26" s="185" t="s">
        <v>743</v>
      </c>
      <c r="R26" s="185" t="s">
        <v>381</v>
      </c>
      <c r="S26" s="185" t="s">
        <v>295</v>
      </c>
      <c r="T26" s="185" t="s">
        <v>379</v>
      </c>
    </row>
    <row r="27" spans="1:20" outlineLevel="1">
      <c r="A27" s="199" t="s">
        <v>201</v>
      </c>
      <c r="B27" s="181" t="s">
        <v>1567</v>
      </c>
      <c r="C27" s="190">
        <v>43708</v>
      </c>
      <c r="D27" s="181" t="s">
        <v>1592</v>
      </c>
      <c r="E27" s="182" t="s">
        <v>1593</v>
      </c>
      <c r="F27" s="183">
        <v>77217</v>
      </c>
      <c r="G27" s="184">
        <v>662.84</v>
      </c>
      <c r="H27" s="181">
        <v>880</v>
      </c>
      <c r="I27" s="181" t="s">
        <v>292</v>
      </c>
      <c r="J27" s="191">
        <v>799.26</v>
      </c>
      <c r="K27" s="191">
        <v>880</v>
      </c>
      <c r="L27" s="199" t="s">
        <v>752</v>
      </c>
      <c r="M27" s="211" t="s">
        <v>1587</v>
      </c>
      <c r="N27" s="185" t="s">
        <v>396</v>
      </c>
      <c r="O27" s="185" t="s">
        <v>309</v>
      </c>
      <c r="P27" s="185"/>
      <c r="Q27" s="185" t="s">
        <v>737</v>
      </c>
      <c r="R27" s="185" t="s">
        <v>381</v>
      </c>
      <c r="S27" s="185" t="s">
        <v>295</v>
      </c>
      <c r="T27" s="185" t="s">
        <v>379</v>
      </c>
    </row>
    <row r="28" spans="1:20" outlineLevel="1">
      <c r="A28" s="199" t="s">
        <v>201</v>
      </c>
      <c r="B28" s="181" t="s">
        <v>1567</v>
      </c>
      <c r="C28" s="190">
        <v>43708</v>
      </c>
      <c r="D28" s="181" t="s">
        <v>1592</v>
      </c>
      <c r="E28" s="182" t="s">
        <v>1594</v>
      </c>
      <c r="F28" s="183">
        <v>77217</v>
      </c>
      <c r="G28" s="184">
        <v>15.06</v>
      </c>
      <c r="H28" s="181">
        <v>20</v>
      </c>
      <c r="I28" s="181" t="s">
        <v>292</v>
      </c>
      <c r="J28" s="191">
        <v>18.16</v>
      </c>
      <c r="K28" s="191">
        <v>20</v>
      </c>
      <c r="L28" s="199" t="s">
        <v>752</v>
      </c>
      <c r="M28" s="211" t="s">
        <v>1587</v>
      </c>
      <c r="N28" s="185" t="s">
        <v>396</v>
      </c>
      <c r="O28" s="185" t="s">
        <v>309</v>
      </c>
      <c r="P28" s="185"/>
      <c r="Q28" s="185" t="s">
        <v>737</v>
      </c>
      <c r="R28" s="185" t="s">
        <v>381</v>
      </c>
      <c r="S28" s="185" t="s">
        <v>295</v>
      </c>
      <c r="T28" s="185" t="s">
        <v>379</v>
      </c>
    </row>
    <row r="29" spans="1:20" outlineLevel="1">
      <c r="A29" s="199" t="s">
        <v>201</v>
      </c>
      <c r="B29" s="181" t="s">
        <v>1567</v>
      </c>
      <c r="C29" s="190">
        <v>43708</v>
      </c>
      <c r="D29" s="181" t="s">
        <v>1592</v>
      </c>
      <c r="E29" s="182" t="s">
        <v>1595</v>
      </c>
      <c r="F29" s="183">
        <v>77217</v>
      </c>
      <c r="G29" s="184">
        <v>150.65</v>
      </c>
      <c r="H29" s="181">
        <v>200</v>
      </c>
      <c r="I29" s="181" t="s">
        <v>292</v>
      </c>
      <c r="J29" s="191">
        <v>181.65</v>
      </c>
      <c r="K29" s="191">
        <v>200</v>
      </c>
      <c r="L29" s="199" t="s">
        <v>752</v>
      </c>
      <c r="M29" s="211" t="s">
        <v>1587</v>
      </c>
      <c r="N29" s="185" t="s">
        <v>396</v>
      </c>
      <c r="O29" s="185" t="s">
        <v>309</v>
      </c>
      <c r="P29" s="185"/>
      <c r="Q29" s="185" t="s">
        <v>737</v>
      </c>
      <c r="R29" s="185" t="s">
        <v>381</v>
      </c>
      <c r="S29" s="185" t="s">
        <v>295</v>
      </c>
      <c r="T29" s="185" t="s">
        <v>379</v>
      </c>
    </row>
    <row r="30" spans="1:20" outlineLevel="1">
      <c r="A30" s="199" t="s">
        <v>201</v>
      </c>
      <c r="B30" s="181" t="s">
        <v>1567</v>
      </c>
      <c r="C30" s="190">
        <v>43708</v>
      </c>
      <c r="D30" s="181" t="s">
        <v>1592</v>
      </c>
      <c r="E30" s="182" t="s">
        <v>1596</v>
      </c>
      <c r="F30" s="183">
        <v>77217</v>
      </c>
      <c r="G30" s="184">
        <v>527.26</v>
      </c>
      <c r="H30" s="181">
        <v>700</v>
      </c>
      <c r="I30" s="181" t="s">
        <v>292</v>
      </c>
      <c r="J30" s="191">
        <v>635.77</v>
      </c>
      <c r="K30" s="191">
        <v>700</v>
      </c>
      <c r="L30" s="199" t="s">
        <v>752</v>
      </c>
      <c r="M30" s="211" t="s">
        <v>1587</v>
      </c>
      <c r="N30" s="185" t="s">
        <v>396</v>
      </c>
      <c r="O30" s="185" t="s">
        <v>309</v>
      </c>
      <c r="P30" s="185"/>
      <c r="Q30" s="185" t="s">
        <v>737</v>
      </c>
      <c r="R30" s="185" t="s">
        <v>381</v>
      </c>
      <c r="S30" s="185" t="s">
        <v>295</v>
      </c>
      <c r="T30" s="185" t="s">
        <v>379</v>
      </c>
    </row>
    <row r="31" spans="1:20" outlineLevel="1">
      <c r="A31" s="199" t="s">
        <v>201</v>
      </c>
      <c r="B31" s="181" t="s">
        <v>1567</v>
      </c>
      <c r="C31" s="190">
        <v>43708</v>
      </c>
      <c r="D31" s="181" t="s">
        <v>1592</v>
      </c>
      <c r="E31" s="182" t="s">
        <v>1597</v>
      </c>
      <c r="F31" s="183">
        <v>77217</v>
      </c>
      <c r="G31" s="184">
        <v>903.88</v>
      </c>
      <c r="H31" s="181">
        <v>1200</v>
      </c>
      <c r="I31" s="181" t="s">
        <v>292</v>
      </c>
      <c r="J31" s="191">
        <v>1089.9000000000001</v>
      </c>
      <c r="K31" s="191">
        <v>1200</v>
      </c>
      <c r="L31" s="199" t="s">
        <v>752</v>
      </c>
      <c r="M31" s="211" t="s">
        <v>1587</v>
      </c>
      <c r="N31" s="185" t="s">
        <v>396</v>
      </c>
      <c r="O31" s="185" t="s">
        <v>309</v>
      </c>
      <c r="P31" s="185"/>
      <c r="Q31" s="185" t="s">
        <v>737</v>
      </c>
      <c r="R31" s="185" t="s">
        <v>381</v>
      </c>
      <c r="S31" s="185" t="s">
        <v>295</v>
      </c>
      <c r="T31" s="185" t="s">
        <v>379</v>
      </c>
    </row>
    <row r="32" spans="1:20">
      <c r="A32" s="212" t="s">
        <v>378</v>
      </c>
      <c r="B32" s="212"/>
      <c r="C32" s="212"/>
      <c r="D32" s="212"/>
      <c r="E32" s="213"/>
      <c r="F32" s="214"/>
      <c r="G32" s="215">
        <f>SUM(G19:G31)</f>
        <v>4067.9000000000005</v>
      </c>
      <c r="H32" s="216">
        <f>SUM(H19:H31)</f>
        <v>5141.55</v>
      </c>
      <c r="I32" s="212"/>
      <c r="J32" s="216">
        <f>SUM(J19:J31)</f>
        <v>4662.33</v>
      </c>
      <c r="K32" s="216">
        <f>SUM(K19:K31)</f>
        <v>5141.5599999999995</v>
      </c>
      <c r="L32" s="212"/>
      <c r="M32" s="213"/>
      <c r="N32" s="212"/>
      <c r="O32" s="212"/>
      <c r="P32" s="212"/>
      <c r="Q32" s="212"/>
      <c r="R32" s="212"/>
      <c r="S32" s="212"/>
      <c r="T32" s="212"/>
    </row>
    <row r="33" spans="1:20" outlineLevel="1">
      <c r="A33" s="199" t="s">
        <v>202</v>
      </c>
      <c r="B33" s="181" t="s">
        <v>1567</v>
      </c>
      <c r="C33" s="190">
        <v>43708</v>
      </c>
      <c r="D33" s="181" t="s">
        <v>1592</v>
      </c>
      <c r="E33" s="182" t="s">
        <v>1598</v>
      </c>
      <c r="F33" s="183">
        <v>77217</v>
      </c>
      <c r="G33" s="184">
        <v>1506.46</v>
      </c>
      <c r="H33" s="181">
        <v>2000</v>
      </c>
      <c r="I33" s="181" t="s">
        <v>292</v>
      </c>
      <c r="J33" s="191">
        <v>1816.49</v>
      </c>
      <c r="K33" s="191">
        <v>2000</v>
      </c>
      <c r="L33" s="199" t="s">
        <v>752</v>
      </c>
      <c r="M33" s="211" t="s">
        <v>1587</v>
      </c>
      <c r="N33" s="185" t="s">
        <v>396</v>
      </c>
      <c r="O33" s="185" t="s">
        <v>309</v>
      </c>
      <c r="P33" s="185"/>
      <c r="Q33" s="185" t="s">
        <v>737</v>
      </c>
      <c r="R33" s="185" t="s">
        <v>381</v>
      </c>
      <c r="S33" s="185" t="s">
        <v>295</v>
      </c>
      <c r="T33" s="185" t="s">
        <v>379</v>
      </c>
    </row>
    <row r="34" spans="1:20" outlineLevel="1">
      <c r="A34" s="199" t="s">
        <v>202</v>
      </c>
      <c r="B34" s="181" t="s">
        <v>1567</v>
      </c>
      <c r="C34" s="190">
        <v>43708</v>
      </c>
      <c r="D34" s="181" t="s">
        <v>1592</v>
      </c>
      <c r="E34" s="182" t="s">
        <v>1598</v>
      </c>
      <c r="F34" s="183">
        <v>77217</v>
      </c>
      <c r="G34" s="184">
        <v>1506.46</v>
      </c>
      <c r="H34" s="181">
        <v>2000</v>
      </c>
      <c r="I34" s="181" t="s">
        <v>292</v>
      </c>
      <c r="J34" s="191">
        <v>1816.49</v>
      </c>
      <c r="K34" s="191">
        <v>2000</v>
      </c>
      <c r="L34" s="199" t="s">
        <v>752</v>
      </c>
      <c r="M34" s="211" t="s">
        <v>1587</v>
      </c>
      <c r="N34" s="185" t="s">
        <v>396</v>
      </c>
      <c r="O34" s="185" t="s">
        <v>309</v>
      </c>
      <c r="P34" s="185"/>
      <c r="Q34" s="185" t="s">
        <v>737</v>
      </c>
      <c r="R34" s="185" t="s">
        <v>381</v>
      </c>
      <c r="S34" s="185" t="s">
        <v>295</v>
      </c>
      <c r="T34" s="185" t="s">
        <v>379</v>
      </c>
    </row>
    <row r="35" spans="1:20">
      <c r="A35" s="212" t="s">
        <v>378</v>
      </c>
      <c r="B35" s="212"/>
      <c r="C35" s="212"/>
      <c r="D35" s="212"/>
      <c r="E35" s="213"/>
      <c r="F35" s="214"/>
      <c r="G35" s="215">
        <f>SUM(G33:G34)</f>
        <v>3012.92</v>
      </c>
      <c r="H35" s="216">
        <f>SUM(H33:H34)</f>
        <v>4000</v>
      </c>
      <c r="I35" s="212"/>
      <c r="J35" s="216">
        <f>SUM(J33:J34)</f>
        <v>3632.98</v>
      </c>
      <c r="K35" s="216">
        <f>SUM(K33:K34)</f>
        <v>4000</v>
      </c>
      <c r="L35" s="212"/>
      <c r="M35" s="213"/>
      <c r="N35" s="212"/>
      <c r="O35" s="212"/>
      <c r="P35" s="212"/>
      <c r="Q35" s="212"/>
      <c r="R35" s="212"/>
      <c r="S35" s="212"/>
      <c r="T35" s="212"/>
    </row>
    <row r="36" spans="1:20" outlineLevel="1">
      <c r="A36" s="199" t="s">
        <v>205</v>
      </c>
      <c r="B36" s="181" t="s">
        <v>1567</v>
      </c>
      <c r="C36" s="190">
        <v>43732</v>
      </c>
      <c r="D36" s="181" t="s">
        <v>1599</v>
      </c>
      <c r="E36" s="182" t="s">
        <v>1600</v>
      </c>
      <c r="F36" s="183">
        <v>77221</v>
      </c>
      <c r="G36" s="184">
        <v>2869.64</v>
      </c>
      <c r="H36" s="181">
        <v>3490</v>
      </c>
      <c r="I36" s="181" t="s">
        <v>292</v>
      </c>
      <c r="J36" s="191">
        <v>3169.78</v>
      </c>
      <c r="K36" s="191">
        <v>3489.99</v>
      </c>
      <c r="L36" s="199" t="s">
        <v>640</v>
      </c>
      <c r="M36" s="211" t="s">
        <v>1580</v>
      </c>
      <c r="N36" s="185" t="s">
        <v>396</v>
      </c>
      <c r="O36" s="185" t="s">
        <v>309</v>
      </c>
      <c r="P36" s="185"/>
      <c r="Q36" s="185"/>
      <c r="R36" s="185" t="s">
        <v>381</v>
      </c>
      <c r="S36" s="185" t="s">
        <v>295</v>
      </c>
      <c r="T36" s="185" t="s">
        <v>379</v>
      </c>
    </row>
    <row r="37" spans="1:20">
      <c r="A37" s="212" t="s">
        <v>378</v>
      </c>
      <c r="B37" s="212"/>
      <c r="C37" s="212"/>
      <c r="D37" s="212"/>
      <c r="E37" s="213"/>
      <c r="F37" s="214"/>
      <c r="G37" s="215">
        <f>SUM(G36:G36)</f>
        <v>2869.64</v>
      </c>
      <c r="H37" s="216">
        <f>SUM(H36:H36)</f>
        <v>3490</v>
      </c>
      <c r="I37" s="212"/>
      <c r="J37" s="216">
        <f>SUM(J36:J36)</f>
        <v>3169.78</v>
      </c>
      <c r="K37" s="216">
        <f>SUM(K36:K36)</f>
        <v>3489.99</v>
      </c>
      <c r="L37" s="212"/>
      <c r="M37" s="213"/>
      <c r="N37" s="212"/>
      <c r="O37" s="212"/>
      <c r="P37" s="212"/>
      <c r="Q37" s="212"/>
      <c r="R37" s="212"/>
      <c r="S37" s="212"/>
      <c r="T37" s="212"/>
    </row>
    <row r="38" spans="1:20" outlineLevel="1">
      <c r="A38" s="199" t="s">
        <v>206</v>
      </c>
      <c r="B38" s="181" t="s">
        <v>1567</v>
      </c>
      <c r="C38" s="190">
        <v>43738</v>
      </c>
      <c r="D38" s="181" t="s">
        <v>1585</v>
      </c>
      <c r="E38" s="182" t="s">
        <v>1601</v>
      </c>
      <c r="F38" s="183">
        <v>77216</v>
      </c>
      <c r="G38" s="184">
        <v>136.80000000000001</v>
      </c>
      <c r="H38" s="181">
        <v>160</v>
      </c>
      <c r="I38" s="181" t="s">
        <v>292</v>
      </c>
      <c r="J38" s="191">
        <v>145.32</v>
      </c>
      <c r="K38" s="191">
        <v>160</v>
      </c>
      <c r="L38" s="199" t="s">
        <v>752</v>
      </c>
      <c r="M38" s="211" t="s">
        <v>1587</v>
      </c>
      <c r="N38" s="185" t="s">
        <v>396</v>
      </c>
      <c r="O38" s="185" t="s">
        <v>309</v>
      </c>
      <c r="P38" s="185"/>
      <c r="Q38" s="185" t="s">
        <v>743</v>
      </c>
      <c r="R38" s="185" t="s">
        <v>381</v>
      </c>
      <c r="S38" s="185" t="s">
        <v>295</v>
      </c>
      <c r="T38" s="185" t="s">
        <v>379</v>
      </c>
    </row>
    <row r="39" spans="1:20" outlineLevel="1">
      <c r="A39" s="199" t="s">
        <v>206</v>
      </c>
      <c r="B39" s="181" t="s">
        <v>1567</v>
      </c>
      <c r="C39" s="190">
        <v>43738</v>
      </c>
      <c r="D39" s="181" t="s">
        <v>1585</v>
      </c>
      <c r="E39" s="182" t="s">
        <v>1602</v>
      </c>
      <c r="F39" s="183">
        <v>77216</v>
      </c>
      <c r="G39" s="184">
        <v>17.100000000000001</v>
      </c>
      <c r="H39" s="181">
        <v>20</v>
      </c>
      <c r="I39" s="181" t="s">
        <v>292</v>
      </c>
      <c r="J39" s="191">
        <v>18.16</v>
      </c>
      <c r="K39" s="191">
        <v>20</v>
      </c>
      <c r="L39" s="199" t="s">
        <v>752</v>
      </c>
      <c r="M39" s="211" t="s">
        <v>1587</v>
      </c>
      <c r="N39" s="185" t="s">
        <v>396</v>
      </c>
      <c r="O39" s="185" t="s">
        <v>309</v>
      </c>
      <c r="P39" s="185"/>
      <c r="Q39" s="185" t="s">
        <v>743</v>
      </c>
      <c r="R39" s="185" t="s">
        <v>381</v>
      </c>
      <c r="S39" s="185" t="s">
        <v>295</v>
      </c>
      <c r="T39" s="185" t="s">
        <v>379</v>
      </c>
    </row>
    <row r="40" spans="1:20" outlineLevel="1">
      <c r="A40" s="199" t="s">
        <v>206</v>
      </c>
      <c r="B40" s="181" t="s">
        <v>1567</v>
      </c>
      <c r="C40" s="190">
        <v>43738</v>
      </c>
      <c r="D40" s="181" t="s">
        <v>1585</v>
      </c>
      <c r="E40" s="182" t="s">
        <v>1603</v>
      </c>
      <c r="F40" s="183">
        <v>77216</v>
      </c>
      <c r="G40" s="184">
        <v>684.02</v>
      </c>
      <c r="H40" s="181">
        <v>800</v>
      </c>
      <c r="I40" s="181" t="s">
        <v>292</v>
      </c>
      <c r="J40" s="191">
        <v>726.6</v>
      </c>
      <c r="K40" s="191">
        <v>800</v>
      </c>
      <c r="L40" s="199" t="s">
        <v>752</v>
      </c>
      <c r="M40" s="211" t="s">
        <v>1587</v>
      </c>
      <c r="N40" s="185" t="s">
        <v>396</v>
      </c>
      <c r="O40" s="185" t="s">
        <v>309</v>
      </c>
      <c r="P40" s="185"/>
      <c r="Q40" s="185" t="s">
        <v>743</v>
      </c>
      <c r="R40" s="185" t="s">
        <v>381</v>
      </c>
      <c r="S40" s="185" t="s">
        <v>295</v>
      </c>
      <c r="T40" s="185" t="s">
        <v>379</v>
      </c>
    </row>
    <row r="41" spans="1:20">
      <c r="A41" s="212" t="s">
        <v>378</v>
      </c>
      <c r="B41" s="212"/>
      <c r="C41" s="212"/>
      <c r="D41" s="212"/>
      <c r="E41" s="213"/>
      <c r="F41" s="214"/>
      <c r="G41" s="215">
        <f>SUM(G38:G40)</f>
        <v>837.92</v>
      </c>
      <c r="H41" s="216">
        <f>SUM(H38:H40)</f>
        <v>980</v>
      </c>
      <c r="I41" s="212"/>
      <c r="J41" s="216">
        <f>SUM(J38:J40)</f>
        <v>890.08</v>
      </c>
      <c r="K41" s="216">
        <f>SUM(K38:K40)</f>
        <v>980</v>
      </c>
      <c r="L41" s="212"/>
      <c r="M41" s="213"/>
      <c r="N41" s="212"/>
      <c r="O41" s="212"/>
      <c r="P41" s="212"/>
      <c r="Q41" s="212"/>
      <c r="R41" s="212"/>
      <c r="S41" s="212"/>
      <c r="T41" s="212"/>
    </row>
    <row r="42" spans="1:20" outlineLevel="1">
      <c r="A42" s="199" t="s">
        <v>211</v>
      </c>
      <c r="B42" s="181" t="s">
        <v>1567</v>
      </c>
      <c r="C42" s="190">
        <v>43728</v>
      </c>
      <c r="D42" s="181" t="s">
        <v>1604</v>
      </c>
      <c r="E42" s="182" t="s">
        <v>1605</v>
      </c>
      <c r="F42" s="183">
        <v>77220</v>
      </c>
      <c r="G42" s="184">
        <v>4.2300000000000004</v>
      </c>
      <c r="H42" s="181">
        <v>5.15</v>
      </c>
      <c r="I42" s="181" t="s">
        <v>292</v>
      </c>
      <c r="J42" s="191">
        <v>4.68</v>
      </c>
      <c r="K42" s="191">
        <v>5.14</v>
      </c>
      <c r="L42" s="199" t="s">
        <v>555</v>
      </c>
      <c r="M42" s="211" t="s">
        <v>1606</v>
      </c>
      <c r="N42" s="185" t="s">
        <v>400</v>
      </c>
      <c r="O42" s="185" t="s">
        <v>309</v>
      </c>
      <c r="P42" s="185" t="s">
        <v>556</v>
      </c>
      <c r="Q42" s="185"/>
      <c r="R42" s="185" t="s">
        <v>381</v>
      </c>
      <c r="S42" s="185" t="s">
        <v>295</v>
      </c>
      <c r="T42" s="185" t="s">
        <v>379</v>
      </c>
    </row>
    <row r="43" spans="1:20" outlineLevel="1">
      <c r="A43" s="199" t="s">
        <v>211</v>
      </c>
      <c r="B43" s="181" t="s">
        <v>1567</v>
      </c>
      <c r="C43" s="190">
        <v>43641</v>
      </c>
      <c r="D43" s="181" t="s">
        <v>1607</v>
      </c>
      <c r="E43" s="182" t="s">
        <v>1608</v>
      </c>
      <c r="F43" s="183">
        <v>77196</v>
      </c>
      <c r="G43" s="184">
        <v>180.78</v>
      </c>
      <c r="H43" s="181">
        <v>240</v>
      </c>
      <c r="I43" s="181" t="s">
        <v>292</v>
      </c>
      <c r="J43" s="191">
        <v>217.98</v>
      </c>
      <c r="K43" s="191">
        <v>240</v>
      </c>
      <c r="L43" s="199" t="s">
        <v>752</v>
      </c>
      <c r="M43" s="211" t="s">
        <v>1587</v>
      </c>
      <c r="N43" s="185" t="s">
        <v>396</v>
      </c>
      <c r="O43" s="185" t="s">
        <v>309</v>
      </c>
      <c r="P43" s="185"/>
      <c r="Q43" s="185" t="s">
        <v>740</v>
      </c>
      <c r="R43" s="185" t="s">
        <v>381</v>
      </c>
      <c r="S43" s="185" t="s">
        <v>295</v>
      </c>
      <c r="T43" s="185" t="s">
        <v>379</v>
      </c>
    </row>
    <row r="44" spans="1:20" outlineLevel="1">
      <c r="A44" s="199" t="s">
        <v>211</v>
      </c>
      <c r="B44" s="181" t="s">
        <v>1567</v>
      </c>
      <c r="C44" s="190">
        <v>43642</v>
      </c>
      <c r="D44" s="181" t="s">
        <v>1607</v>
      </c>
      <c r="E44" s="182" t="s">
        <v>1609</v>
      </c>
      <c r="F44" s="183">
        <v>77196</v>
      </c>
      <c r="G44" s="184">
        <v>135.58000000000001</v>
      </c>
      <c r="H44" s="181">
        <v>180</v>
      </c>
      <c r="I44" s="181" t="s">
        <v>292</v>
      </c>
      <c r="J44" s="191">
        <v>163.47999999999999</v>
      </c>
      <c r="K44" s="191">
        <v>180</v>
      </c>
      <c r="L44" s="199" t="s">
        <v>752</v>
      </c>
      <c r="M44" s="211" t="s">
        <v>1587</v>
      </c>
      <c r="N44" s="185" t="s">
        <v>396</v>
      </c>
      <c r="O44" s="185" t="s">
        <v>309</v>
      </c>
      <c r="P44" s="185"/>
      <c r="Q44" s="185" t="s">
        <v>740</v>
      </c>
      <c r="R44" s="185" t="s">
        <v>381</v>
      </c>
      <c r="S44" s="185" t="s">
        <v>295</v>
      </c>
      <c r="T44" s="185" t="s">
        <v>379</v>
      </c>
    </row>
    <row r="45" spans="1:20" outlineLevel="1">
      <c r="A45" s="199" t="s">
        <v>211</v>
      </c>
      <c r="B45" s="181" t="s">
        <v>1567</v>
      </c>
      <c r="C45" s="190">
        <v>43706</v>
      </c>
      <c r="D45" s="181" t="s">
        <v>1607</v>
      </c>
      <c r="E45" s="182" t="s">
        <v>1610</v>
      </c>
      <c r="F45" s="183">
        <v>77196</v>
      </c>
      <c r="G45" s="184">
        <v>237.27</v>
      </c>
      <c r="H45" s="181">
        <v>315</v>
      </c>
      <c r="I45" s="181" t="s">
        <v>292</v>
      </c>
      <c r="J45" s="191">
        <v>286.10000000000002</v>
      </c>
      <c r="K45" s="191">
        <v>315</v>
      </c>
      <c r="L45" s="199" t="s">
        <v>752</v>
      </c>
      <c r="M45" s="211" t="s">
        <v>1587</v>
      </c>
      <c r="N45" s="185" t="s">
        <v>396</v>
      </c>
      <c r="O45" s="185" t="s">
        <v>309</v>
      </c>
      <c r="P45" s="185"/>
      <c r="Q45" s="185" t="s">
        <v>740</v>
      </c>
      <c r="R45" s="185" t="s">
        <v>381</v>
      </c>
      <c r="S45" s="185" t="s">
        <v>295</v>
      </c>
      <c r="T45" s="185" t="s">
        <v>379</v>
      </c>
    </row>
    <row r="46" spans="1:20" outlineLevel="1">
      <c r="A46" s="199" t="s">
        <v>211</v>
      </c>
      <c r="B46" s="181" t="s">
        <v>1567</v>
      </c>
      <c r="C46" s="190">
        <v>43738</v>
      </c>
      <c r="D46" s="181" t="s">
        <v>1585</v>
      </c>
      <c r="E46" s="182" t="s">
        <v>1611</v>
      </c>
      <c r="F46" s="183">
        <v>77216</v>
      </c>
      <c r="G46" s="184">
        <v>495.92</v>
      </c>
      <c r="H46" s="181">
        <v>580</v>
      </c>
      <c r="I46" s="181" t="s">
        <v>292</v>
      </c>
      <c r="J46" s="191">
        <v>526.78</v>
      </c>
      <c r="K46" s="191">
        <v>580</v>
      </c>
      <c r="L46" s="199" t="s">
        <v>752</v>
      </c>
      <c r="M46" s="211" t="s">
        <v>1587</v>
      </c>
      <c r="N46" s="185" t="s">
        <v>396</v>
      </c>
      <c r="O46" s="185" t="s">
        <v>309</v>
      </c>
      <c r="P46" s="185"/>
      <c r="Q46" s="185" t="s">
        <v>743</v>
      </c>
      <c r="R46" s="185" t="s">
        <v>381</v>
      </c>
      <c r="S46" s="185" t="s">
        <v>295</v>
      </c>
      <c r="T46" s="185" t="s">
        <v>379</v>
      </c>
    </row>
    <row r="47" spans="1:20" outlineLevel="1">
      <c r="A47" s="199" t="s">
        <v>211</v>
      </c>
      <c r="B47" s="181" t="s">
        <v>1567</v>
      </c>
      <c r="C47" s="190">
        <v>43738</v>
      </c>
      <c r="D47" s="181" t="s">
        <v>1585</v>
      </c>
      <c r="E47" s="182" t="s">
        <v>1612</v>
      </c>
      <c r="F47" s="183">
        <v>77216</v>
      </c>
      <c r="G47" s="184">
        <v>107.73</v>
      </c>
      <c r="H47" s="181">
        <v>126</v>
      </c>
      <c r="I47" s="181" t="s">
        <v>292</v>
      </c>
      <c r="J47" s="191">
        <v>114.44</v>
      </c>
      <c r="K47" s="191">
        <v>126</v>
      </c>
      <c r="L47" s="199" t="s">
        <v>752</v>
      </c>
      <c r="M47" s="211" t="s">
        <v>1587</v>
      </c>
      <c r="N47" s="185" t="s">
        <v>396</v>
      </c>
      <c r="O47" s="185" t="s">
        <v>309</v>
      </c>
      <c r="P47" s="185"/>
      <c r="Q47" s="185" t="s">
        <v>743</v>
      </c>
      <c r="R47" s="185" t="s">
        <v>381</v>
      </c>
      <c r="S47" s="185" t="s">
        <v>295</v>
      </c>
      <c r="T47" s="185" t="s">
        <v>379</v>
      </c>
    </row>
    <row r="48" spans="1:20" outlineLevel="1">
      <c r="A48" s="199" t="s">
        <v>211</v>
      </c>
      <c r="B48" s="181" t="s">
        <v>1567</v>
      </c>
      <c r="C48" s="190">
        <v>43738</v>
      </c>
      <c r="D48" s="181" t="s">
        <v>1585</v>
      </c>
      <c r="E48" s="182" t="s">
        <v>1613</v>
      </c>
      <c r="F48" s="183">
        <v>77216</v>
      </c>
      <c r="G48" s="184">
        <v>106.88</v>
      </c>
      <c r="H48" s="181">
        <v>125</v>
      </c>
      <c r="I48" s="181" t="s">
        <v>292</v>
      </c>
      <c r="J48" s="191">
        <v>113.53</v>
      </c>
      <c r="K48" s="191">
        <v>125</v>
      </c>
      <c r="L48" s="199" t="s">
        <v>752</v>
      </c>
      <c r="M48" s="211" t="s">
        <v>1587</v>
      </c>
      <c r="N48" s="185" t="s">
        <v>396</v>
      </c>
      <c r="O48" s="185" t="s">
        <v>309</v>
      </c>
      <c r="P48" s="185"/>
      <c r="Q48" s="185" t="s">
        <v>743</v>
      </c>
      <c r="R48" s="185" t="s">
        <v>381</v>
      </c>
      <c r="S48" s="185" t="s">
        <v>295</v>
      </c>
      <c r="T48" s="185" t="s">
        <v>379</v>
      </c>
    </row>
    <row r="49" spans="1:20" outlineLevel="1">
      <c r="A49" s="199" t="s">
        <v>211</v>
      </c>
      <c r="B49" s="181" t="s">
        <v>1567</v>
      </c>
      <c r="C49" s="190">
        <v>43738</v>
      </c>
      <c r="D49" s="181" t="s">
        <v>1585</v>
      </c>
      <c r="E49" s="182" t="s">
        <v>1614</v>
      </c>
      <c r="F49" s="183">
        <v>77216</v>
      </c>
      <c r="G49" s="184">
        <v>51.3</v>
      </c>
      <c r="H49" s="181">
        <v>60</v>
      </c>
      <c r="I49" s="181" t="s">
        <v>292</v>
      </c>
      <c r="J49" s="191">
        <v>54.49</v>
      </c>
      <c r="K49" s="191">
        <v>60</v>
      </c>
      <c r="L49" s="199" t="s">
        <v>752</v>
      </c>
      <c r="M49" s="211" t="s">
        <v>1587</v>
      </c>
      <c r="N49" s="185" t="s">
        <v>396</v>
      </c>
      <c r="O49" s="185" t="s">
        <v>309</v>
      </c>
      <c r="P49" s="185"/>
      <c r="Q49" s="185" t="s">
        <v>743</v>
      </c>
      <c r="R49" s="185" t="s">
        <v>381</v>
      </c>
      <c r="S49" s="185" t="s">
        <v>295</v>
      </c>
      <c r="T49" s="185" t="s">
        <v>379</v>
      </c>
    </row>
    <row r="50" spans="1:20" outlineLevel="1">
      <c r="A50" s="199" t="s">
        <v>211</v>
      </c>
      <c r="B50" s="181" t="s">
        <v>1567</v>
      </c>
      <c r="C50" s="190">
        <v>43738</v>
      </c>
      <c r="D50" s="181" t="s">
        <v>1585</v>
      </c>
      <c r="E50" s="182" t="s">
        <v>1615</v>
      </c>
      <c r="F50" s="183">
        <v>77216</v>
      </c>
      <c r="G50" s="184">
        <v>68.400000000000006</v>
      </c>
      <c r="H50" s="181">
        <v>80</v>
      </c>
      <c r="I50" s="181" t="s">
        <v>292</v>
      </c>
      <c r="J50" s="191">
        <v>72.66</v>
      </c>
      <c r="K50" s="191">
        <v>80</v>
      </c>
      <c r="L50" s="199" t="s">
        <v>752</v>
      </c>
      <c r="M50" s="211" t="s">
        <v>1587</v>
      </c>
      <c r="N50" s="185" t="s">
        <v>396</v>
      </c>
      <c r="O50" s="185" t="s">
        <v>309</v>
      </c>
      <c r="P50" s="185"/>
      <c r="Q50" s="185" t="s">
        <v>743</v>
      </c>
      <c r="R50" s="185" t="s">
        <v>381</v>
      </c>
      <c r="S50" s="185" t="s">
        <v>295</v>
      </c>
      <c r="T50" s="185" t="s">
        <v>379</v>
      </c>
    </row>
    <row r="51" spans="1:20" outlineLevel="1">
      <c r="A51" s="199" t="s">
        <v>211</v>
      </c>
      <c r="B51" s="181" t="s">
        <v>1567</v>
      </c>
      <c r="C51" s="190">
        <v>43738</v>
      </c>
      <c r="D51" s="181" t="s">
        <v>1585</v>
      </c>
      <c r="E51" s="182" t="s">
        <v>1616</v>
      </c>
      <c r="F51" s="183">
        <v>77216</v>
      </c>
      <c r="G51" s="184">
        <v>213.76</v>
      </c>
      <c r="H51" s="181">
        <v>250</v>
      </c>
      <c r="I51" s="181" t="s">
        <v>292</v>
      </c>
      <c r="J51" s="191">
        <v>227.06</v>
      </c>
      <c r="K51" s="191">
        <v>250</v>
      </c>
      <c r="L51" s="199" t="s">
        <v>752</v>
      </c>
      <c r="M51" s="211" t="s">
        <v>1587</v>
      </c>
      <c r="N51" s="185" t="s">
        <v>396</v>
      </c>
      <c r="O51" s="185" t="s">
        <v>309</v>
      </c>
      <c r="P51" s="185"/>
      <c r="Q51" s="185" t="s">
        <v>743</v>
      </c>
      <c r="R51" s="185" t="s">
        <v>381</v>
      </c>
      <c r="S51" s="185" t="s">
        <v>295</v>
      </c>
      <c r="T51" s="185" t="s">
        <v>379</v>
      </c>
    </row>
    <row r="52" spans="1:20" outlineLevel="1">
      <c r="A52" s="199" t="s">
        <v>211</v>
      </c>
      <c r="B52" s="181" t="s">
        <v>1567</v>
      </c>
      <c r="C52" s="190">
        <v>43738</v>
      </c>
      <c r="D52" s="181" t="s">
        <v>1585</v>
      </c>
      <c r="E52" s="182" t="s">
        <v>1612</v>
      </c>
      <c r="F52" s="183">
        <v>77216</v>
      </c>
      <c r="G52" s="184">
        <v>53.87</v>
      </c>
      <c r="H52" s="181">
        <v>63</v>
      </c>
      <c r="I52" s="181" t="s">
        <v>292</v>
      </c>
      <c r="J52" s="191">
        <v>57.22</v>
      </c>
      <c r="K52" s="191">
        <v>63</v>
      </c>
      <c r="L52" s="199" t="s">
        <v>752</v>
      </c>
      <c r="M52" s="211" t="s">
        <v>1587</v>
      </c>
      <c r="N52" s="185" t="s">
        <v>396</v>
      </c>
      <c r="O52" s="185" t="s">
        <v>309</v>
      </c>
      <c r="P52" s="185"/>
      <c r="Q52" s="185" t="s">
        <v>743</v>
      </c>
      <c r="R52" s="185" t="s">
        <v>381</v>
      </c>
      <c r="S52" s="185" t="s">
        <v>295</v>
      </c>
      <c r="T52" s="185" t="s">
        <v>379</v>
      </c>
    </row>
    <row r="53" spans="1:20" outlineLevel="1">
      <c r="A53" s="199" t="s">
        <v>211</v>
      </c>
      <c r="B53" s="181" t="s">
        <v>1567</v>
      </c>
      <c r="C53" s="190">
        <v>43738</v>
      </c>
      <c r="D53" s="181" t="s">
        <v>1585</v>
      </c>
      <c r="E53" s="182" t="s">
        <v>1617</v>
      </c>
      <c r="F53" s="183">
        <v>77216</v>
      </c>
      <c r="G53" s="184">
        <v>53.44</v>
      </c>
      <c r="H53" s="181">
        <v>62.5</v>
      </c>
      <c r="I53" s="181" t="s">
        <v>292</v>
      </c>
      <c r="J53" s="191">
        <v>56.77</v>
      </c>
      <c r="K53" s="191">
        <v>62.5</v>
      </c>
      <c r="L53" s="199" t="s">
        <v>752</v>
      </c>
      <c r="M53" s="211" t="s">
        <v>1587</v>
      </c>
      <c r="N53" s="185" t="s">
        <v>396</v>
      </c>
      <c r="O53" s="185" t="s">
        <v>309</v>
      </c>
      <c r="P53" s="185"/>
      <c r="Q53" s="185" t="s">
        <v>743</v>
      </c>
      <c r="R53" s="185" t="s">
        <v>381</v>
      </c>
      <c r="S53" s="185" t="s">
        <v>295</v>
      </c>
      <c r="T53" s="185" t="s">
        <v>379</v>
      </c>
    </row>
    <row r="54" spans="1:20" outlineLevel="1">
      <c r="A54" s="199" t="s">
        <v>211</v>
      </c>
      <c r="B54" s="181" t="s">
        <v>1567</v>
      </c>
      <c r="C54" s="190">
        <v>43738</v>
      </c>
      <c r="D54" s="181" t="s">
        <v>1585</v>
      </c>
      <c r="E54" s="182" t="s">
        <v>1614</v>
      </c>
      <c r="F54" s="183">
        <v>77216</v>
      </c>
      <c r="G54" s="184">
        <v>25.65</v>
      </c>
      <c r="H54" s="181">
        <v>30</v>
      </c>
      <c r="I54" s="181" t="s">
        <v>292</v>
      </c>
      <c r="J54" s="191">
        <v>27.25</v>
      </c>
      <c r="K54" s="191">
        <v>30</v>
      </c>
      <c r="L54" s="199" t="s">
        <v>752</v>
      </c>
      <c r="M54" s="211" t="s">
        <v>1587</v>
      </c>
      <c r="N54" s="185" t="s">
        <v>396</v>
      </c>
      <c r="O54" s="185" t="s">
        <v>309</v>
      </c>
      <c r="P54" s="185"/>
      <c r="Q54" s="185" t="s">
        <v>743</v>
      </c>
      <c r="R54" s="185" t="s">
        <v>381</v>
      </c>
      <c r="S54" s="185" t="s">
        <v>295</v>
      </c>
      <c r="T54" s="185" t="s">
        <v>379</v>
      </c>
    </row>
    <row r="55" spans="1:20" ht="20.25" customHeight="1" outlineLevel="1">
      <c r="A55" s="199" t="s">
        <v>211</v>
      </c>
      <c r="B55" s="181" t="s">
        <v>1567</v>
      </c>
      <c r="C55" s="190">
        <v>43738</v>
      </c>
      <c r="D55" s="181" t="s">
        <v>1585</v>
      </c>
      <c r="E55" s="182" t="s">
        <v>1615</v>
      </c>
      <c r="F55" s="183">
        <v>77216</v>
      </c>
      <c r="G55" s="184">
        <v>68.400000000000006</v>
      </c>
      <c r="H55" s="181">
        <v>80</v>
      </c>
      <c r="I55" s="181" t="s">
        <v>292</v>
      </c>
      <c r="J55" s="191">
        <v>72.66</v>
      </c>
      <c r="K55" s="191">
        <v>80</v>
      </c>
      <c r="L55" s="199" t="s">
        <v>752</v>
      </c>
      <c r="M55" s="211" t="s">
        <v>1587</v>
      </c>
      <c r="N55" s="185" t="s">
        <v>396</v>
      </c>
      <c r="O55" s="185" t="s">
        <v>309</v>
      </c>
      <c r="P55" s="185"/>
      <c r="Q55" s="185" t="s">
        <v>743</v>
      </c>
      <c r="R55" s="185" t="s">
        <v>381</v>
      </c>
      <c r="S55" s="185" t="s">
        <v>295</v>
      </c>
      <c r="T55" s="185" t="s">
        <v>379</v>
      </c>
    </row>
    <row r="56" spans="1:20">
      <c r="A56" s="212" t="s">
        <v>378</v>
      </c>
      <c r="B56" s="212"/>
      <c r="C56" s="212"/>
      <c r="D56" s="212"/>
      <c r="E56" s="213"/>
      <c r="F56" s="214"/>
      <c r="G56" s="215">
        <f>SUM(G42:G55)</f>
        <v>1803.21</v>
      </c>
      <c r="H56" s="216">
        <f>SUM(H42:H55)</f>
        <v>2196.65</v>
      </c>
      <c r="I56" s="212"/>
      <c r="J56" s="216">
        <f>SUM(J42:J55)</f>
        <v>1995.1000000000001</v>
      </c>
      <c r="K56" s="216">
        <f>SUM(K42:K55)</f>
        <v>2196.64</v>
      </c>
      <c r="L56" s="212"/>
      <c r="M56" s="213"/>
      <c r="N56" s="212"/>
      <c r="O56" s="212"/>
      <c r="P56" s="212"/>
      <c r="Q56" s="212"/>
      <c r="R56" s="212"/>
      <c r="S56" s="212"/>
      <c r="T56" s="212"/>
    </row>
    <row r="57" spans="1:20" outlineLevel="1">
      <c r="A57" s="199" t="s">
        <v>212</v>
      </c>
      <c r="B57" s="181" t="s">
        <v>1566</v>
      </c>
      <c r="C57" s="190">
        <v>43665</v>
      </c>
      <c r="D57" s="181" t="s">
        <v>1618</v>
      </c>
      <c r="E57" s="182" t="s">
        <v>1619</v>
      </c>
      <c r="F57" s="183">
        <v>76665</v>
      </c>
      <c r="G57" s="184">
        <v>314.98</v>
      </c>
      <c r="H57" s="181">
        <v>400</v>
      </c>
      <c r="I57" s="181" t="s">
        <v>292</v>
      </c>
      <c r="J57" s="191">
        <v>352.22</v>
      </c>
      <c r="K57" s="191">
        <v>400</v>
      </c>
      <c r="L57" s="199" t="s">
        <v>610</v>
      </c>
      <c r="M57" s="211" t="s">
        <v>1620</v>
      </c>
      <c r="N57" s="185" t="s">
        <v>396</v>
      </c>
      <c r="O57" s="185" t="s">
        <v>309</v>
      </c>
      <c r="P57" s="185" t="s">
        <v>773</v>
      </c>
      <c r="Q57" s="185"/>
      <c r="R57" s="185" t="s">
        <v>381</v>
      </c>
      <c r="S57" s="185" t="s">
        <v>295</v>
      </c>
      <c r="T57" s="185" t="s">
        <v>379</v>
      </c>
    </row>
    <row r="58" spans="1:20" outlineLevel="1">
      <c r="A58" s="199" t="s">
        <v>212</v>
      </c>
      <c r="B58" s="181" t="s">
        <v>1566</v>
      </c>
      <c r="C58" s="190">
        <v>43663</v>
      </c>
      <c r="D58" s="181" t="s">
        <v>1621</v>
      </c>
      <c r="E58" s="182" t="s">
        <v>1622</v>
      </c>
      <c r="F58" s="183">
        <v>76665</v>
      </c>
      <c r="G58" s="184">
        <v>157.49</v>
      </c>
      <c r="H58" s="181">
        <v>200</v>
      </c>
      <c r="I58" s="181" t="s">
        <v>292</v>
      </c>
      <c r="J58" s="191">
        <v>176.11</v>
      </c>
      <c r="K58" s="191">
        <v>200</v>
      </c>
      <c r="L58" s="199" t="s">
        <v>1478</v>
      </c>
      <c r="M58" s="211" t="s">
        <v>1623</v>
      </c>
      <c r="N58" s="185" t="s">
        <v>396</v>
      </c>
      <c r="O58" s="185" t="s">
        <v>309</v>
      </c>
      <c r="P58" s="185"/>
      <c r="Q58" s="185"/>
      <c r="R58" s="185" t="s">
        <v>381</v>
      </c>
      <c r="S58" s="185" t="s">
        <v>295</v>
      </c>
      <c r="T58" s="185" t="s">
        <v>379</v>
      </c>
    </row>
    <row r="59" spans="1:20" outlineLevel="1">
      <c r="A59" s="199" t="s">
        <v>212</v>
      </c>
      <c r="B59" s="181" t="s">
        <v>1566</v>
      </c>
      <c r="C59" s="190">
        <v>43663</v>
      </c>
      <c r="D59" s="181" t="s">
        <v>1621</v>
      </c>
      <c r="E59" s="182" t="s">
        <v>1624</v>
      </c>
      <c r="F59" s="183">
        <v>76665</v>
      </c>
      <c r="G59" s="184">
        <v>157.49</v>
      </c>
      <c r="H59" s="181">
        <v>200</v>
      </c>
      <c r="I59" s="181" t="s">
        <v>292</v>
      </c>
      <c r="J59" s="191">
        <v>176.11</v>
      </c>
      <c r="K59" s="191">
        <v>200</v>
      </c>
      <c r="L59" s="199" t="s">
        <v>1128</v>
      </c>
      <c r="M59" s="211" t="s">
        <v>1625</v>
      </c>
      <c r="N59" s="185" t="s">
        <v>396</v>
      </c>
      <c r="O59" s="185" t="s">
        <v>309</v>
      </c>
      <c r="P59" s="185"/>
      <c r="Q59" s="185"/>
      <c r="R59" s="185" t="s">
        <v>381</v>
      </c>
      <c r="S59" s="185" t="s">
        <v>295</v>
      </c>
      <c r="T59" s="185" t="s">
        <v>379</v>
      </c>
    </row>
    <row r="60" spans="1:20" outlineLevel="1">
      <c r="A60" s="199" t="s">
        <v>212</v>
      </c>
      <c r="B60" s="181" t="s">
        <v>1566</v>
      </c>
      <c r="C60" s="190">
        <v>43663</v>
      </c>
      <c r="D60" s="181" t="s">
        <v>1621</v>
      </c>
      <c r="E60" s="182" t="s">
        <v>1626</v>
      </c>
      <c r="F60" s="183">
        <v>76665</v>
      </c>
      <c r="G60" s="184">
        <v>472.47</v>
      </c>
      <c r="H60" s="181">
        <v>600</v>
      </c>
      <c r="I60" s="181" t="s">
        <v>292</v>
      </c>
      <c r="J60" s="191">
        <v>528.32000000000005</v>
      </c>
      <c r="K60" s="191">
        <v>600</v>
      </c>
      <c r="L60" s="199" t="s">
        <v>1128</v>
      </c>
      <c r="M60" s="211" t="s">
        <v>1625</v>
      </c>
      <c r="N60" s="185" t="s">
        <v>396</v>
      </c>
      <c r="O60" s="185" t="s">
        <v>309</v>
      </c>
      <c r="P60" s="185"/>
      <c r="Q60" s="185"/>
      <c r="R60" s="185" t="s">
        <v>381</v>
      </c>
      <c r="S60" s="185" t="s">
        <v>295</v>
      </c>
      <c r="T60" s="185" t="s">
        <v>379</v>
      </c>
    </row>
    <row r="61" spans="1:20" outlineLevel="1">
      <c r="A61" s="199" t="s">
        <v>212</v>
      </c>
      <c r="B61" s="181" t="s">
        <v>1566</v>
      </c>
      <c r="C61" s="190">
        <v>43663</v>
      </c>
      <c r="D61" s="181" t="s">
        <v>1621</v>
      </c>
      <c r="E61" s="182" t="s">
        <v>1627</v>
      </c>
      <c r="F61" s="183">
        <v>76665</v>
      </c>
      <c r="G61" s="184">
        <v>15.75</v>
      </c>
      <c r="H61" s="181">
        <v>20</v>
      </c>
      <c r="I61" s="181" t="s">
        <v>292</v>
      </c>
      <c r="J61" s="191">
        <v>17.61</v>
      </c>
      <c r="K61" s="191">
        <v>20</v>
      </c>
      <c r="L61" s="199" t="s">
        <v>1128</v>
      </c>
      <c r="M61" s="211" t="s">
        <v>1625</v>
      </c>
      <c r="N61" s="185" t="s">
        <v>396</v>
      </c>
      <c r="O61" s="185" t="s">
        <v>309</v>
      </c>
      <c r="P61" s="185"/>
      <c r="Q61" s="185"/>
      <c r="R61" s="185" t="s">
        <v>381</v>
      </c>
      <c r="S61" s="185" t="s">
        <v>295</v>
      </c>
      <c r="T61" s="185" t="s">
        <v>379</v>
      </c>
    </row>
    <row r="62" spans="1:20">
      <c r="A62" s="212" t="s">
        <v>378</v>
      </c>
      <c r="B62" s="212"/>
      <c r="C62" s="212"/>
      <c r="D62" s="212"/>
      <c r="E62" s="213"/>
      <c r="F62" s="214"/>
      <c r="G62" s="215">
        <f>SUM(G57:G61)</f>
        <v>1118.18</v>
      </c>
      <c r="H62" s="216">
        <f>SUM(H57:H61)</f>
        <v>1420</v>
      </c>
      <c r="I62" s="212"/>
      <c r="J62" s="216">
        <f>SUM(J57:J61)</f>
        <v>1250.3700000000001</v>
      </c>
      <c r="K62" s="216">
        <f>SUM(K57:K61)</f>
        <v>1420</v>
      </c>
      <c r="L62" s="212"/>
      <c r="M62" s="213"/>
      <c r="N62" s="212"/>
      <c r="O62" s="212"/>
      <c r="P62" s="212"/>
      <c r="Q62" s="212"/>
      <c r="R62" s="212"/>
      <c r="S62" s="212"/>
      <c r="T62" s="212"/>
    </row>
    <row r="63" spans="1:20" outlineLevel="1">
      <c r="A63" s="199" t="s">
        <v>213</v>
      </c>
      <c r="B63" s="181" t="s">
        <v>1566</v>
      </c>
      <c r="C63" s="190">
        <v>43663</v>
      </c>
      <c r="D63" s="181" t="s">
        <v>1621</v>
      </c>
      <c r="E63" s="182" t="s">
        <v>1628</v>
      </c>
      <c r="F63" s="183">
        <v>76665</v>
      </c>
      <c r="G63" s="184">
        <v>94.49</v>
      </c>
      <c r="H63" s="181">
        <v>120</v>
      </c>
      <c r="I63" s="181" t="s">
        <v>292</v>
      </c>
      <c r="J63" s="191">
        <v>105.66</v>
      </c>
      <c r="K63" s="191">
        <v>120</v>
      </c>
      <c r="L63" s="199" t="s">
        <v>716</v>
      </c>
      <c r="M63" s="211" t="s">
        <v>1629</v>
      </c>
      <c r="N63" s="185" t="s">
        <v>396</v>
      </c>
      <c r="O63" s="185" t="s">
        <v>309</v>
      </c>
      <c r="P63" s="185"/>
      <c r="Q63" s="185"/>
      <c r="R63" s="185" t="s">
        <v>381</v>
      </c>
      <c r="S63" s="185" t="s">
        <v>295</v>
      </c>
      <c r="T63" s="185" t="s">
        <v>379</v>
      </c>
    </row>
    <row r="64" spans="1:20" outlineLevel="1">
      <c r="A64" s="199" t="s">
        <v>213</v>
      </c>
      <c r="B64" s="181" t="s">
        <v>1566</v>
      </c>
      <c r="C64" s="190">
        <v>43663</v>
      </c>
      <c r="D64" s="181" t="s">
        <v>1621</v>
      </c>
      <c r="E64" s="182" t="s">
        <v>1630</v>
      </c>
      <c r="F64" s="183">
        <v>76665</v>
      </c>
      <c r="G64" s="184">
        <v>94.49</v>
      </c>
      <c r="H64" s="181">
        <v>120</v>
      </c>
      <c r="I64" s="181" t="s">
        <v>292</v>
      </c>
      <c r="J64" s="191">
        <v>105.66</v>
      </c>
      <c r="K64" s="191">
        <v>120</v>
      </c>
      <c r="L64" s="199" t="s">
        <v>716</v>
      </c>
      <c r="M64" s="211" t="s">
        <v>1629</v>
      </c>
      <c r="N64" s="185" t="s">
        <v>396</v>
      </c>
      <c r="O64" s="185" t="s">
        <v>309</v>
      </c>
      <c r="P64" s="185"/>
      <c r="Q64" s="185"/>
      <c r="R64" s="185" t="s">
        <v>381</v>
      </c>
      <c r="S64" s="185" t="s">
        <v>295</v>
      </c>
      <c r="T64" s="185" t="s">
        <v>379</v>
      </c>
    </row>
    <row r="65" spans="1:20" outlineLevel="1">
      <c r="A65" s="199" t="s">
        <v>213</v>
      </c>
      <c r="B65" s="181" t="s">
        <v>1566</v>
      </c>
      <c r="C65" s="190">
        <v>43663</v>
      </c>
      <c r="D65" s="181" t="s">
        <v>1621</v>
      </c>
      <c r="E65" s="182" t="s">
        <v>1631</v>
      </c>
      <c r="F65" s="183">
        <v>76665</v>
      </c>
      <c r="G65" s="184">
        <v>94.49</v>
      </c>
      <c r="H65" s="181">
        <v>120</v>
      </c>
      <c r="I65" s="181" t="s">
        <v>292</v>
      </c>
      <c r="J65" s="191">
        <v>105.66</v>
      </c>
      <c r="K65" s="191">
        <v>120</v>
      </c>
      <c r="L65" s="199" t="s">
        <v>716</v>
      </c>
      <c r="M65" s="211" t="s">
        <v>1629</v>
      </c>
      <c r="N65" s="185" t="s">
        <v>396</v>
      </c>
      <c r="O65" s="185" t="s">
        <v>309</v>
      </c>
      <c r="P65" s="185"/>
      <c r="Q65" s="185"/>
      <c r="R65" s="185" t="s">
        <v>381</v>
      </c>
      <c r="S65" s="185" t="s">
        <v>295</v>
      </c>
      <c r="T65" s="185" t="s">
        <v>379</v>
      </c>
    </row>
    <row r="66" spans="1:20" outlineLevel="1">
      <c r="A66" s="199" t="s">
        <v>213</v>
      </c>
      <c r="B66" s="181" t="s">
        <v>1566</v>
      </c>
      <c r="C66" s="190">
        <v>43663</v>
      </c>
      <c r="D66" s="181" t="s">
        <v>1621</v>
      </c>
      <c r="E66" s="182" t="s">
        <v>1632</v>
      </c>
      <c r="F66" s="183">
        <v>76665</v>
      </c>
      <c r="G66" s="184">
        <v>94.49</v>
      </c>
      <c r="H66" s="181">
        <v>120</v>
      </c>
      <c r="I66" s="181" t="s">
        <v>292</v>
      </c>
      <c r="J66" s="191">
        <v>105.66</v>
      </c>
      <c r="K66" s="191">
        <v>120</v>
      </c>
      <c r="L66" s="199" t="s">
        <v>716</v>
      </c>
      <c r="M66" s="211" t="s">
        <v>1629</v>
      </c>
      <c r="N66" s="185" t="s">
        <v>396</v>
      </c>
      <c r="O66" s="185" t="s">
        <v>309</v>
      </c>
      <c r="P66" s="185"/>
      <c r="Q66" s="185"/>
      <c r="R66" s="185" t="s">
        <v>381</v>
      </c>
      <c r="S66" s="185" t="s">
        <v>295</v>
      </c>
      <c r="T66" s="185" t="s">
        <v>379</v>
      </c>
    </row>
    <row r="67" spans="1:20" outlineLevel="1">
      <c r="A67" s="199" t="s">
        <v>213</v>
      </c>
      <c r="B67" s="181" t="s">
        <v>1566</v>
      </c>
      <c r="C67" s="190">
        <v>43663</v>
      </c>
      <c r="D67" s="181" t="s">
        <v>1621</v>
      </c>
      <c r="E67" s="182" t="s">
        <v>1633</v>
      </c>
      <c r="F67" s="183">
        <v>76665</v>
      </c>
      <c r="G67" s="184">
        <v>94.49</v>
      </c>
      <c r="H67" s="181">
        <v>120</v>
      </c>
      <c r="I67" s="181" t="s">
        <v>292</v>
      </c>
      <c r="J67" s="191">
        <v>105.66</v>
      </c>
      <c r="K67" s="191">
        <v>120</v>
      </c>
      <c r="L67" s="199" t="s">
        <v>716</v>
      </c>
      <c r="M67" s="211" t="s">
        <v>1629</v>
      </c>
      <c r="N67" s="185" t="s">
        <v>396</v>
      </c>
      <c r="O67" s="185" t="s">
        <v>309</v>
      </c>
      <c r="P67" s="185"/>
      <c r="Q67" s="185"/>
      <c r="R67" s="185" t="s">
        <v>381</v>
      </c>
      <c r="S67" s="185" t="s">
        <v>295</v>
      </c>
      <c r="T67" s="185" t="s">
        <v>379</v>
      </c>
    </row>
    <row r="68" spans="1:20" outlineLevel="1">
      <c r="A68" s="199" t="s">
        <v>213</v>
      </c>
      <c r="B68" s="181" t="s">
        <v>1566</v>
      </c>
      <c r="C68" s="190">
        <v>43663</v>
      </c>
      <c r="D68" s="181" t="s">
        <v>1621</v>
      </c>
      <c r="E68" s="182" t="s">
        <v>1634</v>
      </c>
      <c r="F68" s="183">
        <v>76665</v>
      </c>
      <c r="G68" s="184">
        <v>94.49</v>
      </c>
      <c r="H68" s="181">
        <v>120</v>
      </c>
      <c r="I68" s="181" t="s">
        <v>292</v>
      </c>
      <c r="J68" s="191">
        <v>105.66</v>
      </c>
      <c r="K68" s="191">
        <v>120</v>
      </c>
      <c r="L68" s="199" t="s">
        <v>716</v>
      </c>
      <c r="M68" s="211" t="s">
        <v>1629</v>
      </c>
      <c r="N68" s="185" t="s">
        <v>396</v>
      </c>
      <c r="O68" s="185" t="s">
        <v>309</v>
      </c>
      <c r="P68" s="185"/>
      <c r="Q68" s="185"/>
      <c r="R68" s="185" t="s">
        <v>381</v>
      </c>
      <c r="S68" s="185" t="s">
        <v>295</v>
      </c>
      <c r="T68" s="185" t="s">
        <v>379</v>
      </c>
    </row>
    <row r="69" spans="1:20" outlineLevel="1">
      <c r="A69" s="199" t="s">
        <v>213</v>
      </c>
      <c r="B69" s="181" t="s">
        <v>1566</v>
      </c>
      <c r="C69" s="190">
        <v>43663</v>
      </c>
      <c r="D69" s="181" t="s">
        <v>1621</v>
      </c>
      <c r="E69" s="182" t="s">
        <v>1635</v>
      </c>
      <c r="F69" s="183">
        <v>76665</v>
      </c>
      <c r="G69" s="184">
        <v>94.49</v>
      </c>
      <c r="H69" s="181">
        <v>120</v>
      </c>
      <c r="I69" s="181" t="s">
        <v>292</v>
      </c>
      <c r="J69" s="191">
        <v>105.66</v>
      </c>
      <c r="K69" s="191">
        <v>120</v>
      </c>
      <c r="L69" s="199" t="s">
        <v>716</v>
      </c>
      <c r="M69" s="211" t="s">
        <v>1629</v>
      </c>
      <c r="N69" s="185" t="s">
        <v>396</v>
      </c>
      <c r="O69" s="185" t="s">
        <v>309</v>
      </c>
      <c r="P69" s="185"/>
      <c r="Q69" s="185"/>
      <c r="R69" s="185" t="s">
        <v>381</v>
      </c>
      <c r="S69" s="185" t="s">
        <v>295</v>
      </c>
      <c r="T69" s="185" t="s">
        <v>379</v>
      </c>
    </row>
    <row r="70" spans="1:20" outlineLevel="1">
      <c r="A70" s="199" t="s">
        <v>213</v>
      </c>
      <c r="B70" s="181" t="s">
        <v>1566</v>
      </c>
      <c r="C70" s="190">
        <v>43663</v>
      </c>
      <c r="D70" s="181" t="s">
        <v>1621</v>
      </c>
      <c r="E70" s="182" t="s">
        <v>1636</v>
      </c>
      <c r="F70" s="183">
        <v>76665</v>
      </c>
      <c r="G70" s="184">
        <v>94.49</v>
      </c>
      <c r="H70" s="181">
        <v>120</v>
      </c>
      <c r="I70" s="181" t="s">
        <v>292</v>
      </c>
      <c r="J70" s="191">
        <v>105.66</v>
      </c>
      <c r="K70" s="191">
        <v>120</v>
      </c>
      <c r="L70" s="199" t="s">
        <v>716</v>
      </c>
      <c r="M70" s="211" t="s">
        <v>1629</v>
      </c>
      <c r="N70" s="185" t="s">
        <v>396</v>
      </c>
      <c r="O70" s="185" t="s">
        <v>309</v>
      </c>
      <c r="P70" s="185"/>
      <c r="Q70" s="185"/>
      <c r="R70" s="185" t="s">
        <v>381</v>
      </c>
      <c r="S70" s="185" t="s">
        <v>295</v>
      </c>
      <c r="T70" s="185" t="s">
        <v>379</v>
      </c>
    </row>
    <row r="71" spans="1:20" outlineLevel="1">
      <c r="A71" s="199" t="s">
        <v>213</v>
      </c>
      <c r="B71" s="181" t="s">
        <v>1566</v>
      </c>
      <c r="C71" s="190">
        <v>43663</v>
      </c>
      <c r="D71" s="181" t="s">
        <v>1621</v>
      </c>
      <c r="E71" s="182" t="s">
        <v>1637</v>
      </c>
      <c r="F71" s="183">
        <v>76665</v>
      </c>
      <c r="G71" s="184">
        <v>94.49</v>
      </c>
      <c r="H71" s="181">
        <v>120</v>
      </c>
      <c r="I71" s="181" t="s">
        <v>292</v>
      </c>
      <c r="J71" s="191">
        <v>105.66</v>
      </c>
      <c r="K71" s="191">
        <v>120</v>
      </c>
      <c r="L71" s="199" t="s">
        <v>716</v>
      </c>
      <c r="M71" s="211" t="s">
        <v>1629</v>
      </c>
      <c r="N71" s="185" t="s">
        <v>396</v>
      </c>
      <c r="O71" s="185" t="s">
        <v>309</v>
      </c>
      <c r="P71" s="185"/>
      <c r="Q71" s="185"/>
      <c r="R71" s="185" t="s">
        <v>381</v>
      </c>
      <c r="S71" s="185" t="s">
        <v>295</v>
      </c>
      <c r="T71" s="185" t="s">
        <v>379</v>
      </c>
    </row>
    <row r="72" spans="1:20" outlineLevel="1">
      <c r="A72" s="199" t="s">
        <v>213</v>
      </c>
      <c r="B72" s="181" t="s">
        <v>1566</v>
      </c>
      <c r="C72" s="190">
        <v>43663</v>
      </c>
      <c r="D72" s="181" t="s">
        <v>1621</v>
      </c>
      <c r="E72" s="182" t="s">
        <v>1638</v>
      </c>
      <c r="F72" s="183">
        <v>76665</v>
      </c>
      <c r="G72" s="184">
        <v>94.49</v>
      </c>
      <c r="H72" s="181">
        <v>120</v>
      </c>
      <c r="I72" s="181" t="s">
        <v>292</v>
      </c>
      <c r="J72" s="191">
        <v>105.66</v>
      </c>
      <c r="K72" s="191">
        <v>120</v>
      </c>
      <c r="L72" s="199" t="s">
        <v>716</v>
      </c>
      <c r="M72" s="211" t="s">
        <v>1629</v>
      </c>
      <c r="N72" s="185" t="s">
        <v>396</v>
      </c>
      <c r="O72" s="185" t="s">
        <v>309</v>
      </c>
      <c r="P72" s="185"/>
      <c r="Q72" s="185"/>
      <c r="R72" s="185" t="s">
        <v>381</v>
      </c>
      <c r="S72" s="185" t="s">
        <v>295</v>
      </c>
      <c r="T72" s="185" t="s">
        <v>379</v>
      </c>
    </row>
    <row r="73" spans="1:20" outlineLevel="1">
      <c r="A73" s="199" t="s">
        <v>213</v>
      </c>
      <c r="B73" s="181" t="s">
        <v>1566</v>
      </c>
      <c r="C73" s="190">
        <v>43663</v>
      </c>
      <c r="D73" s="181" t="s">
        <v>1621</v>
      </c>
      <c r="E73" s="182" t="s">
        <v>1639</v>
      </c>
      <c r="F73" s="183">
        <v>76665</v>
      </c>
      <c r="G73" s="184">
        <v>94.49</v>
      </c>
      <c r="H73" s="181">
        <v>120</v>
      </c>
      <c r="I73" s="181" t="s">
        <v>292</v>
      </c>
      <c r="J73" s="191">
        <v>105.66</v>
      </c>
      <c r="K73" s="191">
        <v>120</v>
      </c>
      <c r="L73" s="199" t="s">
        <v>716</v>
      </c>
      <c r="M73" s="211" t="s">
        <v>1629</v>
      </c>
      <c r="N73" s="185" t="s">
        <v>396</v>
      </c>
      <c r="O73" s="185" t="s">
        <v>309</v>
      </c>
      <c r="P73" s="185"/>
      <c r="Q73" s="185"/>
      <c r="R73" s="185" t="s">
        <v>381</v>
      </c>
      <c r="S73" s="185" t="s">
        <v>295</v>
      </c>
      <c r="T73" s="185" t="s">
        <v>379</v>
      </c>
    </row>
    <row r="74" spans="1:20" outlineLevel="1">
      <c r="A74" s="199" t="s">
        <v>213</v>
      </c>
      <c r="B74" s="181" t="s">
        <v>1566</v>
      </c>
      <c r="C74" s="190">
        <v>43663</v>
      </c>
      <c r="D74" s="181" t="s">
        <v>1621</v>
      </c>
      <c r="E74" s="182" t="s">
        <v>1640</v>
      </c>
      <c r="F74" s="183">
        <v>76665</v>
      </c>
      <c r="G74" s="184">
        <v>94.49</v>
      </c>
      <c r="H74" s="181">
        <v>120</v>
      </c>
      <c r="I74" s="181" t="s">
        <v>292</v>
      </c>
      <c r="J74" s="191">
        <v>105.66</v>
      </c>
      <c r="K74" s="191">
        <v>120</v>
      </c>
      <c r="L74" s="199" t="s">
        <v>716</v>
      </c>
      <c r="M74" s="211" t="s">
        <v>1629</v>
      </c>
      <c r="N74" s="185" t="s">
        <v>396</v>
      </c>
      <c r="O74" s="185" t="s">
        <v>309</v>
      </c>
      <c r="P74" s="185"/>
      <c r="Q74" s="185"/>
      <c r="R74" s="185" t="s">
        <v>381</v>
      </c>
      <c r="S74" s="185" t="s">
        <v>295</v>
      </c>
      <c r="T74" s="185" t="s">
        <v>379</v>
      </c>
    </row>
    <row r="75" spans="1:20" outlineLevel="1">
      <c r="A75" s="199" t="s">
        <v>213</v>
      </c>
      <c r="B75" s="181" t="s">
        <v>1566</v>
      </c>
      <c r="C75" s="190">
        <v>43663</v>
      </c>
      <c r="D75" s="181" t="s">
        <v>1621</v>
      </c>
      <c r="E75" s="182" t="s">
        <v>1641</v>
      </c>
      <c r="F75" s="183">
        <v>76665</v>
      </c>
      <c r="G75" s="184">
        <v>94.49</v>
      </c>
      <c r="H75" s="181">
        <v>120</v>
      </c>
      <c r="I75" s="181" t="s">
        <v>292</v>
      </c>
      <c r="J75" s="191">
        <v>105.66</v>
      </c>
      <c r="K75" s="191">
        <v>120</v>
      </c>
      <c r="L75" s="199" t="s">
        <v>716</v>
      </c>
      <c r="M75" s="211" t="s">
        <v>1629</v>
      </c>
      <c r="N75" s="185" t="s">
        <v>396</v>
      </c>
      <c r="O75" s="185" t="s">
        <v>309</v>
      </c>
      <c r="P75" s="185"/>
      <c r="Q75" s="185"/>
      <c r="R75" s="185" t="s">
        <v>381</v>
      </c>
      <c r="S75" s="185" t="s">
        <v>295</v>
      </c>
      <c r="T75" s="185" t="s">
        <v>379</v>
      </c>
    </row>
    <row r="76" spans="1:20" outlineLevel="1">
      <c r="A76" s="199" t="s">
        <v>213</v>
      </c>
      <c r="B76" s="181" t="s">
        <v>1566</v>
      </c>
      <c r="C76" s="190">
        <v>43663</v>
      </c>
      <c r="D76" s="181" t="s">
        <v>1621</v>
      </c>
      <c r="E76" s="182" t="s">
        <v>1642</v>
      </c>
      <c r="F76" s="183">
        <v>76665</v>
      </c>
      <c r="G76" s="184">
        <v>94.49</v>
      </c>
      <c r="H76" s="181">
        <v>120</v>
      </c>
      <c r="I76" s="181" t="s">
        <v>292</v>
      </c>
      <c r="J76" s="191">
        <v>105.66</v>
      </c>
      <c r="K76" s="191">
        <v>120</v>
      </c>
      <c r="L76" s="199" t="s">
        <v>716</v>
      </c>
      <c r="M76" s="211" t="s">
        <v>1629</v>
      </c>
      <c r="N76" s="185" t="s">
        <v>396</v>
      </c>
      <c r="O76" s="185" t="s">
        <v>309</v>
      </c>
      <c r="P76" s="185"/>
      <c r="Q76" s="185"/>
      <c r="R76" s="185" t="s">
        <v>381</v>
      </c>
      <c r="S76" s="185" t="s">
        <v>295</v>
      </c>
      <c r="T76" s="185" t="s">
        <v>379</v>
      </c>
    </row>
    <row r="77" spans="1:20" outlineLevel="1">
      <c r="A77" s="199" t="s">
        <v>213</v>
      </c>
      <c r="B77" s="181" t="s">
        <v>1566</v>
      </c>
      <c r="C77" s="190">
        <v>43663</v>
      </c>
      <c r="D77" s="181" t="s">
        <v>1621</v>
      </c>
      <c r="E77" s="182" t="s">
        <v>1643</v>
      </c>
      <c r="F77" s="183">
        <v>76665</v>
      </c>
      <c r="G77" s="184">
        <v>94.49</v>
      </c>
      <c r="H77" s="181">
        <v>120</v>
      </c>
      <c r="I77" s="181" t="s">
        <v>292</v>
      </c>
      <c r="J77" s="191">
        <v>105.66</v>
      </c>
      <c r="K77" s="191">
        <v>120</v>
      </c>
      <c r="L77" s="199" t="s">
        <v>716</v>
      </c>
      <c r="M77" s="211" t="s">
        <v>1629</v>
      </c>
      <c r="N77" s="185" t="s">
        <v>396</v>
      </c>
      <c r="O77" s="185" t="s">
        <v>309</v>
      </c>
      <c r="P77" s="185"/>
      <c r="Q77" s="185"/>
      <c r="R77" s="185" t="s">
        <v>381</v>
      </c>
      <c r="S77" s="185" t="s">
        <v>295</v>
      </c>
      <c r="T77" s="185" t="s">
        <v>379</v>
      </c>
    </row>
    <row r="78" spans="1:20">
      <c r="A78" s="212" t="s">
        <v>378</v>
      </c>
      <c r="B78" s="212"/>
      <c r="C78" s="212"/>
      <c r="D78" s="212"/>
      <c r="E78" s="213"/>
      <c r="F78" s="214"/>
      <c r="G78" s="215">
        <f>SUM(G63:G77)</f>
        <v>1417.35</v>
      </c>
      <c r="H78" s="216">
        <f>SUM(H63:H77)</f>
        <v>1800</v>
      </c>
      <c r="I78" s="212"/>
      <c r="J78" s="216">
        <f>SUM(J63:J77)</f>
        <v>1584.9000000000003</v>
      </c>
      <c r="K78" s="216">
        <f>SUM(K63:K77)</f>
        <v>1800</v>
      </c>
      <c r="L78" s="212"/>
      <c r="M78" s="213"/>
      <c r="N78" s="212"/>
      <c r="O78" s="212"/>
      <c r="P78" s="212"/>
      <c r="Q78" s="212"/>
      <c r="R78" s="212"/>
      <c r="S78" s="212"/>
      <c r="T78" s="212"/>
    </row>
    <row r="79" spans="1:20" outlineLevel="1">
      <c r="A79" s="199" t="s">
        <v>214</v>
      </c>
      <c r="B79" s="181" t="s">
        <v>1567</v>
      </c>
      <c r="C79" s="190">
        <v>43668</v>
      </c>
      <c r="D79" s="181" t="s">
        <v>1607</v>
      </c>
      <c r="E79" s="182" t="s">
        <v>766</v>
      </c>
      <c r="F79" s="183">
        <v>77196</v>
      </c>
      <c r="G79" s="184">
        <v>45.19</v>
      </c>
      <c r="H79" s="181">
        <v>60</v>
      </c>
      <c r="I79" s="181" t="s">
        <v>292</v>
      </c>
      <c r="J79" s="191">
        <v>54.49</v>
      </c>
      <c r="K79" s="191">
        <v>60</v>
      </c>
      <c r="L79" s="199" t="s">
        <v>752</v>
      </c>
      <c r="M79" s="211" t="s">
        <v>1587</v>
      </c>
      <c r="N79" s="185" t="s">
        <v>396</v>
      </c>
      <c r="O79" s="185" t="s">
        <v>309</v>
      </c>
      <c r="P79" s="185"/>
      <c r="Q79" s="185" t="s">
        <v>740</v>
      </c>
      <c r="R79" s="185" t="s">
        <v>381</v>
      </c>
      <c r="S79" s="185" t="s">
        <v>295</v>
      </c>
      <c r="T79" s="185" t="s">
        <v>379</v>
      </c>
    </row>
    <row r="80" spans="1:20" outlineLevel="1">
      <c r="A80" s="199" t="s">
        <v>214</v>
      </c>
      <c r="B80" s="181" t="s">
        <v>1567</v>
      </c>
      <c r="C80" s="190">
        <v>43669</v>
      </c>
      <c r="D80" s="181" t="s">
        <v>1607</v>
      </c>
      <c r="E80" s="182" t="s">
        <v>1644</v>
      </c>
      <c r="F80" s="183">
        <v>77196</v>
      </c>
      <c r="G80" s="184">
        <v>32.39</v>
      </c>
      <c r="H80" s="181">
        <v>43</v>
      </c>
      <c r="I80" s="181" t="s">
        <v>292</v>
      </c>
      <c r="J80" s="191">
        <v>39.049999999999997</v>
      </c>
      <c r="K80" s="191">
        <v>43</v>
      </c>
      <c r="L80" s="199" t="s">
        <v>752</v>
      </c>
      <c r="M80" s="211" t="s">
        <v>1587</v>
      </c>
      <c r="N80" s="185" t="s">
        <v>396</v>
      </c>
      <c r="O80" s="185" t="s">
        <v>309</v>
      </c>
      <c r="P80" s="185"/>
      <c r="Q80" s="185" t="s">
        <v>740</v>
      </c>
      <c r="R80" s="185" t="s">
        <v>381</v>
      </c>
      <c r="S80" s="185" t="s">
        <v>295</v>
      </c>
      <c r="T80" s="185" t="s">
        <v>379</v>
      </c>
    </row>
    <row r="81" spans="1:20" outlineLevel="1">
      <c r="A81" s="199" t="s">
        <v>214</v>
      </c>
      <c r="B81" s="181" t="s">
        <v>1567</v>
      </c>
      <c r="C81" s="190">
        <v>43669</v>
      </c>
      <c r="D81" s="181" t="s">
        <v>1607</v>
      </c>
      <c r="E81" s="182" t="s">
        <v>1645</v>
      </c>
      <c r="F81" s="183">
        <v>77196</v>
      </c>
      <c r="G81" s="184">
        <v>15.06</v>
      </c>
      <c r="H81" s="181">
        <v>20</v>
      </c>
      <c r="I81" s="181" t="s">
        <v>292</v>
      </c>
      <c r="J81" s="191">
        <v>18.16</v>
      </c>
      <c r="K81" s="191">
        <v>20</v>
      </c>
      <c r="L81" s="199" t="s">
        <v>752</v>
      </c>
      <c r="M81" s="211" t="s">
        <v>1587</v>
      </c>
      <c r="N81" s="185" t="s">
        <v>396</v>
      </c>
      <c r="O81" s="185" t="s">
        <v>309</v>
      </c>
      <c r="P81" s="185"/>
      <c r="Q81" s="185" t="s">
        <v>740</v>
      </c>
      <c r="R81" s="185" t="s">
        <v>381</v>
      </c>
      <c r="S81" s="185" t="s">
        <v>295</v>
      </c>
      <c r="T81" s="185" t="s">
        <v>379</v>
      </c>
    </row>
    <row r="82" spans="1:20" outlineLevel="1">
      <c r="A82" s="199" t="s">
        <v>214</v>
      </c>
      <c r="B82" s="181" t="s">
        <v>1567</v>
      </c>
      <c r="C82" s="190">
        <v>43669</v>
      </c>
      <c r="D82" s="181" t="s">
        <v>1607</v>
      </c>
      <c r="E82" s="182" t="s">
        <v>1646</v>
      </c>
      <c r="F82" s="183">
        <v>77196</v>
      </c>
      <c r="G82" s="184">
        <v>94.15</v>
      </c>
      <c r="H82" s="181">
        <v>125</v>
      </c>
      <c r="I82" s="181" t="s">
        <v>292</v>
      </c>
      <c r="J82" s="191">
        <v>113.53</v>
      </c>
      <c r="K82" s="191">
        <v>125</v>
      </c>
      <c r="L82" s="199" t="s">
        <v>752</v>
      </c>
      <c r="M82" s="211" t="s">
        <v>1587</v>
      </c>
      <c r="N82" s="185" t="s">
        <v>396</v>
      </c>
      <c r="O82" s="185" t="s">
        <v>309</v>
      </c>
      <c r="P82" s="185"/>
      <c r="Q82" s="185" t="s">
        <v>740</v>
      </c>
      <c r="R82" s="185" t="s">
        <v>381</v>
      </c>
      <c r="S82" s="185" t="s">
        <v>295</v>
      </c>
      <c r="T82" s="185" t="s">
        <v>379</v>
      </c>
    </row>
    <row r="83" spans="1:20" outlineLevel="1">
      <c r="A83" s="199" t="s">
        <v>214</v>
      </c>
      <c r="B83" s="181" t="s">
        <v>1567</v>
      </c>
      <c r="C83" s="190">
        <v>43669</v>
      </c>
      <c r="D83" s="181" t="s">
        <v>1607</v>
      </c>
      <c r="E83" s="182" t="s">
        <v>1647</v>
      </c>
      <c r="F83" s="183">
        <v>77196</v>
      </c>
      <c r="G83" s="184">
        <v>188.31</v>
      </c>
      <c r="H83" s="181">
        <v>250</v>
      </c>
      <c r="I83" s="181" t="s">
        <v>292</v>
      </c>
      <c r="J83" s="191">
        <v>227.06</v>
      </c>
      <c r="K83" s="191">
        <v>250</v>
      </c>
      <c r="L83" s="199" t="s">
        <v>752</v>
      </c>
      <c r="M83" s="211" t="s">
        <v>1587</v>
      </c>
      <c r="N83" s="185" t="s">
        <v>396</v>
      </c>
      <c r="O83" s="185" t="s">
        <v>309</v>
      </c>
      <c r="P83" s="185"/>
      <c r="Q83" s="185" t="s">
        <v>740</v>
      </c>
      <c r="R83" s="185" t="s">
        <v>381</v>
      </c>
      <c r="S83" s="185" t="s">
        <v>295</v>
      </c>
      <c r="T83" s="185" t="s">
        <v>379</v>
      </c>
    </row>
    <row r="84" spans="1:20" outlineLevel="1">
      <c r="A84" s="199" t="s">
        <v>214</v>
      </c>
      <c r="B84" s="181" t="s">
        <v>1567</v>
      </c>
      <c r="C84" s="190">
        <v>43738</v>
      </c>
      <c r="D84" s="181" t="s">
        <v>1585</v>
      </c>
      <c r="E84" s="182" t="s">
        <v>1648</v>
      </c>
      <c r="F84" s="183">
        <v>77216</v>
      </c>
      <c r="G84" s="184">
        <v>820.83</v>
      </c>
      <c r="H84" s="181">
        <v>960</v>
      </c>
      <c r="I84" s="181" t="s">
        <v>292</v>
      </c>
      <c r="J84" s="191">
        <v>871.92</v>
      </c>
      <c r="K84" s="191">
        <v>960</v>
      </c>
      <c r="L84" s="199" t="s">
        <v>752</v>
      </c>
      <c r="M84" s="211" t="s">
        <v>1587</v>
      </c>
      <c r="N84" s="185" t="s">
        <v>396</v>
      </c>
      <c r="O84" s="185" t="s">
        <v>309</v>
      </c>
      <c r="P84" s="185"/>
      <c r="Q84" s="185" t="s">
        <v>743</v>
      </c>
      <c r="R84" s="185" t="s">
        <v>381</v>
      </c>
      <c r="S84" s="185" t="s">
        <v>295</v>
      </c>
      <c r="T84" s="185" t="s">
        <v>379</v>
      </c>
    </row>
    <row r="85" spans="1:20" outlineLevel="1">
      <c r="A85" s="199" t="s">
        <v>214</v>
      </c>
      <c r="B85" s="181" t="s">
        <v>1567</v>
      </c>
      <c r="C85" s="190">
        <v>43738</v>
      </c>
      <c r="D85" s="181" t="s">
        <v>1585</v>
      </c>
      <c r="E85" s="182" t="s">
        <v>1649</v>
      </c>
      <c r="F85" s="183">
        <v>77216</v>
      </c>
      <c r="G85" s="184">
        <v>176.99</v>
      </c>
      <c r="H85" s="181">
        <v>207</v>
      </c>
      <c r="I85" s="181" t="s">
        <v>292</v>
      </c>
      <c r="J85" s="191">
        <v>188.01</v>
      </c>
      <c r="K85" s="191">
        <v>207</v>
      </c>
      <c r="L85" s="199" t="s">
        <v>752</v>
      </c>
      <c r="M85" s="211" t="s">
        <v>1587</v>
      </c>
      <c r="N85" s="185" t="s">
        <v>396</v>
      </c>
      <c r="O85" s="185" t="s">
        <v>309</v>
      </c>
      <c r="P85" s="185"/>
      <c r="Q85" s="185" t="s">
        <v>743</v>
      </c>
      <c r="R85" s="185" t="s">
        <v>381</v>
      </c>
      <c r="S85" s="185" t="s">
        <v>295</v>
      </c>
      <c r="T85" s="185" t="s">
        <v>379</v>
      </c>
    </row>
    <row r="86" spans="1:20" outlineLevel="1">
      <c r="A86" s="199" t="s">
        <v>214</v>
      </c>
      <c r="B86" s="181" t="s">
        <v>1567</v>
      </c>
      <c r="C86" s="190">
        <v>43738</v>
      </c>
      <c r="D86" s="181" t="s">
        <v>1585</v>
      </c>
      <c r="E86" s="182" t="s">
        <v>1650</v>
      </c>
      <c r="F86" s="183">
        <v>77216</v>
      </c>
      <c r="G86" s="184">
        <v>76.95</v>
      </c>
      <c r="H86" s="181">
        <v>90</v>
      </c>
      <c r="I86" s="181" t="s">
        <v>292</v>
      </c>
      <c r="J86" s="191">
        <v>81.739999999999995</v>
      </c>
      <c r="K86" s="191">
        <v>90</v>
      </c>
      <c r="L86" s="199" t="s">
        <v>752</v>
      </c>
      <c r="M86" s="211" t="s">
        <v>1587</v>
      </c>
      <c r="N86" s="185" t="s">
        <v>396</v>
      </c>
      <c r="O86" s="185" t="s">
        <v>309</v>
      </c>
      <c r="P86" s="185"/>
      <c r="Q86" s="185" t="s">
        <v>743</v>
      </c>
      <c r="R86" s="185" t="s">
        <v>381</v>
      </c>
      <c r="S86" s="185" t="s">
        <v>295</v>
      </c>
      <c r="T86" s="185" t="s">
        <v>379</v>
      </c>
    </row>
    <row r="87" spans="1:20" outlineLevel="1">
      <c r="A87" s="199" t="s">
        <v>214</v>
      </c>
      <c r="B87" s="181" t="s">
        <v>1567</v>
      </c>
      <c r="C87" s="190">
        <v>43708</v>
      </c>
      <c r="D87" s="181" t="s">
        <v>1592</v>
      </c>
      <c r="E87" s="182" t="s">
        <v>1651</v>
      </c>
      <c r="F87" s="183">
        <v>77217</v>
      </c>
      <c r="G87" s="184">
        <v>225.97</v>
      </c>
      <c r="H87" s="181">
        <v>300</v>
      </c>
      <c r="I87" s="181" t="s">
        <v>292</v>
      </c>
      <c r="J87" s="191">
        <v>272.47000000000003</v>
      </c>
      <c r="K87" s="191">
        <v>300</v>
      </c>
      <c r="L87" s="199" t="s">
        <v>752</v>
      </c>
      <c r="M87" s="211" t="s">
        <v>1587</v>
      </c>
      <c r="N87" s="185" t="s">
        <v>396</v>
      </c>
      <c r="O87" s="185" t="s">
        <v>309</v>
      </c>
      <c r="P87" s="185"/>
      <c r="Q87" s="185" t="s">
        <v>737</v>
      </c>
      <c r="R87" s="185" t="s">
        <v>381</v>
      </c>
      <c r="S87" s="185" t="s">
        <v>295</v>
      </c>
      <c r="T87" s="185" t="s">
        <v>379</v>
      </c>
    </row>
    <row r="88" spans="1:20" outlineLevel="1">
      <c r="A88" s="199" t="s">
        <v>214</v>
      </c>
      <c r="B88" s="181" t="s">
        <v>1567</v>
      </c>
      <c r="C88" s="190">
        <v>43708</v>
      </c>
      <c r="D88" s="181" t="s">
        <v>1592</v>
      </c>
      <c r="E88" s="182" t="s">
        <v>1652</v>
      </c>
      <c r="F88" s="183">
        <v>77217</v>
      </c>
      <c r="G88" s="184">
        <v>1126.08</v>
      </c>
      <c r="H88" s="181">
        <v>1495</v>
      </c>
      <c r="I88" s="181" t="s">
        <v>292</v>
      </c>
      <c r="J88" s="191">
        <v>1357.83</v>
      </c>
      <c r="K88" s="191">
        <v>1495</v>
      </c>
      <c r="L88" s="199" t="s">
        <v>752</v>
      </c>
      <c r="M88" s="211" t="s">
        <v>1587</v>
      </c>
      <c r="N88" s="185" t="s">
        <v>396</v>
      </c>
      <c r="O88" s="185" t="s">
        <v>309</v>
      </c>
      <c r="P88" s="185"/>
      <c r="Q88" s="185" t="s">
        <v>737</v>
      </c>
      <c r="R88" s="185" t="s">
        <v>381</v>
      </c>
      <c r="S88" s="185" t="s">
        <v>295</v>
      </c>
      <c r="T88" s="185" t="s">
        <v>379</v>
      </c>
    </row>
    <row r="89" spans="1:20" outlineLevel="1">
      <c r="A89" s="199" t="s">
        <v>214</v>
      </c>
      <c r="B89" s="181" t="s">
        <v>1567</v>
      </c>
      <c r="C89" s="190">
        <v>43708</v>
      </c>
      <c r="D89" s="181" t="s">
        <v>1592</v>
      </c>
      <c r="E89" s="182" t="s">
        <v>1653</v>
      </c>
      <c r="F89" s="183">
        <v>77217</v>
      </c>
      <c r="G89" s="184">
        <v>677.91</v>
      </c>
      <c r="H89" s="181">
        <v>900</v>
      </c>
      <c r="I89" s="181" t="s">
        <v>292</v>
      </c>
      <c r="J89" s="191">
        <v>817.42</v>
      </c>
      <c r="K89" s="191">
        <v>900</v>
      </c>
      <c r="L89" s="199" t="s">
        <v>752</v>
      </c>
      <c r="M89" s="211" t="s">
        <v>1587</v>
      </c>
      <c r="N89" s="185" t="s">
        <v>396</v>
      </c>
      <c r="O89" s="185" t="s">
        <v>309</v>
      </c>
      <c r="P89" s="185"/>
      <c r="Q89" s="185" t="s">
        <v>737</v>
      </c>
      <c r="R89" s="185" t="s">
        <v>381</v>
      </c>
      <c r="S89" s="185" t="s">
        <v>295</v>
      </c>
      <c r="T89" s="185" t="s">
        <v>379</v>
      </c>
    </row>
    <row r="90" spans="1:20" outlineLevel="1">
      <c r="A90" s="199" t="s">
        <v>214</v>
      </c>
      <c r="B90" s="181" t="s">
        <v>1567</v>
      </c>
      <c r="C90" s="190">
        <v>43671</v>
      </c>
      <c r="D90" s="181" t="s">
        <v>1607</v>
      </c>
      <c r="E90" s="182" t="s">
        <v>1654</v>
      </c>
      <c r="F90" s="183">
        <v>77196</v>
      </c>
      <c r="G90" s="184">
        <v>15.06</v>
      </c>
      <c r="H90" s="181">
        <v>20</v>
      </c>
      <c r="I90" s="181" t="s">
        <v>292</v>
      </c>
      <c r="J90" s="191">
        <v>18.16</v>
      </c>
      <c r="K90" s="191">
        <v>20</v>
      </c>
      <c r="L90" s="199" t="s">
        <v>752</v>
      </c>
      <c r="M90" s="211" t="s">
        <v>1587</v>
      </c>
      <c r="N90" s="185" t="s">
        <v>396</v>
      </c>
      <c r="O90" s="185" t="s">
        <v>309</v>
      </c>
      <c r="P90" s="185"/>
      <c r="Q90" s="185" t="s">
        <v>740</v>
      </c>
      <c r="R90" s="185" t="s">
        <v>381</v>
      </c>
      <c r="S90" s="185" t="s">
        <v>295</v>
      </c>
      <c r="T90" s="185" t="s">
        <v>379</v>
      </c>
    </row>
    <row r="91" spans="1:20" outlineLevel="1">
      <c r="A91" s="199" t="s">
        <v>214</v>
      </c>
      <c r="B91" s="181" t="s">
        <v>1567</v>
      </c>
      <c r="C91" s="190">
        <v>43671</v>
      </c>
      <c r="D91" s="181" t="s">
        <v>1607</v>
      </c>
      <c r="E91" s="182" t="s">
        <v>1646</v>
      </c>
      <c r="F91" s="183">
        <v>77196</v>
      </c>
      <c r="G91" s="184">
        <v>94.15</v>
      </c>
      <c r="H91" s="181">
        <v>125</v>
      </c>
      <c r="I91" s="181" t="s">
        <v>292</v>
      </c>
      <c r="J91" s="191">
        <v>113.53</v>
      </c>
      <c r="K91" s="191">
        <v>125</v>
      </c>
      <c r="L91" s="199" t="s">
        <v>752</v>
      </c>
      <c r="M91" s="211" t="s">
        <v>1587</v>
      </c>
      <c r="N91" s="185" t="s">
        <v>396</v>
      </c>
      <c r="O91" s="185" t="s">
        <v>309</v>
      </c>
      <c r="P91" s="185"/>
      <c r="Q91" s="185" t="s">
        <v>740</v>
      </c>
      <c r="R91" s="185" t="s">
        <v>381</v>
      </c>
      <c r="S91" s="185" t="s">
        <v>295</v>
      </c>
      <c r="T91" s="185" t="s">
        <v>379</v>
      </c>
    </row>
    <row r="92" spans="1:20" outlineLevel="1">
      <c r="A92" s="199" t="s">
        <v>214</v>
      </c>
      <c r="B92" s="181" t="s">
        <v>1567</v>
      </c>
      <c r="C92" s="190">
        <v>43671</v>
      </c>
      <c r="D92" s="181" t="s">
        <v>1607</v>
      </c>
      <c r="E92" s="182" t="s">
        <v>1655</v>
      </c>
      <c r="F92" s="183">
        <v>77196</v>
      </c>
      <c r="G92" s="184">
        <v>188.31</v>
      </c>
      <c r="H92" s="181">
        <v>250</v>
      </c>
      <c r="I92" s="181" t="s">
        <v>292</v>
      </c>
      <c r="J92" s="191">
        <v>227.06</v>
      </c>
      <c r="K92" s="191">
        <v>250</v>
      </c>
      <c r="L92" s="199" t="s">
        <v>752</v>
      </c>
      <c r="M92" s="211" t="s">
        <v>1587</v>
      </c>
      <c r="N92" s="185" t="s">
        <v>396</v>
      </c>
      <c r="O92" s="185" t="s">
        <v>309</v>
      </c>
      <c r="P92" s="185"/>
      <c r="Q92" s="185" t="s">
        <v>740</v>
      </c>
      <c r="R92" s="185" t="s">
        <v>381</v>
      </c>
      <c r="S92" s="185" t="s">
        <v>295</v>
      </c>
      <c r="T92" s="185" t="s">
        <v>379</v>
      </c>
    </row>
    <row r="93" spans="1:20" outlineLevel="1">
      <c r="A93" s="199" t="s">
        <v>214</v>
      </c>
      <c r="B93" s="181" t="s">
        <v>1567</v>
      </c>
      <c r="C93" s="190">
        <v>43670</v>
      </c>
      <c r="D93" s="181" t="s">
        <v>1607</v>
      </c>
      <c r="E93" s="182" t="s">
        <v>1645</v>
      </c>
      <c r="F93" s="183">
        <v>77196</v>
      </c>
      <c r="G93" s="184">
        <v>15.06</v>
      </c>
      <c r="H93" s="181">
        <v>20</v>
      </c>
      <c r="I93" s="181" t="s">
        <v>292</v>
      </c>
      <c r="J93" s="191">
        <v>18.16</v>
      </c>
      <c r="K93" s="191">
        <v>20</v>
      </c>
      <c r="L93" s="199" t="s">
        <v>752</v>
      </c>
      <c r="M93" s="211" t="s">
        <v>1587</v>
      </c>
      <c r="N93" s="185" t="s">
        <v>396</v>
      </c>
      <c r="O93" s="185" t="s">
        <v>309</v>
      </c>
      <c r="P93" s="185"/>
      <c r="Q93" s="185" t="s">
        <v>740</v>
      </c>
      <c r="R93" s="185" t="s">
        <v>381</v>
      </c>
      <c r="S93" s="185" t="s">
        <v>295</v>
      </c>
      <c r="T93" s="185" t="s">
        <v>379</v>
      </c>
    </row>
    <row r="94" spans="1:20" outlineLevel="1">
      <c r="A94" s="199" t="s">
        <v>214</v>
      </c>
      <c r="B94" s="181" t="s">
        <v>1567</v>
      </c>
      <c r="C94" s="190">
        <v>43670</v>
      </c>
      <c r="D94" s="181" t="s">
        <v>1607</v>
      </c>
      <c r="E94" s="182" t="s">
        <v>1646</v>
      </c>
      <c r="F94" s="183">
        <v>77196</v>
      </c>
      <c r="G94" s="184">
        <v>128.05000000000001</v>
      </c>
      <c r="H94" s="181">
        <v>170</v>
      </c>
      <c r="I94" s="181" t="s">
        <v>292</v>
      </c>
      <c r="J94" s="191">
        <v>154.4</v>
      </c>
      <c r="K94" s="191">
        <v>170</v>
      </c>
      <c r="L94" s="199" t="s">
        <v>752</v>
      </c>
      <c r="M94" s="211" t="s">
        <v>1587</v>
      </c>
      <c r="N94" s="185" t="s">
        <v>396</v>
      </c>
      <c r="O94" s="185" t="s">
        <v>309</v>
      </c>
      <c r="P94" s="185"/>
      <c r="Q94" s="185" t="s">
        <v>740</v>
      </c>
      <c r="R94" s="185" t="s">
        <v>381</v>
      </c>
      <c r="S94" s="185" t="s">
        <v>295</v>
      </c>
      <c r="T94" s="185" t="s">
        <v>379</v>
      </c>
    </row>
    <row r="95" spans="1:20" outlineLevel="1">
      <c r="A95" s="199" t="s">
        <v>214</v>
      </c>
      <c r="B95" s="181" t="s">
        <v>1567</v>
      </c>
      <c r="C95" s="190">
        <v>43673</v>
      </c>
      <c r="D95" s="181" t="s">
        <v>1607</v>
      </c>
      <c r="E95" s="182" t="s">
        <v>1656</v>
      </c>
      <c r="F95" s="183">
        <v>77196</v>
      </c>
      <c r="G95" s="184">
        <v>188.31</v>
      </c>
      <c r="H95" s="181">
        <v>250</v>
      </c>
      <c r="I95" s="181" t="s">
        <v>292</v>
      </c>
      <c r="J95" s="191">
        <v>227.06</v>
      </c>
      <c r="K95" s="191">
        <v>250</v>
      </c>
      <c r="L95" s="199" t="s">
        <v>752</v>
      </c>
      <c r="M95" s="211" t="s">
        <v>1587</v>
      </c>
      <c r="N95" s="185" t="s">
        <v>396</v>
      </c>
      <c r="O95" s="185" t="s">
        <v>309</v>
      </c>
      <c r="P95" s="185"/>
      <c r="Q95" s="185" t="s">
        <v>740</v>
      </c>
      <c r="R95" s="185" t="s">
        <v>381</v>
      </c>
      <c r="S95" s="185" t="s">
        <v>295</v>
      </c>
      <c r="T95" s="185" t="s">
        <v>379</v>
      </c>
    </row>
    <row r="96" spans="1:20">
      <c r="A96" s="212" t="s">
        <v>378</v>
      </c>
      <c r="B96" s="212"/>
      <c r="C96" s="212"/>
      <c r="D96" s="212"/>
      <c r="E96" s="213"/>
      <c r="F96" s="214"/>
      <c r="G96" s="215">
        <f>SUM(G79:G95)</f>
        <v>4108.7700000000004</v>
      </c>
      <c r="H96" s="216">
        <f>SUM(H79:H95)</f>
        <v>5285</v>
      </c>
      <c r="I96" s="212"/>
      <c r="J96" s="216">
        <f>SUM(J79:J95)</f>
        <v>4800.05</v>
      </c>
      <c r="K96" s="216">
        <f>SUM(K79:K95)</f>
        <v>5285</v>
      </c>
      <c r="L96" s="212"/>
      <c r="M96" s="213"/>
      <c r="N96" s="212"/>
      <c r="O96" s="212"/>
      <c r="P96" s="212"/>
      <c r="Q96" s="212"/>
      <c r="R96" s="212"/>
      <c r="S96" s="212"/>
      <c r="T96" s="212"/>
    </row>
    <row r="97" spans="1:20" outlineLevel="1">
      <c r="A97" s="199" t="s">
        <v>215</v>
      </c>
      <c r="B97" s="181" t="s">
        <v>1567</v>
      </c>
      <c r="C97" s="190">
        <v>43673</v>
      </c>
      <c r="D97" s="181" t="s">
        <v>1607</v>
      </c>
      <c r="E97" s="182" t="s">
        <v>1657</v>
      </c>
      <c r="F97" s="183">
        <v>77196</v>
      </c>
      <c r="G97" s="184">
        <v>94.15</v>
      </c>
      <c r="H97" s="181">
        <v>125</v>
      </c>
      <c r="I97" s="181" t="s">
        <v>292</v>
      </c>
      <c r="J97" s="191">
        <v>113.53</v>
      </c>
      <c r="K97" s="191">
        <v>125</v>
      </c>
      <c r="L97" s="199" t="s">
        <v>752</v>
      </c>
      <c r="M97" s="211" t="s">
        <v>1587</v>
      </c>
      <c r="N97" s="185" t="s">
        <v>396</v>
      </c>
      <c r="O97" s="185" t="s">
        <v>309</v>
      </c>
      <c r="P97" s="185"/>
      <c r="Q97" s="185" t="s">
        <v>740</v>
      </c>
      <c r="R97" s="185" t="s">
        <v>381</v>
      </c>
      <c r="S97" s="185" t="s">
        <v>295</v>
      </c>
      <c r="T97" s="185" t="s">
        <v>379</v>
      </c>
    </row>
    <row r="98" spans="1:20" outlineLevel="1">
      <c r="A98" s="199" t="s">
        <v>215</v>
      </c>
      <c r="B98" s="181" t="s">
        <v>1567</v>
      </c>
      <c r="C98" s="190">
        <v>43670</v>
      </c>
      <c r="D98" s="181" t="s">
        <v>1607</v>
      </c>
      <c r="E98" s="182" t="s">
        <v>1658</v>
      </c>
      <c r="F98" s="183">
        <v>77196</v>
      </c>
      <c r="G98" s="184">
        <v>350.25</v>
      </c>
      <c r="H98" s="181">
        <v>465</v>
      </c>
      <c r="I98" s="181" t="s">
        <v>292</v>
      </c>
      <c r="J98" s="191">
        <v>422.33</v>
      </c>
      <c r="K98" s="191">
        <v>465</v>
      </c>
      <c r="L98" s="199" t="s">
        <v>752</v>
      </c>
      <c r="M98" s="211" t="s">
        <v>1587</v>
      </c>
      <c r="N98" s="185" t="s">
        <v>396</v>
      </c>
      <c r="O98" s="185" t="s">
        <v>309</v>
      </c>
      <c r="P98" s="185"/>
      <c r="Q98" s="185" t="s">
        <v>740</v>
      </c>
      <c r="R98" s="185" t="s">
        <v>381</v>
      </c>
      <c r="S98" s="185" t="s">
        <v>295</v>
      </c>
      <c r="T98" s="185" t="s">
        <v>379</v>
      </c>
    </row>
    <row r="99" spans="1:20" outlineLevel="1">
      <c r="A99" s="199" t="s">
        <v>215</v>
      </c>
      <c r="B99" s="181" t="s">
        <v>1567</v>
      </c>
      <c r="C99" s="190">
        <v>43672</v>
      </c>
      <c r="D99" s="181" t="s">
        <v>1607</v>
      </c>
      <c r="E99" s="182" t="s">
        <v>1659</v>
      </c>
      <c r="F99" s="183">
        <v>77196</v>
      </c>
      <c r="G99" s="184">
        <v>15.06</v>
      </c>
      <c r="H99" s="181">
        <v>20</v>
      </c>
      <c r="I99" s="181" t="s">
        <v>292</v>
      </c>
      <c r="J99" s="191">
        <v>18.16</v>
      </c>
      <c r="K99" s="191">
        <v>20</v>
      </c>
      <c r="L99" s="199" t="s">
        <v>752</v>
      </c>
      <c r="M99" s="211" t="s">
        <v>1587</v>
      </c>
      <c r="N99" s="185" t="s">
        <v>396</v>
      </c>
      <c r="O99" s="185" t="s">
        <v>309</v>
      </c>
      <c r="P99" s="185"/>
      <c r="Q99" s="185" t="s">
        <v>740</v>
      </c>
      <c r="R99" s="185" t="s">
        <v>381</v>
      </c>
      <c r="S99" s="185" t="s">
        <v>295</v>
      </c>
      <c r="T99" s="185" t="s">
        <v>379</v>
      </c>
    </row>
    <row r="100" spans="1:20" outlineLevel="1">
      <c r="A100" s="199" t="s">
        <v>215</v>
      </c>
      <c r="B100" s="181" t="s">
        <v>1567</v>
      </c>
      <c r="C100" s="190">
        <v>43672</v>
      </c>
      <c r="D100" s="181" t="s">
        <v>1607</v>
      </c>
      <c r="E100" s="182" t="s">
        <v>1660</v>
      </c>
      <c r="F100" s="183">
        <v>77196</v>
      </c>
      <c r="G100" s="184">
        <v>354.02</v>
      </c>
      <c r="H100" s="181">
        <v>470</v>
      </c>
      <c r="I100" s="181" t="s">
        <v>292</v>
      </c>
      <c r="J100" s="191">
        <v>426.88</v>
      </c>
      <c r="K100" s="191">
        <v>470</v>
      </c>
      <c r="L100" s="199" t="s">
        <v>752</v>
      </c>
      <c r="M100" s="211" t="s">
        <v>1587</v>
      </c>
      <c r="N100" s="185" t="s">
        <v>396</v>
      </c>
      <c r="O100" s="185" t="s">
        <v>309</v>
      </c>
      <c r="P100" s="185"/>
      <c r="Q100" s="185" t="s">
        <v>740</v>
      </c>
      <c r="R100" s="185" t="s">
        <v>381</v>
      </c>
      <c r="S100" s="185" t="s">
        <v>295</v>
      </c>
      <c r="T100" s="185" t="s">
        <v>379</v>
      </c>
    </row>
    <row r="101" spans="1:20" outlineLevel="1">
      <c r="A101" s="199" t="s">
        <v>215</v>
      </c>
      <c r="B101" s="181" t="s">
        <v>1567</v>
      </c>
      <c r="C101" s="190">
        <v>43672</v>
      </c>
      <c r="D101" s="181" t="s">
        <v>1607</v>
      </c>
      <c r="E101" s="182" t="s">
        <v>1661</v>
      </c>
      <c r="F101" s="183">
        <v>77196</v>
      </c>
      <c r="G101" s="184">
        <v>129.93</v>
      </c>
      <c r="H101" s="181">
        <v>172.5</v>
      </c>
      <c r="I101" s="181" t="s">
        <v>292</v>
      </c>
      <c r="J101" s="191">
        <v>156.66999999999999</v>
      </c>
      <c r="K101" s="191">
        <v>172.5</v>
      </c>
      <c r="L101" s="199" t="s">
        <v>752</v>
      </c>
      <c r="M101" s="211" t="s">
        <v>1587</v>
      </c>
      <c r="N101" s="185" t="s">
        <v>396</v>
      </c>
      <c r="O101" s="185" t="s">
        <v>309</v>
      </c>
      <c r="P101" s="185"/>
      <c r="Q101" s="185" t="s">
        <v>740</v>
      </c>
      <c r="R101" s="185" t="s">
        <v>381</v>
      </c>
      <c r="S101" s="185" t="s">
        <v>295</v>
      </c>
      <c r="T101" s="185" t="s">
        <v>379</v>
      </c>
    </row>
    <row r="102" spans="1:20" outlineLevel="1">
      <c r="A102" s="199" t="s">
        <v>215</v>
      </c>
      <c r="B102" s="181" t="s">
        <v>1567</v>
      </c>
      <c r="C102" s="190">
        <v>43673</v>
      </c>
      <c r="D102" s="181" t="s">
        <v>1607</v>
      </c>
      <c r="E102" s="182" t="s">
        <v>1662</v>
      </c>
      <c r="F102" s="183">
        <v>77196</v>
      </c>
      <c r="G102" s="184">
        <v>15.06</v>
      </c>
      <c r="H102" s="181">
        <v>20</v>
      </c>
      <c r="I102" s="181" t="s">
        <v>292</v>
      </c>
      <c r="J102" s="191">
        <v>18.16</v>
      </c>
      <c r="K102" s="191">
        <v>20</v>
      </c>
      <c r="L102" s="199" t="s">
        <v>752</v>
      </c>
      <c r="M102" s="211" t="s">
        <v>1587</v>
      </c>
      <c r="N102" s="185" t="s">
        <v>396</v>
      </c>
      <c r="O102" s="185" t="s">
        <v>309</v>
      </c>
      <c r="P102" s="185"/>
      <c r="Q102" s="185" t="s">
        <v>740</v>
      </c>
      <c r="R102" s="185" t="s">
        <v>381</v>
      </c>
      <c r="S102" s="185" t="s">
        <v>295</v>
      </c>
      <c r="T102" s="185" t="s">
        <v>379</v>
      </c>
    </row>
    <row r="103" spans="1:20" outlineLevel="1">
      <c r="A103" s="199" t="s">
        <v>215</v>
      </c>
      <c r="B103" s="181" t="s">
        <v>1567</v>
      </c>
      <c r="C103" s="190">
        <v>43674</v>
      </c>
      <c r="D103" s="181" t="s">
        <v>1607</v>
      </c>
      <c r="E103" s="182" t="s">
        <v>1663</v>
      </c>
      <c r="F103" s="183">
        <v>77196</v>
      </c>
      <c r="G103" s="184">
        <v>15.06</v>
      </c>
      <c r="H103" s="181">
        <v>20</v>
      </c>
      <c r="I103" s="181" t="s">
        <v>292</v>
      </c>
      <c r="J103" s="191">
        <v>18.16</v>
      </c>
      <c r="K103" s="191">
        <v>20</v>
      </c>
      <c r="L103" s="199" t="s">
        <v>752</v>
      </c>
      <c r="M103" s="211" t="s">
        <v>1587</v>
      </c>
      <c r="N103" s="185" t="s">
        <v>396</v>
      </c>
      <c r="O103" s="185" t="s">
        <v>309</v>
      </c>
      <c r="P103" s="185"/>
      <c r="Q103" s="185" t="s">
        <v>740</v>
      </c>
      <c r="R103" s="185" t="s">
        <v>381</v>
      </c>
      <c r="S103" s="185" t="s">
        <v>295</v>
      </c>
      <c r="T103" s="185" t="s">
        <v>379</v>
      </c>
    </row>
    <row r="104" spans="1:20" outlineLevel="1">
      <c r="A104" s="199" t="s">
        <v>215</v>
      </c>
      <c r="B104" s="181" t="s">
        <v>1567</v>
      </c>
      <c r="C104" s="190">
        <v>43674</v>
      </c>
      <c r="D104" s="181" t="s">
        <v>1607</v>
      </c>
      <c r="E104" s="182" t="s">
        <v>1664</v>
      </c>
      <c r="F104" s="183">
        <v>77196</v>
      </c>
      <c r="G104" s="184">
        <v>350.25</v>
      </c>
      <c r="H104" s="181">
        <v>465</v>
      </c>
      <c r="I104" s="181" t="s">
        <v>292</v>
      </c>
      <c r="J104" s="191">
        <v>422.33</v>
      </c>
      <c r="K104" s="191">
        <v>465</v>
      </c>
      <c r="L104" s="199" t="s">
        <v>752</v>
      </c>
      <c r="M104" s="211" t="s">
        <v>1587</v>
      </c>
      <c r="N104" s="185" t="s">
        <v>396</v>
      </c>
      <c r="O104" s="185" t="s">
        <v>309</v>
      </c>
      <c r="P104" s="185"/>
      <c r="Q104" s="185" t="s">
        <v>740</v>
      </c>
      <c r="R104" s="185" t="s">
        <v>381</v>
      </c>
      <c r="S104" s="185" t="s">
        <v>295</v>
      </c>
      <c r="T104" s="185" t="s">
        <v>379</v>
      </c>
    </row>
    <row r="105" spans="1:20" outlineLevel="1">
      <c r="A105" s="199" t="s">
        <v>215</v>
      </c>
      <c r="B105" s="181" t="s">
        <v>1567</v>
      </c>
      <c r="C105" s="190">
        <v>43674</v>
      </c>
      <c r="D105" s="181" t="s">
        <v>1607</v>
      </c>
      <c r="E105" s="182" t="s">
        <v>1657</v>
      </c>
      <c r="F105" s="183">
        <v>77196</v>
      </c>
      <c r="G105" s="184">
        <v>128.05000000000001</v>
      </c>
      <c r="H105" s="181">
        <v>170</v>
      </c>
      <c r="I105" s="181" t="s">
        <v>292</v>
      </c>
      <c r="J105" s="191">
        <v>154.4</v>
      </c>
      <c r="K105" s="191">
        <v>170</v>
      </c>
      <c r="L105" s="199" t="s">
        <v>752</v>
      </c>
      <c r="M105" s="211" t="s">
        <v>1587</v>
      </c>
      <c r="N105" s="185" t="s">
        <v>396</v>
      </c>
      <c r="O105" s="185" t="s">
        <v>309</v>
      </c>
      <c r="P105" s="185"/>
      <c r="Q105" s="185" t="s">
        <v>740</v>
      </c>
      <c r="R105" s="185" t="s">
        <v>381</v>
      </c>
      <c r="S105" s="185" t="s">
        <v>295</v>
      </c>
      <c r="T105" s="185" t="s">
        <v>379</v>
      </c>
    </row>
    <row r="106" spans="1:20" outlineLevel="1">
      <c r="A106" s="199" t="s">
        <v>215</v>
      </c>
      <c r="B106" s="181" t="s">
        <v>1567</v>
      </c>
      <c r="C106" s="190">
        <v>43708</v>
      </c>
      <c r="D106" s="181" t="s">
        <v>1592</v>
      </c>
      <c r="E106" s="182" t="s">
        <v>1665</v>
      </c>
      <c r="F106" s="183">
        <v>77217</v>
      </c>
      <c r="G106" s="184">
        <v>1581.78</v>
      </c>
      <c r="H106" s="181">
        <v>2100</v>
      </c>
      <c r="I106" s="181" t="s">
        <v>292</v>
      </c>
      <c r="J106" s="191">
        <v>1907.32</v>
      </c>
      <c r="K106" s="191">
        <v>2100</v>
      </c>
      <c r="L106" s="199" t="s">
        <v>752</v>
      </c>
      <c r="M106" s="211" t="s">
        <v>1587</v>
      </c>
      <c r="N106" s="185" t="s">
        <v>396</v>
      </c>
      <c r="O106" s="185" t="s">
        <v>309</v>
      </c>
      <c r="P106" s="185"/>
      <c r="Q106" s="185" t="s">
        <v>737</v>
      </c>
      <c r="R106" s="185" t="s">
        <v>381</v>
      </c>
      <c r="S106" s="185" t="s">
        <v>295</v>
      </c>
      <c r="T106" s="185" t="s">
        <v>379</v>
      </c>
    </row>
    <row r="107" spans="1:20" outlineLevel="1">
      <c r="A107" s="199" t="s">
        <v>215</v>
      </c>
      <c r="B107" s="181" t="s">
        <v>1567</v>
      </c>
      <c r="C107" s="190">
        <v>43708</v>
      </c>
      <c r="D107" s="181" t="s">
        <v>1592</v>
      </c>
      <c r="E107" s="182" t="s">
        <v>1666</v>
      </c>
      <c r="F107" s="183">
        <v>77217</v>
      </c>
      <c r="G107" s="184">
        <v>195.84</v>
      </c>
      <c r="H107" s="181">
        <v>260</v>
      </c>
      <c r="I107" s="181" t="s">
        <v>292</v>
      </c>
      <c r="J107" s="191">
        <v>236.14</v>
      </c>
      <c r="K107" s="191">
        <v>260</v>
      </c>
      <c r="L107" s="199" t="s">
        <v>752</v>
      </c>
      <c r="M107" s="211" t="s">
        <v>1587</v>
      </c>
      <c r="N107" s="185" t="s">
        <v>396</v>
      </c>
      <c r="O107" s="185" t="s">
        <v>309</v>
      </c>
      <c r="P107" s="185"/>
      <c r="Q107" s="185" t="s">
        <v>737</v>
      </c>
      <c r="R107" s="185" t="s">
        <v>381</v>
      </c>
      <c r="S107" s="185" t="s">
        <v>295</v>
      </c>
      <c r="T107" s="185" t="s">
        <v>379</v>
      </c>
    </row>
    <row r="108" spans="1:20" outlineLevel="1">
      <c r="A108" s="199" t="s">
        <v>215</v>
      </c>
      <c r="B108" s="181" t="s">
        <v>1567</v>
      </c>
      <c r="C108" s="190">
        <v>43708</v>
      </c>
      <c r="D108" s="181" t="s">
        <v>1592</v>
      </c>
      <c r="E108" s="182" t="s">
        <v>1667</v>
      </c>
      <c r="F108" s="183">
        <v>77217</v>
      </c>
      <c r="G108" s="184">
        <v>225.97</v>
      </c>
      <c r="H108" s="181">
        <v>300</v>
      </c>
      <c r="I108" s="181" t="s">
        <v>292</v>
      </c>
      <c r="J108" s="191">
        <v>272.47000000000003</v>
      </c>
      <c r="K108" s="191">
        <v>300</v>
      </c>
      <c r="L108" s="199" t="s">
        <v>752</v>
      </c>
      <c r="M108" s="211" t="s">
        <v>1587</v>
      </c>
      <c r="N108" s="185" t="s">
        <v>396</v>
      </c>
      <c r="O108" s="185" t="s">
        <v>309</v>
      </c>
      <c r="P108" s="185"/>
      <c r="Q108" s="185" t="s">
        <v>737</v>
      </c>
      <c r="R108" s="185" t="s">
        <v>381</v>
      </c>
      <c r="S108" s="185" t="s">
        <v>295</v>
      </c>
      <c r="T108" s="185" t="s">
        <v>379</v>
      </c>
    </row>
    <row r="109" spans="1:20" outlineLevel="1">
      <c r="A109" s="199" t="s">
        <v>215</v>
      </c>
      <c r="B109" s="181" t="s">
        <v>1567</v>
      </c>
      <c r="C109" s="190">
        <v>43708</v>
      </c>
      <c r="D109" s="181" t="s">
        <v>1592</v>
      </c>
      <c r="E109" s="182" t="s">
        <v>1668</v>
      </c>
      <c r="F109" s="183">
        <v>77217</v>
      </c>
      <c r="G109" s="184">
        <v>1007.82</v>
      </c>
      <c r="H109" s="181">
        <v>1338</v>
      </c>
      <c r="I109" s="181" t="s">
        <v>292</v>
      </c>
      <c r="J109" s="191">
        <v>1215.23</v>
      </c>
      <c r="K109" s="191">
        <v>1338</v>
      </c>
      <c r="L109" s="199" t="s">
        <v>752</v>
      </c>
      <c r="M109" s="211" t="s">
        <v>1587</v>
      </c>
      <c r="N109" s="185" t="s">
        <v>396</v>
      </c>
      <c r="O109" s="185" t="s">
        <v>309</v>
      </c>
      <c r="P109" s="185"/>
      <c r="Q109" s="185" t="s">
        <v>737</v>
      </c>
      <c r="R109" s="185" t="s">
        <v>381</v>
      </c>
      <c r="S109" s="185" t="s">
        <v>295</v>
      </c>
      <c r="T109" s="185" t="s">
        <v>379</v>
      </c>
    </row>
    <row r="110" spans="1:20" outlineLevel="1">
      <c r="A110" s="199" t="s">
        <v>215</v>
      </c>
      <c r="B110" s="181" t="s">
        <v>1567</v>
      </c>
      <c r="C110" s="190">
        <v>43738</v>
      </c>
      <c r="D110" s="181" t="s">
        <v>1585</v>
      </c>
      <c r="E110" s="182" t="s">
        <v>1669</v>
      </c>
      <c r="F110" s="183">
        <v>77216</v>
      </c>
      <c r="G110" s="184">
        <v>1282.54</v>
      </c>
      <c r="H110" s="181">
        <v>1500</v>
      </c>
      <c r="I110" s="181" t="s">
        <v>292</v>
      </c>
      <c r="J110" s="191">
        <v>1362.37</v>
      </c>
      <c r="K110" s="191">
        <v>1500</v>
      </c>
      <c r="L110" s="199" t="s">
        <v>752</v>
      </c>
      <c r="M110" s="211" t="s">
        <v>1587</v>
      </c>
      <c r="N110" s="185" t="s">
        <v>396</v>
      </c>
      <c r="O110" s="185" t="s">
        <v>309</v>
      </c>
      <c r="P110" s="185"/>
      <c r="Q110" s="185" t="s">
        <v>743</v>
      </c>
      <c r="R110" s="185" t="s">
        <v>381</v>
      </c>
      <c r="S110" s="185" t="s">
        <v>295</v>
      </c>
      <c r="T110" s="185" t="s">
        <v>379</v>
      </c>
    </row>
    <row r="111" spans="1:20" outlineLevel="1">
      <c r="A111" s="199" t="s">
        <v>215</v>
      </c>
      <c r="B111" s="181" t="s">
        <v>1567</v>
      </c>
      <c r="C111" s="190">
        <v>43738</v>
      </c>
      <c r="D111" s="181" t="s">
        <v>1585</v>
      </c>
      <c r="E111" s="182" t="s">
        <v>1670</v>
      </c>
      <c r="F111" s="183">
        <v>77216</v>
      </c>
      <c r="G111" s="184">
        <v>269.33</v>
      </c>
      <c r="H111" s="181">
        <v>315</v>
      </c>
      <c r="I111" s="181" t="s">
        <v>292</v>
      </c>
      <c r="J111" s="191">
        <v>286.10000000000002</v>
      </c>
      <c r="K111" s="191">
        <v>315</v>
      </c>
      <c r="L111" s="199" t="s">
        <v>752</v>
      </c>
      <c r="M111" s="211" t="s">
        <v>1587</v>
      </c>
      <c r="N111" s="185" t="s">
        <v>396</v>
      </c>
      <c r="O111" s="185" t="s">
        <v>309</v>
      </c>
      <c r="P111" s="185"/>
      <c r="Q111" s="185" t="s">
        <v>743</v>
      </c>
      <c r="R111" s="185" t="s">
        <v>381</v>
      </c>
      <c r="S111" s="185" t="s">
        <v>295</v>
      </c>
      <c r="T111" s="185" t="s">
        <v>379</v>
      </c>
    </row>
    <row r="112" spans="1:20" outlineLevel="1">
      <c r="A112" s="199" t="s">
        <v>215</v>
      </c>
      <c r="B112" s="181" t="s">
        <v>1567</v>
      </c>
      <c r="C112" s="190">
        <v>43738</v>
      </c>
      <c r="D112" s="181" t="s">
        <v>1585</v>
      </c>
      <c r="E112" s="182" t="s">
        <v>1670</v>
      </c>
      <c r="F112" s="183">
        <v>77216</v>
      </c>
      <c r="G112" s="184">
        <v>76.95</v>
      </c>
      <c r="H112" s="181">
        <v>90</v>
      </c>
      <c r="I112" s="181" t="s">
        <v>292</v>
      </c>
      <c r="J112" s="191">
        <v>81.739999999999995</v>
      </c>
      <c r="K112" s="191">
        <v>90</v>
      </c>
      <c r="L112" s="199" t="s">
        <v>752</v>
      </c>
      <c r="M112" s="211" t="s">
        <v>1587</v>
      </c>
      <c r="N112" s="185" t="s">
        <v>396</v>
      </c>
      <c r="O112" s="185" t="s">
        <v>309</v>
      </c>
      <c r="P112" s="185"/>
      <c r="Q112" s="185" t="s">
        <v>743</v>
      </c>
      <c r="R112" s="185" t="s">
        <v>381</v>
      </c>
      <c r="S112" s="185" t="s">
        <v>295</v>
      </c>
      <c r="T112" s="185" t="s">
        <v>379</v>
      </c>
    </row>
    <row r="113" spans="1:20" outlineLevel="1">
      <c r="A113" s="199" t="s">
        <v>215</v>
      </c>
      <c r="B113" s="181" t="s">
        <v>1567</v>
      </c>
      <c r="C113" s="190">
        <v>43668</v>
      </c>
      <c r="D113" s="181" t="s">
        <v>1607</v>
      </c>
      <c r="E113" s="182" t="s">
        <v>1671</v>
      </c>
      <c r="F113" s="183">
        <v>77196</v>
      </c>
      <c r="G113" s="184">
        <v>69.67</v>
      </c>
      <c r="H113" s="181">
        <v>92.5</v>
      </c>
      <c r="I113" s="181" t="s">
        <v>292</v>
      </c>
      <c r="J113" s="191">
        <v>84.01</v>
      </c>
      <c r="K113" s="191">
        <v>92.5</v>
      </c>
      <c r="L113" s="199" t="s">
        <v>752</v>
      </c>
      <c r="M113" s="211" t="s">
        <v>1587</v>
      </c>
      <c r="N113" s="185" t="s">
        <v>396</v>
      </c>
      <c r="O113" s="185" t="s">
        <v>309</v>
      </c>
      <c r="P113" s="185"/>
      <c r="Q113" s="185" t="s">
        <v>740</v>
      </c>
      <c r="R113" s="185" t="s">
        <v>381</v>
      </c>
      <c r="S113" s="185" t="s">
        <v>295</v>
      </c>
      <c r="T113" s="185" t="s">
        <v>379</v>
      </c>
    </row>
    <row r="114" spans="1:20">
      <c r="A114" s="212" t="s">
        <v>378</v>
      </c>
      <c r="B114" s="212"/>
      <c r="C114" s="212"/>
      <c r="D114" s="212"/>
      <c r="E114" s="213"/>
      <c r="F114" s="214"/>
      <c r="G114" s="215">
        <f>SUM(G97:G113)</f>
        <v>6161.73</v>
      </c>
      <c r="H114" s="216">
        <f>SUM(H97:H113)</f>
        <v>7923</v>
      </c>
      <c r="I114" s="212"/>
      <c r="J114" s="216">
        <f>SUM(J97:J113)</f>
        <v>7196.0000000000009</v>
      </c>
      <c r="K114" s="216">
        <f>SUM(K97:K113)</f>
        <v>7923</v>
      </c>
      <c r="L114" s="212"/>
      <c r="M114" s="213"/>
      <c r="N114" s="212"/>
      <c r="O114" s="212"/>
      <c r="P114" s="212"/>
      <c r="Q114" s="212"/>
      <c r="R114" s="212"/>
      <c r="S114" s="212"/>
      <c r="T114" s="212"/>
    </row>
    <row r="115" spans="1:20" outlineLevel="1">
      <c r="A115" s="199" t="s">
        <v>218</v>
      </c>
      <c r="B115" s="181" t="s">
        <v>1575</v>
      </c>
      <c r="C115" s="190">
        <v>43707</v>
      </c>
      <c r="D115" s="181" t="s">
        <v>1672</v>
      </c>
      <c r="E115" s="182" t="s">
        <v>1673</v>
      </c>
      <c r="F115" s="183">
        <v>76927</v>
      </c>
      <c r="G115" s="184">
        <v>6.48</v>
      </c>
      <c r="H115" s="181">
        <v>7.92</v>
      </c>
      <c r="I115" s="181" t="s">
        <v>292</v>
      </c>
      <c r="J115" s="191">
        <v>7.07</v>
      </c>
      <c r="K115" s="191">
        <v>7.92</v>
      </c>
      <c r="L115" s="199" t="s">
        <v>1050</v>
      </c>
      <c r="M115" s="211" t="s">
        <v>1674</v>
      </c>
      <c r="N115" s="185" t="s">
        <v>400</v>
      </c>
      <c r="O115" s="185" t="s">
        <v>309</v>
      </c>
      <c r="P115" s="185" t="s">
        <v>499</v>
      </c>
      <c r="Q115" s="185"/>
      <c r="R115" s="185" t="s">
        <v>381</v>
      </c>
      <c r="S115" s="185" t="s">
        <v>295</v>
      </c>
      <c r="T115" s="185" t="s">
        <v>379</v>
      </c>
    </row>
    <row r="116" spans="1:20" outlineLevel="1">
      <c r="A116" s="199" t="s">
        <v>218</v>
      </c>
      <c r="B116" s="181" t="s">
        <v>1575</v>
      </c>
      <c r="C116" s="190">
        <v>43707</v>
      </c>
      <c r="D116" s="181" t="s">
        <v>1672</v>
      </c>
      <c r="E116" s="182" t="s">
        <v>1675</v>
      </c>
      <c r="F116" s="183">
        <v>76927</v>
      </c>
      <c r="G116" s="184">
        <v>54.53</v>
      </c>
      <c r="H116" s="181">
        <v>66.62</v>
      </c>
      <c r="I116" s="181" t="s">
        <v>292</v>
      </c>
      <c r="J116" s="191">
        <v>59.49</v>
      </c>
      <c r="K116" s="191">
        <v>66.62</v>
      </c>
      <c r="L116" s="199" t="s">
        <v>615</v>
      </c>
      <c r="M116" s="211" t="s">
        <v>1676</v>
      </c>
      <c r="N116" s="185" t="s">
        <v>400</v>
      </c>
      <c r="O116" s="185" t="s">
        <v>309</v>
      </c>
      <c r="P116" s="185" t="s">
        <v>499</v>
      </c>
      <c r="Q116" s="185"/>
      <c r="R116" s="185" t="s">
        <v>381</v>
      </c>
      <c r="S116" s="185" t="s">
        <v>295</v>
      </c>
      <c r="T116" s="185" t="s">
        <v>379</v>
      </c>
    </row>
    <row r="117" spans="1:20">
      <c r="A117" s="212" t="s">
        <v>378</v>
      </c>
      <c r="B117" s="212"/>
      <c r="C117" s="212"/>
      <c r="D117" s="212"/>
      <c r="E117" s="213"/>
      <c r="F117" s="214"/>
      <c r="G117" s="215">
        <f>SUM(G115:G116)</f>
        <v>61.010000000000005</v>
      </c>
      <c r="H117" s="216">
        <f>SUM(H115:H116)</f>
        <v>74.540000000000006</v>
      </c>
      <c r="I117" s="212"/>
      <c r="J117" s="216">
        <f>SUM(J115:J116)</f>
        <v>66.56</v>
      </c>
      <c r="K117" s="216">
        <f>SUM(K115:K116)</f>
        <v>74.540000000000006</v>
      </c>
      <c r="L117" s="212"/>
      <c r="M117" s="213"/>
      <c r="N117" s="212"/>
      <c r="O117" s="212"/>
      <c r="P117" s="212"/>
      <c r="Q117" s="212"/>
      <c r="R117" s="212"/>
      <c r="S117" s="212"/>
      <c r="T117" s="212"/>
    </row>
    <row r="118" spans="1:20" outlineLevel="1">
      <c r="A118" s="199" t="s">
        <v>220</v>
      </c>
      <c r="B118" s="181" t="s">
        <v>1575</v>
      </c>
      <c r="C118" s="190">
        <v>43700</v>
      </c>
      <c r="D118" s="181" t="s">
        <v>1677</v>
      </c>
      <c r="E118" s="182" t="s">
        <v>1678</v>
      </c>
      <c r="F118" s="183">
        <v>76927</v>
      </c>
      <c r="G118" s="184">
        <v>2.7</v>
      </c>
      <c r="H118" s="181">
        <v>3.3</v>
      </c>
      <c r="I118" s="181" t="s">
        <v>292</v>
      </c>
      <c r="J118" s="191">
        <v>2.95</v>
      </c>
      <c r="K118" s="191">
        <v>3.3</v>
      </c>
      <c r="L118" s="199" t="s">
        <v>595</v>
      </c>
      <c r="M118" s="211" t="s">
        <v>1679</v>
      </c>
      <c r="N118" s="185" t="s">
        <v>400</v>
      </c>
      <c r="O118" s="185" t="s">
        <v>309</v>
      </c>
      <c r="P118" s="185" t="s">
        <v>469</v>
      </c>
      <c r="Q118" s="185"/>
      <c r="R118" s="185" t="s">
        <v>381</v>
      </c>
      <c r="S118" s="185" t="s">
        <v>295</v>
      </c>
      <c r="T118" s="185" t="s">
        <v>379</v>
      </c>
    </row>
    <row r="119" spans="1:20">
      <c r="A119" s="212" t="s">
        <v>378</v>
      </c>
      <c r="B119" s="212"/>
      <c r="C119" s="212"/>
      <c r="D119" s="212"/>
      <c r="E119" s="213"/>
      <c r="F119" s="214"/>
      <c r="G119" s="215">
        <f>SUM(G118:G118)</f>
        <v>2.7</v>
      </c>
      <c r="H119" s="216">
        <f>SUM(H118:H118)</f>
        <v>3.3</v>
      </c>
      <c r="I119" s="212"/>
      <c r="J119" s="216">
        <f>SUM(J118:J118)</f>
        <v>2.95</v>
      </c>
      <c r="K119" s="216">
        <f>SUM(K118:K118)</f>
        <v>3.3</v>
      </c>
      <c r="L119" s="212"/>
      <c r="M119" s="213"/>
      <c r="N119" s="212"/>
      <c r="O119" s="212"/>
      <c r="P119" s="212"/>
      <c r="Q119" s="212"/>
      <c r="R119" s="212"/>
      <c r="S119" s="212"/>
      <c r="T119" s="212"/>
    </row>
    <row r="120" spans="1:20" outlineLevel="1">
      <c r="A120" s="199" t="s">
        <v>221</v>
      </c>
      <c r="B120" s="181" t="s">
        <v>1575</v>
      </c>
      <c r="C120" s="190">
        <v>43704</v>
      </c>
      <c r="D120" s="181" t="s">
        <v>1680</v>
      </c>
      <c r="E120" s="182" t="s">
        <v>1681</v>
      </c>
      <c r="F120" s="183">
        <v>76932</v>
      </c>
      <c r="G120" s="184">
        <v>1145.8599999999999</v>
      </c>
      <c r="H120" s="181">
        <v>1400</v>
      </c>
      <c r="I120" s="181" t="s">
        <v>292</v>
      </c>
      <c r="J120" s="191">
        <v>1250.21</v>
      </c>
      <c r="K120" s="191">
        <v>1400</v>
      </c>
      <c r="L120" s="199" t="s">
        <v>640</v>
      </c>
      <c r="M120" s="211" t="s">
        <v>1580</v>
      </c>
      <c r="N120" s="185" t="s">
        <v>396</v>
      </c>
      <c r="O120" s="185" t="s">
        <v>309</v>
      </c>
      <c r="P120" s="185"/>
      <c r="Q120" s="185"/>
      <c r="R120" s="185" t="s">
        <v>381</v>
      </c>
      <c r="S120" s="185" t="s">
        <v>295</v>
      </c>
      <c r="T120" s="185" t="s">
        <v>379</v>
      </c>
    </row>
    <row r="121" spans="1:20" outlineLevel="1">
      <c r="A121" s="199" t="s">
        <v>221</v>
      </c>
      <c r="B121" s="181" t="s">
        <v>1567</v>
      </c>
      <c r="C121" s="190">
        <v>43721</v>
      </c>
      <c r="D121" s="181" t="s">
        <v>1682</v>
      </c>
      <c r="E121" s="182" t="s">
        <v>1683</v>
      </c>
      <c r="F121" s="183">
        <v>77221</v>
      </c>
      <c r="G121" s="184">
        <v>345.34</v>
      </c>
      <c r="H121" s="181">
        <v>420</v>
      </c>
      <c r="I121" s="181" t="s">
        <v>292</v>
      </c>
      <c r="J121" s="191">
        <v>381.46</v>
      </c>
      <c r="K121" s="191">
        <v>420</v>
      </c>
      <c r="L121" s="199" t="s">
        <v>1034</v>
      </c>
      <c r="M121" s="211" t="s">
        <v>1572</v>
      </c>
      <c r="N121" s="185" t="s">
        <v>396</v>
      </c>
      <c r="O121" s="185" t="s">
        <v>309</v>
      </c>
      <c r="P121" s="185"/>
      <c r="Q121" s="185"/>
      <c r="R121" s="185" t="s">
        <v>381</v>
      </c>
      <c r="S121" s="185" t="s">
        <v>295</v>
      </c>
      <c r="T121" s="185" t="s">
        <v>379</v>
      </c>
    </row>
    <row r="122" spans="1:20" outlineLevel="1">
      <c r="A122" s="199" t="s">
        <v>221</v>
      </c>
      <c r="B122" s="181" t="s">
        <v>1567</v>
      </c>
      <c r="C122" s="190">
        <v>43720</v>
      </c>
      <c r="D122" s="181" t="s">
        <v>1581</v>
      </c>
      <c r="E122" s="182" t="s">
        <v>1684</v>
      </c>
      <c r="F122" s="183">
        <v>77221</v>
      </c>
      <c r="G122" s="184">
        <v>164.45</v>
      </c>
      <c r="H122" s="181">
        <v>200</v>
      </c>
      <c r="I122" s="181" t="s">
        <v>292</v>
      </c>
      <c r="J122" s="191">
        <v>181.65</v>
      </c>
      <c r="K122" s="191">
        <v>200</v>
      </c>
      <c r="L122" s="199" t="s">
        <v>640</v>
      </c>
      <c r="M122" s="211" t="s">
        <v>1580</v>
      </c>
      <c r="N122" s="185" t="s">
        <v>396</v>
      </c>
      <c r="O122" s="185" t="s">
        <v>309</v>
      </c>
      <c r="P122" s="185"/>
      <c r="Q122" s="185"/>
      <c r="R122" s="185" t="s">
        <v>381</v>
      </c>
      <c r="S122" s="185" t="s">
        <v>295</v>
      </c>
      <c r="T122" s="185" t="s">
        <v>379</v>
      </c>
    </row>
    <row r="123" spans="1:20" outlineLevel="1">
      <c r="A123" s="199" t="s">
        <v>221</v>
      </c>
      <c r="B123" s="181" t="s">
        <v>1567</v>
      </c>
      <c r="C123" s="190">
        <v>43720</v>
      </c>
      <c r="D123" s="181" t="s">
        <v>1583</v>
      </c>
      <c r="E123" s="182" t="s">
        <v>1685</v>
      </c>
      <c r="F123" s="183">
        <v>77221</v>
      </c>
      <c r="G123" s="184">
        <v>222.4</v>
      </c>
      <c r="H123" s="181">
        <v>270.48</v>
      </c>
      <c r="I123" s="181" t="s">
        <v>292</v>
      </c>
      <c r="J123" s="191">
        <v>245.66</v>
      </c>
      <c r="K123" s="191">
        <v>270.48</v>
      </c>
      <c r="L123" s="199" t="s">
        <v>640</v>
      </c>
      <c r="M123" s="211" t="s">
        <v>1580</v>
      </c>
      <c r="N123" s="185" t="s">
        <v>396</v>
      </c>
      <c r="O123" s="185" t="s">
        <v>309</v>
      </c>
      <c r="P123" s="185"/>
      <c r="Q123" s="185"/>
      <c r="R123" s="185" t="s">
        <v>381</v>
      </c>
      <c r="S123" s="185" t="s">
        <v>295</v>
      </c>
      <c r="T123" s="185" t="s">
        <v>379</v>
      </c>
    </row>
    <row r="124" spans="1:20">
      <c r="A124" s="212" t="s">
        <v>378</v>
      </c>
      <c r="B124" s="212"/>
      <c r="C124" s="212"/>
      <c r="D124" s="212"/>
      <c r="E124" s="213"/>
      <c r="F124" s="214"/>
      <c r="G124" s="215">
        <f>SUM(G120:G123)</f>
        <v>1878.05</v>
      </c>
      <c r="H124" s="216">
        <f>SUM(H120:H123)</f>
        <v>2290.48</v>
      </c>
      <c r="I124" s="212"/>
      <c r="J124" s="216">
        <f>SUM(J120:J123)</f>
        <v>2058.98</v>
      </c>
      <c r="K124" s="216">
        <f>SUM(K120:K123)</f>
        <v>2290.48</v>
      </c>
      <c r="L124" s="212"/>
      <c r="M124" s="213"/>
      <c r="N124" s="212"/>
      <c r="O124" s="212"/>
      <c r="P124" s="212"/>
      <c r="Q124" s="212"/>
      <c r="R124" s="212"/>
      <c r="S124" s="212"/>
      <c r="T124" s="212"/>
    </row>
    <row r="125" spans="1:20" outlineLevel="1">
      <c r="A125" s="199" t="s">
        <v>222</v>
      </c>
      <c r="B125" s="181" t="s">
        <v>1575</v>
      </c>
      <c r="C125" s="190">
        <v>43707</v>
      </c>
      <c r="D125" s="181" t="s">
        <v>1686</v>
      </c>
      <c r="E125" s="182" t="s">
        <v>1687</v>
      </c>
      <c r="F125" s="183">
        <v>76932</v>
      </c>
      <c r="G125" s="184">
        <v>94.12</v>
      </c>
      <c r="H125" s="181">
        <v>115</v>
      </c>
      <c r="I125" s="181" t="s">
        <v>292</v>
      </c>
      <c r="J125" s="191">
        <v>102.7</v>
      </c>
      <c r="K125" s="191">
        <v>115</v>
      </c>
      <c r="L125" s="199" t="s">
        <v>592</v>
      </c>
      <c r="M125" s="211" t="s">
        <v>1574</v>
      </c>
      <c r="N125" s="185" t="s">
        <v>396</v>
      </c>
      <c r="O125" s="185" t="s">
        <v>309</v>
      </c>
      <c r="P125" s="185"/>
      <c r="Q125" s="185"/>
      <c r="R125" s="185" t="s">
        <v>381</v>
      </c>
      <c r="S125" s="185" t="s">
        <v>295</v>
      </c>
      <c r="T125" s="185" t="s">
        <v>379</v>
      </c>
    </row>
    <row r="126" spans="1:20" outlineLevel="1">
      <c r="A126" s="199" t="s">
        <v>222</v>
      </c>
      <c r="B126" s="181" t="s">
        <v>1575</v>
      </c>
      <c r="C126" s="190">
        <v>43704</v>
      </c>
      <c r="D126" s="181" t="s">
        <v>1680</v>
      </c>
      <c r="E126" s="182" t="s">
        <v>1681</v>
      </c>
      <c r="F126" s="183">
        <v>76932</v>
      </c>
      <c r="G126" s="184">
        <v>327.39</v>
      </c>
      <c r="H126" s="181">
        <v>400</v>
      </c>
      <c r="I126" s="181" t="s">
        <v>292</v>
      </c>
      <c r="J126" s="191">
        <v>357.2</v>
      </c>
      <c r="K126" s="191">
        <v>400</v>
      </c>
      <c r="L126" s="199" t="s">
        <v>640</v>
      </c>
      <c r="M126" s="211" t="s">
        <v>1580</v>
      </c>
      <c r="N126" s="185" t="s">
        <v>396</v>
      </c>
      <c r="O126" s="185" t="s">
        <v>309</v>
      </c>
      <c r="P126" s="185"/>
      <c r="Q126" s="185"/>
      <c r="R126" s="185" t="s">
        <v>381</v>
      </c>
      <c r="S126" s="185" t="s">
        <v>295</v>
      </c>
      <c r="T126" s="185" t="s">
        <v>379</v>
      </c>
    </row>
    <row r="127" spans="1:20" outlineLevel="1">
      <c r="A127" s="199" t="s">
        <v>222</v>
      </c>
      <c r="B127" s="181" t="s">
        <v>1575</v>
      </c>
      <c r="C127" s="190">
        <v>43707</v>
      </c>
      <c r="D127" s="181" t="s">
        <v>1686</v>
      </c>
      <c r="E127" s="182" t="s">
        <v>1688</v>
      </c>
      <c r="F127" s="183">
        <v>76932</v>
      </c>
      <c r="G127" s="184">
        <v>1628.76</v>
      </c>
      <c r="H127" s="181">
        <v>1990</v>
      </c>
      <c r="I127" s="181" t="s">
        <v>292</v>
      </c>
      <c r="J127" s="191">
        <v>1777.09</v>
      </c>
      <c r="K127" s="191">
        <v>1990.01</v>
      </c>
      <c r="L127" s="199" t="s">
        <v>714</v>
      </c>
      <c r="M127" s="211" t="s">
        <v>1689</v>
      </c>
      <c r="N127" s="185" t="s">
        <v>396</v>
      </c>
      <c r="O127" s="185" t="s">
        <v>309</v>
      </c>
      <c r="P127" s="185"/>
      <c r="Q127" s="185"/>
      <c r="R127" s="185" t="s">
        <v>381</v>
      </c>
      <c r="S127" s="185" t="s">
        <v>295</v>
      </c>
      <c r="T127" s="185" t="s">
        <v>379</v>
      </c>
    </row>
    <row r="128" spans="1:20" outlineLevel="1">
      <c r="A128" s="199" t="s">
        <v>222</v>
      </c>
      <c r="B128" s="181" t="s">
        <v>1575</v>
      </c>
      <c r="C128" s="190">
        <v>43707</v>
      </c>
      <c r="D128" s="181" t="s">
        <v>1686</v>
      </c>
      <c r="E128" s="182" t="s">
        <v>1690</v>
      </c>
      <c r="F128" s="183">
        <v>76932</v>
      </c>
      <c r="G128" s="184">
        <v>1387.31</v>
      </c>
      <c r="H128" s="181">
        <v>1695</v>
      </c>
      <c r="I128" s="181" t="s">
        <v>292</v>
      </c>
      <c r="J128" s="191">
        <v>1513.65</v>
      </c>
      <c r="K128" s="191">
        <v>1695</v>
      </c>
      <c r="L128" s="199" t="s">
        <v>718</v>
      </c>
      <c r="M128" s="211" t="s">
        <v>1691</v>
      </c>
      <c r="N128" s="185" t="s">
        <v>396</v>
      </c>
      <c r="O128" s="185" t="s">
        <v>309</v>
      </c>
      <c r="P128" s="185"/>
      <c r="Q128" s="185"/>
      <c r="R128" s="185" t="s">
        <v>381</v>
      </c>
      <c r="S128" s="185" t="s">
        <v>295</v>
      </c>
      <c r="T128" s="185" t="s">
        <v>379</v>
      </c>
    </row>
    <row r="129" spans="1:20" outlineLevel="1">
      <c r="A129" s="199" t="s">
        <v>222</v>
      </c>
      <c r="B129" s="181" t="s">
        <v>1575</v>
      </c>
      <c r="C129" s="190">
        <v>43707</v>
      </c>
      <c r="D129" s="181" t="s">
        <v>1686</v>
      </c>
      <c r="E129" s="182" t="s">
        <v>1692</v>
      </c>
      <c r="F129" s="183">
        <v>76932</v>
      </c>
      <c r="G129" s="184">
        <v>85.94</v>
      </c>
      <c r="H129" s="181">
        <v>105</v>
      </c>
      <c r="I129" s="181" t="s">
        <v>292</v>
      </c>
      <c r="J129" s="191">
        <v>93.77</v>
      </c>
      <c r="K129" s="191">
        <v>105</v>
      </c>
      <c r="L129" s="199" t="s">
        <v>380</v>
      </c>
      <c r="M129" s="211" t="s">
        <v>1693</v>
      </c>
      <c r="N129" s="185" t="s">
        <v>396</v>
      </c>
      <c r="O129" s="185" t="s">
        <v>309</v>
      </c>
      <c r="P129" s="185"/>
      <c r="Q129" s="185"/>
      <c r="R129" s="185" t="s">
        <v>381</v>
      </c>
      <c r="S129" s="185" t="s">
        <v>295</v>
      </c>
      <c r="T129" s="185" t="s">
        <v>379</v>
      </c>
    </row>
    <row r="130" spans="1:20" outlineLevel="1">
      <c r="A130" s="199" t="s">
        <v>222</v>
      </c>
      <c r="B130" s="181" t="s">
        <v>1567</v>
      </c>
      <c r="C130" s="190">
        <v>43720</v>
      </c>
      <c r="D130" s="181" t="s">
        <v>1583</v>
      </c>
      <c r="E130" s="182" t="s">
        <v>1685</v>
      </c>
      <c r="F130" s="183">
        <v>77221</v>
      </c>
      <c r="G130" s="184">
        <v>143.88999999999999</v>
      </c>
      <c r="H130" s="181">
        <v>175</v>
      </c>
      <c r="I130" s="181" t="s">
        <v>292</v>
      </c>
      <c r="J130" s="191">
        <v>158.94</v>
      </c>
      <c r="K130" s="191">
        <v>175</v>
      </c>
      <c r="L130" s="199" t="s">
        <v>640</v>
      </c>
      <c r="M130" s="211" t="s">
        <v>1580</v>
      </c>
      <c r="N130" s="185" t="s">
        <v>396</v>
      </c>
      <c r="O130" s="185" t="s">
        <v>309</v>
      </c>
      <c r="P130" s="185"/>
      <c r="Q130" s="185"/>
      <c r="R130" s="185" t="s">
        <v>381</v>
      </c>
      <c r="S130" s="185" t="s">
        <v>295</v>
      </c>
      <c r="T130" s="185" t="s">
        <v>379</v>
      </c>
    </row>
    <row r="131" spans="1:20" outlineLevel="1">
      <c r="A131" s="199" t="s">
        <v>222</v>
      </c>
      <c r="B131" s="181" t="s">
        <v>1567</v>
      </c>
      <c r="C131" s="190">
        <v>43720</v>
      </c>
      <c r="D131" s="181" t="s">
        <v>1581</v>
      </c>
      <c r="E131" s="182" t="s">
        <v>1684</v>
      </c>
      <c r="F131" s="183">
        <v>77221</v>
      </c>
      <c r="G131" s="184">
        <v>111</v>
      </c>
      <c r="H131" s="181">
        <v>135</v>
      </c>
      <c r="I131" s="181" t="s">
        <v>292</v>
      </c>
      <c r="J131" s="191">
        <v>122.61</v>
      </c>
      <c r="K131" s="191">
        <v>135</v>
      </c>
      <c r="L131" s="199" t="s">
        <v>640</v>
      </c>
      <c r="M131" s="211" t="s">
        <v>1580</v>
      </c>
      <c r="N131" s="185" t="s">
        <v>396</v>
      </c>
      <c r="O131" s="185" t="s">
        <v>309</v>
      </c>
      <c r="P131" s="185"/>
      <c r="Q131" s="185"/>
      <c r="R131" s="185" t="s">
        <v>381</v>
      </c>
      <c r="S131" s="185" t="s">
        <v>295</v>
      </c>
      <c r="T131" s="185" t="s">
        <v>379</v>
      </c>
    </row>
    <row r="132" spans="1:20" outlineLevel="1">
      <c r="A132" s="199" t="s">
        <v>222</v>
      </c>
      <c r="B132" s="181" t="s">
        <v>1567</v>
      </c>
      <c r="C132" s="190">
        <v>43733</v>
      </c>
      <c r="D132" s="181" t="s">
        <v>1694</v>
      </c>
      <c r="E132" s="182" t="s">
        <v>1695</v>
      </c>
      <c r="F132" s="183">
        <v>77221</v>
      </c>
      <c r="G132" s="184">
        <v>115.11</v>
      </c>
      <c r="H132" s="181">
        <v>140</v>
      </c>
      <c r="I132" s="181" t="s">
        <v>292</v>
      </c>
      <c r="J132" s="191">
        <v>127.15</v>
      </c>
      <c r="K132" s="191">
        <v>139.99</v>
      </c>
      <c r="L132" s="199" t="s">
        <v>716</v>
      </c>
      <c r="M132" s="211" t="s">
        <v>1629</v>
      </c>
      <c r="N132" s="185" t="s">
        <v>396</v>
      </c>
      <c r="O132" s="185" t="s">
        <v>309</v>
      </c>
      <c r="P132" s="185"/>
      <c r="Q132" s="185"/>
      <c r="R132" s="185" t="s">
        <v>381</v>
      </c>
      <c r="S132" s="185" t="s">
        <v>295</v>
      </c>
      <c r="T132" s="185" t="s">
        <v>379</v>
      </c>
    </row>
    <row r="133" spans="1:20" outlineLevel="1">
      <c r="A133" s="199" t="s">
        <v>222</v>
      </c>
      <c r="B133" s="181" t="s">
        <v>1567</v>
      </c>
      <c r="C133" s="190">
        <v>43714</v>
      </c>
      <c r="D133" s="181" t="s">
        <v>1696</v>
      </c>
      <c r="E133" s="182" t="s">
        <v>1697</v>
      </c>
      <c r="F133" s="183">
        <v>77221</v>
      </c>
      <c r="G133" s="184">
        <v>98.81</v>
      </c>
      <c r="H133" s="181">
        <v>120</v>
      </c>
      <c r="I133" s="181" t="s">
        <v>292</v>
      </c>
      <c r="J133" s="191">
        <v>108.99</v>
      </c>
      <c r="K133" s="191">
        <v>120</v>
      </c>
      <c r="L133" s="199" t="s">
        <v>716</v>
      </c>
      <c r="M133" s="211" t="s">
        <v>1629</v>
      </c>
      <c r="N133" s="185" t="s">
        <v>396</v>
      </c>
      <c r="O133" s="185" t="s">
        <v>309</v>
      </c>
      <c r="P133" s="185"/>
      <c r="Q133" s="185"/>
      <c r="R133" s="185" t="s">
        <v>381</v>
      </c>
      <c r="S133" s="185" t="s">
        <v>295</v>
      </c>
      <c r="T133" s="185" t="s">
        <v>379</v>
      </c>
    </row>
    <row r="134" spans="1:20" outlineLevel="1">
      <c r="A134" s="199" t="s">
        <v>222</v>
      </c>
      <c r="B134" s="181" t="s">
        <v>1567</v>
      </c>
      <c r="C134" s="190">
        <v>43714</v>
      </c>
      <c r="D134" s="181" t="s">
        <v>1696</v>
      </c>
      <c r="E134" s="182" t="s">
        <v>1698</v>
      </c>
      <c r="F134" s="183">
        <v>77221</v>
      </c>
      <c r="G134" s="184">
        <v>98.67</v>
      </c>
      <c r="H134" s="181">
        <v>120</v>
      </c>
      <c r="I134" s="181" t="s">
        <v>292</v>
      </c>
      <c r="J134" s="191">
        <v>108.99</v>
      </c>
      <c r="K134" s="191">
        <v>120</v>
      </c>
      <c r="L134" s="199" t="s">
        <v>716</v>
      </c>
      <c r="M134" s="211" t="s">
        <v>1629</v>
      </c>
      <c r="N134" s="185" t="s">
        <v>396</v>
      </c>
      <c r="O134" s="185" t="s">
        <v>309</v>
      </c>
      <c r="P134" s="185"/>
      <c r="Q134" s="185"/>
      <c r="R134" s="185" t="s">
        <v>381</v>
      </c>
      <c r="S134" s="185" t="s">
        <v>295</v>
      </c>
      <c r="T134" s="185" t="s">
        <v>379</v>
      </c>
    </row>
    <row r="135" spans="1:20" outlineLevel="1">
      <c r="A135" s="199" t="s">
        <v>222</v>
      </c>
      <c r="B135" s="181" t="s">
        <v>1567</v>
      </c>
      <c r="C135" s="190">
        <v>43714</v>
      </c>
      <c r="D135" s="181" t="s">
        <v>1696</v>
      </c>
      <c r="E135" s="182" t="s">
        <v>1699</v>
      </c>
      <c r="F135" s="183">
        <v>77221</v>
      </c>
      <c r="G135" s="184">
        <v>98.67</v>
      </c>
      <c r="H135" s="181">
        <v>120</v>
      </c>
      <c r="I135" s="181" t="s">
        <v>292</v>
      </c>
      <c r="J135" s="191">
        <v>108.99</v>
      </c>
      <c r="K135" s="191">
        <v>120</v>
      </c>
      <c r="L135" s="199" t="s">
        <v>716</v>
      </c>
      <c r="M135" s="211" t="s">
        <v>1629</v>
      </c>
      <c r="N135" s="185" t="s">
        <v>396</v>
      </c>
      <c r="O135" s="185" t="s">
        <v>309</v>
      </c>
      <c r="P135" s="185"/>
      <c r="Q135" s="185"/>
      <c r="R135" s="185" t="s">
        <v>381</v>
      </c>
      <c r="S135" s="185" t="s">
        <v>295</v>
      </c>
      <c r="T135" s="185" t="s">
        <v>379</v>
      </c>
    </row>
    <row r="136" spans="1:20" outlineLevel="1">
      <c r="A136" s="199" t="s">
        <v>222</v>
      </c>
      <c r="B136" s="181" t="s">
        <v>1567</v>
      </c>
      <c r="C136" s="190">
        <v>43714</v>
      </c>
      <c r="D136" s="181" t="s">
        <v>1696</v>
      </c>
      <c r="E136" s="182" t="s">
        <v>1700</v>
      </c>
      <c r="F136" s="183">
        <v>77221</v>
      </c>
      <c r="G136" s="184">
        <v>123.34</v>
      </c>
      <c r="H136" s="181">
        <v>150</v>
      </c>
      <c r="I136" s="181" t="s">
        <v>292</v>
      </c>
      <c r="J136" s="191">
        <v>136.24</v>
      </c>
      <c r="K136" s="191">
        <v>150</v>
      </c>
      <c r="L136" s="199" t="s">
        <v>716</v>
      </c>
      <c r="M136" s="211" t="s">
        <v>1629</v>
      </c>
      <c r="N136" s="185" t="s">
        <v>396</v>
      </c>
      <c r="O136" s="185" t="s">
        <v>309</v>
      </c>
      <c r="P136" s="185"/>
      <c r="Q136" s="185"/>
      <c r="R136" s="185" t="s">
        <v>381</v>
      </c>
      <c r="S136" s="185" t="s">
        <v>295</v>
      </c>
      <c r="T136" s="185" t="s">
        <v>379</v>
      </c>
    </row>
    <row r="137" spans="1:20" outlineLevel="1">
      <c r="A137" s="199" t="s">
        <v>222</v>
      </c>
      <c r="B137" s="181" t="s">
        <v>1567</v>
      </c>
      <c r="C137" s="190">
        <v>43714</v>
      </c>
      <c r="D137" s="181" t="s">
        <v>1696</v>
      </c>
      <c r="E137" s="182" t="s">
        <v>1701</v>
      </c>
      <c r="F137" s="183">
        <v>77221</v>
      </c>
      <c r="G137" s="184">
        <v>98.67</v>
      </c>
      <c r="H137" s="181">
        <v>120</v>
      </c>
      <c r="I137" s="181" t="s">
        <v>292</v>
      </c>
      <c r="J137" s="191">
        <v>108.99</v>
      </c>
      <c r="K137" s="191">
        <v>120</v>
      </c>
      <c r="L137" s="199" t="s">
        <v>716</v>
      </c>
      <c r="M137" s="211" t="s">
        <v>1629</v>
      </c>
      <c r="N137" s="185" t="s">
        <v>396</v>
      </c>
      <c r="O137" s="185" t="s">
        <v>309</v>
      </c>
      <c r="P137" s="185"/>
      <c r="Q137" s="185"/>
      <c r="R137" s="185" t="s">
        <v>381</v>
      </c>
      <c r="S137" s="185" t="s">
        <v>295</v>
      </c>
      <c r="T137" s="185" t="s">
        <v>379</v>
      </c>
    </row>
    <row r="138" spans="1:20" outlineLevel="1">
      <c r="A138" s="199" t="s">
        <v>222</v>
      </c>
      <c r="B138" s="181" t="s">
        <v>1567</v>
      </c>
      <c r="C138" s="190">
        <v>43714</v>
      </c>
      <c r="D138" s="181" t="s">
        <v>1696</v>
      </c>
      <c r="E138" s="182" t="s">
        <v>1702</v>
      </c>
      <c r="F138" s="183">
        <v>77221</v>
      </c>
      <c r="G138" s="184">
        <v>98.67</v>
      </c>
      <c r="H138" s="181">
        <v>120</v>
      </c>
      <c r="I138" s="181" t="s">
        <v>292</v>
      </c>
      <c r="J138" s="191">
        <v>108.99</v>
      </c>
      <c r="K138" s="191">
        <v>120</v>
      </c>
      <c r="L138" s="199" t="s">
        <v>716</v>
      </c>
      <c r="M138" s="211" t="s">
        <v>1629</v>
      </c>
      <c r="N138" s="185" t="s">
        <v>396</v>
      </c>
      <c r="O138" s="185" t="s">
        <v>309</v>
      </c>
      <c r="P138" s="185"/>
      <c r="Q138" s="185"/>
      <c r="R138" s="185" t="s">
        <v>381</v>
      </c>
      <c r="S138" s="185" t="s">
        <v>295</v>
      </c>
      <c r="T138" s="185" t="s">
        <v>379</v>
      </c>
    </row>
    <row r="139" spans="1:20" outlineLevel="1">
      <c r="A139" s="199" t="s">
        <v>222</v>
      </c>
      <c r="B139" s="181" t="s">
        <v>1567</v>
      </c>
      <c r="C139" s="190">
        <v>43714</v>
      </c>
      <c r="D139" s="181" t="s">
        <v>1696</v>
      </c>
      <c r="E139" s="182" t="s">
        <v>1703</v>
      </c>
      <c r="F139" s="183">
        <v>77221</v>
      </c>
      <c r="G139" s="184">
        <v>98.67</v>
      </c>
      <c r="H139" s="181">
        <v>120</v>
      </c>
      <c r="I139" s="181" t="s">
        <v>292</v>
      </c>
      <c r="J139" s="191">
        <v>108.99</v>
      </c>
      <c r="K139" s="191">
        <v>120</v>
      </c>
      <c r="L139" s="199" t="s">
        <v>716</v>
      </c>
      <c r="M139" s="211" t="s">
        <v>1629</v>
      </c>
      <c r="N139" s="185" t="s">
        <v>396</v>
      </c>
      <c r="O139" s="185" t="s">
        <v>309</v>
      </c>
      <c r="P139" s="185"/>
      <c r="Q139" s="185"/>
      <c r="R139" s="185" t="s">
        <v>381</v>
      </c>
      <c r="S139" s="185" t="s">
        <v>295</v>
      </c>
      <c r="T139" s="185" t="s">
        <v>379</v>
      </c>
    </row>
    <row r="140" spans="1:20" outlineLevel="1">
      <c r="A140" s="199" t="s">
        <v>222</v>
      </c>
      <c r="B140" s="181" t="s">
        <v>1567</v>
      </c>
      <c r="C140" s="190">
        <v>43714</v>
      </c>
      <c r="D140" s="181" t="s">
        <v>1696</v>
      </c>
      <c r="E140" s="182" t="s">
        <v>1704</v>
      </c>
      <c r="F140" s="183">
        <v>77221</v>
      </c>
      <c r="G140" s="184">
        <v>98.67</v>
      </c>
      <c r="H140" s="181">
        <v>120</v>
      </c>
      <c r="I140" s="181" t="s">
        <v>292</v>
      </c>
      <c r="J140" s="191">
        <v>108.99</v>
      </c>
      <c r="K140" s="191">
        <v>120</v>
      </c>
      <c r="L140" s="199" t="s">
        <v>716</v>
      </c>
      <c r="M140" s="211" t="s">
        <v>1629</v>
      </c>
      <c r="N140" s="185" t="s">
        <v>396</v>
      </c>
      <c r="O140" s="185" t="s">
        <v>309</v>
      </c>
      <c r="P140" s="185"/>
      <c r="Q140" s="185"/>
      <c r="R140" s="185" t="s">
        <v>381</v>
      </c>
      <c r="S140" s="185" t="s">
        <v>295</v>
      </c>
      <c r="T140" s="185" t="s">
        <v>379</v>
      </c>
    </row>
    <row r="141" spans="1:20" outlineLevel="1">
      <c r="A141" s="199" t="s">
        <v>222</v>
      </c>
      <c r="B141" s="181" t="s">
        <v>1567</v>
      </c>
      <c r="C141" s="190">
        <v>43714</v>
      </c>
      <c r="D141" s="181" t="s">
        <v>1696</v>
      </c>
      <c r="E141" s="182" t="s">
        <v>1705</v>
      </c>
      <c r="F141" s="183">
        <v>77221</v>
      </c>
      <c r="G141" s="184">
        <v>98.67</v>
      </c>
      <c r="H141" s="181">
        <v>120</v>
      </c>
      <c r="I141" s="181" t="s">
        <v>292</v>
      </c>
      <c r="J141" s="191">
        <v>108.99</v>
      </c>
      <c r="K141" s="191">
        <v>120</v>
      </c>
      <c r="L141" s="199" t="s">
        <v>716</v>
      </c>
      <c r="M141" s="211" t="s">
        <v>1629</v>
      </c>
      <c r="N141" s="185" t="s">
        <v>396</v>
      </c>
      <c r="O141" s="185" t="s">
        <v>309</v>
      </c>
      <c r="P141" s="185"/>
      <c r="Q141" s="185"/>
      <c r="R141" s="185" t="s">
        <v>381</v>
      </c>
      <c r="S141" s="185" t="s">
        <v>295</v>
      </c>
      <c r="T141" s="185" t="s">
        <v>379</v>
      </c>
    </row>
    <row r="142" spans="1:20" outlineLevel="1">
      <c r="A142" s="199" t="s">
        <v>222</v>
      </c>
      <c r="B142" s="181" t="s">
        <v>1567</v>
      </c>
      <c r="C142" s="190">
        <v>43714</v>
      </c>
      <c r="D142" s="181" t="s">
        <v>1696</v>
      </c>
      <c r="E142" s="182" t="s">
        <v>1706</v>
      </c>
      <c r="F142" s="183">
        <v>77221</v>
      </c>
      <c r="G142" s="184">
        <v>98.67</v>
      </c>
      <c r="H142" s="181">
        <v>120</v>
      </c>
      <c r="I142" s="181" t="s">
        <v>292</v>
      </c>
      <c r="J142" s="191">
        <v>108.99</v>
      </c>
      <c r="K142" s="191">
        <v>120</v>
      </c>
      <c r="L142" s="199" t="s">
        <v>716</v>
      </c>
      <c r="M142" s="211" t="s">
        <v>1629</v>
      </c>
      <c r="N142" s="185" t="s">
        <v>396</v>
      </c>
      <c r="O142" s="185" t="s">
        <v>309</v>
      </c>
      <c r="P142" s="185"/>
      <c r="Q142" s="185"/>
      <c r="R142" s="185" t="s">
        <v>381</v>
      </c>
      <c r="S142" s="185" t="s">
        <v>295</v>
      </c>
      <c r="T142" s="185" t="s">
        <v>379</v>
      </c>
    </row>
    <row r="143" spans="1:20" outlineLevel="1">
      <c r="A143" s="199" t="s">
        <v>222</v>
      </c>
      <c r="B143" s="181" t="s">
        <v>1567</v>
      </c>
      <c r="C143" s="190">
        <v>43714</v>
      </c>
      <c r="D143" s="181" t="s">
        <v>1696</v>
      </c>
      <c r="E143" s="182" t="s">
        <v>1707</v>
      </c>
      <c r="F143" s="183">
        <v>77221</v>
      </c>
      <c r="G143" s="184">
        <v>98.67</v>
      </c>
      <c r="H143" s="181">
        <v>120</v>
      </c>
      <c r="I143" s="181" t="s">
        <v>292</v>
      </c>
      <c r="J143" s="191">
        <v>108.99</v>
      </c>
      <c r="K143" s="191">
        <v>120</v>
      </c>
      <c r="L143" s="199" t="s">
        <v>716</v>
      </c>
      <c r="M143" s="211" t="s">
        <v>1629</v>
      </c>
      <c r="N143" s="185" t="s">
        <v>396</v>
      </c>
      <c r="O143" s="185" t="s">
        <v>309</v>
      </c>
      <c r="P143" s="185"/>
      <c r="Q143" s="185"/>
      <c r="R143" s="185" t="s">
        <v>381</v>
      </c>
      <c r="S143" s="185" t="s">
        <v>295</v>
      </c>
      <c r="T143" s="185" t="s">
        <v>379</v>
      </c>
    </row>
    <row r="144" spans="1:20" outlineLevel="1">
      <c r="A144" s="199" t="s">
        <v>222</v>
      </c>
      <c r="B144" s="181" t="s">
        <v>1567</v>
      </c>
      <c r="C144" s="190">
        <v>43714</v>
      </c>
      <c r="D144" s="181" t="s">
        <v>1696</v>
      </c>
      <c r="E144" s="182" t="s">
        <v>1708</v>
      </c>
      <c r="F144" s="183">
        <v>77221</v>
      </c>
      <c r="G144" s="184">
        <v>98.67</v>
      </c>
      <c r="H144" s="181">
        <v>120</v>
      </c>
      <c r="I144" s="181" t="s">
        <v>292</v>
      </c>
      <c r="J144" s="191">
        <v>108.99</v>
      </c>
      <c r="K144" s="191">
        <v>120</v>
      </c>
      <c r="L144" s="199" t="s">
        <v>716</v>
      </c>
      <c r="M144" s="211" t="s">
        <v>1629</v>
      </c>
      <c r="N144" s="185" t="s">
        <v>396</v>
      </c>
      <c r="O144" s="185" t="s">
        <v>309</v>
      </c>
      <c r="P144" s="185"/>
      <c r="Q144" s="185"/>
      <c r="R144" s="185" t="s">
        <v>381</v>
      </c>
      <c r="S144" s="185" t="s">
        <v>295</v>
      </c>
      <c r="T144" s="185" t="s">
        <v>379</v>
      </c>
    </row>
    <row r="145" spans="1:20" outlineLevel="1">
      <c r="A145" s="199" t="s">
        <v>222</v>
      </c>
      <c r="B145" s="181" t="s">
        <v>1567</v>
      </c>
      <c r="C145" s="190">
        <v>43714</v>
      </c>
      <c r="D145" s="181" t="s">
        <v>1696</v>
      </c>
      <c r="E145" s="182" t="s">
        <v>1709</v>
      </c>
      <c r="F145" s="183">
        <v>77221</v>
      </c>
      <c r="G145" s="184">
        <v>98.67</v>
      </c>
      <c r="H145" s="181">
        <v>120</v>
      </c>
      <c r="I145" s="181" t="s">
        <v>292</v>
      </c>
      <c r="J145" s="191">
        <v>108.99</v>
      </c>
      <c r="K145" s="191">
        <v>120</v>
      </c>
      <c r="L145" s="199" t="s">
        <v>716</v>
      </c>
      <c r="M145" s="211" t="s">
        <v>1629</v>
      </c>
      <c r="N145" s="185" t="s">
        <v>396</v>
      </c>
      <c r="O145" s="185" t="s">
        <v>309</v>
      </c>
      <c r="P145" s="185"/>
      <c r="Q145" s="185"/>
      <c r="R145" s="185" t="s">
        <v>381</v>
      </c>
      <c r="S145" s="185" t="s">
        <v>295</v>
      </c>
      <c r="T145" s="185" t="s">
        <v>379</v>
      </c>
    </row>
    <row r="146" spans="1:20" outlineLevel="1">
      <c r="A146" s="199" t="s">
        <v>222</v>
      </c>
      <c r="B146" s="181" t="s">
        <v>1567</v>
      </c>
      <c r="C146" s="190">
        <v>43714</v>
      </c>
      <c r="D146" s="181" t="s">
        <v>1696</v>
      </c>
      <c r="E146" s="182" t="s">
        <v>1710</v>
      </c>
      <c r="F146" s="183">
        <v>77221</v>
      </c>
      <c r="G146" s="184">
        <v>98.67</v>
      </c>
      <c r="H146" s="181">
        <v>120</v>
      </c>
      <c r="I146" s="181" t="s">
        <v>292</v>
      </c>
      <c r="J146" s="191">
        <v>108.99</v>
      </c>
      <c r="K146" s="191">
        <v>120</v>
      </c>
      <c r="L146" s="199" t="s">
        <v>716</v>
      </c>
      <c r="M146" s="211" t="s">
        <v>1629</v>
      </c>
      <c r="N146" s="185" t="s">
        <v>396</v>
      </c>
      <c r="O146" s="185" t="s">
        <v>309</v>
      </c>
      <c r="P146" s="185"/>
      <c r="Q146" s="185"/>
      <c r="R146" s="185" t="s">
        <v>381</v>
      </c>
      <c r="S146" s="185" t="s">
        <v>295</v>
      </c>
      <c r="T146" s="185" t="s">
        <v>379</v>
      </c>
    </row>
    <row r="147" spans="1:20" outlineLevel="1">
      <c r="A147" s="199" t="s">
        <v>222</v>
      </c>
      <c r="B147" s="181" t="s">
        <v>1567</v>
      </c>
      <c r="C147" s="190">
        <v>43714</v>
      </c>
      <c r="D147" s="181" t="s">
        <v>1696</v>
      </c>
      <c r="E147" s="182" t="s">
        <v>1711</v>
      </c>
      <c r="F147" s="183">
        <v>77221</v>
      </c>
      <c r="G147" s="184">
        <v>123.34</v>
      </c>
      <c r="H147" s="181">
        <v>150</v>
      </c>
      <c r="I147" s="181" t="s">
        <v>292</v>
      </c>
      <c r="J147" s="191">
        <v>136.24</v>
      </c>
      <c r="K147" s="191">
        <v>150</v>
      </c>
      <c r="L147" s="199" t="s">
        <v>716</v>
      </c>
      <c r="M147" s="211" t="s">
        <v>1629</v>
      </c>
      <c r="N147" s="185" t="s">
        <v>396</v>
      </c>
      <c r="O147" s="185" t="s">
        <v>309</v>
      </c>
      <c r="P147" s="185"/>
      <c r="Q147" s="185"/>
      <c r="R147" s="185" t="s">
        <v>381</v>
      </c>
      <c r="S147" s="185" t="s">
        <v>295</v>
      </c>
      <c r="T147" s="185" t="s">
        <v>379</v>
      </c>
    </row>
    <row r="148" spans="1:20" outlineLevel="1">
      <c r="A148" s="199" t="s">
        <v>222</v>
      </c>
      <c r="B148" s="181" t="s">
        <v>1567</v>
      </c>
      <c r="C148" s="190">
        <v>43714</v>
      </c>
      <c r="D148" s="181" t="s">
        <v>1696</v>
      </c>
      <c r="E148" s="182" t="s">
        <v>1712</v>
      </c>
      <c r="F148" s="183">
        <v>77221</v>
      </c>
      <c r="G148" s="184">
        <v>172.67</v>
      </c>
      <c r="H148" s="181">
        <v>210</v>
      </c>
      <c r="I148" s="181" t="s">
        <v>292</v>
      </c>
      <c r="J148" s="191">
        <v>190.73</v>
      </c>
      <c r="K148" s="191">
        <v>210</v>
      </c>
      <c r="L148" s="199" t="s">
        <v>1478</v>
      </c>
      <c r="M148" s="211" t="s">
        <v>1623</v>
      </c>
      <c r="N148" s="185" t="s">
        <v>396</v>
      </c>
      <c r="O148" s="185" t="s">
        <v>309</v>
      </c>
      <c r="P148" s="185"/>
      <c r="Q148" s="185"/>
      <c r="R148" s="185" t="s">
        <v>381</v>
      </c>
      <c r="S148" s="185" t="s">
        <v>295</v>
      </c>
      <c r="T148" s="185" t="s">
        <v>379</v>
      </c>
    </row>
    <row r="149" spans="1:20" outlineLevel="1">
      <c r="A149" s="199" t="s">
        <v>222</v>
      </c>
      <c r="B149" s="181" t="s">
        <v>1567</v>
      </c>
      <c r="C149" s="190">
        <v>43714</v>
      </c>
      <c r="D149" s="181" t="s">
        <v>1696</v>
      </c>
      <c r="E149" s="182" t="s">
        <v>1713</v>
      </c>
      <c r="F149" s="183">
        <v>77221</v>
      </c>
      <c r="G149" s="184">
        <v>419.35</v>
      </c>
      <c r="H149" s="181">
        <v>510</v>
      </c>
      <c r="I149" s="181" t="s">
        <v>292</v>
      </c>
      <c r="J149" s="191">
        <v>463.21</v>
      </c>
      <c r="K149" s="191">
        <v>510</v>
      </c>
      <c r="L149" s="199" t="s">
        <v>1128</v>
      </c>
      <c r="M149" s="211" t="s">
        <v>1625</v>
      </c>
      <c r="N149" s="185" t="s">
        <v>396</v>
      </c>
      <c r="O149" s="185" t="s">
        <v>309</v>
      </c>
      <c r="P149" s="185"/>
      <c r="Q149" s="185"/>
      <c r="R149" s="185" t="s">
        <v>381</v>
      </c>
      <c r="S149" s="185" t="s">
        <v>295</v>
      </c>
      <c r="T149" s="185" t="s">
        <v>379</v>
      </c>
    </row>
    <row r="150" spans="1:20" outlineLevel="1">
      <c r="A150" s="199" t="s">
        <v>222</v>
      </c>
      <c r="B150" s="181" t="s">
        <v>1567</v>
      </c>
      <c r="C150" s="190">
        <v>43714</v>
      </c>
      <c r="D150" s="181" t="s">
        <v>1696</v>
      </c>
      <c r="E150" s="182" t="s">
        <v>1714</v>
      </c>
      <c r="F150" s="183">
        <v>77221</v>
      </c>
      <c r="G150" s="184">
        <v>125.8</v>
      </c>
      <c r="H150" s="181">
        <v>153</v>
      </c>
      <c r="I150" s="181" t="s">
        <v>292</v>
      </c>
      <c r="J150" s="191">
        <v>138.96</v>
      </c>
      <c r="K150" s="191">
        <v>153</v>
      </c>
      <c r="L150" s="199" t="s">
        <v>1128</v>
      </c>
      <c r="M150" s="211" t="s">
        <v>1625</v>
      </c>
      <c r="N150" s="185" t="s">
        <v>396</v>
      </c>
      <c r="O150" s="185" t="s">
        <v>309</v>
      </c>
      <c r="P150" s="185"/>
      <c r="Q150" s="185"/>
      <c r="R150" s="185" t="s">
        <v>381</v>
      </c>
      <c r="S150" s="185" t="s">
        <v>295</v>
      </c>
      <c r="T150" s="185" t="s">
        <v>379</v>
      </c>
    </row>
    <row r="151" spans="1:20">
      <c r="A151" s="212" t="s">
        <v>378</v>
      </c>
      <c r="B151" s="212"/>
      <c r="C151" s="212"/>
      <c r="D151" s="212"/>
      <c r="E151" s="213"/>
      <c r="F151" s="214"/>
      <c r="G151" s="215">
        <f>SUM(G125:G150)</f>
        <v>6140.8700000000017</v>
      </c>
      <c r="H151" s="216">
        <f>SUM(H125:H150)</f>
        <v>7488</v>
      </c>
      <c r="I151" s="212"/>
      <c r="J151" s="216">
        <f>SUM(J125:J150)</f>
        <v>6735.359999999996</v>
      </c>
      <c r="K151" s="216">
        <f>SUM(K125:K150)</f>
        <v>7488</v>
      </c>
      <c r="L151" s="212"/>
      <c r="M151" s="213"/>
      <c r="N151" s="212"/>
      <c r="O151" s="212"/>
      <c r="P151" s="212"/>
      <c r="Q151" s="212"/>
      <c r="R151" s="212"/>
      <c r="S151" s="212"/>
      <c r="T151" s="212"/>
    </row>
    <row r="152" spans="1:20" outlineLevel="1">
      <c r="A152" s="199" t="s">
        <v>223</v>
      </c>
      <c r="B152" s="181" t="s">
        <v>1567</v>
      </c>
      <c r="C152" s="190">
        <v>43738</v>
      </c>
      <c r="D152" s="181" t="s">
        <v>1585</v>
      </c>
      <c r="E152" s="182" t="s">
        <v>1715</v>
      </c>
      <c r="F152" s="183">
        <v>77216</v>
      </c>
      <c r="G152" s="184">
        <v>342.01</v>
      </c>
      <c r="H152" s="181">
        <v>400</v>
      </c>
      <c r="I152" s="181" t="s">
        <v>292</v>
      </c>
      <c r="J152" s="191">
        <v>363.3</v>
      </c>
      <c r="K152" s="191">
        <v>400</v>
      </c>
      <c r="L152" s="199" t="s">
        <v>752</v>
      </c>
      <c r="M152" s="211" t="s">
        <v>1587</v>
      </c>
      <c r="N152" s="185" t="s">
        <v>396</v>
      </c>
      <c r="O152" s="185" t="s">
        <v>309</v>
      </c>
      <c r="P152" s="185"/>
      <c r="Q152" s="185" t="s">
        <v>743</v>
      </c>
      <c r="R152" s="185" t="s">
        <v>381</v>
      </c>
      <c r="S152" s="185" t="s">
        <v>295</v>
      </c>
      <c r="T152" s="185" t="s">
        <v>379</v>
      </c>
    </row>
    <row r="153" spans="1:20" outlineLevel="1">
      <c r="A153" s="199" t="s">
        <v>223</v>
      </c>
      <c r="B153" s="181" t="s">
        <v>1567</v>
      </c>
      <c r="C153" s="190">
        <v>43738</v>
      </c>
      <c r="D153" s="181" t="s">
        <v>1585</v>
      </c>
      <c r="E153" s="182" t="s">
        <v>1716</v>
      </c>
      <c r="F153" s="183">
        <v>77216</v>
      </c>
      <c r="G153" s="184">
        <v>76.95</v>
      </c>
      <c r="H153" s="181">
        <v>90</v>
      </c>
      <c r="I153" s="181" t="s">
        <v>292</v>
      </c>
      <c r="J153" s="191">
        <v>81.739999999999995</v>
      </c>
      <c r="K153" s="191">
        <v>90</v>
      </c>
      <c r="L153" s="199" t="s">
        <v>752</v>
      </c>
      <c r="M153" s="211" t="s">
        <v>1587</v>
      </c>
      <c r="N153" s="185" t="s">
        <v>396</v>
      </c>
      <c r="O153" s="185" t="s">
        <v>309</v>
      </c>
      <c r="P153" s="185"/>
      <c r="Q153" s="185" t="s">
        <v>743</v>
      </c>
      <c r="R153" s="185" t="s">
        <v>381</v>
      </c>
      <c r="S153" s="185" t="s">
        <v>295</v>
      </c>
      <c r="T153" s="185" t="s">
        <v>379</v>
      </c>
    </row>
    <row r="154" spans="1:20" outlineLevel="1">
      <c r="A154" s="199" t="s">
        <v>223</v>
      </c>
      <c r="B154" s="181" t="s">
        <v>1567</v>
      </c>
      <c r="C154" s="190">
        <v>43738</v>
      </c>
      <c r="D154" s="181" t="s">
        <v>1585</v>
      </c>
      <c r="E154" s="182" t="s">
        <v>1717</v>
      </c>
      <c r="F154" s="183">
        <v>77216</v>
      </c>
      <c r="G154" s="184">
        <v>25.65</v>
      </c>
      <c r="H154" s="181">
        <v>30</v>
      </c>
      <c r="I154" s="181" t="s">
        <v>292</v>
      </c>
      <c r="J154" s="191">
        <v>27.25</v>
      </c>
      <c r="K154" s="191">
        <v>30</v>
      </c>
      <c r="L154" s="199" t="s">
        <v>752</v>
      </c>
      <c r="M154" s="211" t="s">
        <v>1587</v>
      </c>
      <c r="N154" s="185" t="s">
        <v>396</v>
      </c>
      <c r="O154" s="185" t="s">
        <v>309</v>
      </c>
      <c r="P154" s="185"/>
      <c r="Q154" s="185" t="s">
        <v>743</v>
      </c>
      <c r="R154" s="185" t="s">
        <v>381</v>
      </c>
      <c r="S154" s="185" t="s">
        <v>295</v>
      </c>
      <c r="T154" s="185" t="s">
        <v>379</v>
      </c>
    </row>
    <row r="155" spans="1:20" outlineLevel="1">
      <c r="A155" s="199" t="s">
        <v>223</v>
      </c>
      <c r="B155" s="181" t="s">
        <v>1567</v>
      </c>
      <c r="C155" s="190">
        <v>43708</v>
      </c>
      <c r="D155" s="181" t="s">
        <v>1592</v>
      </c>
      <c r="E155" s="182" t="s">
        <v>1718</v>
      </c>
      <c r="F155" s="183">
        <v>77217</v>
      </c>
      <c r="G155" s="184">
        <v>75.319999999999993</v>
      </c>
      <c r="H155" s="181">
        <v>100</v>
      </c>
      <c r="I155" s="181" t="s">
        <v>292</v>
      </c>
      <c r="J155" s="191">
        <v>90.82</v>
      </c>
      <c r="K155" s="191">
        <v>100</v>
      </c>
      <c r="L155" s="199" t="s">
        <v>752</v>
      </c>
      <c r="M155" s="211" t="s">
        <v>1587</v>
      </c>
      <c r="N155" s="185" t="s">
        <v>396</v>
      </c>
      <c r="O155" s="185" t="s">
        <v>309</v>
      </c>
      <c r="P155" s="185"/>
      <c r="Q155" s="185" t="s">
        <v>737</v>
      </c>
      <c r="R155" s="185" t="s">
        <v>381</v>
      </c>
      <c r="S155" s="185" t="s">
        <v>295</v>
      </c>
      <c r="T155" s="185" t="s">
        <v>379</v>
      </c>
    </row>
    <row r="156" spans="1:20" outlineLevel="1">
      <c r="A156" s="199" t="s">
        <v>223</v>
      </c>
      <c r="B156" s="181" t="s">
        <v>1567</v>
      </c>
      <c r="C156" s="190">
        <v>43708</v>
      </c>
      <c r="D156" s="181" t="s">
        <v>1592</v>
      </c>
      <c r="E156" s="182" t="s">
        <v>1719</v>
      </c>
      <c r="F156" s="183">
        <v>77217</v>
      </c>
      <c r="G156" s="184">
        <v>203.37</v>
      </c>
      <c r="H156" s="181">
        <v>270</v>
      </c>
      <c r="I156" s="181" t="s">
        <v>292</v>
      </c>
      <c r="J156" s="191">
        <v>245.23</v>
      </c>
      <c r="K156" s="191">
        <v>270</v>
      </c>
      <c r="L156" s="199" t="s">
        <v>752</v>
      </c>
      <c r="M156" s="211" t="s">
        <v>1587</v>
      </c>
      <c r="N156" s="185" t="s">
        <v>396</v>
      </c>
      <c r="O156" s="185" t="s">
        <v>309</v>
      </c>
      <c r="P156" s="185"/>
      <c r="Q156" s="185" t="s">
        <v>737</v>
      </c>
      <c r="R156" s="185" t="s">
        <v>381</v>
      </c>
      <c r="S156" s="185" t="s">
        <v>295</v>
      </c>
      <c r="T156" s="185" t="s">
        <v>379</v>
      </c>
    </row>
    <row r="157" spans="1:20" outlineLevel="1">
      <c r="A157" s="199" t="s">
        <v>223</v>
      </c>
      <c r="B157" s="181" t="s">
        <v>1567</v>
      </c>
      <c r="C157" s="190">
        <v>43708</v>
      </c>
      <c r="D157" s="181" t="s">
        <v>1592</v>
      </c>
      <c r="E157" s="182" t="s">
        <v>1720</v>
      </c>
      <c r="F157" s="183">
        <v>77217</v>
      </c>
      <c r="G157" s="184">
        <v>512.20000000000005</v>
      </c>
      <c r="H157" s="181">
        <v>680</v>
      </c>
      <c r="I157" s="181" t="s">
        <v>292</v>
      </c>
      <c r="J157" s="191">
        <v>617.61</v>
      </c>
      <c r="K157" s="191">
        <v>680</v>
      </c>
      <c r="L157" s="199" t="s">
        <v>752</v>
      </c>
      <c r="M157" s="211" t="s">
        <v>1587</v>
      </c>
      <c r="N157" s="185" t="s">
        <v>396</v>
      </c>
      <c r="O157" s="185" t="s">
        <v>309</v>
      </c>
      <c r="P157" s="185"/>
      <c r="Q157" s="185" t="s">
        <v>737</v>
      </c>
      <c r="R157" s="185" t="s">
        <v>381</v>
      </c>
      <c r="S157" s="185" t="s">
        <v>295</v>
      </c>
      <c r="T157" s="185" t="s">
        <v>379</v>
      </c>
    </row>
    <row r="158" spans="1:20">
      <c r="A158" s="212" t="s">
        <v>378</v>
      </c>
      <c r="B158" s="212"/>
      <c r="C158" s="212"/>
      <c r="D158" s="212"/>
      <c r="E158" s="213"/>
      <c r="F158" s="214"/>
      <c r="G158" s="215">
        <f>SUM(G152:G157)</f>
        <v>1235.5</v>
      </c>
      <c r="H158" s="216">
        <f>SUM(H152:H157)</f>
        <v>1570</v>
      </c>
      <c r="I158" s="212"/>
      <c r="J158" s="216">
        <f>SUM(J152:J157)</f>
        <v>1425.95</v>
      </c>
      <c r="K158" s="216">
        <f>SUM(K152:K157)</f>
        <v>1570</v>
      </c>
      <c r="L158" s="212"/>
      <c r="M158" s="213"/>
      <c r="N158" s="212"/>
      <c r="O158" s="212"/>
      <c r="P158" s="212"/>
      <c r="Q158" s="212"/>
      <c r="R158" s="212"/>
      <c r="S158" s="212"/>
      <c r="T158" s="212"/>
    </row>
    <row r="159" spans="1:20" outlineLevel="1">
      <c r="A159" s="199" t="s">
        <v>225</v>
      </c>
      <c r="B159" s="181" t="s">
        <v>1575</v>
      </c>
      <c r="C159" s="190">
        <v>43704</v>
      </c>
      <c r="D159" s="181" t="s">
        <v>1680</v>
      </c>
      <c r="E159" s="182" t="s">
        <v>1681</v>
      </c>
      <c r="F159" s="183">
        <v>76932</v>
      </c>
      <c r="G159" s="184">
        <v>654.78</v>
      </c>
      <c r="H159" s="181">
        <v>800</v>
      </c>
      <c r="I159" s="181" t="s">
        <v>292</v>
      </c>
      <c r="J159" s="191">
        <v>714.41</v>
      </c>
      <c r="K159" s="191">
        <v>800</v>
      </c>
      <c r="L159" s="199" t="s">
        <v>640</v>
      </c>
      <c r="M159" s="211" t="s">
        <v>1580</v>
      </c>
      <c r="N159" s="185" t="s">
        <v>396</v>
      </c>
      <c r="O159" s="185" t="s">
        <v>309</v>
      </c>
      <c r="P159" s="185"/>
      <c r="Q159" s="185"/>
      <c r="R159" s="185" t="s">
        <v>381</v>
      </c>
      <c r="S159" s="185" t="s">
        <v>295</v>
      </c>
      <c r="T159" s="185" t="s">
        <v>379</v>
      </c>
    </row>
    <row r="160" spans="1:20" outlineLevel="1">
      <c r="A160" s="199" t="s">
        <v>225</v>
      </c>
      <c r="B160" s="181" t="s">
        <v>1567</v>
      </c>
      <c r="C160" s="190">
        <v>43720</v>
      </c>
      <c r="D160" s="181" t="s">
        <v>1581</v>
      </c>
      <c r="E160" s="182" t="s">
        <v>1684</v>
      </c>
      <c r="F160" s="183">
        <v>77221</v>
      </c>
      <c r="G160" s="184">
        <v>148</v>
      </c>
      <c r="H160" s="181">
        <v>180</v>
      </c>
      <c r="I160" s="181" t="s">
        <v>292</v>
      </c>
      <c r="J160" s="191">
        <v>163.47999999999999</v>
      </c>
      <c r="K160" s="191">
        <v>179.99</v>
      </c>
      <c r="L160" s="199" t="s">
        <v>640</v>
      </c>
      <c r="M160" s="211" t="s">
        <v>1580</v>
      </c>
      <c r="N160" s="185" t="s">
        <v>396</v>
      </c>
      <c r="O160" s="185" t="s">
        <v>309</v>
      </c>
      <c r="P160" s="185"/>
      <c r="Q160" s="185"/>
      <c r="R160" s="185" t="s">
        <v>381</v>
      </c>
      <c r="S160" s="185" t="s">
        <v>295</v>
      </c>
      <c r="T160" s="185" t="s">
        <v>379</v>
      </c>
    </row>
    <row r="161" spans="1:20" outlineLevel="1">
      <c r="A161" s="199" t="s">
        <v>225</v>
      </c>
      <c r="B161" s="181" t="s">
        <v>1567</v>
      </c>
      <c r="C161" s="190">
        <v>43720</v>
      </c>
      <c r="D161" s="181" t="s">
        <v>1583</v>
      </c>
      <c r="E161" s="182" t="s">
        <v>1685</v>
      </c>
      <c r="F161" s="183">
        <v>77221</v>
      </c>
      <c r="G161" s="184">
        <v>164.45</v>
      </c>
      <c r="H161" s="181">
        <v>200</v>
      </c>
      <c r="I161" s="181" t="s">
        <v>292</v>
      </c>
      <c r="J161" s="191">
        <v>181.65</v>
      </c>
      <c r="K161" s="191">
        <v>200</v>
      </c>
      <c r="L161" s="199" t="s">
        <v>640</v>
      </c>
      <c r="M161" s="211" t="s">
        <v>1580</v>
      </c>
      <c r="N161" s="185" t="s">
        <v>396</v>
      </c>
      <c r="O161" s="185" t="s">
        <v>309</v>
      </c>
      <c r="P161" s="185"/>
      <c r="Q161" s="185"/>
      <c r="R161" s="185" t="s">
        <v>381</v>
      </c>
      <c r="S161" s="185" t="s">
        <v>295</v>
      </c>
      <c r="T161" s="185" t="s">
        <v>379</v>
      </c>
    </row>
    <row r="162" spans="1:20">
      <c r="A162" s="212" t="s">
        <v>378</v>
      </c>
      <c r="B162" s="212"/>
      <c r="C162" s="212"/>
      <c r="D162" s="212"/>
      <c r="E162" s="213"/>
      <c r="F162" s="214"/>
      <c r="G162" s="215">
        <f>SUM(G159:G161)</f>
        <v>967.23</v>
      </c>
      <c r="H162" s="216">
        <f>SUM(H159:H161)</f>
        <v>1180</v>
      </c>
      <c r="I162" s="212"/>
      <c r="J162" s="216">
        <f>SUM(J159:J161)</f>
        <v>1059.54</v>
      </c>
      <c r="K162" s="216">
        <f>SUM(K159:K161)</f>
        <v>1179.99</v>
      </c>
      <c r="L162" s="212"/>
      <c r="M162" s="213"/>
      <c r="N162" s="212"/>
      <c r="O162" s="212"/>
      <c r="P162" s="212"/>
      <c r="Q162" s="212"/>
      <c r="R162" s="212"/>
      <c r="S162" s="212"/>
      <c r="T162" s="212"/>
    </row>
    <row r="163" spans="1:20" outlineLevel="1">
      <c r="A163" s="199" t="s">
        <v>226</v>
      </c>
      <c r="B163" s="181" t="s">
        <v>1566</v>
      </c>
      <c r="C163" s="190">
        <v>43676</v>
      </c>
      <c r="D163" s="181" t="s">
        <v>1721</v>
      </c>
      <c r="E163" s="182" t="s">
        <v>1722</v>
      </c>
      <c r="F163" s="183">
        <v>76665</v>
      </c>
      <c r="G163" s="184">
        <v>216.55</v>
      </c>
      <c r="H163" s="181">
        <v>275</v>
      </c>
      <c r="I163" s="181" t="s">
        <v>292</v>
      </c>
      <c r="J163" s="191">
        <v>242.15</v>
      </c>
      <c r="K163" s="191">
        <v>275</v>
      </c>
      <c r="L163" s="199" t="s">
        <v>592</v>
      </c>
      <c r="M163" s="211" t="s">
        <v>1574</v>
      </c>
      <c r="N163" s="185" t="s">
        <v>396</v>
      </c>
      <c r="O163" s="185" t="s">
        <v>309</v>
      </c>
      <c r="P163" s="185"/>
      <c r="Q163" s="185"/>
      <c r="R163" s="185" t="s">
        <v>381</v>
      </c>
      <c r="S163" s="185" t="s">
        <v>295</v>
      </c>
      <c r="T163" s="185" t="s">
        <v>379</v>
      </c>
    </row>
    <row r="164" spans="1:20" outlineLevel="1">
      <c r="A164" s="199" t="s">
        <v>226</v>
      </c>
      <c r="B164" s="181" t="s">
        <v>1575</v>
      </c>
      <c r="C164" s="190">
        <v>43679</v>
      </c>
      <c r="D164" s="181" t="s">
        <v>1723</v>
      </c>
      <c r="E164" s="182" t="s">
        <v>1724</v>
      </c>
      <c r="F164" s="183">
        <v>76932</v>
      </c>
      <c r="G164" s="184">
        <v>8.18</v>
      </c>
      <c r="H164" s="181">
        <v>10</v>
      </c>
      <c r="I164" s="181" t="s">
        <v>292</v>
      </c>
      <c r="J164" s="191">
        <v>8.93</v>
      </c>
      <c r="K164" s="191">
        <v>9.99</v>
      </c>
      <c r="L164" s="199" t="s">
        <v>604</v>
      </c>
      <c r="M164" s="211" t="s">
        <v>1725</v>
      </c>
      <c r="N164" s="185" t="s">
        <v>396</v>
      </c>
      <c r="O164" s="185" t="s">
        <v>309</v>
      </c>
      <c r="P164" s="185" t="s">
        <v>1726</v>
      </c>
      <c r="Q164" s="185"/>
      <c r="R164" s="185" t="s">
        <v>381</v>
      </c>
      <c r="S164" s="185" t="s">
        <v>295</v>
      </c>
      <c r="T164" s="185" t="s">
        <v>379</v>
      </c>
    </row>
    <row r="165" spans="1:20" outlineLevel="1">
      <c r="A165" s="199" t="s">
        <v>226</v>
      </c>
      <c r="B165" s="181" t="s">
        <v>1575</v>
      </c>
      <c r="C165" s="190">
        <v>43679</v>
      </c>
      <c r="D165" s="181" t="s">
        <v>1723</v>
      </c>
      <c r="E165" s="182" t="s">
        <v>1727</v>
      </c>
      <c r="F165" s="183">
        <v>76932</v>
      </c>
      <c r="G165" s="184">
        <v>28.65</v>
      </c>
      <c r="H165" s="181">
        <v>35</v>
      </c>
      <c r="I165" s="181" t="s">
        <v>292</v>
      </c>
      <c r="J165" s="191">
        <v>31.26</v>
      </c>
      <c r="K165" s="191">
        <v>35</v>
      </c>
      <c r="L165" s="199" t="s">
        <v>615</v>
      </c>
      <c r="M165" s="211" t="s">
        <v>1676</v>
      </c>
      <c r="N165" s="185" t="s">
        <v>396</v>
      </c>
      <c r="O165" s="185" t="s">
        <v>309</v>
      </c>
      <c r="P165" s="185" t="s">
        <v>1726</v>
      </c>
      <c r="Q165" s="185"/>
      <c r="R165" s="185" t="s">
        <v>381</v>
      </c>
      <c r="S165" s="185" t="s">
        <v>295</v>
      </c>
      <c r="T165" s="185" t="s">
        <v>379</v>
      </c>
    </row>
    <row r="166" spans="1:20" outlineLevel="1">
      <c r="A166" s="199" t="s">
        <v>226</v>
      </c>
      <c r="B166" s="181" t="s">
        <v>1575</v>
      </c>
      <c r="C166" s="190">
        <v>43704</v>
      </c>
      <c r="D166" s="181" t="s">
        <v>1680</v>
      </c>
      <c r="E166" s="182" t="s">
        <v>1681</v>
      </c>
      <c r="F166" s="183">
        <v>76932</v>
      </c>
      <c r="G166" s="184">
        <v>1636.94</v>
      </c>
      <c r="H166" s="181">
        <v>2000</v>
      </c>
      <c r="I166" s="181" t="s">
        <v>292</v>
      </c>
      <c r="J166" s="191">
        <v>1786.02</v>
      </c>
      <c r="K166" s="191">
        <v>2000</v>
      </c>
      <c r="L166" s="199" t="s">
        <v>640</v>
      </c>
      <c r="M166" s="211" t="s">
        <v>1580</v>
      </c>
      <c r="N166" s="185" t="s">
        <v>396</v>
      </c>
      <c r="O166" s="185" t="s">
        <v>309</v>
      </c>
      <c r="P166" s="185"/>
      <c r="Q166" s="185"/>
      <c r="R166" s="185" t="s">
        <v>381</v>
      </c>
      <c r="S166" s="185" t="s">
        <v>295</v>
      </c>
      <c r="T166" s="185" t="s">
        <v>379</v>
      </c>
    </row>
    <row r="167" spans="1:20" outlineLevel="1">
      <c r="A167" s="199" t="s">
        <v>226</v>
      </c>
      <c r="B167" s="181" t="s">
        <v>1567</v>
      </c>
      <c r="C167" s="190">
        <v>43720</v>
      </c>
      <c r="D167" s="181" t="s">
        <v>1583</v>
      </c>
      <c r="E167" s="182" t="s">
        <v>1685</v>
      </c>
      <c r="F167" s="183">
        <v>77221</v>
      </c>
      <c r="G167" s="184">
        <v>312.45</v>
      </c>
      <c r="H167" s="181">
        <v>380</v>
      </c>
      <c r="I167" s="181" t="s">
        <v>292</v>
      </c>
      <c r="J167" s="191">
        <v>345.13</v>
      </c>
      <c r="K167" s="191">
        <v>379.99</v>
      </c>
      <c r="L167" s="199" t="s">
        <v>640</v>
      </c>
      <c r="M167" s="211" t="s">
        <v>1580</v>
      </c>
      <c r="N167" s="185" t="s">
        <v>396</v>
      </c>
      <c r="O167" s="185" t="s">
        <v>309</v>
      </c>
      <c r="P167" s="185"/>
      <c r="Q167" s="185"/>
      <c r="R167" s="185" t="s">
        <v>381</v>
      </c>
      <c r="S167" s="185" t="s">
        <v>295</v>
      </c>
      <c r="T167" s="185" t="s">
        <v>379</v>
      </c>
    </row>
    <row r="168" spans="1:20" outlineLevel="1">
      <c r="A168" s="199" t="s">
        <v>226</v>
      </c>
      <c r="B168" s="181" t="s">
        <v>1567</v>
      </c>
      <c r="C168" s="190">
        <v>43720</v>
      </c>
      <c r="D168" s="181" t="s">
        <v>1581</v>
      </c>
      <c r="E168" s="182" t="s">
        <v>1684</v>
      </c>
      <c r="F168" s="183">
        <v>77221</v>
      </c>
      <c r="G168" s="184">
        <v>244.08</v>
      </c>
      <c r="H168" s="181">
        <v>296.83999999999997</v>
      </c>
      <c r="I168" s="181" t="s">
        <v>292</v>
      </c>
      <c r="J168" s="191">
        <v>269.60000000000002</v>
      </c>
      <c r="K168" s="191">
        <v>296.83999999999997</v>
      </c>
      <c r="L168" s="199" t="s">
        <v>640</v>
      </c>
      <c r="M168" s="211" t="s">
        <v>1580</v>
      </c>
      <c r="N168" s="185" t="s">
        <v>396</v>
      </c>
      <c r="O168" s="185" t="s">
        <v>309</v>
      </c>
      <c r="P168" s="185"/>
      <c r="Q168" s="185"/>
      <c r="R168" s="185" t="s">
        <v>381</v>
      </c>
      <c r="S168" s="185" t="s">
        <v>295</v>
      </c>
      <c r="T168" s="185" t="s">
        <v>379</v>
      </c>
    </row>
    <row r="169" spans="1:20" outlineLevel="1">
      <c r="A169" s="199" t="s">
        <v>226</v>
      </c>
      <c r="B169" s="181" t="s">
        <v>1567</v>
      </c>
      <c r="C169" s="190">
        <v>43666</v>
      </c>
      <c r="D169" s="181" t="s">
        <v>1607</v>
      </c>
      <c r="E169" s="182" t="s">
        <v>1728</v>
      </c>
      <c r="F169" s="183">
        <v>77196</v>
      </c>
      <c r="G169" s="184">
        <v>30.13</v>
      </c>
      <c r="H169" s="181">
        <v>40</v>
      </c>
      <c r="I169" s="181" t="s">
        <v>292</v>
      </c>
      <c r="J169" s="191">
        <v>36.33</v>
      </c>
      <c r="K169" s="191">
        <v>40</v>
      </c>
      <c r="L169" s="199" t="s">
        <v>752</v>
      </c>
      <c r="M169" s="211" t="s">
        <v>1587</v>
      </c>
      <c r="N169" s="185" t="s">
        <v>396</v>
      </c>
      <c r="O169" s="185" t="s">
        <v>309</v>
      </c>
      <c r="P169" s="185"/>
      <c r="Q169" s="185" t="s">
        <v>740</v>
      </c>
      <c r="R169" s="185" t="s">
        <v>381</v>
      </c>
      <c r="S169" s="185" t="s">
        <v>295</v>
      </c>
      <c r="T169" s="185" t="s">
        <v>379</v>
      </c>
    </row>
    <row r="170" spans="1:20" outlineLevel="1">
      <c r="A170" s="199" t="s">
        <v>226</v>
      </c>
      <c r="B170" s="181" t="s">
        <v>1567</v>
      </c>
      <c r="C170" s="190">
        <v>43666</v>
      </c>
      <c r="D170" s="181" t="s">
        <v>1607</v>
      </c>
      <c r="E170" s="182" t="s">
        <v>1729</v>
      </c>
      <c r="F170" s="183">
        <v>77196</v>
      </c>
      <c r="G170" s="184">
        <v>414.28</v>
      </c>
      <c r="H170" s="181">
        <v>550</v>
      </c>
      <c r="I170" s="181" t="s">
        <v>292</v>
      </c>
      <c r="J170" s="191">
        <v>499.54</v>
      </c>
      <c r="K170" s="191">
        <v>550</v>
      </c>
      <c r="L170" s="199" t="s">
        <v>752</v>
      </c>
      <c r="M170" s="211" t="s">
        <v>1587</v>
      </c>
      <c r="N170" s="185" t="s">
        <v>396</v>
      </c>
      <c r="O170" s="185" t="s">
        <v>309</v>
      </c>
      <c r="P170" s="185"/>
      <c r="Q170" s="185" t="s">
        <v>740</v>
      </c>
      <c r="R170" s="185" t="s">
        <v>381</v>
      </c>
      <c r="S170" s="185" t="s">
        <v>295</v>
      </c>
      <c r="T170" s="185" t="s">
        <v>379</v>
      </c>
    </row>
    <row r="171" spans="1:20" outlineLevel="1">
      <c r="A171" s="199" t="s">
        <v>226</v>
      </c>
      <c r="B171" s="181" t="s">
        <v>1567</v>
      </c>
      <c r="C171" s="190">
        <v>43666</v>
      </c>
      <c r="D171" s="181" t="s">
        <v>1607</v>
      </c>
      <c r="E171" s="182" t="s">
        <v>1730</v>
      </c>
      <c r="F171" s="183">
        <v>77196</v>
      </c>
      <c r="G171" s="184">
        <v>120.52</v>
      </c>
      <c r="H171" s="181">
        <v>160</v>
      </c>
      <c r="I171" s="181" t="s">
        <v>292</v>
      </c>
      <c r="J171" s="191">
        <v>145.32</v>
      </c>
      <c r="K171" s="191">
        <v>160</v>
      </c>
      <c r="L171" s="199" t="s">
        <v>752</v>
      </c>
      <c r="M171" s="211" t="s">
        <v>1587</v>
      </c>
      <c r="N171" s="185" t="s">
        <v>396</v>
      </c>
      <c r="O171" s="185" t="s">
        <v>309</v>
      </c>
      <c r="P171" s="185"/>
      <c r="Q171" s="185" t="s">
        <v>740</v>
      </c>
      <c r="R171" s="185" t="s">
        <v>381</v>
      </c>
      <c r="S171" s="185" t="s">
        <v>295</v>
      </c>
      <c r="T171" s="185" t="s">
        <v>379</v>
      </c>
    </row>
    <row r="172" spans="1:20" outlineLevel="1">
      <c r="A172" s="199" t="s">
        <v>226</v>
      </c>
      <c r="B172" s="181" t="s">
        <v>1567</v>
      </c>
      <c r="C172" s="190">
        <v>43666</v>
      </c>
      <c r="D172" s="181" t="s">
        <v>1607</v>
      </c>
      <c r="E172" s="182" t="s">
        <v>1731</v>
      </c>
      <c r="F172" s="183">
        <v>77196</v>
      </c>
      <c r="G172" s="184">
        <v>60.26</v>
      </c>
      <c r="H172" s="181">
        <v>80</v>
      </c>
      <c r="I172" s="181" t="s">
        <v>292</v>
      </c>
      <c r="J172" s="191">
        <v>72.66</v>
      </c>
      <c r="K172" s="191">
        <v>80</v>
      </c>
      <c r="L172" s="199" t="s">
        <v>752</v>
      </c>
      <c r="M172" s="211" t="s">
        <v>1587</v>
      </c>
      <c r="N172" s="185" t="s">
        <v>396</v>
      </c>
      <c r="O172" s="185" t="s">
        <v>309</v>
      </c>
      <c r="P172" s="185"/>
      <c r="Q172" s="185" t="s">
        <v>740</v>
      </c>
      <c r="R172" s="185" t="s">
        <v>381</v>
      </c>
      <c r="S172" s="185" t="s">
        <v>295</v>
      </c>
      <c r="T172" s="185" t="s">
        <v>379</v>
      </c>
    </row>
    <row r="173" spans="1:20" outlineLevel="1">
      <c r="A173" s="199" t="s">
        <v>226</v>
      </c>
      <c r="B173" s="181" t="s">
        <v>1567</v>
      </c>
      <c r="C173" s="190">
        <v>43667</v>
      </c>
      <c r="D173" s="181" t="s">
        <v>1607</v>
      </c>
      <c r="E173" s="182" t="s">
        <v>1732</v>
      </c>
      <c r="F173" s="183">
        <v>77196</v>
      </c>
      <c r="G173" s="184">
        <v>22.6</v>
      </c>
      <c r="H173" s="181">
        <v>30</v>
      </c>
      <c r="I173" s="181" t="s">
        <v>292</v>
      </c>
      <c r="J173" s="191">
        <v>27.25</v>
      </c>
      <c r="K173" s="191">
        <v>30</v>
      </c>
      <c r="L173" s="199" t="s">
        <v>752</v>
      </c>
      <c r="M173" s="211" t="s">
        <v>1587</v>
      </c>
      <c r="N173" s="185" t="s">
        <v>396</v>
      </c>
      <c r="O173" s="185" t="s">
        <v>309</v>
      </c>
      <c r="P173" s="185"/>
      <c r="Q173" s="185" t="s">
        <v>740</v>
      </c>
      <c r="R173" s="185" t="s">
        <v>381</v>
      </c>
      <c r="S173" s="185" t="s">
        <v>295</v>
      </c>
      <c r="T173" s="185" t="s">
        <v>379</v>
      </c>
    </row>
    <row r="174" spans="1:20" outlineLevel="1">
      <c r="A174" s="199" t="s">
        <v>226</v>
      </c>
      <c r="B174" s="181" t="s">
        <v>1567</v>
      </c>
      <c r="C174" s="190">
        <v>43670</v>
      </c>
      <c r="D174" s="181" t="s">
        <v>1607</v>
      </c>
      <c r="E174" s="182" t="s">
        <v>1733</v>
      </c>
      <c r="F174" s="183">
        <v>77196</v>
      </c>
      <c r="G174" s="184">
        <v>67.790000000000006</v>
      </c>
      <c r="H174" s="181">
        <v>90</v>
      </c>
      <c r="I174" s="181" t="s">
        <v>292</v>
      </c>
      <c r="J174" s="191">
        <v>81.739999999999995</v>
      </c>
      <c r="K174" s="191">
        <v>90</v>
      </c>
      <c r="L174" s="199" t="s">
        <v>752</v>
      </c>
      <c r="M174" s="211" t="s">
        <v>1587</v>
      </c>
      <c r="N174" s="185" t="s">
        <v>396</v>
      </c>
      <c r="O174" s="185" t="s">
        <v>309</v>
      </c>
      <c r="P174" s="185"/>
      <c r="Q174" s="185" t="s">
        <v>740</v>
      </c>
      <c r="R174" s="185" t="s">
        <v>381</v>
      </c>
      <c r="S174" s="185" t="s">
        <v>295</v>
      </c>
      <c r="T174" s="185" t="s">
        <v>379</v>
      </c>
    </row>
    <row r="175" spans="1:20" outlineLevel="1">
      <c r="A175" s="199" t="s">
        <v>226</v>
      </c>
      <c r="B175" s="181" t="s">
        <v>1567</v>
      </c>
      <c r="C175" s="190">
        <v>43674</v>
      </c>
      <c r="D175" s="181" t="s">
        <v>1607</v>
      </c>
      <c r="E175" s="182" t="s">
        <v>1734</v>
      </c>
      <c r="F175" s="183">
        <v>77196</v>
      </c>
      <c r="G175" s="184">
        <v>329.54</v>
      </c>
      <c r="H175" s="181">
        <v>437.5</v>
      </c>
      <c r="I175" s="181" t="s">
        <v>292</v>
      </c>
      <c r="J175" s="191">
        <v>397.36</v>
      </c>
      <c r="K175" s="191">
        <v>437.5</v>
      </c>
      <c r="L175" s="199" t="s">
        <v>752</v>
      </c>
      <c r="M175" s="211" t="s">
        <v>1587</v>
      </c>
      <c r="N175" s="185" t="s">
        <v>396</v>
      </c>
      <c r="O175" s="185" t="s">
        <v>309</v>
      </c>
      <c r="P175" s="185"/>
      <c r="Q175" s="185" t="s">
        <v>740</v>
      </c>
      <c r="R175" s="185" t="s">
        <v>381</v>
      </c>
      <c r="S175" s="185" t="s">
        <v>295</v>
      </c>
      <c r="T175" s="185" t="s">
        <v>379</v>
      </c>
    </row>
    <row r="176" spans="1:20" outlineLevel="1">
      <c r="A176" s="199" t="s">
        <v>226</v>
      </c>
      <c r="B176" s="181" t="s">
        <v>1567</v>
      </c>
      <c r="C176" s="190">
        <v>43674</v>
      </c>
      <c r="D176" s="181" t="s">
        <v>1607</v>
      </c>
      <c r="E176" s="182" t="s">
        <v>1735</v>
      </c>
      <c r="F176" s="183">
        <v>77196</v>
      </c>
      <c r="G176" s="184">
        <v>94.15</v>
      </c>
      <c r="H176" s="181">
        <v>125</v>
      </c>
      <c r="I176" s="181" t="s">
        <v>292</v>
      </c>
      <c r="J176" s="191">
        <v>113.53</v>
      </c>
      <c r="K176" s="191">
        <v>125</v>
      </c>
      <c r="L176" s="199" t="s">
        <v>752</v>
      </c>
      <c r="M176" s="211" t="s">
        <v>1587</v>
      </c>
      <c r="N176" s="185" t="s">
        <v>396</v>
      </c>
      <c r="O176" s="185" t="s">
        <v>309</v>
      </c>
      <c r="P176" s="185"/>
      <c r="Q176" s="185" t="s">
        <v>740</v>
      </c>
      <c r="R176" s="185" t="s">
        <v>381</v>
      </c>
      <c r="S176" s="185" t="s">
        <v>295</v>
      </c>
      <c r="T176" s="185" t="s">
        <v>379</v>
      </c>
    </row>
    <row r="177" spans="1:20" outlineLevel="1">
      <c r="A177" s="199" t="s">
        <v>226</v>
      </c>
      <c r="B177" s="181" t="s">
        <v>1567</v>
      </c>
      <c r="C177" s="190">
        <v>43674</v>
      </c>
      <c r="D177" s="181" t="s">
        <v>1607</v>
      </c>
      <c r="E177" s="182" t="s">
        <v>1736</v>
      </c>
      <c r="F177" s="183">
        <v>77196</v>
      </c>
      <c r="G177" s="184">
        <v>22.6</v>
      </c>
      <c r="H177" s="181">
        <v>30</v>
      </c>
      <c r="I177" s="181" t="s">
        <v>292</v>
      </c>
      <c r="J177" s="191">
        <v>27.25</v>
      </c>
      <c r="K177" s="191">
        <v>30</v>
      </c>
      <c r="L177" s="199" t="s">
        <v>752</v>
      </c>
      <c r="M177" s="211" t="s">
        <v>1587</v>
      </c>
      <c r="N177" s="185" t="s">
        <v>396</v>
      </c>
      <c r="O177" s="185" t="s">
        <v>309</v>
      </c>
      <c r="P177" s="185"/>
      <c r="Q177" s="185" t="s">
        <v>740</v>
      </c>
      <c r="R177" s="185" t="s">
        <v>381</v>
      </c>
      <c r="S177" s="185" t="s">
        <v>295</v>
      </c>
      <c r="T177" s="185" t="s">
        <v>379</v>
      </c>
    </row>
    <row r="178" spans="1:20" outlineLevel="1">
      <c r="A178" s="199" t="s">
        <v>226</v>
      </c>
      <c r="B178" s="181" t="s">
        <v>1567</v>
      </c>
      <c r="C178" s="190">
        <v>43674</v>
      </c>
      <c r="D178" s="181" t="s">
        <v>1607</v>
      </c>
      <c r="E178" s="182" t="s">
        <v>1737</v>
      </c>
      <c r="F178" s="183">
        <v>77196</v>
      </c>
      <c r="G178" s="184">
        <v>7.53</v>
      </c>
      <c r="H178" s="181">
        <v>10</v>
      </c>
      <c r="I178" s="181" t="s">
        <v>292</v>
      </c>
      <c r="J178" s="191">
        <v>9.08</v>
      </c>
      <c r="K178" s="191">
        <v>10</v>
      </c>
      <c r="L178" s="199" t="s">
        <v>752</v>
      </c>
      <c r="M178" s="211" t="s">
        <v>1587</v>
      </c>
      <c r="N178" s="185" t="s">
        <v>396</v>
      </c>
      <c r="O178" s="185" t="s">
        <v>309</v>
      </c>
      <c r="P178" s="185"/>
      <c r="Q178" s="185" t="s">
        <v>740</v>
      </c>
      <c r="R178" s="185" t="s">
        <v>381</v>
      </c>
      <c r="S178" s="185" t="s">
        <v>295</v>
      </c>
      <c r="T178" s="185" t="s">
        <v>379</v>
      </c>
    </row>
    <row r="179" spans="1:20" outlineLevel="1">
      <c r="A179" s="199" t="s">
        <v>226</v>
      </c>
      <c r="B179" s="181" t="s">
        <v>1567</v>
      </c>
      <c r="C179" s="190">
        <v>43674</v>
      </c>
      <c r="D179" s="181" t="s">
        <v>1607</v>
      </c>
      <c r="E179" s="182" t="s">
        <v>1738</v>
      </c>
      <c r="F179" s="183">
        <v>77196</v>
      </c>
      <c r="G179" s="184">
        <v>7.53</v>
      </c>
      <c r="H179" s="181">
        <v>10</v>
      </c>
      <c r="I179" s="181" t="s">
        <v>292</v>
      </c>
      <c r="J179" s="191">
        <v>9.08</v>
      </c>
      <c r="K179" s="191">
        <v>10</v>
      </c>
      <c r="L179" s="199" t="s">
        <v>752</v>
      </c>
      <c r="M179" s="211" t="s">
        <v>1587</v>
      </c>
      <c r="N179" s="185" t="s">
        <v>396</v>
      </c>
      <c r="O179" s="185" t="s">
        <v>309</v>
      </c>
      <c r="P179" s="185"/>
      <c r="Q179" s="185" t="s">
        <v>740</v>
      </c>
      <c r="R179" s="185" t="s">
        <v>381</v>
      </c>
      <c r="S179" s="185" t="s">
        <v>295</v>
      </c>
      <c r="T179" s="185" t="s">
        <v>379</v>
      </c>
    </row>
    <row r="180" spans="1:20" outlineLevel="1">
      <c r="A180" s="199" t="s">
        <v>226</v>
      </c>
      <c r="B180" s="181" t="s">
        <v>1567</v>
      </c>
      <c r="C180" s="190">
        <v>43674</v>
      </c>
      <c r="D180" s="181" t="s">
        <v>1607</v>
      </c>
      <c r="E180" s="182" t="s">
        <v>1739</v>
      </c>
      <c r="F180" s="183">
        <v>77196</v>
      </c>
      <c r="G180" s="184">
        <v>39.17</v>
      </c>
      <c r="H180" s="181">
        <v>52</v>
      </c>
      <c r="I180" s="181" t="s">
        <v>292</v>
      </c>
      <c r="J180" s="191">
        <v>47.23</v>
      </c>
      <c r="K180" s="191">
        <v>52</v>
      </c>
      <c r="L180" s="199" t="s">
        <v>752</v>
      </c>
      <c r="M180" s="211" t="s">
        <v>1587</v>
      </c>
      <c r="N180" s="185" t="s">
        <v>396</v>
      </c>
      <c r="O180" s="185" t="s">
        <v>309</v>
      </c>
      <c r="P180" s="185"/>
      <c r="Q180" s="185" t="s">
        <v>740</v>
      </c>
      <c r="R180" s="185" t="s">
        <v>381</v>
      </c>
      <c r="S180" s="185" t="s">
        <v>295</v>
      </c>
      <c r="T180" s="185" t="s">
        <v>379</v>
      </c>
    </row>
    <row r="181" spans="1:20" outlineLevel="1">
      <c r="A181" s="199" t="s">
        <v>226</v>
      </c>
      <c r="B181" s="181" t="s">
        <v>1567</v>
      </c>
      <c r="C181" s="190">
        <v>43676</v>
      </c>
      <c r="D181" s="181" t="s">
        <v>1607</v>
      </c>
      <c r="E181" s="182" t="s">
        <v>1740</v>
      </c>
      <c r="F181" s="183">
        <v>77196</v>
      </c>
      <c r="G181" s="184">
        <v>94.15</v>
      </c>
      <c r="H181" s="181">
        <v>125</v>
      </c>
      <c r="I181" s="181" t="s">
        <v>292</v>
      </c>
      <c r="J181" s="191">
        <v>113.53</v>
      </c>
      <c r="K181" s="191">
        <v>125</v>
      </c>
      <c r="L181" s="199" t="s">
        <v>752</v>
      </c>
      <c r="M181" s="211" t="s">
        <v>1587</v>
      </c>
      <c r="N181" s="185" t="s">
        <v>396</v>
      </c>
      <c r="O181" s="185" t="s">
        <v>309</v>
      </c>
      <c r="P181" s="185"/>
      <c r="Q181" s="185" t="s">
        <v>740</v>
      </c>
      <c r="R181" s="185" t="s">
        <v>381</v>
      </c>
      <c r="S181" s="185" t="s">
        <v>295</v>
      </c>
      <c r="T181" s="185" t="s">
        <v>379</v>
      </c>
    </row>
    <row r="182" spans="1:20" outlineLevel="1" collapsed="1">
      <c r="A182" s="199" t="s">
        <v>226</v>
      </c>
      <c r="B182" s="181" t="s">
        <v>1567</v>
      </c>
      <c r="C182" s="190">
        <v>43676</v>
      </c>
      <c r="D182" s="181" t="s">
        <v>1607</v>
      </c>
      <c r="E182" s="182" t="s">
        <v>1741</v>
      </c>
      <c r="F182" s="183">
        <v>77196</v>
      </c>
      <c r="G182" s="184">
        <v>90.39</v>
      </c>
      <c r="H182" s="181">
        <v>120</v>
      </c>
      <c r="I182" s="181" t="s">
        <v>292</v>
      </c>
      <c r="J182" s="191">
        <v>108.99</v>
      </c>
      <c r="K182" s="191">
        <v>120</v>
      </c>
      <c r="L182" s="199" t="s">
        <v>752</v>
      </c>
      <c r="M182" s="211" t="s">
        <v>1587</v>
      </c>
      <c r="N182" s="185" t="s">
        <v>396</v>
      </c>
      <c r="O182" s="185" t="s">
        <v>309</v>
      </c>
      <c r="P182" s="185"/>
      <c r="Q182" s="185" t="s">
        <v>740</v>
      </c>
      <c r="R182" s="185" t="s">
        <v>381</v>
      </c>
      <c r="S182" s="185" t="s">
        <v>295</v>
      </c>
      <c r="T182" s="185" t="s">
        <v>379</v>
      </c>
    </row>
    <row r="183" spans="1:20" outlineLevel="1">
      <c r="A183" s="199" t="s">
        <v>226</v>
      </c>
      <c r="B183" s="181" t="s">
        <v>1567</v>
      </c>
      <c r="C183" s="190">
        <v>43676</v>
      </c>
      <c r="D183" s="181" t="s">
        <v>1607</v>
      </c>
      <c r="E183" s="182" t="s">
        <v>766</v>
      </c>
      <c r="F183" s="183">
        <v>77196</v>
      </c>
      <c r="G183" s="184">
        <v>45.19</v>
      </c>
      <c r="H183" s="181">
        <v>60</v>
      </c>
      <c r="I183" s="181" t="s">
        <v>292</v>
      </c>
      <c r="J183" s="191">
        <v>54.49</v>
      </c>
      <c r="K183" s="191">
        <v>60</v>
      </c>
      <c r="L183" s="199" t="s">
        <v>752</v>
      </c>
      <c r="M183" s="211" t="s">
        <v>1587</v>
      </c>
      <c r="N183" s="185" t="s">
        <v>396</v>
      </c>
      <c r="O183" s="185" t="s">
        <v>309</v>
      </c>
      <c r="P183" s="185"/>
      <c r="Q183" s="185" t="s">
        <v>740</v>
      </c>
      <c r="R183" s="185" t="s">
        <v>381</v>
      </c>
      <c r="S183" s="185" t="s">
        <v>295</v>
      </c>
      <c r="T183" s="185" t="s">
        <v>379</v>
      </c>
    </row>
    <row r="184" spans="1:20" outlineLevel="1">
      <c r="A184" s="199" t="s">
        <v>226</v>
      </c>
      <c r="B184" s="181" t="s">
        <v>1567</v>
      </c>
      <c r="C184" s="190">
        <v>43676</v>
      </c>
      <c r="D184" s="181" t="s">
        <v>1607</v>
      </c>
      <c r="E184" s="182" t="s">
        <v>1742</v>
      </c>
      <c r="F184" s="183">
        <v>77196</v>
      </c>
      <c r="G184" s="184">
        <v>602.58000000000004</v>
      </c>
      <c r="H184" s="181">
        <v>800</v>
      </c>
      <c r="I184" s="181" t="s">
        <v>292</v>
      </c>
      <c r="J184" s="191">
        <v>726.6</v>
      </c>
      <c r="K184" s="191">
        <v>800</v>
      </c>
      <c r="L184" s="199" t="s">
        <v>752</v>
      </c>
      <c r="M184" s="211" t="s">
        <v>1587</v>
      </c>
      <c r="N184" s="185" t="s">
        <v>396</v>
      </c>
      <c r="O184" s="185" t="s">
        <v>309</v>
      </c>
      <c r="P184" s="185"/>
      <c r="Q184" s="185" t="s">
        <v>740</v>
      </c>
      <c r="R184" s="185" t="s">
        <v>381</v>
      </c>
      <c r="S184" s="185" t="s">
        <v>295</v>
      </c>
      <c r="T184" s="185" t="s">
        <v>379</v>
      </c>
    </row>
    <row r="185" spans="1:20" outlineLevel="1">
      <c r="A185" s="199" t="s">
        <v>226</v>
      </c>
      <c r="B185" s="181" t="s">
        <v>1567</v>
      </c>
      <c r="C185" s="190">
        <v>43676</v>
      </c>
      <c r="D185" s="181" t="s">
        <v>1607</v>
      </c>
      <c r="E185" s="182" t="s">
        <v>1743</v>
      </c>
      <c r="F185" s="183">
        <v>77196</v>
      </c>
      <c r="G185" s="184">
        <v>225.97</v>
      </c>
      <c r="H185" s="181">
        <v>300</v>
      </c>
      <c r="I185" s="181" t="s">
        <v>292</v>
      </c>
      <c r="J185" s="191">
        <v>272.47000000000003</v>
      </c>
      <c r="K185" s="191">
        <v>300</v>
      </c>
      <c r="L185" s="199" t="s">
        <v>752</v>
      </c>
      <c r="M185" s="211" t="s">
        <v>1587</v>
      </c>
      <c r="N185" s="185" t="s">
        <v>396</v>
      </c>
      <c r="O185" s="185" t="s">
        <v>309</v>
      </c>
      <c r="P185" s="185"/>
      <c r="Q185" s="185" t="s">
        <v>740</v>
      </c>
      <c r="R185" s="185" t="s">
        <v>381</v>
      </c>
      <c r="S185" s="185" t="s">
        <v>295</v>
      </c>
      <c r="T185" s="185" t="s">
        <v>379</v>
      </c>
    </row>
    <row r="186" spans="1:20" outlineLevel="1">
      <c r="A186" s="199" t="s">
        <v>226</v>
      </c>
      <c r="B186" s="181" t="s">
        <v>1567</v>
      </c>
      <c r="C186" s="190">
        <v>43677</v>
      </c>
      <c r="D186" s="181" t="s">
        <v>1607</v>
      </c>
      <c r="E186" s="182" t="s">
        <v>1744</v>
      </c>
      <c r="F186" s="183">
        <v>77196</v>
      </c>
      <c r="G186" s="184">
        <v>143.87</v>
      </c>
      <c r="H186" s="181">
        <v>191</v>
      </c>
      <c r="I186" s="181" t="s">
        <v>292</v>
      </c>
      <c r="J186" s="191">
        <v>173.48</v>
      </c>
      <c r="K186" s="191">
        <v>191</v>
      </c>
      <c r="L186" s="199" t="s">
        <v>752</v>
      </c>
      <c r="M186" s="211" t="s">
        <v>1587</v>
      </c>
      <c r="N186" s="185" t="s">
        <v>396</v>
      </c>
      <c r="O186" s="185" t="s">
        <v>309</v>
      </c>
      <c r="P186" s="185"/>
      <c r="Q186" s="185" t="s">
        <v>740</v>
      </c>
      <c r="R186" s="185" t="s">
        <v>381</v>
      </c>
      <c r="S186" s="185" t="s">
        <v>295</v>
      </c>
      <c r="T186" s="185" t="s">
        <v>379</v>
      </c>
    </row>
    <row r="187" spans="1:20" outlineLevel="1">
      <c r="A187" s="199" t="s">
        <v>226</v>
      </c>
      <c r="B187" s="181" t="s">
        <v>1567</v>
      </c>
      <c r="C187" s="190">
        <v>43677</v>
      </c>
      <c r="D187" s="181" t="s">
        <v>1607</v>
      </c>
      <c r="E187" s="182" t="s">
        <v>1745</v>
      </c>
      <c r="F187" s="183">
        <v>77196</v>
      </c>
      <c r="G187" s="184">
        <v>753.23</v>
      </c>
      <c r="H187" s="181">
        <v>1000</v>
      </c>
      <c r="I187" s="181" t="s">
        <v>292</v>
      </c>
      <c r="J187" s="191">
        <v>908.25</v>
      </c>
      <c r="K187" s="191">
        <v>1000</v>
      </c>
      <c r="L187" s="199" t="s">
        <v>752</v>
      </c>
      <c r="M187" s="211" t="s">
        <v>1587</v>
      </c>
      <c r="N187" s="185" t="s">
        <v>396</v>
      </c>
      <c r="O187" s="185" t="s">
        <v>309</v>
      </c>
      <c r="P187" s="185"/>
      <c r="Q187" s="185" t="s">
        <v>740</v>
      </c>
      <c r="R187" s="185" t="s">
        <v>381</v>
      </c>
      <c r="S187" s="185" t="s">
        <v>295</v>
      </c>
      <c r="T187" s="185" t="s">
        <v>379</v>
      </c>
    </row>
    <row r="188" spans="1:20" outlineLevel="1">
      <c r="A188" s="199" t="s">
        <v>226</v>
      </c>
      <c r="B188" s="181" t="s">
        <v>1567</v>
      </c>
      <c r="C188" s="190">
        <v>43677</v>
      </c>
      <c r="D188" s="181" t="s">
        <v>1607</v>
      </c>
      <c r="E188" s="182" t="s">
        <v>1746</v>
      </c>
      <c r="F188" s="183">
        <v>77196</v>
      </c>
      <c r="G188" s="184">
        <v>58.75</v>
      </c>
      <c r="H188" s="181">
        <v>78</v>
      </c>
      <c r="I188" s="181" t="s">
        <v>292</v>
      </c>
      <c r="J188" s="191">
        <v>70.84</v>
      </c>
      <c r="K188" s="191">
        <v>78</v>
      </c>
      <c r="L188" s="199" t="s">
        <v>752</v>
      </c>
      <c r="M188" s="211" t="s">
        <v>1587</v>
      </c>
      <c r="N188" s="185" t="s">
        <v>396</v>
      </c>
      <c r="O188" s="185" t="s">
        <v>309</v>
      </c>
      <c r="P188" s="185"/>
      <c r="Q188" s="185" t="s">
        <v>740</v>
      </c>
      <c r="R188" s="185" t="s">
        <v>381</v>
      </c>
      <c r="S188" s="185" t="s">
        <v>295</v>
      </c>
      <c r="T188" s="185" t="s">
        <v>379</v>
      </c>
    </row>
    <row r="189" spans="1:20" outlineLevel="1">
      <c r="A189" s="199" t="s">
        <v>226</v>
      </c>
      <c r="B189" s="181" t="s">
        <v>1567</v>
      </c>
      <c r="C189" s="190">
        <v>43678</v>
      </c>
      <c r="D189" s="181" t="s">
        <v>1607</v>
      </c>
      <c r="E189" s="182" t="s">
        <v>1747</v>
      </c>
      <c r="F189" s="183">
        <v>77196</v>
      </c>
      <c r="G189" s="184">
        <v>60.26</v>
      </c>
      <c r="H189" s="181">
        <v>80</v>
      </c>
      <c r="I189" s="181" t="s">
        <v>292</v>
      </c>
      <c r="J189" s="191">
        <v>72.66</v>
      </c>
      <c r="K189" s="191">
        <v>80</v>
      </c>
      <c r="L189" s="199" t="s">
        <v>752</v>
      </c>
      <c r="M189" s="211" t="s">
        <v>1587</v>
      </c>
      <c r="N189" s="185" t="s">
        <v>396</v>
      </c>
      <c r="O189" s="185" t="s">
        <v>309</v>
      </c>
      <c r="P189" s="185"/>
      <c r="Q189" s="185" t="s">
        <v>740</v>
      </c>
      <c r="R189" s="185" t="s">
        <v>381</v>
      </c>
      <c r="S189" s="185" t="s">
        <v>295</v>
      </c>
      <c r="T189" s="185" t="s">
        <v>379</v>
      </c>
    </row>
    <row r="190" spans="1:20" outlineLevel="1">
      <c r="A190" s="199" t="s">
        <v>226</v>
      </c>
      <c r="B190" s="181" t="s">
        <v>1567</v>
      </c>
      <c r="C190" s="190">
        <v>43679</v>
      </c>
      <c r="D190" s="181" t="s">
        <v>1607</v>
      </c>
      <c r="E190" s="182" t="s">
        <v>1748</v>
      </c>
      <c r="F190" s="183">
        <v>77196</v>
      </c>
      <c r="G190" s="184">
        <v>94.15</v>
      </c>
      <c r="H190" s="181">
        <v>125</v>
      </c>
      <c r="I190" s="181" t="s">
        <v>292</v>
      </c>
      <c r="J190" s="191">
        <v>113.53</v>
      </c>
      <c r="K190" s="191">
        <v>125</v>
      </c>
      <c r="L190" s="199" t="s">
        <v>752</v>
      </c>
      <c r="M190" s="211" t="s">
        <v>1587</v>
      </c>
      <c r="N190" s="185" t="s">
        <v>396</v>
      </c>
      <c r="O190" s="185" t="s">
        <v>309</v>
      </c>
      <c r="P190" s="185"/>
      <c r="Q190" s="185" t="s">
        <v>740</v>
      </c>
      <c r="R190" s="185" t="s">
        <v>381</v>
      </c>
      <c r="S190" s="185" t="s">
        <v>295</v>
      </c>
      <c r="T190" s="185" t="s">
        <v>379</v>
      </c>
    </row>
    <row r="191" spans="1:20" outlineLevel="1">
      <c r="A191" s="199" t="s">
        <v>226</v>
      </c>
      <c r="B191" s="181" t="s">
        <v>1567</v>
      </c>
      <c r="C191" s="190">
        <v>43683</v>
      </c>
      <c r="D191" s="181" t="s">
        <v>1607</v>
      </c>
      <c r="E191" s="182" t="s">
        <v>1749</v>
      </c>
      <c r="F191" s="183">
        <v>77196</v>
      </c>
      <c r="G191" s="184">
        <v>659.08</v>
      </c>
      <c r="H191" s="181">
        <v>875</v>
      </c>
      <c r="I191" s="181" t="s">
        <v>292</v>
      </c>
      <c r="J191" s="191">
        <v>794.72</v>
      </c>
      <c r="K191" s="191">
        <v>875</v>
      </c>
      <c r="L191" s="199" t="s">
        <v>752</v>
      </c>
      <c r="M191" s="211" t="s">
        <v>1587</v>
      </c>
      <c r="N191" s="185" t="s">
        <v>396</v>
      </c>
      <c r="O191" s="185" t="s">
        <v>309</v>
      </c>
      <c r="P191" s="185"/>
      <c r="Q191" s="185" t="s">
        <v>740</v>
      </c>
      <c r="R191" s="185" t="s">
        <v>381</v>
      </c>
      <c r="S191" s="185" t="s">
        <v>295</v>
      </c>
      <c r="T191" s="185" t="s">
        <v>379</v>
      </c>
    </row>
    <row r="192" spans="1:20" outlineLevel="1">
      <c r="A192" s="199" t="s">
        <v>226</v>
      </c>
      <c r="B192" s="181" t="s">
        <v>1567</v>
      </c>
      <c r="C192" s="190">
        <v>43683</v>
      </c>
      <c r="D192" s="181" t="s">
        <v>1607</v>
      </c>
      <c r="E192" s="182" t="s">
        <v>1750</v>
      </c>
      <c r="F192" s="183">
        <v>77196</v>
      </c>
      <c r="G192" s="184">
        <v>131.82</v>
      </c>
      <c r="H192" s="181">
        <v>175</v>
      </c>
      <c r="I192" s="181" t="s">
        <v>292</v>
      </c>
      <c r="J192" s="191">
        <v>158.94</v>
      </c>
      <c r="K192" s="191">
        <v>175</v>
      </c>
      <c r="L192" s="199" t="s">
        <v>752</v>
      </c>
      <c r="M192" s="211" t="s">
        <v>1587</v>
      </c>
      <c r="N192" s="185" t="s">
        <v>396</v>
      </c>
      <c r="O192" s="185" t="s">
        <v>309</v>
      </c>
      <c r="P192" s="185"/>
      <c r="Q192" s="185" t="s">
        <v>740</v>
      </c>
      <c r="R192" s="185" t="s">
        <v>381</v>
      </c>
      <c r="S192" s="185" t="s">
        <v>295</v>
      </c>
      <c r="T192" s="185" t="s">
        <v>379</v>
      </c>
    </row>
    <row r="193" spans="1:20" outlineLevel="1">
      <c r="A193" s="199" t="s">
        <v>226</v>
      </c>
      <c r="B193" s="181" t="s">
        <v>1567</v>
      </c>
      <c r="C193" s="190">
        <v>43683</v>
      </c>
      <c r="D193" s="181" t="s">
        <v>1607</v>
      </c>
      <c r="E193" s="182" t="s">
        <v>1751</v>
      </c>
      <c r="F193" s="183">
        <v>77196</v>
      </c>
      <c r="G193" s="184">
        <v>75.319999999999993</v>
      </c>
      <c r="H193" s="181">
        <v>100</v>
      </c>
      <c r="I193" s="181" t="s">
        <v>292</v>
      </c>
      <c r="J193" s="191">
        <v>90.82</v>
      </c>
      <c r="K193" s="191">
        <v>100</v>
      </c>
      <c r="L193" s="199" t="s">
        <v>752</v>
      </c>
      <c r="M193" s="211" t="s">
        <v>1587</v>
      </c>
      <c r="N193" s="185" t="s">
        <v>396</v>
      </c>
      <c r="O193" s="185" t="s">
        <v>309</v>
      </c>
      <c r="P193" s="185"/>
      <c r="Q193" s="185" t="s">
        <v>740</v>
      </c>
      <c r="R193" s="185" t="s">
        <v>381</v>
      </c>
      <c r="S193" s="185" t="s">
        <v>295</v>
      </c>
      <c r="T193" s="185" t="s">
        <v>379</v>
      </c>
    </row>
    <row r="194" spans="1:20" outlineLevel="1">
      <c r="A194" s="199" t="s">
        <v>226</v>
      </c>
      <c r="B194" s="181" t="s">
        <v>1567</v>
      </c>
      <c r="C194" s="190">
        <v>43683</v>
      </c>
      <c r="D194" s="181" t="s">
        <v>1607</v>
      </c>
      <c r="E194" s="182" t="s">
        <v>1752</v>
      </c>
      <c r="F194" s="183">
        <v>77196</v>
      </c>
      <c r="G194" s="184">
        <v>112.98</v>
      </c>
      <c r="H194" s="181">
        <v>150</v>
      </c>
      <c r="I194" s="181" t="s">
        <v>292</v>
      </c>
      <c r="J194" s="191">
        <v>136.24</v>
      </c>
      <c r="K194" s="191">
        <v>150</v>
      </c>
      <c r="L194" s="199" t="s">
        <v>752</v>
      </c>
      <c r="M194" s="211" t="s">
        <v>1587</v>
      </c>
      <c r="N194" s="185" t="s">
        <v>396</v>
      </c>
      <c r="O194" s="185" t="s">
        <v>309</v>
      </c>
      <c r="P194" s="185"/>
      <c r="Q194" s="185" t="s">
        <v>740</v>
      </c>
      <c r="R194" s="185" t="s">
        <v>381</v>
      </c>
      <c r="S194" s="185" t="s">
        <v>295</v>
      </c>
      <c r="T194" s="185" t="s">
        <v>379</v>
      </c>
    </row>
    <row r="195" spans="1:20" outlineLevel="1">
      <c r="A195" s="199" t="s">
        <v>226</v>
      </c>
      <c r="B195" s="181" t="s">
        <v>1567</v>
      </c>
      <c r="C195" s="190">
        <v>43683</v>
      </c>
      <c r="D195" s="181" t="s">
        <v>1607</v>
      </c>
      <c r="E195" s="182" t="s">
        <v>1753</v>
      </c>
      <c r="F195" s="183">
        <v>77196</v>
      </c>
      <c r="G195" s="184">
        <v>225.97</v>
      </c>
      <c r="H195" s="181">
        <v>300</v>
      </c>
      <c r="I195" s="181" t="s">
        <v>292</v>
      </c>
      <c r="J195" s="191">
        <v>272.47000000000003</v>
      </c>
      <c r="K195" s="191">
        <v>300</v>
      </c>
      <c r="L195" s="199" t="s">
        <v>752</v>
      </c>
      <c r="M195" s="211" t="s">
        <v>1587</v>
      </c>
      <c r="N195" s="185" t="s">
        <v>396</v>
      </c>
      <c r="O195" s="185" t="s">
        <v>309</v>
      </c>
      <c r="P195" s="185"/>
      <c r="Q195" s="185" t="s">
        <v>740</v>
      </c>
      <c r="R195" s="185" t="s">
        <v>381</v>
      </c>
      <c r="S195" s="185" t="s">
        <v>295</v>
      </c>
      <c r="T195" s="185" t="s">
        <v>379</v>
      </c>
    </row>
    <row r="196" spans="1:20" outlineLevel="1">
      <c r="A196" s="199" t="s">
        <v>226</v>
      </c>
      <c r="B196" s="181" t="s">
        <v>1567</v>
      </c>
      <c r="C196" s="190">
        <v>43683</v>
      </c>
      <c r="D196" s="181" t="s">
        <v>1607</v>
      </c>
      <c r="E196" s="182" t="s">
        <v>1754</v>
      </c>
      <c r="F196" s="183">
        <v>77196</v>
      </c>
      <c r="G196" s="184">
        <v>112.98</v>
      </c>
      <c r="H196" s="181">
        <v>150</v>
      </c>
      <c r="I196" s="181" t="s">
        <v>292</v>
      </c>
      <c r="J196" s="191">
        <v>136.24</v>
      </c>
      <c r="K196" s="191">
        <v>150</v>
      </c>
      <c r="L196" s="199" t="s">
        <v>752</v>
      </c>
      <c r="M196" s="211" t="s">
        <v>1587</v>
      </c>
      <c r="N196" s="185" t="s">
        <v>396</v>
      </c>
      <c r="O196" s="185" t="s">
        <v>309</v>
      </c>
      <c r="P196" s="185"/>
      <c r="Q196" s="185" t="s">
        <v>740</v>
      </c>
      <c r="R196" s="185" t="s">
        <v>381</v>
      </c>
      <c r="S196" s="185" t="s">
        <v>295</v>
      </c>
      <c r="T196" s="185" t="s">
        <v>379</v>
      </c>
    </row>
    <row r="197" spans="1:20" outlineLevel="1">
      <c r="A197" s="199" t="s">
        <v>226</v>
      </c>
      <c r="B197" s="181" t="s">
        <v>1567</v>
      </c>
      <c r="C197" s="190">
        <v>43683</v>
      </c>
      <c r="D197" s="181" t="s">
        <v>1607</v>
      </c>
      <c r="E197" s="182" t="s">
        <v>1755</v>
      </c>
      <c r="F197" s="183">
        <v>77196</v>
      </c>
      <c r="G197" s="184">
        <v>579.99</v>
      </c>
      <c r="H197" s="181">
        <v>770</v>
      </c>
      <c r="I197" s="181" t="s">
        <v>292</v>
      </c>
      <c r="J197" s="191">
        <v>699.35</v>
      </c>
      <c r="K197" s="191">
        <v>770</v>
      </c>
      <c r="L197" s="199" t="s">
        <v>752</v>
      </c>
      <c r="M197" s="211" t="s">
        <v>1587</v>
      </c>
      <c r="N197" s="185" t="s">
        <v>396</v>
      </c>
      <c r="O197" s="185" t="s">
        <v>309</v>
      </c>
      <c r="P197" s="185"/>
      <c r="Q197" s="185" t="s">
        <v>740</v>
      </c>
      <c r="R197" s="185" t="s">
        <v>381</v>
      </c>
      <c r="S197" s="185" t="s">
        <v>295</v>
      </c>
      <c r="T197" s="185" t="s">
        <v>379</v>
      </c>
    </row>
    <row r="198" spans="1:20" outlineLevel="1">
      <c r="A198" s="199" t="s">
        <v>226</v>
      </c>
      <c r="B198" s="181" t="s">
        <v>1567</v>
      </c>
      <c r="C198" s="190">
        <v>43683</v>
      </c>
      <c r="D198" s="181" t="s">
        <v>1607</v>
      </c>
      <c r="E198" s="182" t="s">
        <v>1756</v>
      </c>
      <c r="F198" s="183">
        <v>77196</v>
      </c>
      <c r="G198" s="184">
        <v>143.11000000000001</v>
      </c>
      <c r="H198" s="181">
        <v>190</v>
      </c>
      <c r="I198" s="181" t="s">
        <v>292</v>
      </c>
      <c r="J198" s="191">
        <v>172.57</v>
      </c>
      <c r="K198" s="191">
        <v>190</v>
      </c>
      <c r="L198" s="199" t="s">
        <v>752</v>
      </c>
      <c r="M198" s="211" t="s">
        <v>1587</v>
      </c>
      <c r="N198" s="185" t="s">
        <v>396</v>
      </c>
      <c r="O198" s="185" t="s">
        <v>309</v>
      </c>
      <c r="P198" s="185"/>
      <c r="Q198" s="185" t="s">
        <v>740</v>
      </c>
      <c r="R198" s="185" t="s">
        <v>381</v>
      </c>
      <c r="S198" s="185" t="s">
        <v>295</v>
      </c>
      <c r="T198" s="185" t="s">
        <v>379</v>
      </c>
    </row>
    <row r="199" spans="1:20" outlineLevel="1">
      <c r="A199" s="199" t="s">
        <v>226</v>
      </c>
      <c r="B199" s="181" t="s">
        <v>1567</v>
      </c>
      <c r="C199" s="190">
        <v>43684</v>
      </c>
      <c r="D199" s="181" t="s">
        <v>1607</v>
      </c>
      <c r="E199" s="182" t="s">
        <v>1757</v>
      </c>
      <c r="F199" s="183">
        <v>77196</v>
      </c>
      <c r="G199" s="184">
        <v>564.91999999999996</v>
      </c>
      <c r="H199" s="181">
        <v>750</v>
      </c>
      <c r="I199" s="181" t="s">
        <v>292</v>
      </c>
      <c r="J199" s="191">
        <v>681.19</v>
      </c>
      <c r="K199" s="191">
        <v>750</v>
      </c>
      <c r="L199" s="199" t="s">
        <v>752</v>
      </c>
      <c r="M199" s="211" t="s">
        <v>1587</v>
      </c>
      <c r="N199" s="185" t="s">
        <v>396</v>
      </c>
      <c r="O199" s="185" t="s">
        <v>309</v>
      </c>
      <c r="P199" s="185"/>
      <c r="Q199" s="185" t="s">
        <v>740</v>
      </c>
      <c r="R199" s="185" t="s">
        <v>381</v>
      </c>
      <c r="S199" s="185" t="s">
        <v>295</v>
      </c>
      <c r="T199" s="185" t="s">
        <v>379</v>
      </c>
    </row>
    <row r="200" spans="1:20" outlineLevel="1">
      <c r="A200" s="199" t="s">
        <v>226</v>
      </c>
      <c r="B200" s="181" t="s">
        <v>1567</v>
      </c>
      <c r="C200" s="190">
        <v>43684</v>
      </c>
      <c r="D200" s="181" t="s">
        <v>1607</v>
      </c>
      <c r="E200" s="182" t="s">
        <v>1758</v>
      </c>
      <c r="F200" s="183">
        <v>77196</v>
      </c>
      <c r="G200" s="184">
        <v>289.99</v>
      </c>
      <c r="H200" s="181">
        <v>385</v>
      </c>
      <c r="I200" s="181" t="s">
        <v>292</v>
      </c>
      <c r="J200" s="191">
        <v>349.67</v>
      </c>
      <c r="K200" s="191">
        <v>385</v>
      </c>
      <c r="L200" s="199" t="s">
        <v>752</v>
      </c>
      <c r="M200" s="211" t="s">
        <v>1587</v>
      </c>
      <c r="N200" s="185" t="s">
        <v>396</v>
      </c>
      <c r="O200" s="185" t="s">
        <v>309</v>
      </c>
      <c r="P200" s="185"/>
      <c r="Q200" s="185" t="s">
        <v>740</v>
      </c>
      <c r="R200" s="185" t="s">
        <v>381</v>
      </c>
      <c r="S200" s="185" t="s">
        <v>295</v>
      </c>
      <c r="T200" s="185" t="s">
        <v>379</v>
      </c>
    </row>
    <row r="201" spans="1:20" outlineLevel="1">
      <c r="A201" s="199" t="s">
        <v>226</v>
      </c>
      <c r="B201" s="181" t="s">
        <v>1567</v>
      </c>
      <c r="C201" s="190">
        <v>43684</v>
      </c>
      <c r="D201" s="181" t="s">
        <v>1607</v>
      </c>
      <c r="E201" s="182" t="s">
        <v>1759</v>
      </c>
      <c r="F201" s="183">
        <v>77196</v>
      </c>
      <c r="G201" s="184">
        <v>235.38</v>
      </c>
      <c r="H201" s="181">
        <v>312.5</v>
      </c>
      <c r="I201" s="181" t="s">
        <v>292</v>
      </c>
      <c r="J201" s="191">
        <v>283.83</v>
      </c>
      <c r="K201" s="191">
        <v>312.5</v>
      </c>
      <c r="L201" s="199" t="s">
        <v>752</v>
      </c>
      <c r="M201" s="211" t="s">
        <v>1587</v>
      </c>
      <c r="N201" s="185" t="s">
        <v>396</v>
      </c>
      <c r="O201" s="185" t="s">
        <v>309</v>
      </c>
      <c r="P201" s="185"/>
      <c r="Q201" s="185" t="s">
        <v>740</v>
      </c>
      <c r="R201" s="185" t="s">
        <v>381</v>
      </c>
      <c r="S201" s="185" t="s">
        <v>295</v>
      </c>
      <c r="T201" s="185" t="s">
        <v>379</v>
      </c>
    </row>
    <row r="202" spans="1:20" outlineLevel="1">
      <c r="A202" s="199" t="s">
        <v>226</v>
      </c>
      <c r="B202" s="181" t="s">
        <v>1567</v>
      </c>
      <c r="C202" s="190">
        <v>43686</v>
      </c>
      <c r="D202" s="181" t="s">
        <v>1607</v>
      </c>
      <c r="E202" s="182" t="s">
        <v>1760</v>
      </c>
      <c r="F202" s="183">
        <v>77196</v>
      </c>
      <c r="G202" s="184">
        <v>75.319999999999993</v>
      </c>
      <c r="H202" s="181">
        <v>100</v>
      </c>
      <c r="I202" s="181" t="s">
        <v>292</v>
      </c>
      <c r="J202" s="191">
        <v>90.82</v>
      </c>
      <c r="K202" s="191">
        <v>100</v>
      </c>
      <c r="L202" s="199" t="s">
        <v>752</v>
      </c>
      <c r="M202" s="211" t="s">
        <v>1587</v>
      </c>
      <c r="N202" s="185" t="s">
        <v>396</v>
      </c>
      <c r="O202" s="185" t="s">
        <v>309</v>
      </c>
      <c r="P202" s="185"/>
      <c r="Q202" s="185" t="s">
        <v>740</v>
      </c>
      <c r="R202" s="185" t="s">
        <v>381</v>
      </c>
      <c r="S202" s="185" t="s">
        <v>295</v>
      </c>
      <c r="T202" s="185" t="s">
        <v>379</v>
      </c>
    </row>
    <row r="203" spans="1:20" outlineLevel="1">
      <c r="A203" s="199" t="s">
        <v>226</v>
      </c>
      <c r="B203" s="181" t="s">
        <v>1567</v>
      </c>
      <c r="C203" s="190">
        <v>43688</v>
      </c>
      <c r="D203" s="181" t="s">
        <v>1607</v>
      </c>
      <c r="E203" s="182" t="s">
        <v>1761</v>
      </c>
      <c r="F203" s="183">
        <v>77196</v>
      </c>
      <c r="G203" s="184">
        <v>659.08</v>
      </c>
      <c r="H203" s="181">
        <v>875</v>
      </c>
      <c r="I203" s="181" t="s">
        <v>292</v>
      </c>
      <c r="J203" s="191">
        <v>794.72</v>
      </c>
      <c r="K203" s="191">
        <v>875</v>
      </c>
      <c r="L203" s="199" t="s">
        <v>752</v>
      </c>
      <c r="M203" s="211" t="s">
        <v>1587</v>
      </c>
      <c r="N203" s="185" t="s">
        <v>396</v>
      </c>
      <c r="O203" s="185" t="s">
        <v>309</v>
      </c>
      <c r="P203" s="185"/>
      <c r="Q203" s="185" t="s">
        <v>740</v>
      </c>
      <c r="R203" s="185" t="s">
        <v>381</v>
      </c>
      <c r="S203" s="185" t="s">
        <v>295</v>
      </c>
      <c r="T203" s="185" t="s">
        <v>379</v>
      </c>
    </row>
    <row r="204" spans="1:20" outlineLevel="1">
      <c r="A204" s="199" t="s">
        <v>226</v>
      </c>
      <c r="B204" s="181" t="s">
        <v>1567</v>
      </c>
      <c r="C204" s="190">
        <v>43688</v>
      </c>
      <c r="D204" s="181" t="s">
        <v>1607</v>
      </c>
      <c r="E204" s="182" t="s">
        <v>1762</v>
      </c>
      <c r="F204" s="183">
        <v>77196</v>
      </c>
      <c r="G204" s="184">
        <v>207.14</v>
      </c>
      <c r="H204" s="181">
        <v>275</v>
      </c>
      <c r="I204" s="181" t="s">
        <v>292</v>
      </c>
      <c r="J204" s="191">
        <v>249.77</v>
      </c>
      <c r="K204" s="191">
        <v>275</v>
      </c>
      <c r="L204" s="199" t="s">
        <v>752</v>
      </c>
      <c r="M204" s="211" t="s">
        <v>1587</v>
      </c>
      <c r="N204" s="185" t="s">
        <v>396</v>
      </c>
      <c r="O204" s="185" t="s">
        <v>309</v>
      </c>
      <c r="P204" s="185"/>
      <c r="Q204" s="185" t="s">
        <v>740</v>
      </c>
      <c r="R204" s="185" t="s">
        <v>381</v>
      </c>
      <c r="S204" s="185" t="s">
        <v>295</v>
      </c>
      <c r="T204" s="185" t="s">
        <v>379</v>
      </c>
    </row>
    <row r="205" spans="1:20" outlineLevel="1">
      <c r="A205" s="199" t="s">
        <v>226</v>
      </c>
      <c r="B205" s="181" t="s">
        <v>1567</v>
      </c>
      <c r="C205" s="190">
        <v>43688</v>
      </c>
      <c r="D205" s="181" t="s">
        <v>1607</v>
      </c>
      <c r="E205" s="182" t="s">
        <v>1763</v>
      </c>
      <c r="F205" s="183">
        <v>77196</v>
      </c>
      <c r="G205" s="184">
        <v>659.08</v>
      </c>
      <c r="H205" s="181">
        <v>875</v>
      </c>
      <c r="I205" s="181" t="s">
        <v>292</v>
      </c>
      <c r="J205" s="191">
        <v>794.72</v>
      </c>
      <c r="K205" s="191">
        <v>875</v>
      </c>
      <c r="L205" s="199" t="s">
        <v>752</v>
      </c>
      <c r="M205" s="211" t="s">
        <v>1587</v>
      </c>
      <c r="N205" s="185" t="s">
        <v>396</v>
      </c>
      <c r="O205" s="185" t="s">
        <v>309</v>
      </c>
      <c r="P205" s="185"/>
      <c r="Q205" s="185" t="s">
        <v>740</v>
      </c>
      <c r="R205" s="185" t="s">
        <v>381</v>
      </c>
      <c r="S205" s="185" t="s">
        <v>295</v>
      </c>
      <c r="T205" s="185" t="s">
        <v>379</v>
      </c>
    </row>
    <row r="206" spans="1:20" outlineLevel="1">
      <c r="A206" s="199" t="s">
        <v>226</v>
      </c>
      <c r="B206" s="181" t="s">
        <v>1567</v>
      </c>
      <c r="C206" s="190">
        <v>43688</v>
      </c>
      <c r="D206" s="181" t="s">
        <v>1607</v>
      </c>
      <c r="E206" s="182" t="s">
        <v>1764</v>
      </c>
      <c r="F206" s="183">
        <v>77196</v>
      </c>
      <c r="G206" s="184">
        <v>131.82</v>
      </c>
      <c r="H206" s="181">
        <v>175</v>
      </c>
      <c r="I206" s="181" t="s">
        <v>292</v>
      </c>
      <c r="J206" s="191">
        <v>158.94</v>
      </c>
      <c r="K206" s="191">
        <v>175</v>
      </c>
      <c r="L206" s="199" t="s">
        <v>752</v>
      </c>
      <c r="M206" s="211" t="s">
        <v>1587</v>
      </c>
      <c r="N206" s="185" t="s">
        <v>396</v>
      </c>
      <c r="O206" s="185" t="s">
        <v>309</v>
      </c>
      <c r="P206" s="185"/>
      <c r="Q206" s="185" t="s">
        <v>740</v>
      </c>
      <c r="R206" s="185" t="s">
        <v>381</v>
      </c>
      <c r="S206" s="185" t="s">
        <v>295</v>
      </c>
      <c r="T206" s="185" t="s">
        <v>379</v>
      </c>
    </row>
    <row r="207" spans="1:20" outlineLevel="1">
      <c r="A207" s="199" t="s">
        <v>226</v>
      </c>
      <c r="B207" s="181" t="s">
        <v>1567</v>
      </c>
      <c r="C207" s="190">
        <v>43688</v>
      </c>
      <c r="D207" s="181" t="s">
        <v>1607</v>
      </c>
      <c r="E207" s="182" t="s">
        <v>1765</v>
      </c>
      <c r="F207" s="183">
        <v>77196</v>
      </c>
      <c r="G207" s="184">
        <v>329.54</v>
      </c>
      <c r="H207" s="181">
        <v>437.5</v>
      </c>
      <c r="I207" s="181" t="s">
        <v>292</v>
      </c>
      <c r="J207" s="191">
        <v>397.36</v>
      </c>
      <c r="K207" s="191">
        <v>437.5</v>
      </c>
      <c r="L207" s="199" t="s">
        <v>752</v>
      </c>
      <c r="M207" s="211" t="s">
        <v>1587</v>
      </c>
      <c r="N207" s="185" t="s">
        <v>396</v>
      </c>
      <c r="O207" s="185" t="s">
        <v>309</v>
      </c>
      <c r="P207" s="185"/>
      <c r="Q207" s="185" t="s">
        <v>740</v>
      </c>
      <c r="R207" s="185" t="s">
        <v>381</v>
      </c>
      <c r="S207" s="185" t="s">
        <v>295</v>
      </c>
      <c r="T207" s="185" t="s">
        <v>379</v>
      </c>
    </row>
    <row r="208" spans="1:20" outlineLevel="1">
      <c r="A208" s="199" t="s">
        <v>226</v>
      </c>
      <c r="B208" s="181" t="s">
        <v>1567</v>
      </c>
      <c r="C208" s="190">
        <v>43688</v>
      </c>
      <c r="D208" s="181" t="s">
        <v>1607</v>
      </c>
      <c r="E208" s="182" t="s">
        <v>1766</v>
      </c>
      <c r="F208" s="183">
        <v>77196</v>
      </c>
      <c r="G208" s="184">
        <v>461.35</v>
      </c>
      <c r="H208" s="181">
        <v>612.5</v>
      </c>
      <c r="I208" s="181" t="s">
        <v>292</v>
      </c>
      <c r="J208" s="191">
        <v>556.29999999999995</v>
      </c>
      <c r="K208" s="191">
        <v>612.5</v>
      </c>
      <c r="L208" s="199" t="s">
        <v>752</v>
      </c>
      <c r="M208" s="211" t="s">
        <v>1587</v>
      </c>
      <c r="N208" s="185" t="s">
        <v>396</v>
      </c>
      <c r="O208" s="185" t="s">
        <v>309</v>
      </c>
      <c r="P208" s="185"/>
      <c r="Q208" s="185" t="s">
        <v>740</v>
      </c>
      <c r="R208" s="185" t="s">
        <v>381</v>
      </c>
      <c r="S208" s="185" t="s">
        <v>295</v>
      </c>
      <c r="T208" s="185" t="s">
        <v>379</v>
      </c>
    </row>
    <row r="209" spans="1:20">
      <c r="A209" s="212" t="s">
        <v>378</v>
      </c>
      <c r="B209" s="212"/>
      <c r="C209" s="212"/>
      <c r="D209" s="212"/>
      <c r="E209" s="213"/>
      <c r="F209" s="214"/>
      <c r="G209" s="215">
        <f>SUM(G163:G208)</f>
        <v>11486.359999999999</v>
      </c>
      <c r="H209" s="216">
        <f>SUM(H163:H208)</f>
        <v>14997.84</v>
      </c>
      <c r="I209" s="212"/>
      <c r="J209" s="216">
        <f>SUM(J163:J208)</f>
        <v>13582.969999999998</v>
      </c>
      <c r="K209" s="216">
        <f>SUM(K163:K208)</f>
        <v>14997.82</v>
      </c>
      <c r="L209" s="212"/>
      <c r="M209" s="213"/>
      <c r="N209" s="212"/>
      <c r="O209" s="212"/>
      <c r="P209" s="212"/>
      <c r="Q209" s="212"/>
      <c r="R209" s="212"/>
      <c r="S209" s="212"/>
      <c r="T209" s="212"/>
    </row>
    <row r="210" spans="1:20" outlineLevel="1">
      <c r="A210" s="199" t="s">
        <v>227</v>
      </c>
      <c r="B210" s="181" t="s">
        <v>1567</v>
      </c>
      <c r="C210" s="190">
        <v>43721</v>
      </c>
      <c r="D210" s="181" t="s">
        <v>1682</v>
      </c>
      <c r="E210" s="182" t="s">
        <v>1767</v>
      </c>
      <c r="F210" s="183">
        <v>77221</v>
      </c>
      <c r="G210" s="184">
        <v>24.67</v>
      </c>
      <c r="H210" s="181">
        <v>30</v>
      </c>
      <c r="I210" s="181" t="s">
        <v>292</v>
      </c>
      <c r="J210" s="191">
        <v>27.25</v>
      </c>
      <c r="K210" s="191">
        <v>30</v>
      </c>
      <c r="L210" s="199" t="s">
        <v>610</v>
      </c>
      <c r="M210" s="211" t="s">
        <v>1620</v>
      </c>
      <c r="N210" s="185" t="s">
        <v>396</v>
      </c>
      <c r="O210" s="185" t="s">
        <v>309</v>
      </c>
      <c r="P210" s="185" t="s">
        <v>1726</v>
      </c>
      <c r="Q210" s="185"/>
      <c r="R210" s="185" t="s">
        <v>381</v>
      </c>
      <c r="S210" s="185" t="s">
        <v>295</v>
      </c>
      <c r="T210" s="185" t="s">
        <v>379</v>
      </c>
    </row>
    <row r="211" spans="1:20">
      <c r="A211" s="212" t="s">
        <v>378</v>
      </c>
      <c r="B211" s="212"/>
      <c r="C211" s="212"/>
      <c r="D211" s="212"/>
      <c r="E211" s="213"/>
      <c r="F211" s="214"/>
      <c r="G211" s="215">
        <f>SUM(G210:G210)</f>
        <v>24.67</v>
      </c>
      <c r="H211" s="216">
        <f>SUM(H210:H210)</f>
        <v>30</v>
      </c>
      <c r="I211" s="212"/>
      <c r="J211" s="216">
        <f>SUM(J210:J210)</f>
        <v>27.25</v>
      </c>
      <c r="K211" s="216">
        <f>SUM(K210:K210)</f>
        <v>30</v>
      </c>
      <c r="L211" s="212"/>
      <c r="M211" s="213"/>
      <c r="N211" s="212"/>
      <c r="O211" s="212"/>
      <c r="P211" s="212"/>
      <c r="Q211" s="212"/>
      <c r="R211" s="212"/>
      <c r="S211" s="212"/>
      <c r="T211" s="212"/>
    </row>
    <row r="212" spans="1:20" outlineLevel="1">
      <c r="A212" s="199" t="s">
        <v>232</v>
      </c>
      <c r="B212" s="181" t="s">
        <v>1575</v>
      </c>
      <c r="C212" s="190">
        <v>43685</v>
      </c>
      <c r="D212" s="181" t="s">
        <v>1576</v>
      </c>
      <c r="E212" s="182" t="s">
        <v>1768</v>
      </c>
      <c r="F212" s="183">
        <v>76932</v>
      </c>
      <c r="G212" s="184">
        <v>34.380000000000003</v>
      </c>
      <c r="H212" s="181">
        <v>42</v>
      </c>
      <c r="I212" s="181" t="s">
        <v>292</v>
      </c>
      <c r="J212" s="191">
        <v>37.51</v>
      </c>
      <c r="K212" s="191">
        <v>42.01</v>
      </c>
      <c r="L212" s="199" t="s">
        <v>1442</v>
      </c>
      <c r="M212" s="211" t="s">
        <v>1769</v>
      </c>
      <c r="N212" s="185" t="s">
        <v>396</v>
      </c>
      <c r="O212" s="185" t="s">
        <v>309</v>
      </c>
      <c r="P212" s="185"/>
      <c r="Q212" s="185"/>
      <c r="R212" s="185" t="s">
        <v>381</v>
      </c>
      <c r="S212" s="185" t="s">
        <v>295</v>
      </c>
      <c r="T212" s="185" t="s">
        <v>379</v>
      </c>
    </row>
    <row r="213" spans="1:20">
      <c r="A213" s="212" t="s">
        <v>378</v>
      </c>
      <c r="B213" s="212"/>
      <c r="C213" s="212"/>
      <c r="D213" s="212"/>
      <c r="E213" s="213"/>
      <c r="F213" s="214"/>
      <c r="G213" s="215">
        <f>SUM(G212:G212)</f>
        <v>34.380000000000003</v>
      </c>
      <c r="H213" s="216">
        <f>SUM(H212:H212)</f>
        <v>42</v>
      </c>
      <c r="I213" s="212"/>
      <c r="J213" s="216">
        <f>SUM(J212:J212)</f>
        <v>37.51</v>
      </c>
      <c r="K213" s="216">
        <f>SUM(K212:K212)</f>
        <v>42.01</v>
      </c>
      <c r="L213" s="212"/>
      <c r="M213" s="213"/>
      <c r="N213" s="212"/>
      <c r="O213" s="212"/>
      <c r="P213" s="212"/>
      <c r="Q213" s="212"/>
      <c r="R213" s="212"/>
      <c r="S213" s="212"/>
      <c r="T213" s="212"/>
    </row>
    <row r="214" spans="1:20" outlineLevel="1">
      <c r="A214" s="199" t="s">
        <v>245</v>
      </c>
      <c r="B214" s="181" t="s">
        <v>1566</v>
      </c>
      <c r="C214" s="190">
        <v>43671</v>
      </c>
      <c r="D214" s="181" t="s">
        <v>1770</v>
      </c>
      <c r="E214" s="182" t="s">
        <v>1771</v>
      </c>
      <c r="F214" s="183">
        <v>76665</v>
      </c>
      <c r="G214" s="184">
        <v>2170.5100000000002</v>
      </c>
      <c r="H214" s="181">
        <v>2756.39</v>
      </c>
      <c r="I214" s="181" t="s">
        <v>292</v>
      </c>
      <c r="J214" s="191">
        <v>2427.1</v>
      </c>
      <c r="K214" s="191">
        <v>2756.39</v>
      </c>
      <c r="L214" s="199" t="s">
        <v>385</v>
      </c>
      <c r="M214" s="211" t="s">
        <v>1772</v>
      </c>
      <c r="N214" s="185" t="s">
        <v>396</v>
      </c>
      <c r="O214" s="185" t="s">
        <v>309</v>
      </c>
      <c r="P214" s="185" t="s">
        <v>397</v>
      </c>
      <c r="Q214" s="185"/>
      <c r="R214" s="185" t="s">
        <v>381</v>
      </c>
      <c r="S214" s="185" t="s">
        <v>295</v>
      </c>
      <c r="T214" s="185" t="s">
        <v>379</v>
      </c>
    </row>
    <row r="215" spans="1:20" outlineLevel="1">
      <c r="A215" s="199" t="s">
        <v>245</v>
      </c>
      <c r="B215" s="181" t="s">
        <v>1566</v>
      </c>
      <c r="C215" s="190">
        <v>43671</v>
      </c>
      <c r="D215" s="181" t="s">
        <v>1773</v>
      </c>
      <c r="E215" s="182" t="s">
        <v>1774</v>
      </c>
      <c r="F215" s="183">
        <v>76665</v>
      </c>
      <c r="G215" s="184">
        <v>385.88</v>
      </c>
      <c r="H215" s="181">
        <v>490.04</v>
      </c>
      <c r="I215" s="181" t="s">
        <v>292</v>
      </c>
      <c r="J215" s="191">
        <v>431.5</v>
      </c>
      <c r="K215" s="191">
        <v>490.04</v>
      </c>
      <c r="L215" s="199" t="s">
        <v>385</v>
      </c>
      <c r="M215" s="211" t="s">
        <v>1772</v>
      </c>
      <c r="N215" s="185" t="s">
        <v>396</v>
      </c>
      <c r="O215" s="185" t="s">
        <v>309</v>
      </c>
      <c r="P215" s="185" t="s">
        <v>397</v>
      </c>
      <c r="Q215" s="185"/>
      <c r="R215" s="185" t="s">
        <v>381</v>
      </c>
      <c r="S215" s="185" t="s">
        <v>295</v>
      </c>
      <c r="T215" s="185" t="s">
        <v>379</v>
      </c>
    </row>
    <row r="216" spans="1:20" outlineLevel="1">
      <c r="A216" s="199" t="s">
        <v>245</v>
      </c>
      <c r="B216" s="181" t="s">
        <v>1566</v>
      </c>
      <c r="C216" s="190">
        <v>43671</v>
      </c>
      <c r="D216" s="181" t="s">
        <v>1775</v>
      </c>
      <c r="E216" s="182" t="s">
        <v>1776</v>
      </c>
      <c r="F216" s="183">
        <v>76665</v>
      </c>
      <c r="G216" s="184">
        <v>352.41</v>
      </c>
      <c r="H216" s="181">
        <v>447.53</v>
      </c>
      <c r="I216" s="181" t="s">
        <v>292</v>
      </c>
      <c r="J216" s="191">
        <v>394.07</v>
      </c>
      <c r="K216" s="191">
        <v>447.54</v>
      </c>
      <c r="L216" s="199" t="s">
        <v>391</v>
      </c>
      <c r="M216" s="211" t="s">
        <v>1777</v>
      </c>
      <c r="N216" s="185" t="s">
        <v>396</v>
      </c>
      <c r="O216" s="185" t="s">
        <v>309</v>
      </c>
      <c r="P216" s="185" t="s">
        <v>397</v>
      </c>
      <c r="Q216" s="185"/>
      <c r="R216" s="185" t="s">
        <v>381</v>
      </c>
      <c r="S216" s="185" t="s">
        <v>295</v>
      </c>
      <c r="T216" s="185" t="s">
        <v>379</v>
      </c>
    </row>
    <row r="217" spans="1:20" outlineLevel="1">
      <c r="A217" s="199" t="s">
        <v>245</v>
      </c>
      <c r="B217" s="181" t="s">
        <v>1566</v>
      </c>
      <c r="C217" s="190">
        <v>43648</v>
      </c>
      <c r="D217" s="181" t="s">
        <v>1778</v>
      </c>
      <c r="E217" s="182" t="s">
        <v>1779</v>
      </c>
      <c r="F217" s="183">
        <v>76665</v>
      </c>
      <c r="G217" s="184">
        <v>3.91</v>
      </c>
      <c r="H217" s="181">
        <v>4.97</v>
      </c>
      <c r="I217" s="181" t="s">
        <v>292</v>
      </c>
      <c r="J217" s="191">
        <v>4.38</v>
      </c>
      <c r="K217" s="191">
        <v>4.97</v>
      </c>
      <c r="L217" s="199" t="s">
        <v>405</v>
      </c>
      <c r="M217" s="211" t="s">
        <v>1780</v>
      </c>
      <c r="N217" s="185" t="s">
        <v>396</v>
      </c>
      <c r="O217" s="185" t="s">
        <v>309</v>
      </c>
      <c r="P217" s="185" t="s">
        <v>397</v>
      </c>
      <c r="Q217" s="185"/>
      <c r="R217" s="185" t="s">
        <v>381</v>
      </c>
      <c r="S217" s="185" t="s">
        <v>295</v>
      </c>
      <c r="T217" s="185" t="s">
        <v>379</v>
      </c>
    </row>
    <row r="218" spans="1:20" outlineLevel="1">
      <c r="A218" s="199" t="s">
        <v>245</v>
      </c>
      <c r="B218" s="181" t="s">
        <v>1566</v>
      </c>
      <c r="C218" s="190">
        <v>43671</v>
      </c>
      <c r="D218" s="181" t="s">
        <v>1781</v>
      </c>
      <c r="E218" s="182" t="s">
        <v>1782</v>
      </c>
      <c r="F218" s="183">
        <v>76665</v>
      </c>
      <c r="G218" s="184">
        <v>58.74</v>
      </c>
      <c r="H218" s="181">
        <v>74.59</v>
      </c>
      <c r="I218" s="181" t="s">
        <v>292</v>
      </c>
      <c r="J218" s="191">
        <v>65.680000000000007</v>
      </c>
      <c r="K218" s="191">
        <v>74.599999999999994</v>
      </c>
      <c r="L218" s="199" t="s">
        <v>405</v>
      </c>
      <c r="M218" s="211" t="s">
        <v>1780</v>
      </c>
      <c r="N218" s="185" t="s">
        <v>396</v>
      </c>
      <c r="O218" s="185" t="s">
        <v>309</v>
      </c>
      <c r="P218" s="185" t="s">
        <v>397</v>
      </c>
      <c r="Q218" s="185"/>
      <c r="R218" s="185" t="s">
        <v>381</v>
      </c>
      <c r="S218" s="185" t="s">
        <v>295</v>
      </c>
      <c r="T218" s="185" t="s">
        <v>379</v>
      </c>
    </row>
    <row r="219" spans="1:20" outlineLevel="1">
      <c r="A219" s="199" t="s">
        <v>245</v>
      </c>
      <c r="B219" s="181" t="s">
        <v>1566</v>
      </c>
      <c r="C219" s="190">
        <v>43675</v>
      </c>
      <c r="D219" s="181" t="s">
        <v>1721</v>
      </c>
      <c r="E219" s="182" t="s">
        <v>1783</v>
      </c>
      <c r="F219" s="183">
        <v>76665</v>
      </c>
      <c r="G219" s="184">
        <v>3.91</v>
      </c>
      <c r="H219" s="181">
        <v>4.97</v>
      </c>
      <c r="I219" s="181" t="s">
        <v>292</v>
      </c>
      <c r="J219" s="191">
        <v>4.38</v>
      </c>
      <c r="K219" s="191">
        <v>4.97</v>
      </c>
      <c r="L219" s="199" t="s">
        <v>405</v>
      </c>
      <c r="M219" s="211" t="s">
        <v>1780</v>
      </c>
      <c r="N219" s="185" t="s">
        <v>396</v>
      </c>
      <c r="O219" s="185" t="s">
        <v>309</v>
      </c>
      <c r="P219" s="185" t="s">
        <v>397</v>
      </c>
      <c r="Q219" s="185"/>
      <c r="R219" s="185" t="s">
        <v>381</v>
      </c>
      <c r="S219" s="185" t="s">
        <v>295</v>
      </c>
      <c r="T219" s="185" t="s">
        <v>379</v>
      </c>
    </row>
    <row r="220" spans="1:20" outlineLevel="1">
      <c r="A220" s="199" t="s">
        <v>245</v>
      </c>
      <c r="B220" s="181" t="s">
        <v>1575</v>
      </c>
      <c r="C220" s="190">
        <v>43700</v>
      </c>
      <c r="D220" s="181" t="s">
        <v>1784</v>
      </c>
      <c r="E220" s="182" t="s">
        <v>1785</v>
      </c>
      <c r="F220" s="183">
        <v>76932</v>
      </c>
      <c r="G220" s="184">
        <v>2255.4</v>
      </c>
      <c r="H220" s="181">
        <v>2755.63</v>
      </c>
      <c r="I220" s="181" t="s">
        <v>292</v>
      </c>
      <c r="J220" s="191">
        <v>2460.8000000000002</v>
      </c>
      <c r="K220" s="191">
        <v>2755.63</v>
      </c>
      <c r="L220" s="199" t="s">
        <v>385</v>
      </c>
      <c r="M220" s="211" t="s">
        <v>1772</v>
      </c>
      <c r="N220" s="185" t="s">
        <v>396</v>
      </c>
      <c r="O220" s="185" t="s">
        <v>309</v>
      </c>
      <c r="P220" s="185" t="s">
        <v>397</v>
      </c>
      <c r="Q220" s="185"/>
      <c r="R220" s="185" t="s">
        <v>381</v>
      </c>
      <c r="S220" s="185" t="s">
        <v>295</v>
      </c>
      <c r="T220" s="185" t="s">
        <v>379</v>
      </c>
    </row>
    <row r="221" spans="1:20" outlineLevel="1">
      <c r="A221" s="199" t="s">
        <v>245</v>
      </c>
      <c r="B221" s="181" t="s">
        <v>1575</v>
      </c>
      <c r="C221" s="190">
        <v>43700</v>
      </c>
      <c r="D221" s="181" t="s">
        <v>1786</v>
      </c>
      <c r="E221" s="182" t="s">
        <v>1787</v>
      </c>
      <c r="F221" s="183">
        <v>76932</v>
      </c>
      <c r="G221" s="184">
        <v>401.71</v>
      </c>
      <c r="H221" s="181">
        <v>490.8</v>
      </c>
      <c r="I221" s="181" t="s">
        <v>292</v>
      </c>
      <c r="J221" s="191">
        <v>438.29</v>
      </c>
      <c r="K221" s="191">
        <v>490.81</v>
      </c>
      <c r="L221" s="199" t="s">
        <v>385</v>
      </c>
      <c r="M221" s="211" t="s">
        <v>1772</v>
      </c>
      <c r="N221" s="185" t="s">
        <v>396</v>
      </c>
      <c r="O221" s="185" t="s">
        <v>309</v>
      </c>
      <c r="P221" s="185" t="s">
        <v>397</v>
      </c>
      <c r="Q221" s="185"/>
      <c r="R221" s="185" t="s">
        <v>381</v>
      </c>
      <c r="S221" s="185" t="s">
        <v>295</v>
      </c>
      <c r="T221" s="185" t="s">
        <v>379</v>
      </c>
    </row>
    <row r="222" spans="1:20" outlineLevel="1">
      <c r="A222" s="199" t="s">
        <v>245</v>
      </c>
      <c r="B222" s="181" t="s">
        <v>1575</v>
      </c>
      <c r="C222" s="190">
        <v>43700</v>
      </c>
      <c r="D222" s="181" t="s">
        <v>1788</v>
      </c>
      <c r="E222" s="182" t="s">
        <v>1789</v>
      </c>
      <c r="F222" s="183">
        <v>76932</v>
      </c>
      <c r="G222" s="184">
        <v>366.29</v>
      </c>
      <c r="H222" s="181">
        <v>447.53</v>
      </c>
      <c r="I222" s="181" t="s">
        <v>292</v>
      </c>
      <c r="J222" s="191">
        <v>399.65</v>
      </c>
      <c r="K222" s="191">
        <v>447.53</v>
      </c>
      <c r="L222" s="199" t="s">
        <v>391</v>
      </c>
      <c r="M222" s="211" t="s">
        <v>1777</v>
      </c>
      <c r="N222" s="185" t="s">
        <v>396</v>
      </c>
      <c r="O222" s="185" t="s">
        <v>309</v>
      </c>
      <c r="P222" s="185" t="s">
        <v>397</v>
      </c>
      <c r="Q222" s="185"/>
      <c r="R222" s="185" t="s">
        <v>381</v>
      </c>
      <c r="S222" s="185" t="s">
        <v>295</v>
      </c>
      <c r="T222" s="185" t="s">
        <v>379</v>
      </c>
    </row>
    <row r="223" spans="1:20" outlineLevel="1">
      <c r="A223" s="199" t="s">
        <v>245</v>
      </c>
      <c r="B223" s="181" t="s">
        <v>1575</v>
      </c>
      <c r="C223" s="190">
        <v>43700</v>
      </c>
      <c r="D223" s="181" t="s">
        <v>1790</v>
      </c>
      <c r="E223" s="182" t="s">
        <v>1791</v>
      </c>
      <c r="F223" s="183">
        <v>76932</v>
      </c>
      <c r="G223" s="184">
        <v>61.05</v>
      </c>
      <c r="H223" s="181">
        <v>74.59</v>
      </c>
      <c r="I223" s="181" t="s">
        <v>292</v>
      </c>
      <c r="J223" s="191">
        <v>66.61</v>
      </c>
      <c r="K223" s="191">
        <v>74.59</v>
      </c>
      <c r="L223" s="199" t="s">
        <v>405</v>
      </c>
      <c r="M223" s="211" t="s">
        <v>1780</v>
      </c>
      <c r="N223" s="185" t="s">
        <v>396</v>
      </c>
      <c r="O223" s="185" t="s">
        <v>309</v>
      </c>
      <c r="P223" s="185" t="s">
        <v>397</v>
      </c>
      <c r="Q223" s="185"/>
      <c r="R223" s="185" t="s">
        <v>381</v>
      </c>
      <c r="S223" s="185" t="s">
        <v>295</v>
      </c>
      <c r="T223" s="185" t="s">
        <v>379</v>
      </c>
    </row>
    <row r="224" spans="1:20" outlineLevel="1">
      <c r="A224" s="199" t="s">
        <v>245</v>
      </c>
      <c r="B224" s="181" t="s">
        <v>1575</v>
      </c>
      <c r="C224" s="190">
        <v>43705</v>
      </c>
      <c r="D224" s="181" t="s">
        <v>1792</v>
      </c>
      <c r="E224" s="182" t="s">
        <v>1793</v>
      </c>
      <c r="F224" s="183">
        <v>76932</v>
      </c>
      <c r="G224" s="184">
        <v>4.07</v>
      </c>
      <c r="H224" s="181">
        <v>4.97</v>
      </c>
      <c r="I224" s="181" t="s">
        <v>292</v>
      </c>
      <c r="J224" s="191">
        <v>4.4400000000000004</v>
      </c>
      <c r="K224" s="191">
        <v>4.97</v>
      </c>
      <c r="L224" s="199" t="s">
        <v>405</v>
      </c>
      <c r="M224" s="211" t="s">
        <v>1780</v>
      </c>
      <c r="N224" s="185" t="s">
        <v>396</v>
      </c>
      <c r="O224" s="185" t="s">
        <v>309</v>
      </c>
      <c r="P224" s="185" t="s">
        <v>397</v>
      </c>
      <c r="Q224" s="185"/>
      <c r="R224" s="185" t="s">
        <v>381</v>
      </c>
      <c r="S224" s="185" t="s">
        <v>295</v>
      </c>
      <c r="T224" s="185" t="s">
        <v>379</v>
      </c>
    </row>
    <row r="225" spans="1:20" outlineLevel="1">
      <c r="A225" s="199" t="s">
        <v>245</v>
      </c>
      <c r="B225" s="181" t="s">
        <v>1567</v>
      </c>
      <c r="C225" s="190">
        <v>43734</v>
      </c>
      <c r="D225" s="181" t="s">
        <v>1794</v>
      </c>
      <c r="E225" s="182" t="s">
        <v>1795</v>
      </c>
      <c r="F225" s="183">
        <v>77221</v>
      </c>
      <c r="G225" s="184">
        <v>2267.75</v>
      </c>
      <c r="H225" s="181">
        <v>2757.99</v>
      </c>
      <c r="I225" s="181" t="s">
        <v>292</v>
      </c>
      <c r="J225" s="191">
        <v>2504.94</v>
      </c>
      <c r="K225" s="191">
        <v>2757.99</v>
      </c>
      <c r="L225" s="199" t="s">
        <v>385</v>
      </c>
      <c r="M225" s="211" t="s">
        <v>1772</v>
      </c>
      <c r="N225" s="185" t="s">
        <v>396</v>
      </c>
      <c r="O225" s="185" t="s">
        <v>309</v>
      </c>
      <c r="P225" s="185" t="s">
        <v>397</v>
      </c>
      <c r="Q225" s="185"/>
      <c r="R225" s="185" t="s">
        <v>381</v>
      </c>
      <c r="S225" s="185" t="s">
        <v>295</v>
      </c>
      <c r="T225" s="185" t="s">
        <v>379</v>
      </c>
    </row>
    <row r="226" spans="1:20" outlineLevel="1">
      <c r="A226" s="199" t="s">
        <v>245</v>
      </c>
      <c r="B226" s="181" t="s">
        <v>1567</v>
      </c>
      <c r="C226" s="190">
        <v>43734</v>
      </c>
      <c r="D226" s="181" t="s">
        <v>1796</v>
      </c>
      <c r="E226" s="182" t="s">
        <v>1797</v>
      </c>
      <c r="F226" s="183">
        <v>77221</v>
      </c>
      <c r="G226" s="184">
        <v>404.91</v>
      </c>
      <c r="H226" s="181">
        <v>492.44</v>
      </c>
      <c r="I226" s="181" t="s">
        <v>292</v>
      </c>
      <c r="J226" s="191">
        <v>447.26</v>
      </c>
      <c r="K226" s="191">
        <v>492.44</v>
      </c>
      <c r="L226" s="199" t="s">
        <v>385</v>
      </c>
      <c r="M226" s="211" t="s">
        <v>1772</v>
      </c>
      <c r="N226" s="185" t="s">
        <v>396</v>
      </c>
      <c r="O226" s="185" t="s">
        <v>309</v>
      </c>
      <c r="P226" s="185" t="s">
        <v>397</v>
      </c>
      <c r="Q226" s="185"/>
      <c r="R226" s="185" t="s">
        <v>381</v>
      </c>
      <c r="S226" s="185" t="s">
        <v>295</v>
      </c>
      <c r="T226" s="185" t="s">
        <v>379</v>
      </c>
    </row>
    <row r="227" spans="1:20" outlineLevel="1">
      <c r="A227" s="199" t="s">
        <v>245</v>
      </c>
      <c r="B227" s="181" t="s">
        <v>1567</v>
      </c>
      <c r="C227" s="190">
        <v>43734</v>
      </c>
      <c r="D227" s="181" t="s">
        <v>1798</v>
      </c>
      <c r="E227" s="182" t="s">
        <v>1799</v>
      </c>
      <c r="F227" s="183">
        <v>77221</v>
      </c>
      <c r="G227" s="184">
        <v>367.98</v>
      </c>
      <c r="H227" s="181">
        <v>447.53</v>
      </c>
      <c r="I227" s="181" t="s">
        <v>292</v>
      </c>
      <c r="J227" s="191">
        <v>406.47</v>
      </c>
      <c r="K227" s="191">
        <v>447.53</v>
      </c>
      <c r="L227" s="199" t="s">
        <v>391</v>
      </c>
      <c r="M227" s="211" t="s">
        <v>1777</v>
      </c>
      <c r="N227" s="185" t="s">
        <v>396</v>
      </c>
      <c r="O227" s="185" t="s">
        <v>309</v>
      </c>
      <c r="P227" s="185" t="s">
        <v>397</v>
      </c>
      <c r="Q227" s="185"/>
      <c r="R227" s="185" t="s">
        <v>381</v>
      </c>
      <c r="S227" s="185" t="s">
        <v>295</v>
      </c>
      <c r="T227" s="185" t="s">
        <v>379</v>
      </c>
    </row>
    <row r="228" spans="1:20" outlineLevel="1">
      <c r="A228" s="199" t="s">
        <v>245</v>
      </c>
      <c r="B228" s="181" t="s">
        <v>1567</v>
      </c>
      <c r="C228" s="190">
        <v>43734</v>
      </c>
      <c r="D228" s="181" t="s">
        <v>1800</v>
      </c>
      <c r="E228" s="182" t="s">
        <v>1801</v>
      </c>
      <c r="F228" s="183">
        <v>77221</v>
      </c>
      <c r="G228" s="184">
        <v>61.33</v>
      </c>
      <c r="H228" s="181">
        <v>74.59</v>
      </c>
      <c r="I228" s="181" t="s">
        <v>292</v>
      </c>
      <c r="J228" s="191">
        <v>67.75</v>
      </c>
      <c r="K228" s="191">
        <v>74.59</v>
      </c>
      <c r="L228" s="199" t="s">
        <v>405</v>
      </c>
      <c r="M228" s="211" t="s">
        <v>1780</v>
      </c>
      <c r="N228" s="185" t="s">
        <v>396</v>
      </c>
      <c r="O228" s="185" t="s">
        <v>309</v>
      </c>
      <c r="P228" s="185" t="s">
        <v>397</v>
      </c>
      <c r="Q228" s="185"/>
      <c r="R228" s="185" t="s">
        <v>381</v>
      </c>
      <c r="S228" s="185" t="s">
        <v>295</v>
      </c>
      <c r="T228" s="185" t="s">
        <v>379</v>
      </c>
    </row>
    <row r="229" spans="1:20">
      <c r="A229" s="212" t="s">
        <v>378</v>
      </c>
      <c r="B229" s="212"/>
      <c r="C229" s="212"/>
      <c r="D229" s="212"/>
      <c r="E229" s="213"/>
      <c r="F229" s="214"/>
      <c r="G229" s="215">
        <f>SUM(G214:G228)</f>
        <v>9165.85</v>
      </c>
      <c r="H229" s="216">
        <f>SUM(H214:H228)</f>
        <v>11324.560000000001</v>
      </c>
      <c r="I229" s="212"/>
      <c r="J229" s="216">
        <f>SUM(J214:J228)</f>
        <v>10123.319999999998</v>
      </c>
      <c r="K229" s="216">
        <f>SUM(K214:K228)</f>
        <v>11324.59</v>
      </c>
      <c r="L229" s="212"/>
      <c r="M229" s="213"/>
      <c r="N229" s="212"/>
      <c r="O229" s="212"/>
      <c r="P229" s="212"/>
      <c r="Q229" s="212"/>
      <c r="R229" s="212"/>
      <c r="S229" s="212"/>
      <c r="T229" s="212"/>
    </row>
    <row r="230" spans="1:20" outlineLevel="1">
      <c r="A230" s="199" t="s">
        <v>246</v>
      </c>
      <c r="B230" s="181" t="s">
        <v>1566</v>
      </c>
      <c r="C230" s="190">
        <v>43648</v>
      </c>
      <c r="D230" s="181" t="s">
        <v>1802</v>
      </c>
      <c r="E230" s="182" t="s">
        <v>1803</v>
      </c>
      <c r="F230" s="183">
        <v>76665</v>
      </c>
      <c r="G230" s="184">
        <v>788.36</v>
      </c>
      <c r="H230" s="181">
        <v>1001</v>
      </c>
      <c r="I230" s="181" t="s">
        <v>292</v>
      </c>
      <c r="J230" s="191">
        <v>881.42</v>
      </c>
      <c r="K230" s="191">
        <v>1001</v>
      </c>
      <c r="L230" s="199" t="s">
        <v>640</v>
      </c>
      <c r="M230" s="211" t="s">
        <v>1580</v>
      </c>
      <c r="N230" s="185" t="s">
        <v>396</v>
      </c>
      <c r="O230" s="185" t="s">
        <v>309</v>
      </c>
      <c r="P230" s="185"/>
      <c r="Q230" s="185"/>
      <c r="R230" s="185" t="s">
        <v>381</v>
      </c>
      <c r="S230" s="185" t="s">
        <v>295</v>
      </c>
      <c r="T230" s="185" t="s">
        <v>379</v>
      </c>
    </row>
    <row r="231" spans="1:20" outlineLevel="1">
      <c r="A231" s="199" t="s">
        <v>246</v>
      </c>
      <c r="B231" s="181" t="s">
        <v>1575</v>
      </c>
      <c r="C231" s="190">
        <v>43689</v>
      </c>
      <c r="D231" s="181" t="s">
        <v>1804</v>
      </c>
      <c r="E231" s="182" t="s">
        <v>1805</v>
      </c>
      <c r="F231" s="183">
        <v>76932</v>
      </c>
      <c r="G231" s="184">
        <v>144.62</v>
      </c>
      <c r="H231" s="181">
        <v>176.7</v>
      </c>
      <c r="I231" s="181" t="s">
        <v>292</v>
      </c>
      <c r="J231" s="191">
        <v>157.79</v>
      </c>
      <c r="K231" s="191">
        <v>176.7</v>
      </c>
      <c r="L231" s="199" t="s">
        <v>640</v>
      </c>
      <c r="M231" s="211" t="s">
        <v>1580</v>
      </c>
      <c r="N231" s="185" t="s">
        <v>396</v>
      </c>
      <c r="O231" s="185" t="s">
        <v>309</v>
      </c>
      <c r="P231" s="185"/>
      <c r="Q231" s="185"/>
      <c r="R231" s="185" t="s">
        <v>381</v>
      </c>
      <c r="S231" s="185" t="s">
        <v>295</v>
      </c>
      <c r="T231" s="185" t="s">
        <v>379</v>
      </c>
    </row>
    <row r="232" spans="1:20" outlineLevel="1">
      <c r="A232" s="199" t="s">
        <v>246</v>
      </c>
      <c r="B232" s="181" t="s">
        <v>1575</v>
      </c>
      <c r="C232" s="190">
        <v>43689</v>
      </c>
      <c r="D232" s="181" t="s">
        <v>1806</v>
      </c>
      <c r="E232" s="182" t="s">
        <v>1807</v>
      </c>
      <c r="F232" s="183">
        <v>76932</v>
      </c>
      <c r="G232" s="184">
        <v>182.68</v>
      </c>
      <c r="H232" s="181">
        <v>223.2</v>
      </c>
      <c r="I232" s="181" t="s">
        <v>292</v>
      </c>
      <c r="J232" s="191">
        <v>199.32</v>
      </c>
      <c r="K232" s="191">
        <v>223.2</v>
      </c>
      <c r="L232" s="199" t="s">
        <v>640</v>
      </c>
      <c r="M232" s="211" t="s">
        <v>1580</v>
      </c>
      <c r="N232" s="185" t="s">
        <v>396</v>
      </c>
      <c r="O232" s="185" t="s">
        <v>309</v>
      </c>
      <c r="P232" s="185"/>
      <c r="Q232" s="185"/>
      <c r="R232" s="185" t="s">
        <v>381</v>
      </c>
      <c r="S232" s="185" t="s">
        <v>295</v>
      </c>
      <c r="T232" s="185" t="s">
        <v>379</v>
      </c>
    </row>
    <row r="233" spans="1:20" outlineLevel="1">
      <c r="A233" s="199" t="s">
        <v>246</v>
      </c>
      <c r="B233" s="181" t="s">
        <v>1575</v>
      </c>
      <c r="C233" s="190">
        <v>43683</v>
      </c>
      <c r="D233" s="181" t="s">
        <v>1808</v>
      </c>
      <c r="E233" s="182" t="s">
        <v>1809</v>
      </c>
      <c r="F233" s="183">
        <v>76932</v>
      </c>
      <c r="G233" s="184">
        <v>819.29</v>
      </c>
      <c r="H233" s="181">
        <v>1001</v>
      </c>
      <c r="I233" s="181" t="s">
        <v>292</v>
      </c>
      <c r="J233" s="191">
        <v>893.9</v>
      </c>
      <c r="K233" s="191">
        <v>1001</v>
      </c>
      <c r="L233" s="199" t="s">
        <v>640</v>
      </c>
      <c r="M233" s="211" t="s">
        <v>1580</v>
      </c>
      <c r="N233" s="185" t="s">
        <v>396</v>
      </c>
      <c r="O233" s="185" t="s">
        <v>309</v>
      </c>
      <c r="P233" s="185"/>
      <c r="Q233" s="185"/>
      <c r="R233" s="185" t="s">
        <v>381</v>
      </c>
      <c r="S233" s="185" t="s">
        <v>295</v>
      </c>
      <c r="T233" s="185" t="s">
        <v>379</v>
      </c>
    </row>
    <row r="234" spans="1:20" outlineLevel="1">
      <c r="A234" s="199" t="s">
        <v>246</v>
      </c>
      <c r="B234" s="181" t="s">
        <v>1575</v>
      </c>
      <c r="C234" s="190">
        <v>43683</v>
      </c>
      <c r="D234" s="181" t="s">
        <v>1808</v>
      </c>
      <c r="E234" s="182" t="s">
        <v>1810</v>
      </c>
      <c r="F234" s="183">
        <v>76932</v>
      </c>
      <c r="G234" s="184">
        <v>819.29</v>
      </c>
      <c r="H234" s="181">
        <v>1001</v>
      </c>
      <c r="I234" s="181" t="s">
        <v>292</v>
      </c>
      <c r="J234" s="191">
        <v>893.9</v>
      </c>
      <c r="K234" s="191">
        <v>1001</v>
      </c>
      <c r="L234" s="199" t="s">
        <v>640</v>
      </c>
      <c r="M234" s="211" t="s">
        <v>1580</v>
      </c>
      <c r="N234" s="185" t="s">
        <v>396</v>
      </c>
      <c r="O234" s="185" t="s">
        <v>309</v>
      </c>
      <c r="P234" s="185"/>
      <c r="Q234" s="185"/>
      <c r="R234" s="185" t="s">
        <v>381</v>
      </c>
      <c r="S234" s="185" t="s">
        <v>295</v>
      </c>
      <c r="T234" s="185" t="s">
        <v>379</v>
      </c>
    </row>
    <row r="235" spans="1:20" outlineLevel="1">
      <c r="A235" s="199" t="s">
        <v>246</v>
      </c>
      <c r="B235" s="181" t="s">
        <v>1567</v>
      </c>
      <c r="C235" s="190">
        <v>43720</v>
      </c>
      <c r="D235" s="181" t="s">
        <v>1581</v>
      </c>
      <c r="E235" s="182" t="s">
        <v>1811</v>
      </c>
      <c r="F235" s="183">
        <v>77221</v>
      </c>
      <c r="G235" s="184">
        <v>145.29</v>
      </c>
      <c r="H235" s="181">
        <v>176.7</v>
      </c>
      <c r="I235" s="181" t="s">
        <v>292</v>
      </c>
      <c r="J235" s="191">
        <v>160.49</v>
      </c>
      <c r="K235" s="191">
        <v>176.7</v>
      </c>
      <c r="L235" s="199" t="s">
        <v>640</v>
      </c>
      <c r="M235" s="211" t="s">
        <v>1580</v>
      </c>
      <c r="N235" s="185" t="s">
        <v>396</v>
      </c>
      <c r="O235" s="185" t="s">
        <v>309</v>
      </c>
      <c r="P235" s="185"/>
      <c r="Q235" s="185"/>
      <c r="R235" s="185" t="s">
        <v>381</v>
      </c>
      <c r="S235" s="185" t="s">
        <v>295</v>
      </c>
      <c r="T235" s="185" t="s">
        <v>379</v>
      </c>
    </row>
    <row r="236" spans="1:20" outlineLevel="1">
      <c r="A236" s="199" t="s">
        <v>246</v>
      </c>
      <c r="B236" s="181" t="s">
        <v>1567</v>
      </c>
      <c r="C236" s="190">
        <v>43721</v>
      </c>
      <c r="D236" s="181" t="s">
        <v>1812</v>
      </c>
      <c r="E236" s="182" t="s">
        <v>1813</v>
      </c>
      <c r="F236" s="183">
        <v>77221</v>
      </c>
      <c r="G236" s="184">
        <v>1646.14</v>
      </c>
      <c r="H236" s="181">
        <v>2002</v>
      </c>
      <c r="I236" s="181" t="s">
        <v>292</v>
      </c>
      <c r="J236" s="191">
        <v>1818.31</v>
      </c>
      <c r="K236" s="191">
        <v>2002</v>
      </c>
      <c r="L236" s="199" t="s">
        <v>640</v>
      </c>
      <c r="M236" s="211" t="s">
        <v>1580</v>
      </c>
      <c r="N236" s="185" t="s">
        <v>396</v>
      </c>
      <c r="O236" s="185" t="s">
        <v>309</v>
      </c>
      <c r="P236" s="185"/>
      <c r="Q236" s="185"/>
      <c r="R236" s="185" t="s">
        <v>381</v>
      </c>
      <c r="S236" s="185" t="s">
        <v>295</v>
      </c>
      <c r="T236" s="185" t="s">
        <v>379</v>
      </c>
    </row>
    <row r="237" spans="1:20" outlineLevel="1">
      <c r="A237" s="199" t="s">
        <v>246</v>
      </c>
      <c r="B237" s="181" t="s">
        <v>1567</v>
      </c>
      <c r="C237" s="190">
        <v>43721</v>
      </c>
      <c r="D237" s="181" t="s">
        <v>1814</v>
      </c>
      <c r="E237" s="182" t="s">
        <v>1815</v>
      </c>
      <c r="F237" s="183">
        <v>77221</v>
      </c>
      <c r="G237" s="184">
        <v>823.07</v>
      </c>
      <c r="H237" s="181">
        <v>1001</v>
      </c>
      <c r="I237" s="181" t="s">
        <v>292</v>
      </c>
      <c r="J237" s="191">
        <v>909.15</v>
      </c>
      <c r="K237" s="191">
        <v>1001</v>
      </c>
      <c r="L237" s="199" t="s">
        <v>640</v>
      </c>
      <c r="M237" s="211" t="s">
        <v>1580</v>
      </c>
      <c r="N237" s="185" t="s">
        <v>396</v>
      </c>
      <c r="O237" s="185" t="s">
        <v>309</v>
      </c>
      <c r="P237" s="185"/>
      <c r="Q237" s="185"/>
      <c r="R237" s="185" t="s">
        <v>381</v>
      </c>
      <c r="S237" s="185" t="s">
        <v>295</v>
      </c>
      <c r="T237" s="185" t="s">
        <v>379</v>
      </c>
    </row>
    <row r="238" spans="1:20" outlineLevel="1">
      <c r="A238" s="199" t="s">
        <v>246</v>
      </c>
      <c r="B238" s="181" t="s">
        <v>1567</v>
      </c>
      <c r="C238" s="190">
        <v>43720</v>
      </c>
      <c r="D238" s="181" t="s">
        <v>1583</v>
      </c>
      <c r="E238" s="182" t="s">
        <v>1816</v>
      </c>
      <c r="F238" s="183">
        <v>77221</v>
      </c>
      <c r="G238" s="184">
        <v>183.53</v>
      </c>
      <c r="H238" s="181">
        <v>223.2</v>
      </c>
      <c r="I238" s="181" t="s">
        <v>292</v>
      </c>
      <c r="J238" s="191">
        <v>202.72</v>
      </c>
      <c r="K238" s="191">
        <v>223.21</v>
      </c>
      <c r="L238" s="199" t="s">
        <v>640</v>
      </c>
      <c r="M238" s="211" t="s">
        <v>1580</v>
      </c>
      <c r="N238" s="185" t="s">
        <v>396</v>
      </c>
      <c r="O238" s="185" t="s">
        <v>309</v>
      </c>
      <c r="P238" s="185"/>
      <c r="Q238" s="185"/>
      <c r="R238" s="185" t="s">
        <v>381</v>
      </c>
      <c r="S238" s="185" t="s">
        <v>295</v>
      </c>
      <c r="T238" s="185" t="s">
        <v>379</v>
      </c>
    </row>
    <row r="239" spans="1:20">
      <c r="A239" s="212" t="s">
        <v>378</v>
      </c>
      <c r="B239" s="212"/>
      <c r="C239" s="212"/>
      <c r="D239" s="212"/>
      <c r="E239" s="213"/>
      <c r="F239" s="214"/>
      <c r="G239" s="215">
        <f>SUM(G230:G238)</f>
        <v>5552.2699999999995</v>
      </c>
      <c r="H239" s="216">
        <f>SUM(H230:H238)</f>
        <v>6805.8</v>
      </c>
      <c r="I239" s="212"/>
      <c r="J239" s="216">
        <f>SUM(J230:J238)</f>
        <v>6116.9999999999991</v>
      </c>
      <c r="K239" s="216">
        <f>SUM(K230:K238)</f>
        <v>6805.81</v>
      </c>
      <c r="L239" s="212"/>
      <c r="M239" s="213"/>
      <c r="N239" s="212"/>
      <c r="O239" s="212"/>
      <c r="P239" s="212"/>
      <c r="Q239" s="212"/>
      <c r="R239" s="212"/>
      <c r="S239" s="212"/>
      <c r="T239" s="212"/>
    </row>
    <row r="240" spans="1:20" outlineLevel="1">
      <c r="A240" s="199" t="s">
        <v>248</v>
      </c>
      <c r="B240" s="181" t="s">
        <v>1566</v>
      </c>
      <c r="C240" s="190">
        <v>43677</v>
      </c>
      <c r="D240" s="181" t="s">
        <v>1817</v>
      </c>
      <c r="E240" s="182" t="s">
        <v>827</v>
      </c>
      <c r="F240" s="183">
        <v>76667</v>
      </c>
      <c r="G240" s="184">
        <v>242.58</v>
      </c>
      <c r="H240" s="181">
        <v>242.58</v>
      </c>
      <c r="I240" s="181" t="s">
        <v>293</v>
      </c>
      <c r="J240" s="191">
        <v>271.26</v>
      </c>
      <c r="K240" s="191">
        <v>308.06</v>
      </c>
      <c r="L240" s="199" t="s">
        <v>385</v>
      </c>
      <c r="M240" s="211" t="s">
        <v>1772</v>
      </c>
      <c r="N240" s="185" t="s">
        <v>374</v>
      </c>
      <c r="O240" s="185" t="s">
        <v>309</v>
      </c>
      <c r="P240" s="185" t="s">
        <v>826</v>
      </c>
      <c r="Q240" s="185"/>
      <c r="R240" s="185" t="s">
        <v>381</v>
      </c>
      <c r="S240" s="185" t="s">
        <v>295</v>
      </c>
      <c r="T240" s="185" t="s">
        <v>379</v>
      </c>
    </row>
    <row r="241" spans="1:20" outlineLevel="1">
      <c r="A241" s="199" t="s">
        <v>248</v>
      </c>
      <c r="B241" s="181" t="s">
        <v>1566</v>
      </c>
      <c r="C241" s="190">
        <v>43677</v>
      </c>
      <c r="D241" s="181" t="s">
        <v>1817</v>
      </c>
      <c r="E241" s="182" t="s">
        <v>1818</v>
      </c>
      <c r="F241" s="183">
        <v>76668</v>
      </c>
      <c r="G241" s="184">
        <v>12.13</v>
      </c>
      <c r="H241" s="181">
        <v>12.13</v>
      </c>
      <c r="I241" s="181" t="s">
        <v>293</v>
      </c>
      <c r="J241" s="191">
        <v>13.56</v>
      </c>
      <c r="K241" s="191">
        <v>15.4</v>
      </c>
      <c r="L241" s="199" t="s">
        <v>385</v>
      </c>
      <c r="M241" s="211" t="s">
        <v>1772</v>
      </c>
      <c r="N241" s="185" t="s">
        <v>374</v>
      </c>
      <c r="O241" s="185" t="s">
        <v>309</v>
      </c>
      <c r="P241" s="185" t="s">
        <v>826</v>
      </c>
      <c r="Q241" s="185"/>
      <c r="R241" s="185" t="s">
        <v>388</v>
      </c>
      <c r="S241" s="185" t="s">
        <v>295</v>
      </c>
      <c r="T241" s="217" t="s">
        <v>248</v>
      </c>
    </row>
    <row r="242" spans="1:20" outlineLevel="1">
      <c r="A242" s="199" t="s">
        <v>248</v>
      </c>
      <c r="B242" s="181" t="s">
        <v>1566</v>
      </c>
      <c r="C242" s="190">
        <v>43677</v>
      </c>
      <c r="D242" s="181" t="s">
        <v>1817</v>
      </c>
      <c r="E242" s="182" t="s">
        <v>1819</v>
      </c>
      <c r="F242" s="183">
        <v>76669</v>
      </c>
      <c r="G242" s="184">
        <v>3.64</v>
      </c>
      <c r="H242" s="181">
        <v>3.64</v>
      </c>
      <c r="I242" s="181" t="s">
        <v>293</v>
      </c>
      <c r="J242" s="191">
        <v>4.07</v>
      </c>
      <c r="K242" s="191">
        <v>4.62</v>
      </c>
      <c r="L242" s="199" t="s">
        <v>385</v>
      </c>
      <c r="M242" s="211" t="s">
        <v>1772</v>
      </c>
      <c r="N242" s="185" t="s">
        <v>374</v>
      </c>
      <c r="O242" s="185" t="s">
        <v>309</v>
      </c>
      <c r="P242" s="185" t="s">
        <v>826</v>
      </c>
      <c r="Q242" s="185"/>
      <c r="R242" s="185" t="s">
        <v>390</v>
      </c>
      <c r="S242" s="185" t="s">
        <v>295</v>
      </c>
      <c r="T242" s="217" t="s">
        <v>379</v>
      </c>
    </row>
    <row r="243" spans="1:20" outlineLevel="1">
      <c r="A243" s="199" t="s">
        <v>248</v>
      </c>
      <c r="B243" s="181" t="s">
        <v>1566</v>
      </c>
      <c r="C243" s="190">
        <v>43677</v>
      </c>
      <c r="D243" s="181" t="s">
        <v>1817</v>
      </c>
      <c r="E243" s="182" t="s">
        <v>827</v>
      </c>
      <c r="F243" s="183">
        <v>76667</v>
      </c>
      <c r="G243" s="184">
        <v>24.26</v>
      </c>
      <c r="H243" s="181">
        <v>24.26</v>
      </c>
      <c r="I243" s="181" t="s">
        <v>293</v>
      </c>
      <c r="J243" s="191">
        <v>27.13</v>
      </c>
      <c r="K243" s="191">
        <v>30.81</v>
      </c>
      <c r="L243" s="199" t="s">
        <v>391</v>
      </c>
      <c r="M243" s="211" t="s">
        <v>1777</v>
      </c>
      <c r="N243" s="185" t="s">
        <v>374</v>
      </c>
      <c r="O243" s="185" t="s">
        <v>309</v>
      </c>
      <c r="P243" s="185" t="s">
        <v>826</v>
      </c>
      <c r="Q243" s="185"/>
      <c r="R243" s="185" t="s">
        <v>381</v>
      </c>
      <c r="S243" s="185" t="s">
        <v>295</v>
      </c>
      <c r="T243" s="217" t="s">
        <v>379</v>
      </c>
    </row>
    <row r="244" spans="1:20" outlineLevel="1">
      <c r="A244" s="199" t="s">
        <v>248</v>
      </c>
      <c r="B244" s="181" t="s">
        <v>1566</v>
      </c>
      <c r="C244" s="190">
        <v>43677</v>
      </c>
      <c r="D244" s="181" t="s">
        <v>1817</v>
      </c>
      <c r="E244" s="182" t="s">
        <v>827</v>
      </c>
      <c r="F244" s="183">
        <v>76667</v>
      </c>
      <c r="G244" s="184">
        <v>28.52</v>
      </c>
      <c r="H244" s="181">
        <v>28.52</v>
      </c>
      <c r="I244" s="181" t="s">
        <v>293</v>
      </c>
      <c r="J244" s="191">
        <v>31.89</v>
      </c>
      <c r="K244" s="191">
        <v>36.22</v>
      </c>
      <c r="L244" s="199" t="s">
        <v>392</v>
      </c>
      <c r="M244" s="211" t="s">
        <v>1820</v>
      </c>
      <c r="N244" s="185" t="s">
        <v>374</v>
      </c>
      <c r="O244" s="185" t="s">
        <v>309</v>
      </c>
      <c r="P244" s="185" t="s">
        <v>826</v>
      </c>
      <c r="Q244" s="185"/>
      <c r="R244" s="185" t="s">
        <v>381</v>
      </c>
      <c r="S244" s="185" t="s">
        <v>295</v>
      </c>
      <c r="T244" s="217" t="s">
        <v>379</v>
      </c>
    </row>
    <row r="245" spans="1:20" outlineLevel="1">
      <c r="A245" s="199" t="s">
        <v>248</v>
      </c>
      <c r="B245" s="181" t="s">
        <v>1575</v>
      </c>
      <c r="C245" s="190">
        <v>43708</v>
      </c>
      <c r="D245" s="181" t="s">
        <v>1821</v>
      </c>
      <c r="E245" s="182" t="s">
        <v>1822</v>
      </c>
      <c r="F245" s="183">
        <v>76935</v>
      </c>
      <c r="G245" s="184">
        <v>485.17</v>
      </c>
      <c r="H245" s="181">
        <v>485.17</v>
      </c>
      <c r="I245" s="181" t="s">
        <v>293</v>
      </c>
      <c r="J245" s="191">
        <v>529.35</v>
      </c>
      <c r="K245" s="191">
        <v>592.78</v>
      </c>
      <c r="L245" s="199" t="s">
        <v>385</v>
      </c>
      <c r="M245" s="211" t="s">
        <v>1772</v>
      </c>
      <c r="N245" s="185" t="s">
        <v>374</v>
      </c>
      <c r="O245" s="185" t="s">
        <v>309</v>
      </c>
      <c r="P245" s="185" t="s">
        <v>826</v>
      </c>
      <c r="Q245" s="185"/>
      <c r="R245" s="185" t="s">
        <v>381</v>
      </c>
      <c r="S245" s="185" t="s">
        <v>295</v>
      </c>
      <c r="T245" s="217" t="s">
        <v>379</v>
      </c>
    </row>
    <row r="246" spans="1:20" outlineLevel="1">
      <c r="A246" s="199" t="s">
        <v>248</v>
      </c>
      <c r="B246" s="181" t="s">
        <v>1575</v>
      </c>
      <c r="C246" s="190">
        <v>43708</v>
      </c>
      <c r="D246" s="181" t="s">
        <v>1821</v>
      </c>
      <c r="E246" s="182" t="s">
        <v>1823</v>
      </c>
      <c r="F246" s="183">
        <v>76936</v>
      </c>
      <c r="G246" s="184">
        <v>24.26</v>
      </c>
      <c r="H246" s="181">
        <v>24.26</v>
      </c>
      <c r="I246" s="181" t="s">
        <v>293</v>
      </c>
      <c r="J246" s="191">
        <v>26.47</v>
      </c>
      <c r="K246" s="191">
        <v>29.64</v>
      </c>
      <c r="L246" s="199" t="s">
        <v>385</v>
      </c>
      <c r="M246" s="211" t="s">
        <v>1772</v>
      </c>
      <c r="N246" s="185" t="s">
        <v>374</v>
      </c>
      <c r="O246" s="185" t="s">
        <v>309</v>
      </c>
      <c r="P246" s="185" t="s">
        <v>826</v>
      </c>
      <c r="Q246" s="185"/>
      <c r="R246" s="185" t="s">
        <v>388</v>
      </c>
      <c r="S246" s="185" t="s">
        <v>295</v>
      </c>
      <c r="T246" s="217" t="s">
        <v>248</v>
      </c>
    </row>
    <row r="247" spans="1:20" outlineLevel="1">
      <c r="A247" s="199" t="s">
        <v>248</v>
      </c>
      <c r="B247" s="181" t="s">
        <v>1575</v>
      </c>
      <c r="C247" s="190">
        <v>43708</v>
      </c>
      <c r="D247" s="181" t="s">
        <v>1821</v>
      </c>
      <c r="E247" s="182" t="s">
        <v>1824</v>
      </c>
      <c r="F247" s="183">
        <v>76937</v>
      </c>
      <c r="G247" s="184">
        <v>7.28</v>
      </c>
      <c r="H247" s="181">
        <v>7.28</v>
      </c>
      <c r="I247" s="181" t="s">
        <v>293</v>
      </c>
      <c r="J247" s="191">
        <v>7.94</v>
      </c>
      <c r="K247" s="191">
        <v>8.89</v>
      </c>
      <c r="L247" s="199" t="s">
        <v>385</v>
      </c>
      <c r="M247" s="211" t="s">
        <v>1772</v>
      </c>
      <c r="N247" s="185" t="s">
        <v>374</v>
      </c>
      <c r="O247" s="185" t="s">
        <v>309</v>
      </c>
      <c r="P247" s="185" t="s">
        <v>826</v>
      </c>
      <c r="Q247" s="185"/>
      <c r="R247" s="185" t="s">
        <v>390</v>
      </c>
      <c r="S247" s="185" t="s">
        <v>295</v>
      </c>
      <c r="T247" s="217" t="s">
        <v>379</v>
      </c>
    </row>
    <row r="248" spans="1:20" outlineLevel="1">
      <c r="A248" s="199" t="s">
        <v>248</v>
      </c>
      <c r="B248" s="181" t="s">
        <v>1575</v>
      </c>
      <c r="C248" s="190">
        <v>43708</v>
      </c>
      <c r="D248" s="181" t="s">
        <v>1821</v>
      </c>
      <c r="E248" s="182" t="s">
        <v>1822</v>
      </c>
      <c r="F248" s="183">
        <v>76935</v>
      </c>
      <c r="G248" s="184">
        <v>48.52</v>
      </c>
      <c r="H248" s="181">
        <v>48.52</v>
      </c>
      <c r="I248" s="181" t="s">
        <v>293</v>
      </c>
      <c r="J248" s="191">
        <v>52.94</v>
      </c>
      <c r="K248" s="191">
        <v>59.28</v>
      </c>
      <c r="L248" s="199" t="s">
        <v>391</v>
      </c>
      <c r="M248" s="211" t="s">
        <v>1777</v>
      </c>
      <c r="N248" s="185" t="s">
        <v>374</v>
      </c>
      <c r="O248" s="185" t="s">
        <v>309</v>
      </c>
      <c r="P248" s="185" t="s">
        <v>826</v>
      </c>
      <c r="Q248" s="185"/>
      <c r="R248" s="185" t="s">
        <v>381</v>
      </c>
      <c r="S248" s="185" t="s">
        <v>295</v>
      </c>
      <c r="T248" s="217" t="s">
        <v>379</v>
      </c>
    </row>
    <row r="249" spans="1:20" outlineLevel="1">
      <c r="A249" s="199" t="s">
        <v>248</v>
      </c>
      <c r="B249" s="181" t="s">
        <v>1575</v>
      </c>
      <c r="C249" s="190">
        <v>43708</v>
      </c>
      <c r="D249" s="181" t="s">
        <v>1821</v>
      </c>
      <c r="E249" s="182" t="s">
        <v>1822</v>
      </c>
      <c r="F249" s="183">
        <v>76935</v>
      </c>
      <c r="G249" s="184">
        <v>57.03</v>
      </c>
      <c r="H249" s="181">
        <v>57.03</v>
      </c>
      <c r="I249" s="181" t="s">
        <v>293</v>
      </c>
      <c r="J249" s="191">
        <v>62.22</v>
      </c>
      <c r="K249" s="191">
        <v>69.680000000000007</v>
      </c>
      <c r="L249" s="199" t="s">
        <v>392</v>
      </c>
      <c r="M249" s="211" t="s">
        <v>1820</v>
      </c>
      <c r="N249" s="185" t="s">
        <v>374</v>
      </c>
      <c r="O249" s="185" t="s">
        <v>309</v>
      </c>
      <c r="P249" s="185" t="s">
        <v>826</v>
      </c>
      <c r="Q249" s="185"/>
      <c r="R249" s="185" t="s">
        <v>381</v>
      </c>
      <c r="S249" s="185" t="s">
        <v>295</v>
      </c>
      <c r="T249" s="217" t="s">
        <v>379</v>
      </c>
    </row>
    <row r="250" spans="1:20" outlineLevel="1">
      <c r="A250" s="199" t="s">
        <v>248</v>
      </c>
      <c r="B250" s="181" t="s">
        <v>1575</v>
      </c>
      <c r="C250" s="190">
        <v>43685</v>
      </c>
      <c r="D250" s="181" t="s">
        <v>1825</v>
      </c>
      <c r="E250" s="182" t="s">
        <v>1826</v>
      </c>
      <c r="F250" s="183">
        <v>76932</v>
      </c>
      <c r="G250" s="184">
        <v>49.11</v>
      </c>
      <c r="H250" s="181">
        <v>60</v>
      </c>
      <c r="I250" s="181" t="s">
        <v>292</v>
      </c>
      <c r="J250" s="191">
        <v>53.58</v>
      </c>
      <c r="K250" s="191">
        <v>60</v>
      </c>
      <c r="L250" s="199" t="s">
        <v>1204</v>
      </c>
      <c r="M250" s="211" t="s">
        <v>1827</v>
      </c>
      <c r="N250" s="185" t="s">
        <v>396</v>
      </c>
      <c r="O250" s="185" t="s">
        <v>309</v>
      </c>
      <c r="P250" s="185"/>
      <c r="Q250" s="185"/>
      <c r="R250" s="185" t="s">
        <v>381</v>
      </c>
      <c r="S250" s="185" t="s">
        <v>295</v>
      </c>
      <c r="T250" s="217" t="s">
        <v>379</v>
      </c>
    </row>
    <row r="251" spans="1:20" outlineLevel="1">
      <c r="A251" s="199" t="s">
        <v>248</v>
      </c>
      <c r="B251" s="181" t="s">
        <v>1567</v>
      </c>
      <c r="C251" s="190">
        <v>43738</v>
      </c>
      <c r="D251" s="181" t="s">
        <v>1828</v>
      </c>
      <c r="E251" s="182" t="s">
        <v>827</v>
      </c>
      <c r="F251" s="183">
        <v>77225</v>
      </c>
      <c r="G251" s="184">
        <v>242.58</v>
      </c>
      <c r="H251" s="181">
        <v>242.58</v>
      </c>
      <c r="I251" s="181" t="s">
        <v>293</v>
      </c>
      <c r="J251" s="191">
        <v>267.95</v>
      </c>
      <c r="K251" s="191">
        <v>295.02</v>
      </c>
      <c r="L251" s="199" t="s">
        <v>385</v>
      </c>
      <c r="M251" s="211" t="s">
        <v>1772</v>
      </c>
      <c r="N251" s="185" t="s">
        <v>374</v>
      </c>
      <c r="O251" s="185" t="s">
        <v>309</v>
      </c>
      <c r="P251" s="185" t="s">
        <v>826</v>
      </c>
      <c r="Q251" s="185"/>
      <c r="R251" s="185" t="s">
        <v>381</v>
      </c>
      <c r="S251" s="185" t="s">
        <v>295</v>
      </c>
      <c r="T251" s="217" t="s">
        <v>379</v>
      </c>
    </row>
    <row r="252" spans="1:20" outlineLevel="1">
      <c r="A252" s="199" t="s">
        <v>248</v>
      </c>
      <c r="B252" s="181" t="s">
        <v>1567</v>
      </c>
      <c r="C252" s="190">
        <v>43738</v>
      </c>
      <c r="D252" s="181" t="s">
        <v>1828</v>
      </c>
      <c r="E252" s="182" t="s">
        <v>1829</v>
      </c>
      <c r="F252" s="183">
        <v>77226</v>
      </c>
      <c r="G252" s="184">
        <v>12.13</v>
      </c>
      <c r="H252" s="181">
        <v>12.13</v>
      </c>
      <c r="I252" s="181" t="s">
        <v>293</v>
      </c>
      <c r="J252" s="191">
        <v>13.4</v>
      </c>
      <c r="K252" s="191">
        <v>14.75</v>
      </c>
      <c r="L252" s="199" t="s">
        <v>385</v>
      </c>
      <c r="M252" s="211" t="s">
        <v>1772</v>
      </c>
      <c r="N252" s="185" t="s">
        <v>374</v>
      </c>
      <c r="O252" s="185" t="s">
        <v>309</v>
      </c>
      <c r="P252" s="185" t="s">
        <v>826</v>
      </c>
      <c r="Q252" s="185"/>
      <c r="R252" s="185" t="s">
        <v>388</v>
      </c>
      <c r="S252" s="185" t="s">
        <v>295</v>
      </c>
      <c r="T252" s="217" t="s">
        <v>248</v>
      </c>
    </row>
    <row r="253" spans="1:20" outlineLevel="1">
      <c r="A253" s="199" t="s">
        <v>248</v>
      </c>
      <c r="B253" s="181" t="s">
        <v>1567</v>
      </c>
      <c r="C253" s="190">
        <v>43738</v>
      </c>
      <c r="D253" s="181" t="s">
        <v>1828</v>
      </c>
      <c r="E253" s="182" t="s">
        <v>1830</v>
      </c>
      <c r="F253" s="183">
        <v>77227</v>
      </c>
      <c r="G253" s="184">
        <v>3.64</v>
      </c>
      <c r="H253" s="181">
        <v>3.64</v>
      </c>
      <c r="I253" s="181" t="s">
        <v>293</v>
      </c>
      <c r="J253" s="191">
        <v>4.0199999999999996</v>
      </c>
      <c r="K253" s="191">
        <v>4.43</v>
      </c>
      <c r="L253" s="199" t="s">
        <v>385</v>
      </c>
      <c r="M253" s="211" t="s">
        <v>1772</v>
      </c>
      <c r="N253" s="185" t="s">
        <v>374</v>
      </c>
      <c r="O253" s="185" t="s">
        <v>309</v>
      </c>
      <c r="P253" s="185" t="s">
        <v>826</v>
      </c>
      <c r="Q253" s="185"/>
      <c r="R253" s="185" t="s">
        <v>390</v>
      </c>
      <c r="S253" s="185" t="s">
        <v>295</v>
      </c>
      <c r="T253" s="217" t="s">
        <v>379</v>
      </c>
    </row>
    <row r="254" spans="1:20" outlineLevel="1">
      <c r="A254" s="199" t="s">
        <v>248</v>
      </c>
      <c r="B254" s="181" t="s">
        <v>1567</v>
      </c>
      <c r="C254" s="190">
        <v>43738</v>
      </c>
      <c r="D254" s="181" t="s">
        <v>1828</v>
      </c>
      <c r="E254" s="182" t="s">
        <v>827</v>
      </c>
      <c r="F254" s="183">
        <v>77225</v>
      </c>
      <c r="G254" s="184">
        <v>24.26</v>
      </c>
      <c r="H254" s="181">
        <v>24.26</v>
      </c>
      <c r="I254" s="181" t="s">
        <v>293</v>
      </c>
      <c r="J254" s="191">
        <v>26.8</v>
      </c>
      <c r="K254" s="191">
        <v>29.5</v>
      </c>
      <c r="L254" s="199" t="s">
        <v>391</v>
      </c>
      <c r="M254" s="211" t="s">
        <v>1777</v>
      </c>
      <c r="N254" s="185" t="s">
        <v>374</v>
      </c>
      <c r="O254" s="185" t="s">
        <v>309</v>
      </c>
      <c r="P254" s="185" t="s">
        <v>826</v>
      </c>
      <c r="Q254" s="185"/>
      <c r="R254" s="185" t="s">
        <v>381</v>
      </c>
      <c r="S254" s="185" t="s">
        <v>295</v>
      </c>
      <c r="T254" s="217" t="s">
        <v>379</v>
      </c>
    </row>
    <row r="255" spans="1:20" outlineLevel="1">
      <c r="A255" s="199" t="s">
        <v>248</v>
      </c>
      <c r="B255" s="181" t="s">
        <v>1567</v>
      </c>
      <c r="C255" s="190">
        <v>43738</v>
      </c>
      <c r="D255" s="181" t="s">
        <v>1828</v>
      </c>
      <c r="E255" s="182" t="s">
        <v>827</v>
      </c>
      <c r="F255" s="183">
        <v>77225</v>
      </c>
      <c r="G255" s="184">
        <v>28.52</v>
      </c>
      <c r="H255" s="181">
        <v>28.52</v>
      </c>
      <c r="I255" s="181" t="s">
        <v>293</v>
      </c>
      <c r="J255" s="191">
        <v>31.5</v>
      </c>
      <c r="K255" s="191">
        <v>34.69</v>
      </c>
      <c r="L255" s="199" t="s">
        <v>392</v>
      </c>
      <c r="M255" s="211" t="s">
        <v>1820</v>
      </c>
      <c r="N255" s="185" t="s">
        <v>374</v>
      </c>
      <c r="O255" s="185" t="s">
        <v>309</v>
      </c>
      <c r="P255" s="185" t="s">
        <v>826</v>
      </c>
      <c r="Q255" s="185"/>
      <c r="R255" s="185" t="s">
        <v>381</v>
      </c>
      <c r="S255" s="185" t="s">
        <v>295</v>
      </c>
      <c r="T255" s="217" t="s">
        <v>379</v>
      </c>
    </row>
    <row r="256" spans="1:20">
      <c r="A256" s="212" t="s">
        <v>378</v>
      </c>
      <c r="B256" s="212"/>
      <c r="C256" s="212"/>
      <c r="D256" s="212"/>
      <c r="E256" s="213"/>
      <c r="F256" s="214"/>
      <c r="G256" s="215">
        <f>SUM(G240:G255)</f>
        <v>1293.6300000000001</v>
      </c>
      <c r="H256" s="216">
        <f>SUM(H240:H255)</f>
        <v>1304.52</v>
      </c>
      <c r="I256" s="212"/>
      <c r="J256" s="216">
        <f>SUM(J240:J255)</f>
        <v>1424.0800000000002</v>
      </c>
      <c r="K256" s="216">
        <f>SUM(K240:K255)</f>
        <v>1593.7700000000002</v>
      </c>
      <c r="L256" s="212"/>
      <c r="M256" s="213"/>
      <c r="N256" s="212"/>
      <c r="O256" s="212"/>
      <c r="P256" s="212"/>
      <c r="Q256" s="212"/>
      <c r="R256" s="212"/>
      <c r="S256" s="212"/>
      <c r="T256" s="212"/>
    </row>
    <row r="257" spans="1:20" outlineLevel="1">
      <c r="A257" s="199" t="s">
        <v>249</v>
      </c>
      <c r="B257" s="181" t="s">
        <v>1566</v>
      </c>
      <c r="C257" s="190">
        <v>43672</v>
      </c>
      <c r="D257" s="181" t="s">
        <v>1831</v>
      </c>
      <c r="E257" s="182" t="s">
        <v>1832</v>
      </c>
      <c r="F257" s="183">
        <v>76652</v>
      </c>
      <c r="G257" s="184">
        <v>175</v>
      </c>
      <c r="H257" s="181">
        <v>222.24</v>
      </c>
      <c r="I257" s="181" t="s">
        <v>292</v>
      </c>
      <c r="J257" s="191">
        <v>195.69</v>
      </c>
      <c r="K257" s="191">
        <v>222.24</v>
      </c>
      <c r="L257" s="199" t="s">
        <v>385</v>
      </c>
      <c r="M257" s="211" t="s">
        <v>1772</v>
      </c>
      <c r="N257" s="185" t="s">
        <v>400</v>
      </c>
      <c r="O257" s="185" t="s">
        <v>309</v>
      </c>
      <c r="P257" s="185" t="s">
        <v>425</v>
      </c>
      <c r="Q257" s="185"/>
      <c r="R257" s="185" t="s">
        <v>381</v>
      </c>
      <c r="S257" s="185" t="s">
        <v>295</v>
      </c>
      <c r="T257" s="217" t="s">
        <v>379</v>
      </c>
    </row>
    <row r="258" spans="1:20" outlineLevel="1">
      <c r="A258" s="199" t="s">
        <v>249</v>
      </c>
      <c r="B258" s="181" t="s">
        <v>1566</v>
      </c>
      <c r="C258" s="190">
        <v>43672</v>
      </c>
      <c r="D258" s="181" t="s">
        <v>1833</v>
      </c>
      <c r="E258" s="182" t="s">
        <v>841</v>
      </c>
      <c r="F258" s="183">
        <v>76652</v>
      </c>
      <c r="G258" s="184">
        <v>24.75</v>
      </c>
      <c r="H258" s="181">
        <v>31.43</v>
      </c>
      <c r="I258" s="181" t="s">
        <v>292</v>
      </c>
      <c r="J258" s="191">
        <v>27.68</v>
      </c>
      <c r="K258" s="191">
        <v>31.43</v>
      </c>
      <c r="L258" s="199" t="s">
        <v>391</v>
      </c>
      <c r="M258" s="211" t="s">
        <v>1777</v>
      </c>
      <c r="N258" s="185" t="s">
        <v>400</v>
      </c>
      <c r="O258" s="185" t="s">
        <v>309</v>
      </c>
      <c r="P258" s="185" t="s">
        <v>425</v>
      </c>
      <c r="Q258" s="185"/>
      <c r="R258" s="185" t="s">
        <v>381</v>
      </c>
      <c r="S258" s="185" t="s">
        <v>295</v>
      </c>
      <c r="T258" s="217" t="s">
        <v>379</v>
      </c>
    </row>
    <row r="259" spans="1:20" outlineLevel="1">
      <c r="A259" s="199" t="s">
        <v>249</v>
      </c>
      <c r="B259" s="181" t="s">
        <v>1566</v>
      </c>
      <c r="C259" s="190">
        <v>43672</v>
      </c>
      <c r="D259" s="181" t="s">
        <v>1834</v>
      </c>
      <c r="E259" s="182" t="s">
        <v>843</v>
      </c>
      <c r="F259" s="183">
        <v>76652</v>
      </c>
      <c r="G259" s="184">
        <v>4.13</v>
      </c>
      <c r="H259" s="181">
        <v>5.24</v>
      </c>
      <c r="I259" s="181" t="s">
        <v>292</v>
      </c>
      <c r="J259" s="191">
        <v>4.6100000000000003</v>
      </c>
      <c r="K259" s="191">
        <v>5.24</v>
      </c>
      <c r="L259" s="199" t="s">
        <v>405</v>
      </c>
      <c r="M259" s="211" t="s">
        <v>1780</v>
      </c>
      <c r="N259" s="185" t="s">
        <v>400</v>
      </c>
      <c r="O259" s="185" t="s">
        <v>309</v>
      </c>
      <c r="P259" s="185" t="s">
        <v>425</v>
      </c>
      <c r="Q259" s="185"/>
      <c r="R259" s="185" t="s">
        <v>381</v>
      </c>
      <c r="S259" s="185" t="s">
        <v>295</v>
      </c>
      <c r="T259" s="217" t="s">
        <v>379</v>
      </c>
    </row>
    <row r="260" spans="1:20" outlineLevel="1">
      <c r="A260" s="199" t="s">
        <v>249</v>
      </c>
      <c r="B260" s="181" t="s">
        <v>1566</v>
      </c>
      <c r="C260" s="190">
        <v>43672</v>
      </c>
      <c r="D260" s="181" t="s">
        <v>1835</v>
      </c>
      <c r="E260" s="182" t="s">
        <v>429</v>
      </c>
      <c r="F260" s="183">
        <v>76652</v>
      </c>
      <c r="G260" s="184">
        <v>0.28000000000000003</v>
      </c>
      <c r="H260" s="181">
        <v>0.35</v>
      </c>
      <c r="I260" s="181" t="s">
        <v>292</v>
      </c>
      <c r="J260" s="191">
        <v>0.31</v>
      </c>
      <c r="K260" s="191">
        <v>0.36</v>
      </c>
      <c r="L260" s="199" t="s">
        <v>405</v>
      </c>
      <c r="M260" s="211" t="s">
        <v>1780</v>
      </c>
      <c r="N260" s="185" t="s">
        <v>400</v>
      </c>
      <c r="O260" s="185" t="s">
        <v>309</v>
      </c>
      <c r="P260" s="185" t="s">
        <v>425</v>
      </c>
      <c r="Q260" s="185"/>
      <c r="R260" s="185" t="s">
        <v>381</v>
      </c>
      <c r="S260" s="185" t="s">
        <v>295</v>
      </c>
      <c r="T260" s="217" t="s">
        <v>379</v>
      </c>
    </row>
    <row r="261" spans="1:20" outlineLevel="1">
      <c r="A261" s="199" t="s">
        <v>249</v>
      </c>
      <c r="B261" s="181" t="s">
        <v>1575</v>
      </c>
      <c r="C261" s="190">
        <v>43703</v>
      </c>
      <c r="D261" s="181" t="s">
        <v>1836</v>
      </c>
      <c r="E261" s="182" t="s">
        <v>1837</v>
      </c>
      <c r="F261" s="183">
        <v>76927</v>
      </c>
      <c r="G261" s="184">
        <v>184.19</v>
      </c>
      <c r="H261" s="181">
        <v>225.04</v>
      </c>
      <c r="I261" s="181" t="s">
        <v>292</v>
      </c>
      <c r="J261" s="191">
        <v>200.96</v>
      </c>
      <c r="K261" s="191">
        <v>225.04</v>
      </c>
      <c r="L261" s="199" t="s">
        <v>385</v>
      </c>
      <c r="M261" s="211" t="s">
        <v>1772</v>
      </c>
      <c r="N261" s="185" t="s">
        <v>400</v>
      </c>
      <c r="O261" s="185" t="s">
        <v>309</v>
      </c>
      <c r="P261" s="185" t="s">
        <v>425</v>
      </c>
      <c r="Q261" s="185"/>
      <c r="R261" s="185" t="s">
        <v>381</v>
      </c>
      <c r="S261" s="185" t="s">
        <v>295</v>
      </c>
      <c r="T261" s="217" t="s">
        <v>379</v>
      </c>
    </row>
    <row r="262" spans="1:20" outlineLevel="1">
      <c r="A262" s="199" t="s">
        <v>249</v>
      </c>
      <c r="B262" s="181" t="s">
        <v>1575</v>
      </c>
      <c r="C262" s="190">
        <v>43703</v>
      </c>
      <c r="D262" s="181" t="s">
        <v>1838</v>
      </c>
      <c r="E262" s="182" t="s">
        <v>1839</v>
      </c>
      <c r="F262" s="183">
        <v>76927</v>
      </c>
      <c r="G262" s="184">
        <v>25.72</v>
      </c>
      <c r="H262" s="181">
        <v>31.43</v>
      </c>
      <c r="I262" s="181" t="s">
        <v>292</v>
      </c>
      <c r="J262" s="191">
        <v>28.07</v>
      </c>
      <c r="K262" s="191">
        <v>31.42</v>
      </c>
      <c r="L262" s="199" t="s">
        <v>391</v>
      </c>
      <c r="M262" s="211" t="s">
        <v>1777</v>
      </c>
      <c r="N262" s="185" t="s">
        <v>400</v>
      </c>
      <c r="O262" s="185" t="s">
        <v>309</v>
      </c>
      <c r="P262" s="185" t="s">
        <v>425</v>
      </c>
      <c r="Q262" s="185"/>
      <c r="R262" s="185" t="s">
        <v>381</v>
      </c>
      <c r="S262" s="185" t="s">
        <v>295</v>
      </c>
      <c r="T262" s="217" t="s">
        <v>379</v>
      </c>
    </row>
    <row r="263" spans="1:20" outlineLevel="1">
      <c r="A263" s="199" t="s">
        <v>249</v>
      </c>
      <c r="B263" s="181" t="s">
        <v>1575</v>
      </c>
      <c r="C263" s="190">
        <v>43703</v>
      </c>
      <c r="D263" s="181" t="s">
        <v>1840</v>
      </c>
      <c r="E263" s="182" t="s">
        <v>1841</v>
      </c>
      <c r="F263" s="183">
        <v>76927</v>
      </c>
      <c r="G263" s="184">
        <v>4.29</v>
      </c>
      <c r="H263" s="181">
        <v>5.24</v>
      </c>
      <c r="I263" s="181" t="s">
        <v>292</v>
      </c>
      <c r="J263" s="191">
        <v>4.68</v>
      </c>
      <c r="K263" s="191">
        <v>5.24</v>
      </c>
      <c r="L263" s="199" t="s">
        <v>405</v>
      </c>
      <c r="M263" s="211" t="s">
        <v>1780</v>
      </c>
      <c r="N263" s="185" t="s">
        <v>400</v>
      </c>
      <c r="O263" s="185" t="s">
        <v>309</v>
      </c>
      <c r="P263" s="185" t="s">
        <v>425</v>
      </c>
      <c r="Q263" s="185"/>
      <c r="R263" s="185" t="s">
        <v>381</v>
      </c>
      <c r="S263" s="185" t="s">
        <v>295</v>
      </c>
      <c r="T263" s="217" t="s">
        <v>379</v>
      </c>
    </row>
    <row r="264" spans="1:20" outlineLevel="1">
      <c r="A264" s="199" t="s">
        <v>249</v>
      </c>
      <c r="B264" s="181" t="s">
        <v>1575</v>
      </c>
      <c r="C264" s="190">
        <v>43704</v>
      </c>
      <c r="D264" s="181" t="s">
        <v>1842</v>
      </c>
      <c r="E264" s="182" t="s">
        <v>1843</v>
      </c>
      <c r="F264" s="183">
        <v>76927</v>
      </c>
      <c r="G264" s="184">
        <v>0.28999999999999998</v>
      </c>
      <c r="H264" s="181">
        <v>0.35</v>
      </c>
      <c r="I264" s="181" t="s">
        <v>292</v>
      </c>
      <c r="J264" s="191">
        <v>0.31</v>
      </c>
      <c r="K264" s="191">
        <v>0.35</v>
      </c>
      <c r="L264" s="199" t="s">
        <v>405</v>
      </c>
      <c r="M264" s="211" t="s">
        <v>1780</v>
      </c>
      <c r="N264" s="185" t="s">
        <v>400</v>
      </c>
      <c r="O264" s="185" t="s">
        <v>309</v>
      </c>
      <c r="P264" s="185" t="s">
        <v>425</v>
      </c>
      <c r="Q264" s="185"/>
      <c r="R264" s="185" t="s">
        <v>381</v>
      </c>
      <c r="S264" s="185" t="s">
        <v>295</v>
      </c>
      <c r="T264" s="217" t="s">
        <v>379</v>
      </c>
    </row>
    <row r="265" spans="1:20" outlineLevel="1">
      <c r="A265" s="199" t="s">
        <v>249</v>
      </c>
      <c r="B265" s="181" t="s">
        <v>1567</v>
      </c>
      <c r="C265" s="190">
        <v>43733</v>
      </c>
      <c r="D265" s="181" t="s">
        <v>1844</v>
      </c>
      <c r="E265" s="182" t="s">
        <v>839</v>
      </c>
      <c r="F265" s="183">
        <v>77220</v>
      </c>
      <c r="G265" s="184">
        <v>185.27</v>
      </c>
      <c r="H265" s="181">
        <v>225.32</v>
      </c>
      <c r="I265" s="181" t="s">
        <v>292</v>
      </c>
      <c r="J265" s="191">
        <v>204.65</v>
      </c>
      <c r="K265" s="191">
        <v>225.32</v>
      </c>
      <c r="L265" s="199" t="s">
        <v>385</v>
      </c>
      <c r="M265" s="211" t="s">
        <v>1772</v>
      </c>
      <c r="N265" s="185" t="s">
        <v>400</v>
      </c>
      <c r="O265" s="185" t="s">
        <v>309</v>
      </c>
      <c r="P265" s="185" t="s">
        <v>425</v>
      </c>
      <c r="Q265" s="185"/>
      <c r="R265" s="185" t="s">
        <v>381</v>
      </c>
      <c r="S265" s="185" t="s">
        <v>295</v>
      </c>
      <c r="T265" s="217" t="s">
        <v>379</v>
      </c>
    </row>
    <row r="266" spans="1:20" outlineLevel="1">
      <c r="A266" s="199" t="s">
        <v>249</v>
      </c>
      <c r="B266" s="181" t="s">
        <v>1567</v>
      </c>
      <c r="C266" s="190">
        <v>43734</v>
      </c>
      <c r="D266" s="181" t="s">
        <v>1845</v>
      </c>
      <c r="E266" s="182" t="s">
        <v>1846</v>
      </c>
      <c r="F266" s="183">
        <v>77220</v>
      </c>
      <c r="G266" s="184">
        <v>25.84</v>
      </c>
      <c r="H266" s="181">
        <v>31.43</v>
      </c>
      <c r="I266" s="181" t="s">
        <v>292</v>
      </c>
      <c r="J266" s="191">
        <v>28.55</v>
      </c>
      <c r="K266" s="191">
        <v>31.43</v>
      </c>
      <c r="L266" s="199" t="s">
        <v>391</v>
      </c>
      <c r="M266" s="211" t="s">
        <v>1777</v>
      </c>
      <c r="N266" s="185" t="s">
        <v>400</v>
      </c>
      <c r="O266" s="185" t="s">
        <v>309</v>
      </c>
      <c r="P266" s="185" t="s">
        <v>425</v>
      </c>
      <c r="Q266" s="185"/>
      <c r="R266" s="185" t="s">
        <v>381</v>
      </c>
      <c r="S266" s="185" t="s">
        <v>295</v>
      </c>
      <c r="T266" s="217" t="s">
        <v>379</v>
      </c>
    </row>
    <row r="267" spans="1:20" outlineLevel="1">
      <c r="A267" s="199" t="s">
        <v>249</v>
      </c>
      <c r="B267" s="181" t="s">
        <v>1567</v>
      </c>
      <c r="C267" s="190">
        <v>43734</v>
      </c>
      <c r="D267" s="181" t="s">
        <v>1604</v>
      </c>
      <c r="E267" s="182" t="s">
        <v>1847</v>
      </c>
      <c r="F267" s="183">
        <v>77220</v>
      </c>
      <c r="G267" s="184">
        <v>0.28999999999999998</v>
      </c>
      <c r="H267" s="181">
        <v>0.35</v>
      </c>
      <c r="I267" s="181" t="s">
        <v>292</v>
      </c>
      <c r="J267" s="191">
        <v>0.32</v>
      </c>
      <c r="K267" s="191">
        <v>0.35</v>
      </c>
      <c r="L267" s="199" t="s">
        <v>405</v>
      </c>
      <c r="M267" s="211" t="s">
        <v>1780</v>
      </c>
      <c r="N267" s="185" t="s">
        <v>400</v>
      </c>
      <c r="O267" s="185" t="s">
        <v>309</v>
      </c>
      <c r="P267" s="185" t="s">
        <v>425</v>
      </c>
      <c r="Q267" s="185"/>
      <c r="R267" s="185" t="s">
        <v>381</v>
      </c>
      <c r="S267" s="185" t="s">
        <v>295</v>
      </c>
      <c r="T267" s="217" t="s">
        <v>379</v>
      </c>
    </row>
    <row r="268" spans="1:20" outlineLevel="1">
      <c r="A268" s="199" t="s">
        <v>249</v>
      </c>
      <c r="B268" s="181" t="s">
        <v>1567</v>
      </c>
      <c r="C268" s="190">
        <v>43734</v>
      </c>
      <c r="D268" s="181" t="s">
        <v>1848</v>
      </c>
      <c r="E268" s="182" t="s">
        <v>1849</v>
      </c>
      <c r="F268" s="183">
        <v>77220</v>
      </c>
      <c r="G268" s="184">
        <v>4.3099999999999996</v>
      </c>
      <c r="H268" s="181">
        <v>5.24</v>
      </c>
      <c r="I268" s="181" t="s">
        <v>292</v>
      </c>
      <c r="J268" s="191">
        <v>4.76</v>
      </c>
      <c r="K268" s="191">
        <v>5.24</v>
      </c>
      <c r="L268" s="199" t="s">
        <v>405</v>
      </c>
      <c r="M268" s="211" t="s">
        <v>1780</v>
      </c>
      <c r="N268" s="185" t="s">
        <v>400</v>
      </c>
      <c r="O268" s="185" t="s">
        <v>309</v>
      </c>
      <c r="P268" s="185" t="s">
        <v>425</v>
      </c>
      <c r="Q268" s="185"/>
      <c r="R268" s="185" t="s">
        <v>381</v>
      </c>
      <c r="S268" s="185" t="s">
        <v>295</v>
      </c>
      <c r="T268" s="217" t="s">
        <v>379</v>
      </c>
    </row>
    <row r="269" spans="1:20">
      <c r="A269" s="212" t="s">
        <v>378</v>
      </c>
      <c r="B269" s="212"/>
      <c r="C269" s="212"/>
      <c r="D269" s="212"/>
      <c r="E269" s="213"/>
      <c r="F269" s="214"/>
      <c r="G269" s="215">
        <f>SUM(G257:G268)</f>
        <v>634.36</v>
      </c>
      <c r="H269" s="216">
        <f>SUM(H257:H268)</f>
        <v>783.66000000000008</v>
      </c>
      <c r="I269" s="212"/>
      <c r="J269" s="216">
        <f>SUM(J257:J268)</f>
        <v>700.59</v>
      </c>
      <c r="K269" s="216">
        <f>SUM(K257:K268)</f>
        <v>783.66000000000008</v>
      </c>
      <c r="L269" s="212"/>
      <c r="M269" s="213"/>
      <c r="N269" s="212"/>
      <c r="O269" s="212"/>
      <c r="P269" s="212"/>
      <c r="Q269" s="212"/>
      <c r="R269" s="212"/>
      <c r="S269" s="212"/>
      <c r="T269" s="212"/>
    </row>
    <row r="270" spans="1:20" outlineLevel="1">
      <c r="A270" s="199" t="s">
        <v>251</v>
      </c>
      <c r="B270" s="181" t="s">
        <v>1566</v>
      </c>
      <c r="C270" s="190">
        <v>43677</v>
      </c>
      <c r="D270" s="181" t="s">
        <v>1817</v>
      </c>
      <c r="E270" s="182" t="s">
        <v>1819</v>
      </c>
      <c r="F270" s="183">
        <v>76669</v>
      </c>
      <c r="G270" s="184">
        <v>12.76</v>
      </c>
      <c r="H270" s="181">
        <v>12.76</v>
      </c>
      <c r="I270" s="181" t="s">
        <v>293</v>
      </c>
      <c r="J270" s="191">
        <v>14.27</v>
      </c>
      <c r="K270" s="191">
        <v>16.2</v>
      </c>
      <c r="L270" s="199" t="s">
        <v>385</v>
      </c>
      <c r="M270" s="211" t="s">
        <v>1772</v>
      </c>
      <c r="N270" s="185" t="s">
        <v>374</v>
      </c>
      <c r="O270" s="185" t="s">
        <v>309</v>
      </c>
      <c r="P270" s="185" t="s">
        <v>445</v>
      </c>
      <c r="Q270" s="185"/>
      <c r="R270" s="185" t="s">
        <v>390</v>
      </c>
      <c r="S270" s="185" t="s">
        <v>295</v>
      </c>
      <c r="T270" s="217" t="s">
        <v>218</v>
      </c>
    </row>
    <row r="271" spans="1:20" outlineLevel="1">
      <c r="A271" s="199" t="s">
        <v>251</v>
      </c>
      <c r="B271" s="181" t="s">
        <v>1566</v>
      </c>
      <c r="C271" s="190">
        <v>43677</v>
      </c>
      <c r="D271" s="181" t="s">
        <v>1817</v>
      </c>
      <c r="E271" s="182" t="s">
        <v>1818</v>
      </c>
      <c r="F271" s="183">
        <v>76668</v>
      </c>
      <c r="G271" s="184">
        <v>42.52</v>
      </c>
      <c r="H271" s="181">
        <v>42.52</v>
      </c>
      <c r="I271" s="181" t="s">
        <v>293</v>
      </c>
      <c r="J271" s="191">
        <v>47.55</v>
      </c>
      <c r="K271" s="191">
        <v>54</v>
      </c>
      <c r="L271" s="199" t="s">
        <v>385</v>
      </c>
      <c r="M271" s="211" t="s">
        <v>1772</v>
      </c>
      <c r="N271" s="185" t="s">
        <v>374</v>
      </c>
      <c r="O271" s="185" t="s">
        <v>309</v>
      </c>
      <c r="P271" s="185" t="s">
        <v>445</v>
      </c>
      <c r="Q271" s="185"/>
      <c r="R271" s="185" t="s">
        <v>388</v>
      </c>
      <c r="S271" s="185" t="s">
        <v>295</v>
      </c>
      <c r="T271" s="217" t="s">
        <v>251</v>
      </c>
    </row>
    <row r="272" spans="1:20" outlineLevel="1">
      <c r="A272" s="199" t="s">
        <v>251</v>
      </c>
      <c r="B272" s="181" t="s">
        <v>1566</v>
      </c>
      <c r="C272" s="190">
        <v>43677</v>
      </c>
      <c r="D272" s="181" t="s">
        <v>1817</v>
      </c>
      <c r="E272" s="182" t="s">
        <v>1850</v>
      </c>
      <c r="F272" s="183">
        <v>76667</v>
      </c>
      <c r="G272" s="184">
        <v>850.35</v>
      </c>
      <c r="H272" s="181">
        <v>850.35</v>
      </c>
      <c r="I272" s="181" t="s">
        <v>293</v>
      </c>
      <c r="J272" s="191">
        <v>950.88</v>
      </c>
      <c r="K272" s="191">
        <v>1079.8800000000001</v>
      </c>
      <c r="L272" s="199" t="s">
        <v>385</v>
      </c>
      <c r="M272" s="211" t="s">
        <v>1772</v>
      </c>
      <c r="N272" s="185" t="s">
        <v>374</v>
      </c>
      <c r="O272" s="185" t="s">
        <v>309</v>
      </c>
      <c r="P272" s="185" t="s">
        <v>445</v>
      </c>
      <c r="Q272" s="185"/>
      <c r="R272" s="185" t="s">
        <v>381</v>
      </c>
      <c r="S272" s="185" t="s">
        <v>295</v>
      </c>
      <c r="T272" s="217" t="s">
        <v>218</v>
      </c>
    </row>
    <row r="273" spans="1:20" outlineLevel="1">
      <c r="A273" s="199" t="s">
        <v>251</v>
      </c>
      <c r="B273" s="181" t="s">
        <v>1566</v>
      </c>
      <c r="C273" s="190">
        <v>43677</v>
      </c>
      <c r="D273" s="181" t="s">
        <v>1817</v>
      </c>
      <c r="E273" s="182" t="s">
        <v>1850</v>
      </c>
      <c r="F273" s="183">
        <v>76667</v>
      </c>
      <c r="G273" s="184">
        <v>85.04</v>
      </c>
      <c r="H273" s="181">
        <v>85.04</v>
      </c>
      <c r="I273" s="181" t="s">
        <v>293</v>
      </c>
      <c r="J273" s="191">
        <v>95.09</v>
      </c>
      <c r="K273" s="191">
        <v>107.99</v>
      </c>
      <c r="L273" s="199" t="s">
        <v>391</v>
      </c>
      <c r="M273" s="211" t="s">
        <v>1777</v>
      </c>
      <c r="N273" s="185" t="s">
        <v>374</v>
      </c>
      <c r="O273" s="185" t="s">
        <v>309</v>
      </c>
      <c r="P273" s="185" t="s">
        <v>445</v>
      </c>
      <c r="Q273" s="185"/>
      <c r="R273" s="185" t="s">
        <v>381</v>
      </c>
      <c r="S273" s="185" t="s">
        <v>295</v>
      </c>
      <c r="T273" s="217" t="s">
        <v>218</v>
      </c>
    </row>
    <row r="274" spans="1:20" outlineLevel="1">
      <c r="A274" s="199" t="s">
        <v>251</v>
      </c>
      <c r="B274" s="181" t="s">
        <v>1575</v>
      </c>
      <c r="C274" s="190">
        <v>43708</v>
      </c>
      <c r="D274" s="181" t="s">
        <v>1821</v>
      </c>
      <c r="E274" s="182" t="s">
        <v>1824</v>
      </c>
      <c r="F274" s="183">
        <v>76937</v>
      </c>
      <c r="G274" s="184">
        <v>8.86</v>
      </c>
      <c r="H274" s="181">
        <v>8.86</v>
      </c>
      <c r="I274" s="181" t="s">
        <v>293</v>
      </c>
      <c r="J274" s="191">
        <v>9.67</v>
      </c>
      <c r="K274" s="191">
        <v>10.83</v>
      </c>
      <c r="L274" s="199" t="s">
        <v>385</v>
      </c>
      <c r="M274" s="211" t="s">
        <v>1772</v>
      </c>
      <c r="N274" s="185" t="s">
        <v>374</v>
      </c>
      <c r="O274" s="185" t="s">
        <v>309</v>
      </c>
      <c r="P274" s="185" t="s">
        <v>445</v>
      </c>
      <c r="Q274" s="185"/>
      <c r="R274" s="185" t="s">
        <v>390</v>
      </c>
      <c r="S274" s="185" t="s">
        <v>295</v>
      </c>
      <c r="T274" s="217" t="s">
        <v>218</v>
      </c>
    </row>
    <row r="275" spans="1:20" outlineLevel="1">
      <c r="A275" s="199" t="s">
        <v>251</v>
      </c>
      <c r="B275" s="181" t="s">
        <v>1575</v>
      </c>
      <c r="C275" s="190">
        <v>43708</v>
      </c>
      <c r="D275" s="181" t="s">
        <v>1821</v>
      </c>
      <c r="E275" s="182" t="s">
        <v>1823</v>
      </c>
      <c r="F275" s="183">
        <v>76936</v>
      </c>
      <c r="G275" s="184">
        <v>29.54</v>
      </c>
      <c r="H275" s="181">
        <v>29.54</v>
      </c>
      <c r="I275" s="181" t="s">
        <v>293</v>
      </c>
      <c r="J275" s="191">
        <v>32.229999999999997</v>
      </c>
      <c r="K275" s="191">
        <v>36.090000000000003</v>
      </c>
      <c r="L275" s="199" t="s">
        <v>385</v>
      </c>
      <c r="M275" s="211" t="s">
        <v>1772</v>
      </c>
      <c r="N275" s="185" t="s">
        <v>374</v>
      </c>
      <c r="O275" s="185" t="s">
        <v>309</v>
      </c>
      <c r="P275" s="185" t="s">
        <v>445</v>
      </c>
      <c r="Q275" s="185"/>
      <c r="R275" s="185" t="s">
        <v>388</v>
      </c>
      <c r="S275" s="185" t="s">
        <v>295</v>
      </c>
      <c r="T275" s="217" t="s">
        <v>251</v>
      </c>
    </row>
    <row r="276" spans="1:20" outlineLevel="1">
      <c r="A276" s="199" t="s">
        <v>251</v>
      </c>
      <c r="B276" s="181" t="s">
        <v>1575</v>
      </c>
      <c r="C276" s="190">
        <v>43708</v>
      </c>
      <c r="D276" s="181" t="s">
        <v>1821</v>
      </c>
      <c r="E276" s="182" t="s">
        <v>1850</v>
      </c>
      <c r="F276" s="183">
        <v>76935</v>
      </c>
      <c r="G276" s="184">
        <v>590.78</v>
      </c>
      <c r="H276" s="181">
        <v>590.78</v>
      </c>
      <c r="I276" s="181" t="s">
        <v>293</v>
      </c>
      <c r="J276" s="191">
        <v>644.58000000000004</v>
      </c>
      <c r="K276" s="191">
        <v>721.81</v>
      </c>
      <c r="L276" s="199" t="s">
        <v>385</v>
      </c>
      <c r="M276" s="211" t="s">
        <v>1772</v>
      </c>
      <c r="N276" s="185" t="s">
        <v>374</v>
      </c>
      <c r="O276" s="185" t="s">
        <v>309</v>
      </c>
      <c r="P276" s="185" t="s">
        <v>445</v>
      </c>
      <c r="Q276" s="185"/>
      <c r="R276" s="185" t="s">
        <v>381</v>
      </c>
      <c r="S276" s="185" t="s">
        <v>295</v>
      </c>
      <c r="T276" s="217" t="s">
        <v>218</v>
      </c>
    </row>
    <row r="277" spans="1:20" outlineLevel="1">
      <c r="A277" s="199" t="s">
        <v>251</v>
      </c>
      <c r="B277" s="181" t="s">
        <v>1575</v>
      </c>
      <c r="C277" s="190">
        <v>43708</v>
      </c>
      <c r="D277" s="181" t="s">
        <v>1821</v>
      </c>
      <c r="E277" s="182" t="s">
        <v>1850</v>
      </c>
      <c r="F277" s="183">
        <v>76935</v>
      </c>
      <c r="G277" s="184">
        <v>59.08</v>
      </c>
      <c r="H277" s="181">
        <v>59.08</v>
      </c>
      <c r="I277" s="181" t="s">
        <v>293</v>
      </c>
      <c r="J277" s="191">
        <v>64.459999999999994</v>
      </c>
      <c r="K277" s="191">
        <v>72.180000000000007</v>
      </c>
      <c r="L277" s="199" t="s">
        <v>391</v>
      </c>
      <c r="M277" s="211" t="s">
        <v>1777</v>
      </c>
      <c r="N277" s="185" t="s">
        <v>374</v>
      </c>
      <c r="O277" s="185" t="s">
        <v>309</v>
      </c>
      <c r="P277" s="185" t="s">
        <v>445</v>
      </c>
      <c r="Q277" s="185"/>
      <c r="R277" s="185" t="s">
        <v>381</v>
      </c>
      <c r="S277" s="185" t="s">
        <v>295</v>
      </c>
      <c r="T277" s="217" t="s">
        <v>218</v>
      </c>
    </row>
    <row r="278" spans="1:20" outlineLevel="1">
      <c r="A278" s="199" t="s">
        <v>251</v>
      </c>
      <c r="B278" s="181" t="s">
        <v>1567</v>
      </c>
      <c r="C278" s="190">
        <v>43738</v>
      </c>
      <c r="D278" s="181" t="s">
        <v>1828</v>
      </c>
      <c r="E278" s="182" t="s">
        <v>1830</v>
      </c>
      <c r="F278" s="183">
        <v>77227</v>
      </c>
      <c r="G278" s="184">
        <v>5.91</v>
      </c>
      <c r="H278" s="181">
        <v>5.91</v>
      </c>
      <c r="I278" s="181" t="s">
        <v>293</v>
      </c>
      <c r="J278" s="191">
        <v>6.53</v>
      </c>
      <c r="K278" s="191">
        <v>7.19</v>
      </c>
      <c r="L278" s="199" t="s">
        <v>385</v>
      </c>
      <c r="M278" s="211" t="s">
        <v>1772</v>
      </c>
      <c r="N278" s="185" t="s">
        <v>374</v>
      </c>
      <c r="O278" s="185" t="s">
        <v>309</v>
      </c>
      <c r="P278" s="185" t="s">
        <v>445</v>
      </c>
      <c r="Q278" s="185"/>
      <c r="R278" s="185" t="s">
        <v>390</v>
      </c>
      <c r="S278" s="185" t="s">
        <v>295</v>
      </c>
      <c r="T278" s="217" t="s">
        <v>218</v>
      </c>
    </row>
    <row r="279" spans="1:20" outlineLevel="1">
      <c r="A279" s="199" t="s">
        <v>251</v>
      </c>
      <c r="B279" s="181" t="s">
        <v>1567</v>
      </c>
      <c r="C279" s="190">
        <v>43738</v>
      </c>
      <c r="D279" s="181" t="s">
        <v>1828</v>
      </c>
      <c r="E279" s="182" t="s">
        <v>1829</v>
      </c>
      <c r="F279" s="183">
        <v>77226</v>
      </c>
      <c r="G279" s="184">
        <v>19.690000000000001</v>
      </c>
      <c r="H279" s="181">
        <v>19.690000000000001</v>
      </c>
      <c r="I279" s="181" t="s">
        <v>293</v>
      </c>
      <c r="J279" s="191">
        <v>21.75</v>
      </c>
      <c r="K279" s="191">
        <v>23.95</v>
      </c>
      <c r="L279" s="199" t="s">
        <v>385</v>
      </c>
      <c r="M279" s="211" t="s">
        <v>1772</v>
      </c>
      <c r="N279" s="185" t="s">
        <v>374</v>
      </c>
      <c r="O279" s="185" t="s">
        <v>309</v>
      </c>
      <c r="P279" s="185" t="s">
        <v>445</v>
      </c>
      <c r="Q279" s="185"/>
      <c r="R279" s="185" t="s">
        <v>388</v>
      </c>
      <c r="S279" s="185" t="s">
        <v>295</v>
      </c>
      <c r="T279" s="217" t="s">
        <v>251</v>
      </c>
    </row>
    <row r="280" spans="1:20" outlineLevel="1">
      <c r="A280" s="199" t="s">
        <v>251</v>
      </c>
      <c r="B280" s="181" t="s">
        <v>1567</v>
      </c>
      <c r="C280" s="190">
        <v>43738</v>
      </c>
      <c r="D280" s="181" t="s">
        <v>1828</v>
      </c>
      <c r="E280" s="182" t="s">
        <v>846</v>
      </c>
      <c r="F280" s="183">
        <v>77225</v>
      </c>
      <c r="G280" s="184">
        <v>393.85</v>
      </c>
      <c r="H280" s="181">
        <v>393.85</v>
      </c>
      <c r="I280" s="181" t="s">
        <v>293</v>
      </c>
      <c r="J280" s="191">
        <v>435.04</v>
      </c>
      <c r="K280" s="191">
        <v>478.99</v>
      </c>
      <c r="L280" s="199" t="s">
        <v>385</v>
      </c>
      <c r="M280" s="211" t="s">
        <v>1772</v>
      </c>
      <c r="N280" s="185" t="s">
        <v>374</v>
      </c>
      <c r="O280" s="185" t="s">
        <v>309</v>
      </c>
      <c r="P280" s="185" t="s">
        <v>445</v>
      </c>
      <c r="Q280" s="185"/>
      <c r="R280" s="185" t="s">
        <v>381</v>
      </c>
      <c r="S280" s="185" t="s">
        <v>295</v>
      </c>
      <c r="T280" s="217" t="s">
        <v>218</v>
      </c>
    </row>
    <row r="281" spans="1:20" outlineLevel="1">
      <c r="A281" s="199" t="s">
        <v>251</v>
      </c>
      <c r="B281" s="181" t="s">
        <v>1567</v>
      </c>
      <c r="C281" s="190">
        <v>43738</v>
      </c>
      <c r="D281" s="181" t="s">
        <v>1828</v>
      </c>
      <c r="E281" s="182" t="s">
        <v>846</v>
      </c>
      <c r="F281" s="183">
        <v>77225</v>
      </c>
      <c r="G281" s="184">
        <v>39.39</v>
      </c>
      <c r="H281" s="181">
        <v>39.39</v>
      </c>
      <c r="I281" s="181" t="s">
        <v>293</v>
      </c>
      <c r="J281" s="191">
        <v>43.51</v>
      </c>
      <c r="K281" s="191">
        <v>47.91</v>
      </c>
      <c r="L281" s="199" t="s">
        <v>391</v>
      </c>
      <c r="M281" s="211" t="s">
        <v>1777</v>
      </c>
      <c r="N281" s="185" t="s">
        <v>374</v>
      </c>
      <c r="O281" s="185" t="s">
        <v>309</v>
      </c>
      <c r="P281" s="185" t="s">
        <v>445</v>
      </c>
      <c r="Q281" s="185"/>
      <c r="R281" s="185" t="s">
        <v>381</v>
      </c>
      <c r="S281" s="185" t="s">
        <v>295</v>
      </c>
      <c r="T281" s="217" t="s">
        <v>218</v>
      </c>
    </row>
    <row r="282" spans="1:20">
      <c r="A282" s="212" t="s">
        <v>378</v>
      </c>
      <c r="B282" s="212"/>
      <c r="C282" s="212"/>
      <c r="D282" s="212"/>
      <c r="E282" s="213"/>
      <c r="F282" s="214"/>
      <c r="G282" s="215">
        <f>SUM(G270:G281)</f>
        <v>2137.77</v>
      </c>
      <c r="H282" s="216">
        <f>SUM(H270:H281)</f>
        <v>2137.77</v>
      </c>
      <c r="I282" s="212"/>
      <c r="J282" s="216">
        <f>SUM(J270:J281)</f>
        <v>2365.5600000000004</v>
      </c>
      <c r="K282" s="216">
        <f>SUM(K270:K281)</f>
        <v>2657.0199999999995</v>
      </c>
      <c r="L282" s="212"/>
      <c r="M282" s="213"/>
      <c r="N282" s="212"/>
      <c r="O282" s="212"/>
      <c r="P282" s="212"/>
      <c r="Q282" s="212"/>
      <c r="R282" s="212"/>
      <c r="S282" s="212"/>
      <c r="T282" s="212"/>
    </row>
    <row r="283" spans="1:20" outlineLevel="1">
      <c r="A283" s="199" t="s">
        <v>254</v>
      </c>
      <c r="B283" s="181" t="s">
        <v>1566</v>
      </c>
      <c r="C283" s="190">
        <v>43672</v>
      </c>
      <c r="D283" s="181" t="s">
        <v>1831</v>
      </c>
      <c r="E283" s="182" t="s">
        <v>1851</v>
      </c>
      <c r="F283" s="183">
        <v>76652</v>
      </c>
      <c r="G283" s="184">
        <v>496.12</v>
      </c>
      <c r="H283" s="181">
        <v>630.04</v>
      </c>
      <c r="I283" s="181" t="s">
        <v>292</v>
      </c>
      <c r="J283" s="191">
        <v>554.77</v>
      </c>
      <c r="K283" s="191">
        <v>630.04</v>
      </c>
      <c r="L283" s="199" t="s">
        <v>385</v>
      </c>
      <c r="M283" s="211" t="s">
        <v>1772</v>
      </c>
      <c r="N283" s="185" t="s">
        <v>400</v>
      </c>
      <c r="O283" s="185" t="s">
        <v>309</v>
      </c>
      <c r="P283" s="185" t="s">
        <v>466</v>
      </c>
      <c r="Q283" s="185"/>
      <c r="R283" s="185" t="s">
        <v>381</v>
      </c>
      <c r="S283" s="185" t="s">
        <v>295</v>
      </c>
      <c r="T283" s="217" t="s">
        <v>379</v>
      </c>
    </row>
    <row r="284" spans="1:20" outlineLevel="1">
      <c r="A284" s="199" t="s">
        <v>254</v>
      </c>
      <c r="B284" s="181" t="s">
        <v>1566</v>
      </c>
      <c r="C284" s="190">
        <v>43677</v>
      </c>
      <c r="D284" s="181" t="s">
        <v>1817</v>
      </c>
      <c r="E284" s="182" t="s">
        <v>878</v>
      </c>
      <c r="F284" s="183">
        <v>76667</v>
      </c>
      <c r="G284" s="184">
        <v>348.66</v>
      </c>
      <c r="H284" s="181">
        <v>348.66</v>
      </c>
      <c r="I284" s="181" t="s">
        <v>293</v>
      </c>
      <c r="J284" s="191">
        <v>389.88</v>
      </c>
      <c r="K284" s="191">
        <v>442.77</v>
      </c>
      <c r="L284" s="199" t="s">
        <v>385</v>
      </c>
      <c r="M284" s="211" t="s">
        <v>1772</v>
      </c>
      <c r="N284" s="185" t="s">
        <v>374</v>
      </c>
      <c r="O284" s="185" t="s">
        <v>309</v>
      </c>
      <c r="P284" s="185" t="s">
        <v>469</v>
      </c>
      <c r="Q284" s="185"/>
      <c r="R284" s="185" t="s">
        <v>381</v>
      </c>
      <c r="S284" s="185" t="s">
        <v>295</v>
      </c>
      <c r="T284" s="217" t="s">
        <v>379</v>
      </c>
    </row>
    <row r="285" spans="1:20" outlineLevel="1">
      <c r="A285" s="199" t="s">
        <v>254</v>
      </c>
      <c r="B285" s="181" t="s">
        <v>1566</v>
      </c>
      <c r="C285" s="190">
        <v>43677</v>
      </c>
      <c r="D285" s="181" t="s">
        <v>1817</v>
      </c>
      <c r="E285" s="182" t="s">
        <v>1818</v>
      </c>
      <c r="F285" s="183">
        <v>76668</v>
      </c>
      <c r="G285" s="184">
        <v>17.43</v>
      </c>
      <c r="H285" s="181">
        <v>17.43</v>
      </c>
      <c r="I285" s="181" t="s">
        <v>293</v>
      </c>
      <c r="J285" s="191">
        <v>19.489999999999998</v>
      </c>
      <c r="K285" s="191">
        <v>22.13</v>
      </c>
      <c r="L285" s="199" t="s">
        <v>385</v>
      </c>
      <c r="M285" s="211" t="s">
        <v>1772</v>
      </c>
      <c r="N285" s="185" t="s">
        <v>374</v>
      </c>
      <c r="O285" s="185" t="s">
        <v>309</v>
      </c>
      <c r="P285" s="185" t="s">
        <v>469</v>
      </c>
      <c r="Q285" s="185"/>
      <c r="R285" s="185" t="s">
        <v>388</v>
      </c>
      <c r="S285" s="185" t="s">
        <v>295</v>
      </c>
      <c r="T285" s="217" t="s">
        <v>254</v>
      </c>
    </row>
    <row r="286" spans="1:20" outlineLevel="1">
      <c r="A286" s="199" t="s">
        <v>254</v>
      </c>
      <c r="B286" s="181" t="s">
        <v>1566</v>
      </c>
      <c r="C286" s="190">
        <v>43677</v>
      </c>
      <c r="D286" s="181" t="s">
        <v>1817</v>
      </c>
      <c r="E286" s="182" t="s">
        <v>1819</v>
      </c>
      <c r="F286" s="183">
        <v>76669</v>
      </c>
      <c r="G286" s="184">
        <v>5.23</v>
      </c>
      <c r="H286" s="181">
        <v>5.23</v>
      </c>
      <c r="I286" s="181" t="s">
        <v>293</v>
      </c>
      <c r="J286" s="191">
        <v>5.85</v>
      </c>
      <c r="K286" s="191">
        <v>6.64</v>
      </c>
      <c r="L286" s="199" t="s">
        <v>385</v>
      </c>
      <c r="M286" s="211" t="s">
        <v>1772</v>
      </c>
      <c r="N286" s="185" t="s">
        <v>374</v>
      </c>
      <c r="O286" s="185" t="s">
        <v>309</v>
      </c>
      <c r="P286" s="185" t="s">
        <v>469</v>
      </c>
      <c r="Q286" s="185"/>
      <c r="R286" s="185" t="s">
        <v>390</v>
      </c>
      <c r="S286" s="185" t="s">
        <v>295</v>
      </c>
      <c r="T286" s="217" t="s">
        <v>379</v>
      </c>
    </row>
    <row r="287" spans="1:20" outlineLevel="1">
      <c r="A287" s="199" t="s">
        <v>254</v>
      </c>
      <c r="B287" s="181" t="s">
        <v>1566</v>
      </c>
      <c r="C287" s="190">
        <v>43671</v>
      </c>
      <c r="D287" s="181" t="s">
        <v>1773</v>
      </c>
      <c r="E287" s="182" t="s">
        <v>1852</v>
      </c>
      <c r="F287" s="183">
        <v>76665</v>
      </c>
      <c r="G287" s="184">
        <v>32.44</v>
      </c>
      <c r="H287" s="181">
        <v>41.2</v>
      </c>
      <c r="I287" s="181" t="s">
        <v>292</v>
      </c>
      <c r="J287" s="191">
        <v>36.28</v>
      </c>
      <c r="K287" s="191">
        <v>41.2</v>
      </c>
      <c r="L287" s="199" t="s">
        <v>385</v>
      </c>
      <c r="M287" s="211" t="s">
        <v>1772</v>
      </c>
      <c r="N287" s="185" t="s">
        <v>396</v>
      </c>
      <c r="O287" s="185" t="s">
        <v>309</v>
      </c>
      <c r="P287" s="185" t="s">
        <v>626</v>
      </c>
      <c r="Q287" s="185"/>
      <c r="R287" s="185" t="s">
        <v>381</v>
      </c>
      <c r="S287" s="185" t="s">
        <v>295</v>
      </c>
      <c r="T287" s="217" t="s">
        <v>379</v>
      </c>
    </row>
    <row r="288" spans="1:20" outlineLevel="1">
      <c r="A288" s="199" t="s">
        <v>254</v>
      </c>
      <c r="B288" s="181" t="s">
        <v>1566</v>
      </c>
      <c r="C288" s="190">
        <v>43671</v>
      </c>
      <c r="D288" s="181" t="s">
        <v>1773</v>
      </c>
      <c r="E288" s="182" t="s">
        <v>1853</v>
      </c>
      <c r="F288" s="183">
        <v>76665</v>
      </c>
      <c r="G288" s="184">
        <v>65.41</v>
      </c>
      <c r="H288" s="181">
        <v>83.06</v>
      </c>
      <c r="I288" s="181" t="s">
        <v>292</v>
      </c>
      <c r="J288" s="191">
        <v>73.14</v>
      </c>
      <c r="K288" s="191">
        <v>83.07</v>
      </c>
      <c r="L288" s="199" t="s">
        <v>385</v>
      </c>
      <c r="M288" s="211" t="s">
        <v>1772</v>
      </c>
      <c r="N288" s="185" t="s">
        <v>396</v>
      </c>
      <c r="O288" s="185" t="s">
        <v>309</v>
      </c>
      <c r="P288" s="185" t="s">
        <v>468</v>
      </c>
      <c r="Q288" s="185"/>
      <c r="R288" s="185" t="s">
        <v>381</v>
      </c>
      <c r="S288" s="185" t="s">
        <v>295</v>
      </c>
      <c r="T288" s="217" t="s">
        <v>379</v>
      </c>
    </row>
    <row r="289" spans="1:20" outlineLevel="1">
      <c r="A289" s="199" t="s">
        <v>254</v>
      </c>
      <c r="B289" s="181" t="s">
        <v>1566</v>
      </c>
      <c r="C289" s="190">
        <v>43671</v>
      </c>
      <c r="D289" s="181" t="s">
        <v>1770</v>
      </c>
      <c r="E289" s="182" t="s">
        <v>1854</v>
      </c>
      <c r="F289" s="183">
        <v>76665</v>
      </c>
      <c r="G289" s="184">
        <v>202.96</v>
      </c>
      <c r="H289" s="181">
        <v>257.75</v>
      </c>
      <c r="I289" s="181" t="s">
        <v>292</v>
      </c>
      <c r="J289" s="191">
        <v>226.96</v>
      </c>
      <c r="K289" s="191">
        <v>257.74</v>
      </c>
      <c r="L289" s="199" t="s">
        <v>385</v>
      </c>
      <c r="M289" s="211" t="s">
        <v>1772</v>
      </c>
      <c r="N289" s="185" t="s">
        <v>396</v>
      </c>
      <c r="O289" s="185" t="s">
        <v>309</v>
      </c>
      <c r="P289" s="185" t="s">
        <v>626</v>
      </c>
      <c r="Q289" s="185"/>
      <c r="R289" s="185" t="s">
        <v>381</v>
      </c>
      <c r="S289" s="185" t="s">
        <v>295</v>
      </c>
      <c r="T289" s="217" t="s">
        <v>379</v>
      </c>
    </row>
    <row r="290" spans="1:20" outlineLevel="1">
      <c r="A290" s="199" t="s">
        <v>254</v>
      </c>
      <c r="B290" s="181" t="s">
        <v>1566</v>
      </c>
      <c r="C290" s="190">
        <v>43671</v>
      </c>
      <c r="D290" s="181" t="s">
        <v>1770</v>
      </c>
      <c r="E290" s="182" t="s">
        <v>1855</v>
      </c>
      <c r="F290" s="183">
        <v>76665</v>
      </c>
      <c r="G290" s="184">
        <v>408.28</v>
      </c>
      <c r="H290" s="181">
        <v>518.49</v>
      </c>
      <c r="I290" s="181" t="s">
        <v>292</v>
      </c>
      <c r="J290" s="191">
        <v>456.55</v>
      </c>
      <c r="K290" s="191">
        <v>518.49</v>
      </c>
      <c r="L290" s="199" t="s">
        <v>385</v>
      </c>
      <c r="M290" s="211" t="s">
        <v>1772</v>
      </c>
      <c r="N290" s="185" t="s">
        <v>396</v>
      </c>
      <c r="O290" s="185" t="s">
        <v>309</v>
      </c>
      <c r="P290" s="185" t="s">
        <v>468</v>
      </c>
      <c r="Q290" s="185"/>
      <c r="R290" s="185" t="s">
        <v>381</v>
      </c>
      <c r="S290" s="185" t="s">
        <v>295</v>
      </c>
      <c r="T290" s="217" t="s">
        <v>379</v>
      </c>
    </row>
    <row r="291" spans="1:20" outlineLevel="1">
      <c r="A291" s="199" t="s">
        <v>254</v>
      </c>
      <c r="B291" s="181" t="s">
        <v>1566</v>
      </c>
      <c r="C291" s="190">
        <v>43677</v>
      </c>
      <c r="D291" s="181" t="s">
        <v>1817</v>
      </c>
      <c r="E291" s="182" t="s">
        <v>878</v>
      </c>
      <c r="F291" s="183">
        <v>76667</v>
      </c>
      <c r="G291" s="184">
        <v>34.869999999999997</v>
      </c>
      <c r="H291" s="181">
        <v>34.869999999999997</v>
      </c>
      <c r="I291" s="181" t="s">
        <v>293</v>
      </c>
      <c r="J291" s="191">
        <v>38.99</v>
      </c>
      <c r="K291" s="191">
        <v>44.28</v>
      </c>
      <c r="L291" s="199" t="s">
        <v>391</v>
      </c>
      <c r="M291" s="211" t="s">
        <v>1777</v>
      </c>
      <c r="N291" s="185" t="s">
        <v>374</v>
      </c>
      <c r="O291" s="185" t="s">
        <v>309</v>
      </c>
      <c r="P291" s="185" t="s">
        <v>469</v>
      </c>
      <c r="Q291" s="185"/>
      <c r="R291" s="185" t="s">
        <v>381</v>
      </c>
      <c r="S291" s="185" t="s">
        <v>295</v>
      </c>
      <c r="T291" s="217" t="s">
        <v>379</v>
      </c>
    </row>
    <row r="292" spans="1:20" outlineLevel="1">
      <c r="A292" s="199" t="s">
        <v>254</v>
      </c>
      <c r="B292" s="181" t="s">
        <v>1566</v>
      </c>
      <c r="C292" s="190">
        <v>43671</v>
      </c>
      <c r="D292" s="181" t="s">
        <v>1775</v>
      </c>
      <c r="E292" s="182" t="s">
        <v>1856</v>
      </c>
      <c r="F292" s="183">
        <v>76665</v>
      </c>
      <c r="G292" s="184">
        <v>32.24</v>
      </c>
      <c r="H292" s="181">
        <v>40.94</v>
      </c>
      <c r="I292" s="181" t="s">
        <v>292</v>
      </c>
      <c r="J292" s="191">
        <v>36.049999999999997</v>
      </c>
      <c r="K292" s="191">
        <v>40.94</v>
      </c>
      <c r="L292" s="199" t="s">
        <v>391</v>
      </c>
      <c r="M292" s="211" t="s">
        <v>1777</v>
      </c>
      <c r="N292" s="185" t="s">
        <v>396</v>
      </c>
      <c r="O292" s="185" t="s">
        <v>309</v>
      </c>
      <c r="P292" s="185" t="s">
        <v>626</v>
      </c>
      <c r="Q292" s="185"/>
      <c r="R292" s="185" t="s">
        <v>381</v>
      </c>
      <c r="S292" s="185" t="s">
        <v>295</v>
      </c>
      <c r="T292" s="217" t="s">
        <v>379</v>
      </c>
    </row>
    <row r="293" spans="1:20" outlineLevel="1">
      <c r="A293" s="199" t="s">
        <v>254</v>
      </c>
      <c r="B293" s="181" t="s">
        <v>1566</v>
      </c>
      <c r="C293" s="190">
        <v>43671</v>
      </c>
      <c r="D293" s="181" t="s">
        <v>1775</v>
      </c>
      <c r="E293" s="182" t="s">
        <v>1857</v>
      </c>
      <c r="F293" s="183">
        <v>76665</v>
      </c>
      <c r="G293" s="184">
        <v>67.94</v>
      </c>
      <c r="H293" s="181">
        <v>86.28</v>
      </c>
      <c r="I293" s="181" t="s">
        <v>292</v>
      </c>
      <c r="J293" s="191">
        <v>75.97</v>
      </c>
      <c r="K293" s="191">
        <v>86.28</v>
      </c>
      <c r="L293" s="199" t="s">
        <v>391</v>
      </c>
      <c r="M293" s="211" t="s">
        <v>1777</v>
      </c>
      <c r="N293" s="185" t="s">
        <v>396</v>
      </c>
      <c r="O293" s="185" t="s">
        <v>309</v>
      </c>
      <c r="P293" s="185" t="s">
        <v>468</v>
      </c>
      <c r="Q293" s="185"/>
      <c r="R293" s="185" t="s">
        <v>381</v>
      </c>
      <c r="S293" s="185" t="s">
        <v>295</v>
      </c>
      <c r="T293" s="217" t="s">
        <v>379</v>
      </c>
    </row>
    <row r="294" spans="1:20" outlineLevel="1">
      <c r="A294" s="199" t="s">
        <v>254</v>
      </c>
      <c r="B294" s="181" t="s">
        <v>1566</v>
      </c>
      <c r="C294" s="190">
        <v>43672</v>
      </c>
      <c r="D294" s="181" t="s">
        <v>1833</v>
      </c>
      <c r="E294" s="182" t="s">
        <v>1858</v>
      </c>
      <c r="F294" s="183">
        <v>76652</v>
      </c>
      <c r="G294" s="184">
        <v>68.3</v>
      </c>
      <c r="H294" s="181">
        <v>86.73</v>
      </c>
      <c r="I294" s="181" t="s">
        <v>292</v>
      </c>
      <c r="J294" s="191">
        <v>76.37</v>
      </c>
      <c r="K294" s="191">
        <v>86.74</v>
      </c>
      <c r="L294" s="199" t="s">
        <v>391</v>
      </c>
      <c r="M294" s="211" t="s">
        <v>1777</v>
      </c>
      <c r="N294" s="185" t="s">
        <v>400</v>
      </c>
      <c r="O294" s="185" t="s">
        <v>309</v>
      </c>
      <c r="P294" s="185" t="s">
        <v>466</v>
      </c>
      <c r="Q294" s="185"/>
      <c r="R294" s="185" t="s">
        <v>381</v>
      </c>
      <c r="S294" s="185" t="s">
        <v>295</v>
      </c>
      <c r="T294" s="217" t="s">
        <v>379</v>
      </c>
    </row>
    <row r="295" spans="1:20" outlineLevel="1">
      <c r="A295" s="199" t="s">
        <v>254</v>
      </c>
      <c r="B295" s="181" t="s">
        <v>1566</v>
      </c>
      <c r="C295" s="190">
        <v>43675</v>
      </c>
      <c r="D295" s="181" t="s">
        <v>1721</v>
      </c>
      <c r="E295" s="182" t="s">
        <v>1859</v>
      </c>
      <c r="F295" s="183">
        <v>76665</v>
      </c>
      <c r="G295" s="184">
        <v>0.35</v>
      </c>
      <c r="H295" s="181">
        <v>0.45</v>
      </c>
      <c r="I295" s="181" t="s">
        <v>292</v>
      </c>
      <c r="J295" s="191">
        <v>0.4</v>
      </c>
      <c r="K295" s="191">
        <v>0.44</v>
      </c>
      <c r="L295" s="199" t="s">
        <v>405</v>
      </c>
      <c r="M295" s="211" t="s">
        <v>1780</v>
      </c>
      <c r="N295" s="185" t="s">
        <v>396</v>
      </c>
      <c r="O295" s="185" t="s">
        <v>309</v>
      </c>
      <c r="P295" s="185" t="s">
        <v>626</v>
      </c>
      <c r="Q295" s="185"/>
      <c r="R295" s="185" t="s">
        <v>381</v>
      </c>
      <c r="S295" s="185" t="s">
        <v>295</v>
      </c>
      <c r="T295" s="217" t="s">
        <v>379</v>
      </c>
    </row>
    <row r="296" spans="1:20" outlineLevel="1">
      <c r="A296" s="199" t="s">
        <v>254</v>
      </c>
      <c r="B296" s="181" t="s">
        <v>1566</v>
      </c>
      <c r="C296" s="190">
        <v>43672</v>
      </c>
      <c r="D296" s="181" t="s">
        <v>1834</v>
      </c>
      <c r="E296" s="182" t="s">
        <v>1860</v>
      </c>
      <c r="F296" s="183">
        <v>76652</v>
      </c>
      <c r="G296" s="184">
        <v>11.39</v>
      </c>
      <c r="H296" s="181">
        <v>14.46</v>
      </c>
      <c r="I296" s="181" t="s">
        <v>292</v>
      </c>
      <c r="J296" s="191">
        <v>12.73</v>
      </c>
      <c r="K296" s="191">
        <v>14.46</v>
      </c>
      <c r="L296" s="199" t="s">
        <v>405</v>
      </c>
      <c r="M296" s="211" t="s">
        <v>1780</v>
      </c>
      <c r="N296" s="185" t="s">
        <v>400</v>
      </c>
      <c r="O296" s="185" t="s">
        <v>309</v>
      </c>
      <c r="P296" s="185" t="s">
        <v>466</v>
      </c>
      <c r="Q296" s="185"/>
      <c r="R296" s="185" t="s">
        <v>381</v>
      </c>
      <c r="S296" s="185" t="s">
        <v>295</v>
      </c>
      <c r="T296" s="217" t="s">
        <v>379</v>
      </c>
    </row>
    <row r="297" spans="1:20" outlineLevel="1">
      <c r="A297" s="199" t="s">
        <v>254</v>
      </c>
      <c r="B297" s="181" t="s">
        <v>1566</v>
      </c>
      <c r="C297" s="190">
        <v>43672</v>
      </c>
      <c r="D297" s="181" t="s">
        <v>1835</v>
      </c>
      <c r="E297" s="182" t="s">
        <v>475</v>
      </c>
      <c r="F297" s="183">
        <v>76652</v>
      </c>
      <c r="G297" s="184">
        <v>0.76</v>
      </c>
      <c r="H297" s="181">
        <v>0.96</v>
      </c>
      <c r="I297" s="181" t="s">
        <v>292</v>
      </c>
      <c r="J297" s="191">
        <v>0.85</v>
      </c>
      <c r="K297" s="191">
        <v>0.97</v>
      </c>
      <c r="L297" s="199" t="s">
        <v>405</v>
      </c>
      <c r="M297" s="211" t="s">
        <v>1780</v>
      </c>
      <c r="N297" s="185" t="s">
        <v>400</v>
      </c>
      <c r="O297" s="185" t="s">
        <v>309</v>
      </c>
      <c r="P297" s="185" t="s">
        <v>466</v>
      </c>
      <c r="Q297" s="185"/>
      <c r="R297" s="185" t="s">
        <v>381</v>
      </c>
      <c r="S297" s="185" t="s">
        <v>295</v>
      </c>
      <c r="T297" s="217" t="s">
        <v>379</v>
      </c>
    </row>
    <row r="298" spans="1:20" outlineLevel="1">
      <c r="A298" s="199" t="s">
        <v>254</v>
      </c>
      <c r="B298" s="181" t="s">
        <v>1566</v>
      </c>
      <c r="C298" s="190">
        <v>43675</v>
      </c>
      <c r="D298" s="181" t="s">
        <v>1721</v>
      </c>
      <c r="E298" s="182" t="s">
        <v>1861</v>
      </c>
      <c r="F298" s="183">
        <v>76665</v>
      </c>
      <c r="G298" s="184">
        <v>0.76</v>
      </c>
      <c r="H298" s="181">
        <v>0.96</v>
      </c>
      <c r="I298" s="181" t="s">
        <v>292</v>
      </c>
      <c r="J298" s="191">
        <v>0.85</v>
      </c>
      <c r="K298" s="191">
        <v>0.97</v>
      </c>
      <c r="L298" s="199" t="s">
        <v>405</v>
      </c>
      <c r="M298" s="211" t="s">
        <v>1780</v>
      </c>
      <c r="N298" s="185" t="s">
        <v>396</v>
      </c>
      <c r="O298" s="185" t="s">
        <v>309</v>
      </c>
      <c r="P298" s="185" t="s">
        <v>468</v>
      </c>
      <c r="Q298" s="185"/>
      <c r="R298" s="185" t="s">
        <v>381</v>
      </c>
      <c r="S298" s="185" t="s">
        <v>295</v>
      </c>
      <c r="T298" s="217" t="s">
        <v>379</v>
      </c>
    </row>
    <row r="299" spans="1:20" outlineLevel="1">
      <c r="A299" s="199" t="s">
        <v>254</v>
      </c>
      <c r="B299" s="181" t="s">
        <v>1566</v>
      </c>
      <c r="C299" s="190">
        <v>43671</v>
      </c>
      <c r="D299" s="181" t="s">
        <v>1781</v>
      </c>
      <c r="E299" s="182" t="s">
        <v>1862</v>
      </c>
      <c r="F299" s="183">
        <v>76665</v>
      </c>
      <c r="G299" s="184">
        <v>5.37</v>
      </c>
      <c r="H299" s="181">
        <v>6.82</v>
      </c>
      <c r="I299" s="181" t="s">
        <v>292</v>
      </c>
      <c r="J299" s="191">
        <v>6.01</v>
      </c>
      <c r="K299" s="191">
        <v>6.82</v>
      </c>
      <c r="L299" s="199" t="s">
        <v>405</v>
      </c>
      <c r="M299" s="211" t="s">
        <v>1780</v>
      </c>
      <c r="N299" s="185" t="s">
        <v>396</v>
      </c>
      <c r="O299" s="185" t="s">
        <v>309</v>
      </c>
      <c r="P299" s="185" t="s">
        <v>626</v>
      </c>
      <c r="Q299" s="185"/>
      <c r="R299" s="185" t="s">
        <v>381</v>
      </c>
      <c r="S299" s="185" t="s">
        <v>295</v>
      </c>
      <c r="T299" s="217" t="s">
        <v>379</v>
      </c>
    </row>
    <row r="300" spans="1:20" outlineLevel="1">
      <c r="A300" s="199" t="s">
        <v>254</v>
      </c>
      <c r="B300" s="181" t="s">
        <v>1566</v>
      </c>
      <c r="C300" s="190">
        <v>43648</v>
      </c>
      <c r="D300" s="181" t="s">
        <v>1778</v>
      </c>
      <c r="E300" s="182" t="s">
        <v>1863</v>
      </c>
      <c r="F300" s="183">
        <v>76665</v>
      </c>
      <c r="G300" s="184">
        <v>0.25</v>
      </c>
      <c r="H300" s="181">
        <v>0.32</v>
      </c>
      <c r="I300" s="181" t="s">
        <v>292</v>
      </c>
      <c r="J300" s="191">
        <v>0.28000000000000003</v>
      </c>
      <c r="K300" s="191">
        <v>0.32</v>
      </c>
      <c r="L300" s="199" t="s">
        <v>405</v>
      </c>
      <c r="M300" s="211" t="s">
        <v>1780</v>
      </c>
      <c r="N300" s="185" t="s">
        <v>396</v>
      </c>
      <c r="O300" s="185" t="s">
        <v>309</v>
      </c>
      <c r="P300" s="185" t="s">
        <v>468</v>
      </c>
      <c r="Q300" s="185"/>
      <c r="R300" s="185" t="s">
        <v>381</v>
      </c>
      <c r="S300" s="185" t="s">
        <v>295</v>
      </c>
      <c r="T300" s="217" t="s">
        <v>379</v>
      </c>
    </row>
    <row r="301" spans="1:20" outlineLevel="1">
      <c r="A301" s="199" t="s">
        <v>254</v>
      </c>
      <c r="B301" s="181" t="s">
        <v>1566</v>
      </c>
      <c r="C301" s="190">
        <v>43671</v>
      </c>
      <c r="D301" s="181" t="s">
        <v>1781</v>
      </c>
      <c r="E301" s="182" t="s">
        <v>1864</v>
      </c>
      <c r="F301" s="183">
        <v>76665</v>
      </c>
      <c r="G301" s="184">
        <v>11.32</v>
      </c>
      <c r="H301" s="181">
        <v>14.38</v>
      </c>
      <c r="I301" s="181" t="s">
        <v>292</v>
      </c>
      <c r="J301" s="191">
        <v>12.66</v>
      </c>
      <c r="K301" s="191">
        <v>14.38</v>
      </c>
      <c r="L301" s="199" t="s">
        <v>405</v>
      </c>
      <c r="M301" s="211" t="s">
        <v>1780</v>
      </c>
      <c r="N301" s="185" t="s">
        <v>396</v>
      </c>
      <c r="O301" s="185" t="s">
        <v>309</v>
      </c>
      <c r="P301" s="185" t="s">
        <v>468</v>
      </c>
      <c r="Q301" s="185"/>
      <c r="R301" s="185" t="s">
        <v>381</v>
      </c>
      <c r="S301" s="185" t="s">
        <v>295</v>
      </c>
      <c r="T301" s="217" t="s">
        <v>379</v>
      </c>
    </row>
    <row r="302" spans="1:20" outlineLevel="1">
      <c r="A302" s="199" t="s">
        <v>254</v>
      </c>
      <c r="B302" s="181" t="s">
        <v>1575</v>
      </c>
      <c r="C302" s="190">
        <v>43703</v>
      </c>
      <c r="D302" s="181" t="s">
        <v>1836</v>
      </c>
      <c r="E302" s="182" t="s">
        <v>1865</v>
      </c>
      <c r="F302" s="183">
        <v>76927</v>
      </c>
      <c r="G302" s="184">
        <v>507.81</v>
      </c>
      <c r="H302" s="181">
        <v>620.44000000000005</v>
      </c>
      <c r="I302" s="181" t="s">
        <v>292</v>
      </c>
      <c r="J302" s="191">
        <v>554.05999999999995</v>
      </c>
      <c r="K302" s="191">
        <v>620.44000000000005</v>
      </c>
      <c r="L302" s="199" t="s">
        <v>385</v>
      </c>
      <c r="M302" s="211" t="s">
        <v>1772</v>
      </c>
      <c r="N302" s="185" t="s">
        <v>400</v>
      </c>
      <c r="O302" s="185" t="s">
        <v>309</v>
      </c>
      <c r="P302" s="185" t="s">
        <v>466</v>
      </c>
      <c r="Q302" s="185"/>
      <c r="R302" s="185" t="s">
        <v>381</v>
      </c>
      <c r="S302" s="185" t="s">
        <v>295</v>
      </c>
      <c r="T302" s="217" t="s">
        <v>379</v>
      </c>
    </row>
    <row r="303" spans="1:20" outlineLevel="1">
      <c r="A303" s="199" t="s">
        <v>254</v>
      </c>
      <c r="B303" s="181" t="s">
        <v>1575</v>
      </c>
      <c r="C303" s="190">
        <v>43700</v>
      </c>
      <c r="D303" s="181" t="s">
        <v>1786</v>
      </c>
      <c r="E303" s="182" t="s">
        <v>1866</v>
      </c>
      <c r="F303" s="183">
        <v>76932</v>
      </c>
      <c r="G303" s="184">
        <v>48.09</v>
      </c>
      <c r="H303" s="181">
        <v>58.75</v>
      </c>
      <c r="I303" s="181" t="s">
        <v>292</v>
      </c>
      <c r="J303" s="191">
        <v>52.46</v>
      </c>
      <c r="K303" s="191">
        <v>58.76</v>
      </c>
      <c r="L303" s="199" t="s">
        <v>385</v>
      </c>
      <c r="M303" s="211" t="s">
        <v>1772</v>
      </c>
      <c r="N303" s="185" t="s">
        <v>396</v>
      </c>
      <c r="O303" s="185" t="s">
        <v>309</v>
      </c>
      <c r="P303" s="185" t="s">
        <v>468</v>
      </c>
      <c r="Q303" s="185"/>
      <c r="R303" s="185" t="s">
        <v>381</v>
      </c>
      <c r="S303" s="185" t="s">
        <v>295</v>
      </c>
      <c r="T303" s="217" t="s">
        <v>379</v>
      </c>
    </row>
    <row r="304" spans="1:20" outlineLevel="1">
      <c r="A304" s="199" t="s">
        <v>254</v>
      </c>
      <c r="B304" s="181" t="s">
        <v>1575</v>
      </c>
      <c r="C304" s="190">
        <v>43700</v>
      </c>
      <c r="D304" s="181" t="s">
        <v>1784</v>
      </c>
      <c r="E304" s="182" t="s">
        <v>1867</v>
      </c>
      <c r="F304" s="183">
        <v>76932</v>
      </c>
      <c r="G304" s="184">
        <v>210.9</v>
      </c>
      <c r="H304" s="181">
        <v>257.68</v>
      </c>
      <c r="I304" s="181" t="s">
        <v>292</v>
      </c>
      <c r="J304" s="191">
        <v>230.11</v>
      </c>
      <c r="K304" s="191">
        <v>257.68</v>
      </c>
      <c r="L304" s="199" t="s">
        <v>385</v>
      </c>
      <c r="M304" s="211" t="s">
        <v>1772</v>
      </c>
      <c r="N304" s="185" t="s">
        <v>396</v>
      </c>
      <c r="O304" s="185" t="s">
        <v>309</v>
      </c>
      <c r="P304" s="185" t="s">
        <v>626</v>
      </c>
      <c r="Q304" s="185"/>
      <c r="R304" s="185" t="s">
        <v>381</v>
      </c>
      <c r="S304" s="185" t="s">
        <v>295</v>
      </c>
      <c r="T304" s="217" t="s">
        <v>379</v>
      </c>
    </row>
    <row r="305" spans="1:20" outlineLevel="1">
      <c r="A305" s="199" t="s">
        <v>254</v>
      </c>
      <c r="B305" s="181" t="s">
        <v>1575</v>
      </c>
      <c r="C305" s="190">
        <v>43700</v>
      </c>
      <c r="D305" s="181" t="s">
        <v>1784</v>
      </c>
      <c r="E305" s="182" t="s">
        <v>1868</v>
      </c>
      <c r="F305" s="183">
        <v>76932</v>
      </c>
      <c r="G305" s="184">
        <v>292.58999999999997</v>
      </c>
      <c r="H305" s="181">
        <v>357.48</v>
      </c>
      <c r="I305" s="181" t="s">
        <v>292</v>
      </c>
      <c r="J305" s="191">
        <v>319.23</v>
      </c>
      <c r="K305" s="191">
        <v>357.48</v>
      </c>
      <c r="L305" s="199" t="s">
        <v>385</v>
      </c>
      <c r="M305" s="211" t="s">
        <v>1772</v>
      </c>
      <c r="N305" s="185" t="s">
        <v>396</v>
      </c>
      <c r="O305" s="185" t="s">
        <v>309</v>
      </c>
      <c r="P305" s="185" t="s">
        <v>468</v>
      </c>
      <c r="Q305" s="185"/>
      <c r="R305" s="185" t="s">
        <v>381</v>
      </c>
      <c r="S305" s="185" t="s">
        <v>295</v>
      </c>
      <c r="T305" s="217" t="s">
        <v>379</v>
      </c>
    </row>
    <row r="306" spans="1:20" outlineLevel="1">
      <c r="A306" s="199" t="s">
        <v>254</v>
      </c>
      <c r="B306" s="181" t="s">
        <v>1575</v>
      </c>
      <c r="C306" s="190">
        <v>43708</v>
      </c>
      <c r="D306" s="181" t="s">
        <v>1821</v>
      </c>
      <c r="E306" s="182" t="s">
        <v>1869</v>
      </c>
      <c r="F306" s="183">
        <v>76935</v>
      </c>
      <c r="G306" s="184">
        <v>522.99</v>
      </c>
      <c r="H306" s="181">
        <v>522.99</v>
      </c>
      <c r="I306" s="181" t="s">
        <v>293</v>
      </c>
      <c r="J306" s="191">
        <v>570.62</v>
      </c>
      <c r="K306" s="191">
        <v>638.98</v>
      </c>
      <c r="L306" s="199" t="s">
        <v>385</v>
      </c>
      <c r="M306" s="211" t="s">
        <v>1772</v>
      </c>
      <c r="N306" s="185" t="s">
        <v>374</v>
      </c>
      <c r="O306" s="185" t="s">
        <v>309</v>
      </c>
      <c r="P306" s="185" t="s">
        <v>469</v>
      </c>
      <c r="Q306" s="185"/>
      <c r="R306" s="185" t="s">
        <v>381</v>
      </c>
      <c r="S306" s="185" t="s">
        <v>295</v>
      </c>
      <c r="T306" s="217" t="s">
        <v>379</v>
      </c>
    </row>
    <row r="307" spans="1:20" outlineLevel="1">
      <c r="A307" s="199" t="s">
        <v>254</v>
      </c>
      <c r="B307" s="181" t="s">
        <v>1575</v>
      </c>
      <c r="C307" s="190">
        <v>43708</v>
      </c>
      <c r="D307" s="181" t="s">
        <v>1821</v>
      </c>
      <c r="E307" s="182" t="s">
        <v>1823</v>
      </c>
      <c r="F307" s="183">
        <v>76936</v>
      </c>
      <c r="G307" s="184">
        <v>26.15</v>
      </c>
      <c r="H307" s="181">
        <v>26.15</v>
      </c>
      <c r="I307" s="181" t="s">
        <v>293</v>
      </c>
      <c r="J307" s="191">
        <v>28.53</v>
      </c>
      <c r="K307" s="191">
        <v>31.95</v>
      </c>
      <c r="L307" s="199" t="s">
        <v>385</v>
      </c>
      <c r="M307" s="211" t="s">
        <v>1772</v>
      </c>
      <c r="N307" s="185" t="s">
        <v>374</v>
      </c>
      <c r="O307" s="185" t="s">
        <v>309</v>
      </c>
      <c r="P307" s="185" t="s">
        <v>469</v>
      </c>
      <c r="Q307" s="185"/>
      <c r="R307" s="185" t="s">
        <v>388</v>
      </c>
      <c r="S307" s="185" t="s">
        <v>295</v>
      </c>
      <c r="T307" s="217" t="s">
        <v>254</v>
      </c>
    </row>
    <row r="308" spans="1:20" outlineLevel="1">
      <c r="A308" s="199" t="s">
        <v>254</v>
      </c>
      <c r="B308" s="181" t="s">
        <v>1575</v>
      </c>
      <c r="C308" s="190">
        <v>43708</v>
      </c>
      <c r="D308" s="181" t="s">
        <v>1821</v>
      </c>
      <c r="E308" s="182" t="s">
        <v>1824</v>
      </c>
      <c r="F308" s="183">
        <v>76937</v>
      </c>
      <c r="G308" s="184">
        <v>7.84</v>
      </c>
      <c r="H308" s="181">
        <v>7.84</v>
      </c>
      <c r="I308" s="181" t="s">
        <v>293</v>
      </c>
      <c r="J308" s="191">
        <v>8.5500000000000007</v>
      </c>
      <c r="K308" s="191">
        <v>9.58</v>
      </c>
      <c r="L308" s="199" t="s">
        <v>385</v>
      </c>
      <c r="M308" s="211" t="s">
        <v>1772</v>
      </c>
      <c r="N308" s="185" t="s">
        <v>374</v>
      </c>
      <c r="O308" s="185" t="s">
        <v>309</v>
      </c>
      <c r="P308" s="185" t="s">
        <v>469</v>
      </c>
      <c r="Q308" s="185"/>
      <c r="R308" s="185" t="s">
        <v>390</v>
      </c>
      <c r="S308" s="185" t="s">
        <v>295</v>
      </c>
      <c r="T308" s="217" t="s">
        <v>379</v>
      </c>
    </row>
    <row r="309" spans="1:20" outlineLevel="1">
      <c r="A309" s="199" t="s">
        <v>254</v>
      </c>
      <c r="B309" s="181" t="s">
        <v>1575</v>
      </c>
      <c r="C309" s="190">
        <v>43700</v>
      </c>
      <c r="D309" s="181" t="s">
        <v>1786</v>
      </c>
      <c r="E309" s="182" t="s">
        <v>1870</v>
      </c>
      <c r="F309" s="183">
        <v>76932</v>
      </c>
      <c r="G309" s="184">
        <v>33.78</v>
      </c>
      <c r="H309" s="181">
        <v>41.27</v>
      </c>
      <c r="I309" s="181" t="s">
        <v>292</v>
      </c>
      <c r="J309" s="191">
        <v>36.85</v>
      </c>
      <c r="K309" s="191">
        <v>41.27</v>
      </c>
      <c r="L309" s="199" t="s">
        <v>385</v>
      </c>
      <c r="M309" s="211" t="s">
        <v>1772</v>
      </c>
      <c r="N309" s="185" t="s">
        <v>396</v>
      </c>
      <c r="O309" s="185" t="s">
        <v>309</v>
      </c>
      <c r="P309" s="185" t="s">
        <v>626</v>
      </c>
      <c r="Q309" s="185"/>
      <c r="R309" s="185" t="s">
        <v>381</v>
      </c>
      <c r="S309" s="185" t="s">
        <v>295</v>
      </c>
      <c r="T309" s="217" t="s">
        <v>379</v>
      </c>
    </row>
    <row r="310" spans="1:20" outlineLevel="1">
      <c r="A310" s="199" t="s">
        <v>254</v>
      </c>
      <c r="B310" s="181" t="s">
        <v>1575</v>
      </c>
      <c r="C310" s="190">
        <v>43700</v>
      </c>
      <c r="D310" s="181" t="s">
        <v>1788</v>
      </c>
      <c r="E310" s="182" t="s">
        <v>1871</v>
      </c>
      <c r="F310" s="183">
        <v>76932</v>
      </c>
      <c r="G310" s="184">
        <v>33.51</v>
      </c>
      <c r="H310" s="181">
        <v>40.94</v>
      </c>
      <c r="I310" s="181" t="s">
        <v>292</v>
      </c>
      <c r="J310" s="191">
        <v>36.56</v>
      </c>
      <c r="K310" s="191">
        <v>40.94</v>
      </c>
      <c r="L310" s="199" t="s">
        <v>391</v>
      </c>
      <c r="M310" s="211" t="s">
        <v>1777</v>
      </c>
      <c r="N310" s="185" t="s">
        <v>396</v>
      </c>
      <c r="O310" s="185" t="s">
        <v>309</v>
      </c>
      <c r="P310" s="185" t="s">
        <v>626</v>
      </c>
      <c r="Q310" s="185"/>
      <c r="R310" s="185" t="s">
        <v>381</v>
      </c>
      <c r="S310" s="185" t="s">
        <v>295</v>
      </c>
      <c r="T310" s="217" t="s">
        <v>379</v>
      </c>
    </row>
    <row r="311" spans="1:20" outlineLevel="1">
      <c r="A311" s="199" t="s">
        <v>254</v>
      </c>
      <c r="B311" s="181" t="s">
        <v>1575</v>
      </c>
      <c r="C311" s="190">
        <v>43700</v>
      </c>
      <c r="D311" s="181" t="s">
        <v>1788</v>
      </c>
      <c r="E311" s="182" t="s">
        <v>1872</v>
      </c>
      <c r="F311" s="183">
        <v>76932</v>
      </c>
      <c r="G311" s="184">
        <v>47.08</v>
      </c>
      <c r="H311" s="181">
        <v>57.52</v>
      </c>
      <c r="I311" s="181" t="s">
        <v>292</v>
      </c>
      <c r="J311" s="191">
        <v>51.37</v>
      </c>
      <c r="K311" s="191">
        <v>57.52</v>
      </c>
      <c r="L311" s="199" t="s">
        <v>391</v>
      </c>
      <c r="M311" s="211" t="s">
        <v>1777</v>
      </c>
      <c r="N311" s="185" t="s">
        <v>396</v>
      </c>
      <c r="O311" s="185" t="s">
        <v>309</v>
      </c>
      <c r="P311" s="185" t="s">
        <v>468</v>
      </c>
      <c r="Q311" s="185"/>
      <c r="R311" s="185" t="s">
        <v>381</v>
      </c>
      <c r="S311" s="185" t="s">
        <v>295</v>
      </c>
      <c r="T311" s="217" t="s">
        <v>379</v>
      </c>
    </row>
    <row r="312" spans="1:20" outlineLevel="1">
      <c r="A312" s="199" t="s">
        <v>254</v>
      </c>
      <c r="B312" s="181" t="s">
        <v>1575</v>
      </c>
      <c r="C312" s="190">
        <v>43703</v>
      </c>
      <c r="D312" s="181" t="s">
        <v>1838</v>
      </c>
      <c r="E312" s="182" t="s">
        <v>1873</v>
      </c>
      <c r="F312" s="183">
        <v>76927</v>
      </c>
      <c r="G312" s="184">
        <v>70.989999999999995</v>
      </c>
      <c r="H312" s="181">
        <v>86.73</v>
      </c>
      <c r="I312" s="181" t="s">
        <v>292</v>
      </c>
      <c r="J312" s="191">
        <v>77.45</v>
      </c>
      <c r="K312" s="191">
        <v>86.73</v>
      </c>
      <c r="L312" s="199" t="s">
        <v>391</v>
      </c>
      <c r="M312" s="211" t="s">
        <v>1777</v>
      </c>
      <c r="N312" s="185" t="s">
        <v>400</v>
      </c>
      <c r="O312" s="185" t="s">
        <v>309</v>
      </c>
      <c r="P312" s="185" t="s">
        <v>466</v>
      </c>
      <c r="Q312" s="185"/>
      <c r="R312" s="185" t="s">
        <v>381</v>
      </c>
      <c r="S312" s="185" t="s">
        <v>295</v>
      </c>
      <c r="T312" s="217" t="s">
        <v>379</v>
      </c>
    </row>
    <row r="313" spans="1:20" outlineLevel="1">
      <c r="A313" s="199" t="s">
        <v>254</v>
      </c>
      <c r="B313" s="181" t="s">
        <v>1575</v>
      </c>
      <c r="C313" s="190">
        <v>43708</v>
      </c>
      <c r="D313" s="181" t="s">
        <v>1821</v>
      </c>
      <c r="E313" s="182" t="s">
        <v>1869</v>
      </c>
      <c r="F313" s="183">
        <v>76935</v>
      </c>
      <c r="G313" s="184">
        <v>52.3</v>
      </c>
      <c r="H313" s="181">
        <v>52.3</v>
      </c>
      <c r="I313" s="181" t="s">
        <v>293</v>
      </c>
      <c r="J313" s="191">
        <v>57.06</v>
      </c>
      <c r="K313" s="191">
        <v>63.9</v>
      </c>
      <c r="L313" s="199" t="s">
        <v>391</v>
      </c>
      <c r="M313" s="211" t="s">
        <v>1777</v>
      </c>
      <c r="N313" s="185" t="s">
        <v>374</v>
      </c>
      <c r="O313" s="185" t="s">
        <v>309</v>
      </c>
      <c r="P313" s="185" t="s">
        <v>469</v>
      </c>
      <c r="Q313" s="185"/>
      <c r="R313" s="185" t="s">
        <v>381</v>
      </c>
      <c r="S313" s="185" t="s">
        <v>295</v>
      </c>
      <c r="T313" s="217" t="s">
        <v>379</v>
      </c>
    </row>
    <row r="314" spans="1:20" outlineLevel="1">
      <c r="A314" s="199" t="s">
        <v>254</v>
      </c>
      <c r="B314" s="181" t="s">
        <v>1575</v>
      </c>
      <c r="C314" s="190">
        <v>43700</v>
      </c>
      <c r="D314" s="181" t="s">
        <v>1790</v>
      </c>
      <c r="E314" s="182" t="s">
        <v>1874</v>
      </c>
      <c r="F314" s="183">
        <v>76932</v>
      </c>
      <c r="G314" s="184">
        <v>7.85</v>
      </c>
      <c r="H314" s="181">
        <v>9.59</v>
      </c>
      <c r="I314" s="181" t="s">
        <v>292</v>
      </c>
      <c r="J314" s="191">
        <v>8.56</v>
      </c>
      <c r="K314" s="191">
        <v>9.59</v>
      </c>
      <c r="L314" s="199" t="s">
        <v>405</v>
      </c>
      <c r="M314" s="211" t="s">
        <v>1780</v>
      </c>
      <c r="N314" s="185" t="s">
        <v>396</v>
      </c>
      <c r="O314" s="185" t="s">
        <v>309</v>
      </c>
      <c r="P314" s="185" t="s">
        <v>468</v>
      </c>
      <c r="Q314" s="185"/>
      <c r="R314" s="185" t="s">
        <v>381</v>
      </c>
      <c r="S314" s="185" t="s">
        <v>295</v>
      </c>
      <c r="T314" s="217" t="s">
        <v>379</v>
      </c>
    </row>
    <row r="315" spans="1:20" outlineLevel="1">
      <c r="A315" s="199" t="s">
        <v>254</v>
      </c>
      <c r="B315" s="181" t="s">
        <v>1575</v>
      </c>
      <c r="C315" s="190">
        <v>43700</v>
      </c>
      <c r="D315" s="181" t="s">
        <v>1790</v>
      </c>
      <c r="E315" s="182" t="s">
        <v>1875</v>
      </c>
      <c r="F315" s="183">
        <v>76932</v>
      </c>
      <c r="G315" s="184">
        <v>5.58</v>
      </c>
      <c r="H315" s="181">
        <v>6.82</v>
      </c>
      <c r="I315" s="181" t="s">
        <v>292</v>
      </c>
      <c r="J315" s="191">
        <v>6.09</v>
      </c>
      <c r="K315" s="191">
        <v>6.82</v>
      </c>
      <c r="L315" s="199" t="s">
        <v>405</v>
      </c>
      <c r="M315" s="211" t="s">
        <v>1780</v>
      </c>
      <c r="N315" s="185" t="s">
        <v>396</v>
      </c>
      <c r="O315" s="185" t="s">
        <v>309</v>
      </c>
      <c r="P315" s="185" t="s">
        <v>626</v>
      </c>
      <c r="Q315" s="185"/>
      <c r="R315" s="185" t="s">
        <v>381</v>
      </c>
      <c r="S315" s="185" t="s">
        <v>295</v>
      </c>
      <c r="T315" s="217" t="s">
        <v>379</v>
      </c>
    </row>
    <row r="316" spans="1:20" outlineLevel="1">
      <c r="A316" s="199" t="s">
        <v>254</v>
      </c>
      <c r="B316" s="181" t="s">
        <v>1575</v>
      </c>
      <c r="C316" s="190">
        <v>43705</v>
      </c>
      <c r="D316" s="181" t="s">
        <v>1792</v>
      </c>
      <c r="E316" s="182" t="s">
        <v>1876</v>
      </c>
      <c r="F316" s="183">
        <v>76932</v>
      </c>
      <c r="G316" s="184">
        <v>0.52</v>
      </c>
      <c r="H316" s="181">
        <v>0.64</v>
      </c>
      <c r="I316" s="181" t="s">
        <v>292</v>
      </c>
      <c r="J316" s="191">
        <v>0.56999999999999995</v>
      </c>
      <c r="K316" s="191">
        <v>0.64</v>
      </c>
      <c r="L316" s="199" t="s">
        <v>405</v>
      </c>
      <c r="M316" s="211" t="s">
        <v>1780</v>
      </c>
      <c r="N316" s="185" t="s">
        <v>396</v>
      </c>
      <c r="O316" s="185" t="s">
        <v>309</v>
      </c>
      <c r="P316" s="185" t="s">
        <v>468</v>
      </c>
      <c r="Q316" s="185"/>
      <c r="R316" s="185" t="s">
        <v>381</v>
      </c>
      <c r="S316" s="185" t="s">
        <v>295</v>
      </c>
      <c r="T316" s="217" t="s">
        <v>379</v>
      </c>
    </row>
    <row r="317" spans="1:20" outlineLevel="1">
      <c r="A317" s="199" t="s">
        <v>254</v>
      </c>
      <c r="B317" s="181" t="s">
        <v>1575</v>
      </c>
      <c r="C317" s="190">
        <v>43703</v>
      </c>
      <c r="D317" s="181" t="s">
        <v>1840</v>
      </c>
      <c r="E317" s="182" t="s">
        <v>1877</v>
      </c>
      <c r="F317" s="183">
        <v>76927</v>
      </c>
      <c r="G317" s="184">
        <v>11.84</v>
      </c>
      <c r="H317" s="181">
        <v>14.46</v>
      </c>
      <c r="I317" s="181" t="s">
        <v>292</v>
      </c>
      <c r="J317" s="191">
        <v>12.91</v>
      </c>
      <c r="K317" s="191">
        <v>14.47</v>
      </c>
      <c r="L317" s="199" t="s">
        <v>405</v>
      </c>
      <c r="M317" s="211" t="s">
        <v>1780</v>
      </c>
      <c r="N317" s="185" t="s">
        <v>400</v>
      </c>
      <c r="O317" s="185" t="s">
        <v>309</v>
      </c>
      <c r="P317" s="185" t="s">
        <v>466</v>
      </c>
      <c r="Q317" s="185"/>
      <c r="R317" s="185" t="s">
        <v>381</v>
      </c>
      <c r="S317" s="185" t="s">
        <v>295</v>
      </c>
      <c r="T317" s="217" t="s">
        <v>379</v>
      </c>
    </row>
    <row r="318" spans="1:20" outlineLevel="1">
      <c r="A318" s="199" t="s">
        <v>254</v>
      </c>
      <c r="B318" s="181" t="s">
        <v>1575</v>
      </c>
      <c r="C318" s="190">
        <v>43705</v>
      </c>
      <c r="D318" s="181" t="s">
        <v>1842</v>
      </c>
      <c r="E318" s="182" t="s">
        <v>1878</v>
      </c>
      <c r="F318" s="183">
        <v>76927</v>
      </c>
      <c r="G318" s="184">
        <v>0.79</v>
      </c>
      <c r="H318" s="181">
        <v>0.96</v>
      </c>
      <c r="I318" s="181" t="s">
        <v>292</v>
      </c>
      <c r="J318" s="191">
        <v>0.86</v>
      </c>
      <c r="K318" s="191">
        <v>0.97</v>
      </c>
      <c r="L318" s="199" t="s">
        <v>405</v>
      </c>
      <c r="M318" s="211" t="s">
        <v>1780</v>
      </c>
      <c r="N318" s="185" t="s">
        <v>400</v>
      </c>
      <c r="O318" s="185" t="s">
        <v>309</v>
      </c>
      <c r="P318" s="185" t="s">
        <v>466</v>
      </c>
      <c r="Q318" s="185"/>
      <c r="R318" s="185" t="s">
        <v>381</v>
      </c>
      <c r="S318" s="185" t="s">
        <v>295</v>
      </c>
      <c r="T318" s="217" t="s">
        <v>379</v>
      </c>
    </row>
    <row r="319" spans="1:20" outlineLevel="1">
      <c r="A319" s="199" t="s">
        <v>254</v>
      </c>
      <c r="B319" s="181" t="s">
        <v>1575</v>
      </c>
      <c r="C319" s="190">
        <v>43705</v>
      </c>
      <c r="D319" s="181" t="s">
        <v>1792</v>
      </c>
      <c r="E319" s="182" t="s">
        <v>1879</v>
      </c>
      <c r="F319" s="183">
        <v>76932</v>
      </c>
      <c r="G319" s="184">
        <v>0.37</v>
      </c>
      <c r="H319" s="181">
        <v>0.45</v>
      </c>
      <c r="I319" s="181" t="s">
        <v>292</v>
      </c>
      <c r="J319" s="191">
        <v>0.4</v>
      </c>
      <c r="K319" s="191">
        <v>0.45</v>
      </c>
      <c r="L319" s="199" t="s">
        <v>405</v>
      </c>
      <c r="M319" s="211" t="s">
        <v>1780</v>
      </c>
      <c r="N319" s="185" t="s">
        <v>396</v>
      </c>
      <c r="O319" s="185" t="s">
        <v>309</v>
      </c>
      <c r="P319" s="185" t="s">
        <v>626</v>
      </c>
      <c r="Q319" s="185"/>
      <c r="R319" s="185" t="s">
        <v>381</v>
      </c>
      <c r="S319" s="185" t="s">
        <v>295</v>
      </c>
      <c r="T319" s="217" t="s">
        <v>379</v>
      </c>
    </row>
    <row r="320" spans="1:20" outlineLevel="1">
      <c r="A320" s="199" t="s">
        <v>254</v>
      </c>
      <c r="B320" s="181" t="s">
        <v>1567</v>
      </c>
      <c r="C320" s="190">
        <v>43733</v>
      </c>
      <c r="D320" s="181" t="s">
        <v>1844</v>
      </c>
      <c r="E320" s="182" t="s">
        <v>1880</v>
      </c>
      <c r="F320" s="183">
        <v>77220</v>
      </c>
      <c r="G320" s="184">
        <v>606.70000000000005</v>
      </c>
      <c r="H320" s="181">
        <v>737.85</v>
      </c>
      <c r="I320" s="181" t="s">
        <v>292</v>
      </c>
      <c r="J320" s="191">
        <v>670.15</v>
      </c>
      <c r="K320" s="191">
        <v>737.86</v>
      </c>
      <c r="L320" s="199" t="s">
        <v>385</v>
      </c>
      <c r="M320" s="211" t="s">
        <v>1772</v>
      </c>
      <c r="N320" s="185" t="s">
        <v>400</v>
      </c>
      <c r="O320" s="185" t="s">
        <v>309</v>
      </c>
      <c r="P320" s="185" t="s">
        <v>466</v>
      </c>
      <c r="Q320" s="185"/>
      <c r="R320" s="185" t="s">
        <v>381</v>
      </c>
      <c r="S320" s="185" t="s">
        <v>295</v>
      </c>
      <c r="T320" s="217" t="s">
        <v>379</v>
      </c>
    </row>
    <row r="321" spans="1:20" outlineLevel="1">
      <c r="A321" s="199" t="s">
        <v>254</v>
      </c>
      <c r="B321" s="181" t="s">
        <v>1567</v>
      </c>
      <c r="C321" s="190">
        <v>43734</v>
      </c>
      <c r="D321" s="181" t="s">
        <v>1794</v>
      </c>
      <c r="E321" s="182" t="s">
        <v>1881</v>
      </c>
      <c r="F321" s="183">
        <v>77221</v>
      </c>
      <c r="G321" s="184">
        <v>212.07</v>
      </c>
      <c r="H321" s="181">
        <v>257.92</v>
      </c>
      <c r="I321" s="181" t="s">
        <v>292</v>
      </c>
      <c r="J321" s="191">
        <v>234.25</v>
      </c>
      <c r="K321" s="191">
        <v>257.91000000000003</v>
      </c>
      <c r="L321" s="199" t="s">
        <v>385</v>
      </c>
      <c r="M321" s="211" t="s">
        <v>1772</v>
      </c>
      <c r="N321" s="185" t="s">
        <v>396</v>
      </c>
      <c r="O321" s="185" t="s">
        <v>309</v>
      </c>
      <c r="P321" s="185" t="s">
        <v>626</v>
      </c>
      <c r="Q321" s="185"/>
      <c r="R321" s="185" t="s">
        <v>381</v>
      </c>
      <c r="S321" s="185" t="s">
        <v>295</v>
      </c>
      <c r="T321" s="217" t="s">
        <v>379</v>
      </c>
    </row>
    <row r="322" spans="1:20" outlineLevel="1" collapsed="1">
      <c r="A322" s="199" t="s">
        <v>254</v>
      </c>
      <c r="B322" s="181" t="s">
        <v>1567</v>
      </c>
      <c r="C322" s="190">
        <v>43734</v>
      </c>
      <c r="D322" s="181" t="s">
        <v>1794</v>
      </c>
      <c r="E322" s="182" t="s">
        <v>1882</v>
      </c>
      <c r="F322" s="183">
        <v>77221</v>
      </c>
      <c r="G322" s="184">
        <v>220.98</v>
      </c>
      <c r="H322" s="181">
        <v>268.75</v>
      </c>
      <c r="I322" s="181" t="s">
        <v>292</v>
      </c>
      <c r="J322" s="191">
        <v>244.09</v>
      </c>
      <c r="K322" s="191">
        <v>268.75</v>
      </c>
      <c r="L322" s="199" t="s">
        <v>385</v>
      </c>
      <c r="M322" s="211" t="s">
        <v>1772</v>
      </c>
      <c r="N322" s="185" t="s">
        <v>396</v>
      </c>
      <c r="O322" s="185" t="s">
        <v>309</v>
      </c>
      <c r="P322" s="185" t="s">
        <v>468</v>
      </c>
      <c r="Q322" s="185"/>
      <c r="R322" s="185" t="s">
        <v>381</v>
      </c>
      <c r="S322" s="185" t="s">
        <v>295</v>
      </c>
      <c r="T322" s="217" t="s">
        <v>379</v>
      </c>
    </row>
    <row r="323" spans="1:20" outlineLevel="1">
      <c r="A323" s="199" t="s">
        <v>254</v>
      </c>
      <c r="B323" s="181" t="s">
        <v>1567</v>
      </c>
      <c r="C323" s="190">
        <v>43738</v>
      </c>
      <c r="D323" s="181" t="s">
        <v>1828</v>
      </c>
      <c r="E323" s="182" t="s">
        <v>878</v>
      </c>
      <c r="F323" s="183">
        <v>77225</v>
      </c>
      <c r="G323" s="184">
        <v>348.66</v>
      </c>
      <c r="H323" s="181">
        <v>348.66</v>
      </c>
      <c r="I323" s="181" t="s">
        <v>293</v>
      </c>
      <c r="J323" s="191">
        <v>385.13</v>
      </c>
      <c r="K323" s="191">
        <v>424.03</v>
      </c>
      <c r="L323" s="199" t="s">
        <v>385</v>
      </c>
      <c r="M323" s="211" t="s">
        <v>1772</v>
      </c>
      <c r="N323" s="185" t="s">
        <v>374</v>
      </c>
      <c r="O323" s="185" t="s">
        <v>309</v>
      </c>
      <c r="P323" s="185" t="s">
        <v>469</v>
      </c>
      <c r="Q323" s="185"/>
      <c r="R323" s="185" t="s">
        <v>381</v>
      </c>
      <c r="S323" s="185" t="s">
        <v>295</v>
      </c>
      <c r="T323" s="217" t="s">
        <v>379</v>
      </c>
    </row>
    <row r="324" spans="1:20" outlineLevel="1">
      <c r="A324" s="199" t="s">
        <v>254</v>
      </c>
      <c r="B324" s="181" t="s">
        <v>1567</v>
      </c>
      <c r="C324" s="190">
        <v>43738</v>
      </c>
      <c r="D324" s="181" t="s">
        <v>1828</v>
      </c>
      <c r="E324" s="182" t="s">
        <v>1829</v>
      </c>
      <c r="F324" s="183">
        <v>77226</v>
      </c>
      <c r="G324" s="184">
        <v>17.43</v>
      </c>
      <c r="H324" s="181">
        <v>17.43</v>
      </c>
      <c r="I324" s="181" t="s">
        <v>293</v>
      </c>
      <c r="J324" s="191">
        <v>19.25</v>
      </c>
      <c r="K324" s="191">
        <v>21.2</v>
      </c>
      <c r="L324" s="199" t="s">
        <v>385</v>
      </c>
      <c r="M324" s="211" t="s">
        <v>1772</v>
      </c>
      <c r="N324" s="185" t="s">
        <v>374</v>
      </c>
      <c r="O324" s="185" t="s">
        <v>309</v>
      </c>
      <c r="P324" s="185" t="s">
        <v>469</v>
      </c>
      <c r="Q324" s="185"/>
      <c r="R324" s="185" t="s">
        <v>388</v>
      </c>
      <c r="S324" s="185" t="s">
        <v>295</v>
      </c>
      <c r="T324" s="217" t="s">
        <v>254</v>
      </c>
    </row>
    <row r="325" spans="1:20" outlineLevel="1">
      <c r="A325" s="199" t="s">
        <v>254</v>
      </c>
      <c r="B325" s="181" t="s">
        <v>1567</v>
      </c>
      <c r="C325" s="190">
        <v>43738</v>
      </c>
      <c r="D325" s="181" t="s">
        <v>1828</v>
      </c>
      <c r="E325" s="182" t="s">
        <v>1830</v>
      </c>
      <c r="F325" s="183">
        <v>77227</v>
      </c>
      <c r="G325" s="184">
        <v>5.23</v>
      </c>
      <c r="H325" s="181">
        <v>5.23</v>
      </c>
      <c r="I325" s="181" t="s">
        <v>293</v>
      </c>
      <c r="J325" s="191">
        <v>5.78</v>
      </c>
      <c r="K325" s="191">
        <v>6.36</v>
      </c>
      <c r="L325" s="199" t="s">
        <v>385</v>
      </c>
      <c r="M325" s="211" t="s">
        <v>1772</v>
      </c>
      <c r="N325" s="185" t="s">
        <v>374</v>
      </c>
      <c r="O325" s="185" t="s">
        <v>309</v>
      </c>
      <c r="P325" s="185" t="s">
        <v>469</v>
      </c>
      <c r="Q325" s="185"/>
      <c r="R325" s="185" t="s">
        <v>390</v>
      </c>
      <c r="S325" s="185" t="s">
        <v>295</v>
      </c>
      <c r="T325" s="217" t="s">
        <v>379</v>
      </c>
    </row>
    <row r="326" spans="1:20" outlineLevel="1">
      <c r="A326" s="199" t="s">
        <v>254</v>
      </c>
      <c r="B326" s="181" t="s">
        <v>1567</v>
      </c>
      <c r="C326" s="190">
        <v>43734</v>
      </c>
      <c r="D326" s="181" t="s">
        <v>1796</v>
      </c>
      <c r="E326" s="182" t="s">
        <v>1883</v>
      </c>
      <c r="F326" s="183">
        <v>77221</v>
      </c>
      <c r="G326" s="184">
        <v>34.07</v>
      </c>
      <c r="H326" s="181">
        <v>41.43</v>
      </c>
      <c r="I326" s="181" t="s">
        <v>292</v>
      </c>
      <c r="J326" s="191">
        <v>37.630000000000003</v>
      </c>
      <c r="K326" s="191">
        <v>41.44</v>
      </c>
      <c r="L326" s="199" t="s">
        <v>385</v>
      </c>
      <c r="M326" s="211" t="s">
        <v>1772</v>
      </c>
      <c r="N326" s="185" t="s">
        <v>396</v>
      </c>
      <c r="O326" s="185" t="s">
        <v>309</v>
      </c>
      <c r="P326" s="185" t="s">
        <v>626</v>
      </c>
      <c r="Q326" s="185"/>
      <c r="R326" s="185" t="s">
        <v>381</v>
      </c>
      <c r="S326" s="185" t="s">
        <v>295</v>
      </c>
      <c r="T326" s="217" t="s">
        <v>379</v>
      </c>
    </row>
    <row r="327" spans="1:20" outlineLevel="1">
      <c r="A327" s="199" t="s">
        <v>254</v>
      </c>
      <c r="B327" s="181" t="s">
        <v>1567</v>
      </c>
      <c r="C327" s="190">
        <v>43734</v>
      </c>
      <c r="D327" s="181" t="s">
        <v>1796</v>
      </c>
      <c r="E327" s="182" t="s">
        <v>1884</v>
      </c>
      <c r="F327" s="183">
        <v>77221</v>
      </c>
      <c r="G327" s="184">
        <v>35.19</v>
      </c>
      <c r="H327" s="181">
        <v>42.8</v>
      </c>
      <c r="I327" s="181" t="s">
        <v>292</v>
      </c>
      <c r="J327" s="191">
        <v>38.869999999999997</v>
      </c>
      <c r="K327" s="191">
        <v>42.8</v>
      </c>
      <c r="L327" s="199" t="s">
        <v>385</v>
      </c>
      <c r="M327" s="211" t="s">
        <v>1772</v>
      </c>
      <c r="N327" s="185" t="s">
        <v>396</v>
      </c>
      <c r="O327" s="185" t="s">
        <v>309</v>
      </c>
      <c r="P327" s="185" t="s">
        <v>468</v>
      </c>
      <c r="Q327" s="185"/>
      <c r="R327" s="185" t="s">
        <v>381</v>
      </c>
      <c r="S327" s="185" t="s">
        <v>295</v>
      </c>
      <c r="T327" s="217" t="s">
        <v>379</v>
      </c>
    </row>
    <row r="328" spans="1:20" outlineLevel="1">
      <c r="A328" s="199" t="s">
        <v>254</v>
      </c>
      <c r="B328" s="181" t="s">
        <v>1567</v>
      </c>
      <c r="C328" s="190">
        <v>43734</v>
      </c>
      <c r="D328" s="181" t="s">
        <v>1845</v>
      </c>
      <c r="E328" s="182" t="s">
        <v>1885</v>
      </c>
      <c r="F328" s="183">
        <v>77220</v>
      </c>
      <c r="G328" s="184">
        <v>83.2</v>
      </c>
      <c r="H328" s="181">
        <v>101.19</v>
      </c>
      <c r="I328" s="181" t="s">
        <v>292</v>
      </c>
      <c r="J328" s="191">
        <v>91.91</v>
      </c>
      <c r="K328" s="191">
        <v>101.19</v>
      </c>
      <c r="L328" s="199" t="s">
        <v>391</v>
      </c>
      <c r="M328" s="211" t="s">
        <v>1777</v>
      </c>
      <c r="N328" s="185" t="s">
        <v>400</v>
      </c>
      <c r="O328" s="185" t="s">
        <v>309</v>
      </c>
      <c r="P328" s="185" t="s">
        <v>466</v>
      </c>
      <c r="Q328" s="185"/>
      <c r="R328" s="185" t="s">
        <v>381</v>
      </c>
      <c r="S328" s="185" t="s">
        <v>295</v>
      </c>
      <c r="T328" s="217" t="s">
        <v>379</v>
      </c>
    </row>
    <row r="329" spans="1:20" outlineLevel="1">
      <c r="A329" s="199" t="s">
        <v>254</v>
      </c>
      <c r="B329" s="181" t="s">
        <v>1567</v>
      </c>
      <c r="C329" s="190">
        <v>43734</v>
      </c>
      <c r="D329" s="181" t="s">
        <v>1798</v>
      </c>
      <c r="E329" s="182" t="s">
        <v>1886</v>
      </c>
      <c r="F329" s="183">
        <v>77221</v>
      </c>
      <c r="G329" s="184">
        <v>35.47</v>
      </c>
      <c r="H329" s="181">
        <v>43.14</v>
      </c>
      <c r="I329" s="181" t="s">
        <v>292</v>
      </c>
      <c r="J329" s="191">
        <v>39.18</v>
      </c>
      <c r="K329" s="191">
        <v>43.14</v>
      </c>
      <c r="L329" s="199" t="s">
        <v>391</v>
      </c>
      <c r="M329" s="211" t="s">
        <v>1777</v>
      </c>
      <c r="N329" s="185" t="s">
        <v>396</v>
      </c>
      <c r="O329" s="185" t="s">
        <v>309</v>
      </c>
      <c r="P329" s="185" t="s">
        <v>468</v>
      </c>
      <c r="Q329" s="185"/>
      <c r="R329" s="185" t="s">
        <v>381</v>
      </c>
      <c r="S329" s="185" t="s">
        <v>295</v>
      </c>
      <c r="T329" s="217" t="s">
        <v>379</v>
      </c>
    </row>
    <row r="330" spans="1:20" outlineLevel="1">
      <c r="A330" s="199" t="s">
        <v>254</v>
      </c>
      <c r="B330" s="181" t="s">
        <v>1567</v>
      </c>
      <c r="C330" s="190">
        <v>43738</v>
      </c>
      <c r="D330" s="181" t="s">
        <v>1828</v>
      </c>
      <c r="E330" s="182" t="s">
        <v>878</v>
      </c>
      <c r="F330" s="183">
        <v>77225</v>
      </c>
      <c r="G330" s="184">
        <v>34.869999999999997</v>
      </c>
      <c r="H330" s="181">
        <v>34.869999999999997</v>
      </c>
      <c r="I330" s="181" t="s">
        <v>293</v>
      </c>
      <c r="J330" s="191">
        <v>38.520000000000003</v>
      </c>
      <c r="K330" s="191">
        <v>42.41</v>
      </c>
      <c r="L330" s="199" t="s">
        <v>391</v>
      </c>
      <c r="M330" s="211" t="s">
        <v>1777</v>
      </c>
      <c r="N330" s="185" t="s">
        <v>374</v>
      </c>
      <c r="O330" s="185" t="s">
        <v>309</v>
      </c>
      <c r="P330" s="185" t="s">
        <v>469</v>
      </c>
      <c r="Q330" s="185"/>
      <c r="R330" s="185" t="s">
        <v>381</v>
      </c>
      <c r="S330" s="185" t="s">
        <v>295</v>
      </c>
      <c r="T330" s="217" t="s">
        <v>379</v>
      </c>
    </row>
    <row r="331" spans="1:20" outlineLevel="1">
      <c r="A331" s="199" t="s">
        <v>254</v>
      </c>
      <c r="B331" s="181" t="s">
        <v>1567</v>
      </c>
      <c r="C331" s="190">
        <v>43734</v>
      </c>
      <c r="D331" s="181" t="s">
        <v>1798</v>
      </c>
      <c r="E331" s="182" t="s">
        <v>1887</v>
      </c>
      <c r="F331" s="183">
        <v>77221</v>
      </c>
      <c r="G331" s="184">
        <v>33.659999999999997</v>
      </c>
      <c r="H331" s="181">
        <v>40.94</v>
      </c>
      <c r="I331" s="181" t="s">
        <v>292</v>
      </c>
      <c r="J331" s="191">
        <v>37.18</v>
      </c>
      <c r="K331" s="191">
        <v>40.94</v>
      </c>
      <c r="L331" s="199" t="s">
        <v>391</v>
      </c>
      <c r="M331" s="211" t="s">
        <v>1777</v>
      </c>
      <c r="N331" s="185" t="s">
        <v>396</v>
      </c>
      <c r="O331" s="185" t="s">
        <v>309</v>
      </c>
      <c r="P331" s="185" t="s">
        <v>626</v>
      </c>
      <c r="Q331" s="185"/>
      <c r="R331" s="185" t="s">
        <v>381</v>
      </c>
      <c r="S331" s="185" t="s">
        <v>295</v>
      </c>
      <c r="T331" s="217" t="s">
        <v>379</v>
      </c>
    </row>
    <row r="332" spans="1:20" outlineLevel="1">
      <c r="A332" s="199" t="s">
        <v>254</v>
      </c>
      <c r="B332" s="181" t="s">
        <v>1567</v>
      </c>
      <c r="C332" s="190">
        <v>43734</v>
      </c>
      <c r="D332" s="181" t="s">
        <v>1848</v>
      </c>
      <c r="E332" s="182" t="s">
        <v>1888</v>
      </c>
      <c r="F332" s="183">
        <v>77220</v>
      </c>
      <c r="G332" s="184">
        <v>13.86</v>
      </c>
      <c r="H332" s="181">
        <v>16.86</v>
      </c>
      <c r="I332" s="181" t="s">
        <v>292</v>
      </c>
      <c r="J332" s="191">
        <v>15.31</v>
      </c>
      <c r="K332" s="191">
        <v>16.86</v>
      </c>
      <c r="L332" s="199" t="s">
        <v>405</v>
      </c>
      <c r="M332" s="211" t="s">
        <v>1780</v>
      </c>
      <c r="N332" s="185" t="s">
        <v>400</v>
      </c>
      <c r="O332" s="185" t="s">
        <v>309</v>
      </c>
      <c r="P332" s="185" t="s">
        <v>466</v>
      </c>
      <c r="Q332" s="185"/>
      <c r="R332" s="185" t="s">
        <v>381</v>
      </c>
      <c r="S332" s="185" t="s">
        <v>295</v>
      </c>
      <c r="T332" s="217" t="s">
        <v>379</v>
      </c>
    </row>
    <row r="333" spans="1:20" outlineLevel="1">
      <c r="A333" s="199" t="s">
        <v>254</v>
      </c>
      <c r="B333" s="181" t="s">
        <v>1567</v>
      </c>
      <c r="C333" s="190">
        <v>43734</v>
      </c>
      <c r="D333" s="181" t="s">
        <v>1800</v>
      </c>
      <c r="E333" s="182" t="s">
        <v>1889</v>
      </c>
      <c r="F333" s="183">
        <v>77221</v>
      </c>
      <c r="G333" s="184">
        <v>5.91</v>
      </c>
      <c r="H333" s="181">
        <v>7.19</v>
      </c>
      <c r="I333" s="181" t="s">
        <v>292</v>
      </c>
      <c r="J333" s="191">
        <v>6.53</v>
      </c>
      <c r="K333" s="191">
        <v>7.19</v>
      </c>
      <c r="L333" s="199" t="s">
        <v>405</v>
      </c>
      <c r="M333" s="211" t="s">
        <v>1780</v>
      </c>
      <c r="N333" s="185" t="s">
        <v>396</v>
      </c>
      <c r="O333" s="185" t="s">
        <v>309</v>
      </c>
      <c r="P333" s="185" t="s">
        <v>468</v>
      </c>
      <c r="Q333" s="185"/>
      <c r="R333" s="185" t="s">
        <v>381</v>
      </c>
      <c r="S333" s="185" t="s">
        <v>295</v>
      </c>
      <c r="T333" s="217" t="s">
        <v>379</v>
      </c>
    </row>
    <row r="334" spans="1:20" outlineLevel="1">
      <c r="A334" s="199" t="s">
        <v>254</v>
      </c>
      <c r="B334" s="181" t="s">
        <v>1567</v>
      </c>
      <c r="C334" s="190">
        <v>43734</v>
      </c>
      <c r="D334" s="181" t="s">
        <v>1800</v>
      </c>
      <c r="E334" s="182" t="s">
        <v>1890</v>
      </c>
      <c r="F334" s="183">
        <v>77221</v>
      </c>
      <c r="G334" s="184">
        <v>5.61</v>
      </c>
      <c r="H334" s="181">
        <v>6.82</v>
      </c>
      <c r="I334" s="181" t="s">
        <v>292</v>
      </c>
      <c r="J334" s="191">
        <v>6.19</v>
      </c>
      <c r="K334" s="191">
        <v>6.82</v>
      </c>
      <c r="L334" s="199" t="s">
        <v>405</v>
      </c>
      <c r="M334" s="211" t="s">
        <v>1780</v>
      </c>
      <c r="N334" s="185" t="s">
        <v>396</v>
      </c>
      <c r="O334" s="185" t="s">
        <v>309</v>
      </c>
      <c r="P334" s="185" t="s">
        <v>626</v>
      </c>
      <c r="Q334" s="185"/>
      <c r="R334" s="185" t="s">
        <v>381</v>
      </c>
      <c r="S334" s="185" t="s">
        <v>295</v>
      </c>
      <c r="T334" s="217" t="s">
        <v>379</v>
      </c>
    </row>
    <row r="335" spans="1:20" outlineLevel="1">
      <c r="A335" s="199" t="s">
        <v>254</v>
      </c>
      <c r="B335" s="181" t="s">
        <v>1567</v>
      </c>
      <c r="C335" s="190">
        <v>43734</v>
      </c>
      <c r="D335" s="181" t="s">
        <v>1604</v>
      </c>
      <c r="E335" s="182" t="s">
        <v>1891</v>
      </c>
      <c r="F335" s="183">
        <v>77220</v>
      </c>
      <c r="G335" s="184">
        <v>0.92</v>
      </c>
      <c r="H335" s="181">
        <v>1.1200000000000001</v>
      </c>
      <c r="I335" s="181" t="s">
        <v>292</v>
      </c>
      <c r="J335" s="191">
        <v>1.02</v>
      </c>
      <c r="K335" s="191">
        <v>1.1200000000000001</v>
      </c>
      <c r="L335" s="199" t="s">
        <v>405</v>
      </c>
      <c r="M335" s="211" t="s">
        <v>1780</v>
      </c>
      <c r="N335" s="185" t="s">
        <v>400</v>
      </c>
      <c r="O335" s="185" t="s">
        <v>309</v>
      </c>
      <c r="P335" s="185" t="s">
        <v>466</v>
      </c>
      <c r="Q335" s="185"/>
      <c r="R335" s="185" t="s">
        <v>381</v>
      </c>
      <c r="S335" s="185" t="s">
        <v>295</v>
      </c>
      <c r="T335" s="217" t="s">
        <v>379</v>
      </c>
    </row>
    <row r="336" spans="1:20">
      <c r="A336" s="212" t="s">
        <v>378</v>
      </c>
      <c r="B336" s="212"/>
      <c r="C336" s="212"/>
      <c r="D336" s="212"/>
      <c r="E336" s="213"/>
      <c r="F336" s="214"/>
      <c r="G336" s="215">
        <f>SUM(G283:G335)</f>
        <v>5384.8899999999976</v>
      </c>
      <c r="H336" s="216">
        <f>SUM(H283:H335)</f>
        <v>6324.2399999999989</v>
      </c>
      <c r="I336" s="212"/>
      <c r="J336" s="216">
        <f>SUM(J283:J335)</f>
        <v>5947.3100000000013</v>
      </c>
      <c r="K336" s="216">
        <f>SUM(K283:K335)</f>
        <v>6656.8699999999972</v>
      </c>
      <c r="L336" s="212"/>
      <c r="M336" s="213"/>
      <c r="N336" s="212"/>
      <c r="O336" s="212"/>
      <c r="P336" s="212"/>
      <c r="Q336" s="212"/>
      <c r="R336" s="212"/>
      <c r="S336" s="212"/>
      <c r="T336" s="212"/>
    </row>
    <row r="337" spans="1:20" outlineLevel="1">
      <c r="A337" s="199" t="s">
        <v>255</v>
      </c>
      <c r="B337" s="181" t="s">
        <v>1566</v>
      </c>
      <c r="C337" s="190">
        <v>43671</v>
      </c>
      <c r="D337" s="181" t="s">
        <v>1770</v>
      </c>
      <c r="E337" s="182" t="s">
        <v>1892</v>
      </c>
      <c r="F337" s="183">
        <v>76665</v>
      </c>
      <c r="G337" s="184">
        <v>65.63</v>
      </c>
      <c r="H337" s="181">
        <v>83.34</v>
      </c>
      <c r="I337" s="181" t="s">
        <v>292</v>
      </c>
      <c r="J337" s="191">
        <v>73.38</v>
      </c>
      <c r="K337" s="191">
        <v>83.35</v>
      </c>
      <c r="L337" s="199" t="s">
        <v>385</v>
      </c>
      <c r="M337" s="211" t="s">
        <v>1772</v>
      </c>
      <c r="N337" s="185" t="s">
        <v>396</v>
      </c>
      <c r="O337" s="185" t="s">
        <v>309</v>
      </c>
      <c r="P337" s="185" t="s">
        <v>908</v>
      </c>
      <c r="Q337" s="185"/>
      <c r="R337" s="185" t="s">
        <v>381</v>
      </c>
      <c r="S337" s="185" t="s">
        <v>295</v>
      </c>
      <c r="T337" s="217" t="s">
        <v>379</v>
      </c>
    </row>
    <row r="338" spans="1:20" outlineLevel="1">
      <c r="A338" s="199" t="s">
        <v>255</v>
      </c>
      <c r="B338" s="181" t="s">
        <v>1566</v>
      </c>
      <c r="C338" s="190">
        <v>43671</v>
      </c>
      <c r="D338" s="181" t="s">
        <v>1770</v>
      </c>
      <c r="E338" s="182" t="s">
        <v>1893</v>
      </c>
      <c r="F338" s="183">
        <v>76665</v>
      </c>
      <c r="G338" s="184">
        <v>181.74</v>
      </c>
      <c r="H338" s="181">
        <v>230.8</v>
      </c>
      <c r="I338" s="181" t="s">
        <v>292</v>
      </c>
      <c r="J338" s="191">
        <v>203.23</v>
      </c>
      <c r="K338" s="191">
        <v>230.8</v>
      </c>
      <c r="L338" s="199" t="s">
        <v>385</v>
      </c>
      <c r="M338" s="211" t="s">
        <v>1772</v>
      </c>
      <c r="N338" s="185" t="s">
        <v>396</v>
      </c>
      <c r="O338" s="185" t="s">
        <v>309</v>
      </c>
      <c r="P338" s="185" t="s">
        <v>487</v>
      </c>
      <c r="Q338" s="185"/>
      <c r="R338" s="185" t="s">
        <v>381</v>
      </c>
      <c r="S338" s="185" t="s">
        <v>295</v>
      </c>
      <c r="T338" s="217" t="s">
        <v>379</v>
      </c>
    </row>
    <row r="339" spans="1:20" outlineLevel="1">
      <c r="A339" s="199" t="s">
        <v>255</v>
      </c>
      <c r="B339" s="181" t="s">
        <v>1566</v>
      </c>
      <c r="C339" s="190">
        <v>43671</v>
      </c>
      <c r="D339" s="181" t="s">
        <v>1770</v>
      </c>
      <c r="E339" s="182" t="s">
        <v>1894</v>
      </c>
      <c r="F339" s="183">
        <v>76665</v>
      </c>
      <c r="G339" s="184">
        <v>62.77</v>
      </c>
      <c r="H339" s="181">
        <v>79.709999999999994</v>
      </c>
      <c r="I339" s="181" t="s">
        <v>292</v>
      </c>
      <c r="J339" s="191">
        <v>70.19</v>
      </c>
      <c r="K339" s="191">
        <v>79.709999999999994</v>
      </c>
      <c r="L339" s="199" t="s">
        <v>385</v>
      </c>
      <c r="M339" s="211" t="s">
        <v>1772</v>
      </c>
      <c r="N339" s="185" t="s">
        <v>396</v>
      </c>
      <c r="O339" s="185" t="s">
        <v>309</v>
      </c>
      <c r="P339" s="185" t="s">
        <v>628</v>
      </c>
      <c r="Q339" s="185"/>
      <c r="R339" s="185" t="s">
        <v>381</v>
      </c>
      <c r="S339" s="185" t="s">
        <v>295</v>
      </c>
      <c r="T339" s="217" t="s">
        <v>379</v>
      </c>
    </row>
    <row r="340" spans="1:20" outlineLevel="1">
      <c r="A340" s="199" t="s">
        <v>255</v>
      </c>
      <c r="B340" s="181" t="s">
        <v>1566</v>
      </c>
      <c r="C340" s="190">
        <v>43671</v>
      </c>
      <c r="D340" s="181" t="s">
        <v>1770</v>
      </c>
      <c r="E340" s="182" t="s">
        <v>1895</v>
      </c>
      <c r="F340" s="183">
        <v>76665</v>
      </c>
      <c r="G340" s="184">
        <v>151.16</v>
      </c>
      <c r="H340" s="181">
        <v>191.96</v>
      </c>
      <c r="I340" s="181" t="s">
        <v>292</v>
      </c>
      <c r="J340" s="191">
        <v>169.03</v>
      </c>
      <c r="K340" s="191">
        <v>191.96</v>
      </c>
      <c r="L340" s="199" t="s">
        <v>385</v>
      </c>
      <c r="M340" s="211" t="s">
        <v>1772</v>
      </c>
      <c r="N340" s="185" t="s">
        <v>396</v>
      </c>
      <c r="O340" s="185" t="s">
        <v>309</v>
      </c>
      <c r="P340" s="185" t="s">
        <v>915</v>
      </c>
      <c r="Q340" s="185"/>
      <c r="R340" s="185" t="s">
        <v>381</v>
      </c>
      <c r="S340" s="185" t="s">
        <v>295</v>
      </c>
      <c r="T340" s="217" t="s">
        <v>379</v>
      </c>
    </row>
    <row r="341" spans="1:20" outlineLevel="1">
      <c r="A341" s="199" t="s">
        <v>255</v>
      </c>
      <c r="B341" s="181" t="s">
        <v>1566</v>
      </c>
      <c r="C341" s="190">
        <v>43671</v>
      </c>
      <c r="D341" s="181" t="s">
        <v>1770</v>
      </c>
      <c r="E341" s="182" t="s">
        <v>1896</v>
      </c>
      <c r="F341" s="183">
        <v>76665</v>
      </c>
      <c r="G341" s="184">
        <v>163.08000000000001</v>
      </c>
      <c r="H341" s="181">
        <v>207.1</v>
      </c>
      <c r="I341" s="181" t="s">
        <v>292</v>
      </c>
      <c r="J341" s="191">
        <v>182.36</v>
      </c>
      <c r="K341" s="191">
        <v>207.1</v>
      </c>
      <c r="L341" s="199" t="s">
        <v>385</v>
      </c>
      <c r="M341" s="211" t="s">
        <v>1772</v>
      </c>
      <c r="N341" s="185" t="s">
        <v>396</v>
      </c>
      <c r="O341" s="185" t="s">
        <v>309</v>
      </c>
      <c r="P341" s="185" t="s">
        <v>489</v>
      </c>
      <c r="Q341" s="185"/>
      <c r="R341" s="185" t="s">
        <v>381</v>
      </c>
      <c r="S341" s="185" t="s">
        <v>295</v>
      </c>
      <c r="T341" s="217" t="s">
        <v>379</v>
      </c>
    </row>
    <row r="342" spans="1:20" outlineLevel="1">
      <c r="A342" s="199" t="s">
        <v>255</v>
      </c>
      <c r="B342" s="181" t="s">
        <v>1566</v>
      </c>
      <c r="C342" s="190">
        <v>43671</v>
      </c>
      <c r="D342" s="181" t="s">
        <v>1773</v>
      </c>
      <c r="E342" s="182" t="s">
        <v>1897</v>
      </c>
      <c r="F342" s="183">
        <v>76665</v>
      </c>
      <c r="G342" s="184">
        <v>5.5</v>
      </c>
      <c r="H342" s="181">
        <v>6.98</v>
      </c>
      <c r="I342" s="181" t="s">
        <v>292</v>
      </c>
      <c r="J342" s="191">
        <v>6.15</v>
      </c>
      <c r="K342" s="191">
        <v>6.98</v>
      </c>
      <c r="L342" s="199" t="s">
        <v>385</v>
      </c>
      <c r="M342" s="211" t="s">
        <v>1772</v>
      </c>
      <c r="N342" s="185" t="s">
        <v>396</v>
      </c>
      <c r="O342" s="185" t="s">
        <v>309</v>
      </c>
      <c r="P342" s="185" t="s">
        <v>908</v>
      </c>
      <c r="Q342" s="185"/>
      <c r="R342" s="185" t="s">
        <v>381</v>
      </c>
      <c r="S342" s="185" t="s">
        <v>295</v>
      </c>
      <c r="T342" s="217" t="s">
        <v>379</v>
      </c>
    </row>
    <row r="343" spans="1:20" outlineLevel="1">
      <c r="A343" s="199" t="s">
        <v>255</v>
      </c>
      <c r="B343" s="181" t="s">
        <v>1566</v>
      </c>
      <c r="C343" s="190">
        <v>43671</v>
      </c>
      <c r="D343" s="181" t="s">
        <v>1773</v>
      </c>
      <c r="E343" s="182" t="s">
        <v>1898</v>
      </c>
      <c r="F343" s="183">
        <v>76665</v>
      </c>
      <c r="G343" s="184">
        <v>14.73</v>
      </c>
      <c r="H343" s="181">
        <v>18.71</v>
      </c>
      <c r="I343" s="181" t="s">
        <v>292</v>
      </c>
      <c r="J343" s="191">
        <v>16.47</v>
      </c>
      <c r="K343" s="191">
        <v>18.71</v>
      </c>
      <c r="L343" s="199" t="s">
        <v>385</v>
      </c>
      <c r="M343" s="211" t="s">
        <v>1772</v>
      </c>
      <c r="N343" s="185" t="s">
        <v>396</v>
      </c>
      <c r="O343" s="185" t="s">
        <v>309</v>
      </c>
      <c r="P343" s="185" t="s">
        <v>487</v>
      </c>
      <c r="Q343" s="185"/>
      <c r="R343" s="185" t="s">
        <v>381</v>
      </c>
      <c r="S343" s="185" t="s">
        <v>295</v>
      </c>
      <c r="T343" s="217" t="s">
        <v>379</v>
      </c>
    </row>
    <row r="344" spans="1:20" outlineLevel="1">
      <c r="A344" s="199" t="s">
        <v>255</v>
      </c>
      <c r="B344" s="181" t="s">
        <v>1566</v>
      </c>
      <c r="C344" s="190">
        <v>43671</v>
      </c>
      <c r="D344" s="181" t="s">
        <v>1773</v>
      </c>
      <c r="E344" s="182" t="s">
        <v>1899</v>
      </c>
      <c r="F344" s="183">
        <v>76665</v>
      </c>
      <c r="G344" s="184">
        <v>5.91</v>
      </c>
      <c r="H344" s="181">
        <v>7.5</v>
      </c>
      <c r="I344" s="181" t="s">
        <v>292</v>
      </c>
      <c r="J344" s="191">
        <v>6.6</v>
      </c>
      <c r="K344" s="191">
        <v>7.51</v>
      </c>
      <c r="L344" s="199" t="s">
        <v>385</v>
      </c>
      <c r="M344" s="211" t="s">
        <v>1772</v>
      </c>
      <c r="N344" s="185" t="s">
        <v>396</v>
      </c>
      <c r="O344" s="185" t="s">
        <v>309</v>
      </c>
      <c r="P344" s="185" t="s">
        <v>628</v>
      </c>
      <c r="Q344" s="185"/>
      <c r="R344" s="185" t="s">
        <v>381</v>
      </c>
      <c r="S344" s="185" t="s">
        <v>295</v>
      </c>
      <c r="T344" s="217" t="s">
        <v>379</v>
      </c>
    </row>
    <row r="345" spans="1:20" outlineLevel="1">
      <c r="A345" s="199" t="s">
        <v>255</v>
      </c>
      <c r="B345" s="181" t="s">
        <v>1566</v>
      </c>
      <c r="C345" s="190">
        <v>43671</v>
      </c>
      <c r="D345" s="181" t="s">
        <v>1773</v>
      </c>
      <c r="E345" s="182" t="s">
        <v>1900</v>
      </c>
      <c r="F345" s="183">
        <v>76665</v>
      </c>
      <c r="G345" s="184">
        <v>19.78</v>
      </c>
      <c r="H345" s="181">
        <v>25.12</v>
      </c>
      <c r="I345" s="181" t="s">
        <v>292</v>
      </c>
      <c r="J345" s="191">
        <v>22.12</v>
      </c>
      <c r="K345" s="191">
        <v>25.12</v>
      </c>
      <c r="L345" s="199" t="s">
        <v>385</v>
      </c>
      <c r="M345" s="211" t="s">
        <v>1772</v>
      </c>
      <c r="N345" s="185" t="s">
        <v>396</v>
      </c>
      <c r="O345" s="185" t="s">
        <v>309</v>
      </c>
      <c r="P345" s="185" t="s">
        <v>489</v>
      </c>
      <c r="Q345" s="185"/>
      <c r="R345" s="185" t="s">
        <v>381</v>
      </c>
      <c r="S345" s="185" t="s">
        <v>295</v>
      </c>
      <c r="T345" s="217" t="s">
        <v>379</v>
      </c>
    </row>
    <row r="346" spans="1:20" outlineLevel="1">
      <c r="A346" s="199" t="s">
        <v>255</v>
      </c>
      <c r="B346" s="181" t="s">
        <v>1566</v>
      </c>
      <c r="C346" s="190">
        <v>43671</v>
      </c>
      <c r="D346" s="181" t="s">
        <v>1770</v>
      </c>
      <c r="E346" s="182" t="s">
        <v>1901</v>
      </c>
      <c r="F346" s="183">
        <v>76665</v>
      </c>
      <c r="G346" s="184">
        <v>432.47</v>
      </c>
      <c r="H346" s="181">
        <v>549.20000000000005</v>
      </c>
      <c r="I346" s="181" t="s">
        <v>292</v>
      </c>
      <c r="J346" s="191">
        <v>483.59</v>
      </c>
      <c r="K346" s="191">
        <v>549.21</v>
      </c>
      <c r="L346" s="199" t="s">
        <v>385</v>
      </c>
      <c r="M346" s="211" t="s">
        <v>1772</v>
      </c>
      <c r="N346" s="185" t="s">
        <v>396</v>
      </c>
      <c r="O346" s="185" t="s">
        <v>309</v>
      </c>
      <c r="P346" s="185" t="s">
        <v>501</v>
      </c>
      <c r="Q346" s="185"/>
      <c r="R346" s="185" t="s">
        <v>381</v>
      </c>
      <c r="S346" s="185" t="s">
        <v>295</v>
      </c>
      <c r="T346" s="217" t="s">
        <v>379</v>
      </c>
    </row>
    <row r="347" spans="1:20" outlineLevel="1">
      <c r="A347" s="199" t="s">
        <v>255</v>
      </c>
      <c r="B347" s="181" t="s">
        <v>1566</v>
      </c>
      <c r="C347" s="190">
        <v>43671</v>
      </c>
      <c r="D347" s="181" t="s">
        <v>1773</v>
      </c>
      <c r="E347" s="182" t="s">
        <v>1902</v>
      </c>
      <c r="F347" s="183">
        <v>76665</v>
      </c>
      <c r="G347" s="184">
        <v>63.7</v>
      </c>
      <c r="H347" s="181">
        <v>80.900000000000006</v>
      </c>
      <c r="I347" s="181" t="s">
        <v>292</v>
      </c>
      <c r="J347" s="191">
        <v>71.239999999999995</v>
      </c>
      <c r="K347" s="191">
        <v>80.89</v>
      </c>
      <c r="L347" s="199" t="s">
        <v>385</v>
      </c>
      <c r="M347" s="211" t="s">
        <v>1772</v>
      </c>
      <c r="N347" s="185" t="s">
        <v>396</v>
      </c>
      <c r="O347" s="185" t="s">
        <v>309</v>
      </c>
      <c r="P347" s="185" t="s">
        <v>501</v>
      </c>
      <c r="Q347" s="185"/>
      <c r="R347" s="185" t="s">
        <v>381</v>
      </c>
      <c r="S347" s="185" t="s">
        <v>295</v>
      </c>
      <c r="T347" s="217" t="s">
        <v>379</v>
      </c>
    </row>
    <row r="348" spans="1:20" outlineLevel="1">
      <c r="A348" s="199" t="s">
        <v>255</v>
      </c>
      <c r="B348" s="181" t="s">
        <v>1566</v>
      </c>
      <c r="C348" s="190">
        <v>43671</v>
      </c>
      <c r="D348" s="181" t="s">
        <v>1773</v>
      </c>
      <c r="E348" s="182" t="s">
        <v>1903</v>
      </c>
      <c r="F348" s="183">
        <v>76665</v>
      </c>
      <c r="G348" s="184">
        <v>11.47</v>
      </c>
      <c r="H348" s="181">
        <v>14.56</v>
      </c>
      <c r="I348" s="181" t="s">
        <v>292</v>
      </c>
      <c r="J348" s="191">
        <v>12.82</v>
      </c>
      <c r="K348" s="191">
        <v>14.57</v>
      </c>
      <c r="L348" s="199" t="s">
        <v>385</v>
      </c>
      <c r="M348" s="211" t="s">
        <v>1772</v>
      </c>
      <c r="N348" s="185" t="s">
        <v>396</v>
      </c>
      <c r="O348" s="185" t="s">
        <v>309</v>
      </c>
      <c r="P348" s="185" t="s">
        <v>915</v>
      </c>
      <c r="Q348" s="185"/>
      <c r="R348" s="185" t="s">
        <v>381</v>
      </c>
      <c r="S348" s="185" t="s">
        <v>295</v>
      </c>
      <c r="T348" s="217" t="s">
        <v>379</v>
      </c>
    </row>
    <row r="349" spans="1:20" outlineLevel="1">
      <c r="A349" s="199" t="s">
        <v>255</v>
      </c>
      <c r="B349" s="181" t="s">
        <v>1566</v>
      </c>
      <c r="C349" s="190">
        <v>43672</v>
      </c>
      <c r="D349" s="181" t="s">
        <v>1831</v>
      </c>
      <c r="E349" s="182" t="s">
        <v>1904</v>
      </c>
      <c r="F349" s="183">
        <v>76652</v>
      </c>
      <c r="G349" s="184">
        <v>160.54</v>
      </c>
      <c r="H349" s="181">
        <v>203.87</v>
      </c>
      <c r="I349" s="181" t="s">
        <v>292</v>
      </c>
      <c r="J349" s="191">
        <v>179.52</v>
      </c>
      <c r="K349" s="191">
        <v>203.87</v>
      </c>
      <c r="L349" s="199" t="s">
        <v>385</v>
      </c>
      <c r="M349" s="211" t="s">
        <v>1772</v>
      </c>
      <c r="N349" s="185" t="s">
        <v>400</v>
      </c>
      <c r="O349" s="185" t="s">
        <v>309</v>
      </c>
      <c r="P349" s="185" t="s">
        <v>495</v>
      </c>
      <c r="Q349" s="185"/>
      <c r="R349" s="185" t="s">
        <v>381</v>
      </c>
      <c r="S349" s="185" t="s">
        <v>295</v>
      </c>
      <c r="T349" s="217" t="s">
        <v>379</v>
      </c>
    </row>
    <row r="350" spans="1:20" outlineLevel="1">
      <c r="A350" s="199" t="s">
        <v>255</v>
      </c>
      <c r="B350" s="181" t="s">
        <v>1566</v>
      </c>
      <c r="C350" s="190">
        <v>43672</v>
      </c>
      <c r="D350" s="181" t="s">
        <v>1831</v>
      </c>
      <c r="E350" s="182" t="s">
        <v>1905</v>
      </c>
      <c r="F350" s="183">
        <v>76652</v>
      </c>
      <c r="G350" s="184">
        <v>490.61</v>
      </c>
      <c r="H350" s="181">
        <v>623.04</v>
      </c>
      <c r="I350" s="181" t="s">
        <v>292</v>
      </c>
      <c r="J350" s="191">
        <v>548.61</v>
      </c>
      <c r="K350" s="191">
        <v>623.04</v>
      </c>
      <c r="L350" s="199" t="s">
        <v>385</v>
      </c>
      <c r="M350" s="211" t="s">
        <v>1772</v>
      </c>
      <c r="N350" s="185" t="s">
        <v>400</v>
      </c>
      <c r="O350" s="185" t="s">
        <v>309</v>
      </c>
      <c r="P350" s="185" t="s">
        <v>497</v>
      </c>
      <c r="Q350" s="185"/>
      <c r="R350" s="185" t="s">
        <v>381</v>
      </c>
      <c r="S350" s="185" t="s">
        <v>295</v>
      </c>
      <c r="T350" s="217" t="s">
        <v>379</v>
      </c>
    </row>
    <row r="351" spans="1:20" outlineLevel="1">
      <c r="A351" s="199" t="s">
        <v>255</v>
      </c>
      <c r="B351" s="181" t="s">
        <v>1566</v>
      </c>
      <c r="C351" s="190">
        <v>43672</v>
      </c>
      <c r="D351" s="181" t="s">
        <v>1831</v>
      </c>
      <c r="E351" s="182" t="s">
        <v>1906</v>
      </c>
      <c r="F351" s="183">
        <v>76652</v>
      </c>
      <c r="G351" s="184">
        <v>553.12</v>
      </c>
      <c r="H351" s="181">
        <v>702.42</v>
      </c>
      <c r="I351" s="181" t="s">
        <v>292</v>
      </c>
      <c r="J351" s="191">
        <v>618.51</v>
      </c>
      <c r="K351" s="191">
        <v>702.42</v>
      </c>
      <c r="L351" s="199" t="s">
        <v>385</v>
      </c>
      <c r="M351" s="211" t="s">
        <v>1772</v>
      </c>
      <c r="N351" s="185" t="s">
        <v>400</v>
      </c>
      <c r="O351" s="185" t="s">
        <v>309</v>
      </c>
      <c r="P351" s="185" t="s">
        <v>499</v>
      </c>
      <c r="Q351" s="185"/>
      <c r="R351" s="185" t="s">
        <v>381</v>
      </c>
      <c r="S351" s="185" t="s">
        <v>295</v>
      </c>
      <c r="T351" s="217" t="s">
        <v>379</v>
      </c>
    </row>
    <row r="352" spans="1:20" outlineLevel="1">
      <c r="A352" s="199" t="s">
        <v>255</v>
      </c>
      <c r="B352" s="181" t="s">
        <v>1566</v>
      </c>
      <c r="C352" s="190">
        <v>43672</v>
      </c>
      <c r="D352" s="181" t="s">
        <v>1831</v>
      </c>
      <c r="E352" s="182" t="s">
        <v>1907</v>
      </c>
      <c r="F352" s="183">
        <v>76652</v>
      </c>
      <c r="G352" s="184">
        <v>366.18</v>
      </c>
      <c r="H352" s="181">
        <v>465.02</v>
      </c>
      <c r="I352" s="181" t="s">
        <v>292</v>
      </c>
      <c r="J352" s="191">
        <v>409.47</v>
      </c>
      <c r="K352" s="191">
        <v>465.02</v>
      </c>
      <c r="L352" s="199" t="s">
        <v>385</v>
      </c>
      <c r="M352" s="211" t="s">
        <v>1772</v>
      </c>
      <c r="N352" s="185" t="s">
        <v>400</v>
      </c>
      <c r="O352" s="185" t="s">
        <v>309</v>
      </c>
      <c r="P352" s="185" t="s">
        <v>491</v>
      </c>
      <c r="Q352" s="185"/>
      <c r="R352" s="185" t="s">
        <v>381</v>
      </c>
      <c r="S352" s="185" t="s">
        <v>295</v>
      </c>
      <c r="T352" s="217" t="s">
        <v>379</v>
      </c>
    </row>
    <row r="353" spans="1:20" outlineLevel="1">
      <c r="A353" s="199" t="s">
        <v>255</v>
      </c>
      <c r="B353" s="181" t="s">
        <v>1566</v>
      </c>
      <c r="C353" s="190">
        <v>43672</v>
      </c>
      <c r="D353" s="181" t="s">
        <v>1831</v>
      </c>
      <c r="E353" s="182" t="s">
        <v>1908</v>
      </c>
      <c r="F353" s="183">
        <v>76652</v>
      </c>
      <c r="G353" s="184">
        <v>127.78</v>
      </c>
      <c r="H353" s="181">
        <v>162.27000000000001</v>
      </c>
      <c r="I353" s="181" t="s">
        <v>292</v>
      </c>
      <c r="J353" s="191">
        <v>142.88</v>
      </c>
      <c r="K353" s="191">
        <v>162.27000000000001</v>
      </c>
      <c r="L353" s="199" t="s">
        <v>385</v>
      </c>
      <c r="M353" s="211" t="s">
        <v>1772</v>
      </c>
      <c r="N353" s="185" t="s">
        <v>400</v>
      </c>
      <c r="O353" s="185" t="s">
        <v>309</v>
      </c>
      <c r="P353" s="185" t="s">
        <v>493</v>
      </c>
      <c r="Q353" s="185"/>
      <c r="R353" s="185" t="s">
        <v>381</v>
      </c>
      <c r="S353" s="185" t="s">
        <v>295</v>
      </c>
      <c r="T353" s="217" t="s">
        <v>379</v>
      </c>
    </row>
    <row r="354" spans="1:20" outlineLevel="1">
      <c r="A354" s="199" t="s">
        <v>255</v>
      </c>
      <c r="B354" s="181" t="s">
        <v>1566</v>
      </c>
      <c r="C354" s="190">
        <v>43671</v>
      </c>
      <c r="D354" s="181" t="s">
        <v>1775</v>
      </c>
      <c r="E354" s="182" t="s">
        <v>1909</v>
      </c>
      <c r="F354" s="183">
        <v>76665</v>
      </c>
      <c r="G354" s="184">
        <v>67.94</v>
      </c>
      <c r="H354" s="181">
        <v>86.28</v>
      </c>
      <c r="I354" s="181" t="s">
        <v>292</v>
      </c>
      <c r="J354" s="191">
        <v>75.97</v>
      </c>
      <c r="K354" s="191">
        <v>86.28</v>
      </c>
      <c r="L354" s="199" t="s">
        <v>391</v>
      </c>
      <c r="M354" s="211" t="s">
        <v>1777</v>
      </c>
      <c r="N354" s="185" t="s">
        <v>396</v>
      </c>
      <c r="O354" s="185" t="s">
        <v>309</v>
      </c>
      <c r="P354" s="185" t="s">
        <v>501</v>
      </c>
      <c r="Q354" s="185"/>
      <c r="R354" s="185" t="s">
        <v>381</v>
      </c>
      <c r="S354" s="185" t="s">
        <v>295</v>
      </c>
      <c r="T354" s="217" t="s">
        <v>379</v>
      </c>
    </row>
    <row r="355" spans="1:20" outlineLevel="1">
      <c r="A355" s="199" t="s">
        <v>255</v>
      </c>
      <c r="B355" s="181" t="s">
        <v>1566</v>
      </c>
      <c r="C355" s="190">
        <v>43672</v>
      </c>
      <c r="D355" s="181" t="s">
        <v>1833</v>
      </c>
      <c r="E355" s="182" t="s">
        <v>1910</v>
      </c>
      <c r="F355" s="183">
        <v>76652</v>
      </c>
      <c r="G355" s="184">
        <v>49.4</v>
      </c>
      <c r="H355" s="181">
        <v>62.73</v>
      </c>
      <c r="I355" s="181" t="s">
        <v>292</v>
      </c>
      <c r="J355" s="191">
        <v>55.24</v>
      </c>
      <c r="K355" s="191">
        <v>62.73</v>
      </c>
      <c r="L355" s="199" t="s">
        <v>391</v>
      </c>
      <c r="M355" s="211" t="s">
        <v>1777</v>
      </c>
      <c r="N355" s="185" t="s">
        <v>400</v>
      </c>
      <c r="O355" s="185" t="s">
        <v>309</v>
      </c>
      <c r="P355" s="185" t="s">
        <v>491</v>
      </c>
      <c r="Q355" s="185"/>
      <c r="R355" s="185" t="s">
        <v>381</v>
      </c>
      <c r="S355" s="185" t="s">
        <v>295</v>
      </c>
      <c r="T355" s="217" t="s">
        <v>379</v>
      </c>
    </row>
    <row r="356" spans="1:20" outlineLevel="1">
      <c r="A356" s="199" t="s">
        <v>255</v>
      </c>
      <c r="B356" s="181" t="s">
        <v>1566</v>
      </c>
      <c r="C356" s="190">
        <v>43672</v>
      </c>
      <c r="D356" s="181" t="s">
        <v>1833</v>
      </c>
      <c r="E356" s="182" t="s">
        <v>978</v>
      </c>
      <c r="F356" s="183">
        <v>76652</v>
      </c>
      <c r="G356" s="184">
        <v>14.82</v>
      </c>
      <c r="H356" s="181">
        <v>18.82</v>
      </c>
      <c r="I356" s="181" t="s">
        <v>292</v>
      </c>
      <c r="J356" s="191">
        <v>16.57</v>
      </c>
      <c r="K356" s="191">
        <v>18.82</v>
      </c>
      <c r="L356" s="199" t="s">
        <v>391</v>
      </c>
      <c r="M356" s="211" t="s">
        <v>1777</v>
      </c>
      <c r="N356" s="185" t="s">
        <v>400</v>
      </c>
      <c r="O356" s="185" t="s">
        <v>309</v>
      </c>
      <c r="P356" s="185" t="s">
        <v>493</v>
      </c>
      <c r="Q356" s="185"/>
      <c r="R356" s="185" t="s">
        <v>381</v>
      </c>
      <c r="S356" s="185" t="s">
        <v>295</v>
      </c>
      <c r="T356" s="217" t="s">
        <v>379</v>
      </c>
    </row>
    <row r="357" spans="1:20" outlineLevel="1">
      <c r="A357" s="199" t="s">
        <v>255</v>
      </c>
      <c r="B357" s="181" t="s">
        <v>1566</v>
      </c>
      <c r="C357" s="190">
        <v>43671</v>
      </c>
      <c r="D357" s="181" t="s">
        <v>1775</v>
      </c>
      <c r="E357" s="182" t="s">
        <v>1911</v>
      </c>
      <c r="F357" s="183">
        <v>76665</v>
      </c>
      <c r="G357" s="184">
        <v>8.58</v>
      </c>
      <c r="H357" s="181">
        <v>10.9</v>
      </c>
      <c r="I357" s="181" t="s">
        <v>292</v>
      </c>
      <c r="J357" s="191">
        <v>9.6</v>
      </c>
      <c r="K357" s="191">
        <v>10.9</v>
      </c>
      <c r="L357" s="199" t="s">
        <v>391</v>
      </c>
      <c r="M357" s="211" t="s">
        <v>1777</v>
      </c>
      <c r="N357" s="185" t="s">
        <v>396</v>
      </c>
      <c r="O357" s="185" t="s">
        <v>309</v>
      </c>
      <c r="P357" s="185" t="s">
        <v>908</v>
      </c>
      <c r="Q357" s="185"/>
      <c r="R357" s="185" t="s">
        <v>381</v>
      </c>
      <c r="S357" s="185" t="s">
        <v>295</v>
      </c>
      <c r="T357" s="217" t="s">
        <v>379</v>
      </c>
    </row>
    <row r="358" spans="1:20" outlineLevel="1">
      <c r="A358" s="199" t="s">
        <v>255</v>
      </c>
      <c r="B358" s="181" t="s">
        <v>1566</v>
      </c>
      <c r="C358" s="190">
        <v>43671</v>
      </c>
      <c r="D358" s="181" t="s">
        <v>1775</v>
      </c>
      <c r="E358" s="182" t="s">
        <v>1912</v>
      </c>
      <c r="F358" s="183">
        <v>76665</v>
      </c>
      <c r="G358" s="184">
        <v>23.62</v>
      </c>
      <c r="H358" s="181">
        <v>30</v>
      </c>
      <c r="I358" s="181" t="s">
        <v>292</v>
      </c>
      <c r="J358" s="191">
        <v>26.42</v>
      </c>
      <c r="K358" s="191">
        <v>30</v>
      </c>
      <c r="L358" s="199" t="s">
        <v>391</v>
      </c>
      <c r="M358" s="211" t="s">
        <v>1777</v>
      </c>
      <c r="N358" s="185" t="s">
        <v>396</v>
      </c>
      <c r="O358" s="185" t="s">
        <v>309</v>
      </c>
      <c r="P358" s="185" t="s">
        <v>487</v>
      </c>
      <c r="Q358" s="185"/>
      <c r="R358" s="185" t="s">
        <v>381</v>
      </c>
      <c r="S358" s="185" t="s">
        <v>295</v>
      </c>
      <c r="T358" s="217" t="s">
        <v>379</v>
      </c>
    </row>
    <row r="359" spans="1:20" outlineLevel="1">
      <c r="A359" s="199" t="s">
        <v>255</v>
      </c>
      <c r="B359" s="181" t="s">
        <v>1566</v>
      </c>
      <c r="C359" s="190">
        <v>43671</v>
      </c>
      <c r="D359" s="181" t="s">
        <v>1775</v>
      </c>
      <c r="E359" s="182" t="s">
        <v>1913</v>
      </c>
      <c r="F359" s="183">
        <v>76665</v>
      </c>
      <c r="G359" s="184">
        <v>8.58</v>
      </c>
      <c r="H359" s="181">
        <v>10.9</v>
      </c>
      <c r="I359" s="181" t="s">
        <v>292</v>
      </c>
      <c r="J359" s="191">
        <v>9.6</v>
      </c>
      <c r="K359" s="191">
        <v>10.9</v>
      </c>
      <c r="L359" s="199" t="s">
        <v>391</v>
      </c>
      <c r="M359" s="211" t="s">
        <v>1777</v>
      </c>
      <c r="N359" s="185" t="s">
        <v>396</v>
      </c>
      <c r="O359" s="185" t="s">
        <v>309</v>
      </c>
      <c r="P359" s="185" t="s">
        <v>628</v>
      </c>
      <c r="Q359" s="185"/>
      <c r="R359" s="185" t="s">
        <v>381</v>
      </c>
      <c r="S359" s="185" t="s">
        <v>295</v>
      </c>
      <c r="T359" s="217" t="s">
        <v>379</v>
      </c>
    </row>
    <row r="360" spans="1:20" outlineLevel="1">
      <c r="A360" s="199" t="s">
        <v>255</v>
      </c>
      <c r="B360" s="181" t="s">
        <v>1566</v>
      </c>
      <c r="C360" s="190">
        <v>43671</v>
      </c>
      <c r="D360" s="181" t="s">
        <v>1775</v>
      </c>
      <c r="E360" s="182" t="s">
        <v>1914</v>
      </c>
      <c r="F360" s="183">
        <v>76665</v>
      </c>
      <c r="G360" s="184">
        <v>17.84</v>
      </c>
      <c r="H360" s="181">
        <v>22.65</v>
      </c>
      <c r="I360" s="181" t="s">
        <v>292</v>
      </c>
      <c r="J360" s="191">
        <v>19.940000000000001</v>
      </c>
      <c r="K360" s="191">
        <v>22.66</v>
      </c>
      <c r="L360" s="199" t="s">
        <v>391</v>
      </c>
      <c r="M360" s="211" t="s">
        <v>1777</v>
      </c>
      <c r="N360" s="185" t="s">
        <v>396</v>
      </c>
      <c r="O360" s="185" t="s">
        <v>309</v>
      </c>
      <c r="P360" s="185" t="s">
        <v>915</v>
      </c>
      <c r="Q360" s="185"/>
      <c r="R360" s="185" t="s">
        <v>381</v>
      </c>
      <c r="S360" s="185" t="s">
        <v>295</v>
      </c>
      <c r="T360" s="217" t="s">
        <v>379</v>
      </c>
    </row>
    <row r="361" spans="1:20" outlineLevel="1">
      <c r="A361" s="199" t="s">
        <v>255</v>
      </c>
      <c r="B361" s="181" t="s">
        <v>1566</v>
      </c>
      <c r="C361" s="190">
        <v>43671</v>
      </c>
      <c r="D361" s="181" t="s">
        <v>1775</v>
      </c>
      <c r="E361" s="182" t="s">
        <v>1915</v>
      </c>
      <c r="F361" s="183">
        <v>76665</v>
      </c>
      <c r="G361" s="184">
        <v>24.77</v>
      </c>
      <c r="H361" s="181">
        <v>31.46</v>
      </c>
      <c r="I361" s="181" t="s">
        <v>292</v>
      </c>
      <c r="J361" s="191">
        <v>27.7</v>
      </c>
      <c r="K361" s="191">
        <v>31.46</v>
      </c>
      <c r="L361" s="199" t="s">
        <v>391</v>
      </c>
      <c r="M361" s="211" t="s">
        <v>1777</v>
      </c>
      <c r="N361" s="185" t="s">
        <v>396</v>
      </c>
      <c r="O361" s="185" t="s">
        <v>309</v>
      </c>
      <c r="P361" s="185" t="s">
        <v>489</v>
      </c>
      <c r="Q361" s="185"/>
      <c r="R361" s="185" t="s">
        <v>381</v>
      </c>
      <c r="S361" s="185" t="s">
        <v>295</v>
      </c>
      <c r="T361" s="217" t="s">
        <v>379</v>
      </c>
    </row>
    <row r="362" spans="1:20" outlineLevel="1">
      <c r="A362" s="199" t="s">
        <v>255</v>
      </c>
      <c r="B362" s="181" t="s">
        <v>1566</v>
      </c>
      <c r="C362" s="190">
        <v>43672</v>
      </c>
      <c r="D362" s="181" t="s">
        <v>1833</v>
      </c>
      <c r="E362" s="182" t="s">
        <v>972</v>
      </c>
      <c r="F362" s="183">
        <v>76652</v>
      </c>
      <c r="G362" s="184">
        <v>20.25</v>
      </c>
      <c r="H362" s="181">
        <v>25.71</v>
      </c>
      <c r="I362" s="181" t="s">
        <v>292</v>
      </c>
      <c r="J362" s="191">
        <v>22.64</v>
      </c>
      <c r="K362" s="191">
        <v>25.72</v>
      </c>
      <c r="L362" s="199" t="s">
        <v>391</v>
      </c>
      <c r="M362" s="211" t="s">
        <v>1777</v>
      </c>
      <c r="N362" s="185" t="s">
        <v>400</v>
      </c>
      <c r="O362" s="185" t="s">
        <v>309</v>
      </c>
      <c r="P362" s="185" t="s">
        <v>495</v>
      </c>
      <c r="Q362" s="185"/>
      <c r="R362" s="185" t="s">
        <v>381</v>
      </c>
      <c r="S362" s="185" t="s">
        <v>295</v>
      </c>
      <c r="T362" s="217" t="s">
        <v>379</v>
      </c>
    </row>
    <row r="363" spans="1:20" outlineLevel="1">
      <c r="A363" s="199" t="s">
        <v>255</v>
      </c>
      <c r="B363" s="181" t="s">
        <v>1566</v>
      </c>
      <c r="C363" s="190">
        <v>43672</v>
      </c>
      <c r="D363" s="181" t="s">
        <v>1833</v>
      </c>
      <c r="E363" s="182" t="s">
        <v>973</v>
      </c>
      <c r="F363" s="183">
        <v>76652</v>
      </c>
      <c r="G363" s="184">
        <v>66.95</v>
      </c>
      <c r="H363" s="181">
        <v>85.02</v>
      </c>
      <c r="I363" s="181" t="s">
        <v>292</v>
      </c>
      <c r="J363" s="191">
        <v>74.86</v>
      </c>
      <c r="K363" s="191">
        <v>85.02</v>
      </c>
      <c r="L363" s="199" t="s">
        <v>391</v>
      </c>
      <c r="M363" s="211" t="s">
        <v>1777</v>
      </c>
      <c r="N363" s="185" t="s">
        <v>400</v>
      </c>
      <c r="O363" s="185" t="s">
        <v>309</v>
      </c>
      <c r="P363" s="185" t="s">
        <v>497</v>
      </c>
      <c r="Q363" s="185"/>
      <c r="R363" s="185" t="s">
        <v>381</v>
      </c>
      <c r="S363" s="185" t="s">
        <v>295</v>
      </c>
      <c r="T363" s="217" t="s">
        <v>379</v>
      </c>
    </row>
    <row r="364" spans="1:20" outlineLevel="1">
      <c r="A364" s="199" t="s">
        <v>255</v>
      </c>
      <c r="B364" s="181" t="s">
        <v>1566</v>
      </c>
      <c r="C364" s="190">
        <v>43672</v>
      </c>
      <c r="D364" s="181" t="s">
        <v>1833</v>
      </c>
      <c r="E364" s="182" t="s">
        <v>1916</v>
      </c>
      <c r="F364" s="183">
        <v>76652</v>
      </c>
      <c r="G364" s="184">
        <v>78.209999999999994</v>
      </c>
      <c r="H364" s="181">
        <v>99.32</v>
      </c>
      <c r="I364" s="181" t="s">
        <v>292</v>
      </c>
      <c r="J364" s="191">
        <v>87.45</v>
      </c>
      <c r="K364" s="191">
        <v>99.32</v>
      </c>
      <c r="L364" s="199" t="s">
        <v>391</v>
      </c>
      <c r="M364" s="211" t="s">
        <v>1777</v>
      </c>
      <c r="N364" s="185" t="s">
        <v>400</v>
      </c>
      <c r="O364" s="185" t="s">
        <v>309</v>
      </c>
      <c r="P364" s="185" t="s">
        <v>499</v>
      </c>
      <c r="Q364" s="185"/>
      <c r="R364" s="185" t="s">
        <v>381</v>
      </c>
      <c r="S364" s="185" t="s">
        <v>295</v>
      </c>
      <c r="T364" s="217" t="s">
        <v>379</v>
      </c>
    </row>
    <row r="365" spans="1:20" outlineLevel="1">
      <c r="A365" s="199" t="s">
        <v>255</v>
      </c>
      <c r="B365" s="181" t="s">
        <v>1566</v>
      </c>
      <c r="C365" s="190">
        <v>43648</v>
      </c>
      <c r="D365" s="181" t="s">
        <v>1778</v>
      </c>
      <c r="E365" s="182" t="s">
        <v>1917</v>
      </c>
      <c r="F365" s="183">
        <v>76665</v>
      </c>
      <c r="G365" s="184">
        <v>0.88</v>
      </c>
      <c r="H365" s="181">
        <v>1.1200000000000001</v>
      </c>
      <c r="I365" s="181" t="s">
        <v>292</v>
      </c>
      <c r="J365" s="191">
        <v>0.99</v>
      </c>
      <c r="K365" s="191">
        <v>1.1200000000000001</v>
      </c>
      <c r="L365" s="199" t="s">
        <v>405</v>
      </c>
      <c r="M365" s="211" t="s">
        <v>1780</v>
      </c>
      <c r="N365" s="185" t="s">
        <v>396</v>
      </c>
      <c r="O365" s="185" t="s">
        <v>309</v>
      </c>
      <c r="P365" s="185" t="s">
        <v>501</v>
      </c>
      <c r="Q365" s="185"/>
      <c r="R365" s="185" t="s">
        <v>381</v>
      </c>
      <c r="S365" s="185" t="s">
        <v>295</v>
      </c>
      <c r="T365" s="217" t="s">
        <v>379</v>
      </c>
    </row>
    <row r="366" spans="1:20" outlineLevel="1">
      <c r="A366" s="199" t="s">
        <v>255</v>
      </c>
      <c r="B366" s="181" t="s">
        <v>1566</v>
      </c>
      <c r="C366" s="190">
        <v>43675</v>
      </c>
      <c r="D366" s="181" t="s">
        <v>1721</v>
      </c>
      <c r="E366" s="182" t="s">
        <v>1918</v>
      </c>
      <c r="F366" s="183">
        <v>76665</v>
      </c>
      <c r="G366" s="184">
        <v>0.2</v>
      </c>
      <c r="H366" s="181">
        <v>0.25</v>
      </c>
      <c r="I366" s="181" t="s">
        <v>292</v>
      </c>
      <c r="J366" s="191">
        <v>0.22</v>
      </c>
      <c r="K366" s="191">
        <v>0.25</v>
      </c>
      <c r="L366" s="199" t="s">
        <v>405</v>
      </c>
      <c r="M366" s="211" t="s">
        <v>1780</v>
      </c>
      <c r="N366" s="185" t="s">
        <v>396</v>
      </c>
      <c r="O366" s="185" t="s">
        <v>309</v>
      </c>
      <c r="P366" s="185" t="s">
        <v>915</v>
      </c>
      <c r="Q366" s="185"/>
      <c r="R366" s="185" t="s">
        <v>381</v>
      </c>
      <c r="S366" s="185" t="s">
        <v>295</v>
      </c>
      <c r="T366" s="217" t="s">
        <v>379</v>
      </c>
    </row>
    <row r="367" spans="1:20" outlineLevel="1">
      <c r="A367" s="199" t="s">
        <v>255</v>
      </c>
      <c r="B367" s="181" t="s">
        <v>1566</v>
      </c>
      <c r="C367" s="190">
        <v>43675</v>
      </c>
      <c r="D367" s="181" t="s">
        <v>1721</v>
      </c>
      <c r="E367" s="182" t="s">
        <v>1919</v>
      </c>
      <c r="F367" s="183">
        <v>76665</v>
      </c>
      <c r="G367" s="184">
        <v>0.28000000000000003</v>
      </c>
      <c r="H367" s="181">
        <v>0.35</v>
      </c>
      <c r="I367" s="181" t="s">
        <v>292</v>
      </c>
      <c r="J367" s="191">
        <v>0.31</v>
      </c>
      <c r="K367" s="191">
        <v>0.36</v>
      </c>
      <c r="L367" s="199" t="s">
        <v>405</v>
      </c>
      <c r="M367" s="211" t="s">
        <v>1780</v>
      </c>
      <c r="N367" s="185" t="s">
        <v>396</v>
      </c>
      <c r="O367" s="185" t="s">
        <v>309</v>
      </c>
      <c r="P367" s="185" t="s">
        <v>489</v>
      </c>
      <c r="Q367" s="185"/>
      <c r="R367" s="185" t="s">
        <v>381</v>
      </c>
      <c r="S367" s="185" t="s">
        <v>295</v>
      </c>
      <c r="T367" s="217" t="s">
        <v>379</v>
      </c>
    </row>
    <row r="368" spans="1:20" outlineLevel="1">
      <c r="A368" s="199" t="s">
        <v>255</v>
      </c>
      <c r="B368" s="181" t="s">
        <v>1566</v>
      </c>
      <c r="C368" s="190">
        <v>43671</v>
      </c>
      <c r="D368" s="181" t="s">
        <v>1781</v>
      </c>
      <c r="E368" s="182" t="s">
        <v>1920</v>
      </c>
      <c r="F368" s="183">
        <v>76665</v>
      </c>
      <c r="G368" s="184">
        <v>1.43</v>
      </c>
      <c r="H368" s="181">
        <v>1.82</v>
      </c>
      <c r="I368" s="181" t="s">
        <v>292</v>
      </c>
      <c r="J368" s="191">
        <v>1.6</v>
      </c>
      <c r="K368" s="191">
        <v>1.82</v>
      </c>
      <c r="L368" s="199" t="s">
        <v>405</v>
      </c>
      <c r="M368" s="211" t="s">
        <v>1780</v>
      </c>
      <c r="N368" s="185" t="s">
        <v>396</v>
      </c>
      <c r="O368" s="185" t="s">
        <v>309</v>
      </c>
      <c r="P368" s="185" t="s">
        <v>908</v>
      </c>
      <c r="Q368" s="185"/>
      <c r="R368" s="185" t="s">
        <v>381</v>
      </c>
      <c r="S368" s="185" t="s">
        <v>295</v>
      </c>
      <c r="T368" s="217" t="s">
        <v>379</v>
      </c>
    </row>
    <row r="369" spans="1:20" outlineLevel="1">
      <c r="A369" s="199" t="s">
        <v>255</v>
      </c>
      <c r="B369" s="181" t="s">
        <v>1566</v>
      </c>
      <c r="C369" s="190">
        <v>43671</v>
      </c>
      <c r="D369" s="181" t="s">
        <v>1781</v>
      </c>
      <c r="E369" s="182" t="s">
        <v>1921</v>
      </c>
      <c r="F369" s="183">
        <v>76665</v>
      </c>
      <c r="G369" s="184">
        <v>3.94</v>
      </c>
      <c r="H369" s="181">
        <v>5</v>
      </c>
      <c r="I369" s="181" t="s">
        <v>292</v>
      </c>
      <c r="J369" s="191">
        <v>4.4000000000000004</v>
      </c>
      <c r="K369" s="191">
        <v>5</v>
      </c>
      <c r="L369" s="199" t="s">
        <v>405</v>
      </c>
      <c r="M369" s="211" t="s">
        <v>1780</v>
      </c>
      <c r="N369" s="185" t="s">
        <v>396</v>
      </c>
      <c r="O369" s="185" t="s">
        <v>309</v>
      </c>
      <c r="P369" s="185" t="s">
        <v>487</v>
      </c>
      <c r="Q369" s="185"/>
      <c r="R369" s="185" t="s">
        <v>381</v>
      </c>
      <c r="S369" s="185" t="s">
        <v>295</v>
      </c>
      <c r="T369" s="217" t="s">
        <v>379</v>
      </c>
    </row>
    <row r="370" spans="1:20" outlineLevel="1">
      <c r="A370" s="199" t="s">
        <v>255</v>
      </c>
      <c r="B370" s="181" t="s">
        <v>1566</v>
      </c>
      <c r="C370" s="190">
        <v>43671</v>
      </c>
      <c r="D370" s="181" t="s">
        <v>1781</v>
      </c>
      <c r="E370" s="182" t="s">
        <v>1922</v>
      </c>
      <c r="F370" s="183">
        <v>76665</v>
      </c>
      <c r="G370" s="184">
        <v>1.43</v>
      </c>
      <c r="H370" s="181">
        <v>1.82</v>
      </c>
      <c r="I370" s="181" t="s">
        <v>292</v>
      </c>
      <c r="J370" s="191">
        <v>1.6</v>
      </c>
      <c r="K370" s="191">
        <v>1.82</v>
      </c>
      <c r="L370" s="199" t="s">
        <v>405</v>
      </c>
      <c r="M370" s="211" t="s">
        <v>1780</v>
      </c>
      <c r="N370" s="185" t="s">
        <v>396</v>
      </c>
      <c r="O370" s="185" t="s">
        <v>309</v>
      </c>
      <c r="P370" s="185" t="s">
        <v>628</v>
      </c>
      <c r="Q370" s="185"/>
      <c r="R370" s="185" t="s">
        <v>381</v>
      </c>
      <c r="S370" s="185" t="s">
        <v>295</v>
      </c>
      <c r="T370" s="217" t="s">
        <v>379</v>
      </c>
    </row>
    <row r="371" spans="1:20" outlineLevel="1">
      <c r="A371" s="199" t="s">
        <v>255</v>
      </c>
      <c r="B371" s="181" t="s">
        <v>1566</v>
      </c>
      <c r="C371" s="190">
        <v>43648</v>
      </c>
      <c r="D371" s="181" t="s">
        <v>1778</v>
      </c>
      <c r="E371" s="182" t="s">
        <v>1923</v>
      </c>
      <c r="F371" s="183">
        <v>76665</v>
      </c>
      <c r="G371" s="184">
        <v>0.06</v>
      </c>
      <c r="H371" s="181">
        <v>0.08</v>
      </c>
      <c r="I371" s="181" t="s">
        <v>292</v>
      </c>
      <c r="J371" s="191">
        <v>7.0000000000000007E-2</v>
      </c>
      <c r="K371" s="191">
        <v>0.08</v>
      </c>
      <c r="L371" s="199" t="s">
        <v>405</v>
      </c>
      <c r="M371" s="211" t="s">
        <v>1780</v>
      </c>
      <c r="N371" s="185" t="s">
        <v>396</v>
      </c>
      <c r="O371" s="185" t="s">
        <v>309</v>
      </c>
      <c r="P371" s="185" t="s">
        <v>487</v>
      </c>
      <c r="Q371" s="185"/>
      <c r="R371" s="185" t="s">
        <v>381</v>
      </c>
      <c r="S371" s="185" t="s">
        <v>295</v>
      </c>
      <c r="T371" s="217" t="s">
        <v>379</v>
      </c>
    </row>
    <row r="372" spans="1:20" outlineLevel="1">
      <c r="A372" s="199" t="s">
        <v>255</v>
      </c>
      <c r="B372" s="181" t="s">
        <v>1566</v>
      </c>
      <c r="C372" s="190">
        <v>43648</v>
      </c>
      <c r="D372" s="181" t="s">
        <v>1778</v>
      </c>
      <c r="E372" s="182" t="s">
        <v>1924</v>
      </c>
      <c r="F372" s="183">
        <v>76665</v>
      </c>
      <c r="G372" s="184">
        <v>0.55000000000000004</v>
      </c>
      <c r="H372" s="181">
        <v>0.7</v>
      </c>
      <c r="I372" s="181" t="s">
        <v>292</v>
      </c>
      <c r="J372" s="191">
        <v>0.62</v>
      </c>
      <c r="K372" s="191">
        <v>0.7</v>
      </c>
      <c r="L372" s="199" t="s">
        <v>405</v>
      </c>
      <c r="M372" s="211" t="s">
        <v>1780</v>
      </c>
      <c r="N372" s="185" t="s">
        <v>396</v>
      </c>
      <c r="O372" s="185" t="s">
        <v>309</v>
      </c>
      <c r="P372" s="185" t="s">
        <v>489</v>
      </c>
      <c r="Q372" s="185"/>
      <c r="R372" s="185" t="s">
        <v>381</v>
      </c>
      <c r="S372" s="185" t="s">
        <v>295</v>
      </c>
      <c r="T372" s="217" t="s">
        <v>379</v>
      </c>
    </row>
    <row r="373" spans="1:20" outlineLevel="1">
      <c r="A373" s="199" t="s">
        <v>255</v>
      </c>
      <c r="B373" s="181" t="s">
        <v>1566</v>
      </c>
      <c r="C373" s="190">
        <v>43671</v>
      </c>
      <c r="D373" s="181" t="s">
        <v>1781</v>
      </c>
      <c r="E373" s="182" t="s">
        <v>1925</v>
      </c>
      <c r="F373" s="183">
        <v>76665</v>
      </c>
      <c r="G373" s="184">
        <v>11.32</v>
      </c>
      <c r="H373" s="181">
        <v>14.38</v>
      </c>
      <c r="I373" s="181" t="s">
        <v>292</v>
      </c>
      <c r="J373" s="191">
        <v>12.66</v>
      </c>
      <c r="K373" s="191">
        <v>14.38</v>
      </c>
      <c r="L373" s="199" t="s">
        <v>405</v>
      </c>
      <c r="M373" s="211" t="s">
        <v>1780</v>
      </c>
      <c r="N373" s="185" t="s">
        <v>396</v>
      </c>
      <c r="O373" s="185" t="s">
        <v>309</v>
      </c>
      <c r="P373" s="185" t="s">
        <v>501</v>
      </c>
      <c r="Q373" s="185"/>
      <c r="R373" s="185" t="s">
        <v>381</v>
      </c>
      <c r="S373" s="185" t="s">
        <v>295</v>
      </c>
      <c r="T373" s="217" t="s">
        <v>379</v>
      </c>
    </row>
    <row r="374" spans="1:20" outlineLevel="1">
      <c r="A374" s="199" t="s">
        <v>255</v>
      </c>
      <c r="B374" s="181" t="s">
        <v>1566</v>
      </c>
      <c r="C374" s="190">
        <v>43671</v>
      </c>
      <c r="D374" s="181" t="s">
        <v>1781</v>
      </c>
      <c r="E374" s="182" t="s">
        <v>1926</v>
      </c>
      <c r="F374" s="183">
        <v>76665</v>
      </c>
      <c r="G374" s="184">
        <v>2.98</v>
      </c>
      <c r="H374" s="181">
        <v>3.78</v>
      </c>
      <c r="I374" s="181" t="s">
        <v>292</v>
      </c>
      <c r="J374" s="191">
        <v>3.33</v>
      </c>
      <c r="K374" s="191">
        <v>3.78</v>
      </c>
      <c r="L374" s="199" t="s">
        <v>405</v>
      </c>
      <c r="M374" s="211" t="s">
        <v>1780</v>
      </c>
      <c r="N374" s="185" t="s">
        <v>396</v>
      </c>
      <c r="O374" s="185" t="s">
        <v>309</v>
      </c>
      <c r="P374" s="185" t="s">
        <v>915</v>
      </c>
      <c r="Q374" s="185"/>
      <c r="R374" s="185" t="s">
        <v>381</v>
      </c>
      <c r="S374" s="185" t="s">
        <v>295</v>
      </c>
      <c r="T374" s="217" t="s">
        <v>379</v>
      </c>
    </row>
    <row r="375" spans="1:20" outlineLevel="1">
      <c r="A375" s="199" t="s">
        <v>255</v>
      </c>
      <c r="B375" s="181" t="s">
        <v>1566</v>
      </c>
      <c r="C375" s="190">
        <v>43671</v>
      </c>
      <c r="D375" s="181" t="s">
        <v>1781</v>
      </c>
      <c r="E375" s="182" t="s">
        <v>1927</v>
      </c>
      <c r="F375" s="183">
        <v>76665</v>
      </c>
      <c r="G375" s="184">
        <v>4.13</v>
      </c>
      <c r="H375" s="181">
        <v>5.24</v>
      </c>
      <c r="I375" s="181" t="s">
        <v>292</v>
      </c>
      <c r="J375" s="191">
        <v>4.6100000000000003</v>
      </c>
      <c r="K375" s="191">
        <v>5.24</v>
      </c>
      <c r="L375" s="199" t="s">
        <v>405</v>
      </c>
      <c r="M375" s="211" t="s">
        <v>1780</v>
      </c>
      <c r="N375" s="185" t="s">
        <v>396</v>
      </c>
      <c r="O375" s="185" t="s">
        <v>309</v>
      </c>
      <c r="P375" s="185" t="s">
        <v>489</v>
      </c>
      <c r="Q375" s="185"/>
      <c r="R375" s="185" t="s">
        <v>381</v>
      </c>
      <c r="S375" s="185" t="s">
        <v>295</v>
      </c>
      <c r="T375" s="217" t="s">
        <v>379</v>
      </c>
    </row>
    <row r="376" spans="1:20" outlineLevel="1">
      <c r="A376" s="199" t="s">
        <v>255</v>
      </c>
      <c r="B376" s="181" t="s">
        <v>1566</v>
      </c>
      <c r="C376" s="190">
        <v>43672</v>
      </c>
      <c r="D376" s="181" t="s">
        <v>1834</v>
      </c>
      <c r="E376" s="182" t="s">
        <v>983</v>
      </c>
      <c r="F376" s="183">
        <v>76652</v>
      </c>
      <c r="G376" s="184">
        <v>3.38</v>
      </c>
      <c r="H376" s="181">
        <v>4.29</v>
      </c>
      <c r="I376" s="181" t="s">
        <v>292</v>
      </c>
      <c r="J376" s="191">
        <v>3.78</v>
      </c>
      <c r="K376" s="191">
        <v>4.29</v>
      </c>
      <c r="L376" s="199" t="s">
        <v>405</v>
      </c>
      <c r="M376" s="211" t="s">
        <v>1780</v>
      </c>
      <c r="N376" s="185" t="s">
        <v>400</v>
      </c>
      <c r="O376" s="185" t="s">
        <v>309</v>
      </c>
      <c r="P376" s="185" t="s">
        <v>495</v>
      </c>
      <c r="Q376" s="185"/>
      <c r="R376" s="185" t="s">
        <v>381</v>
      </c>
      <c r="S376" s="185" t="s">
        <v>295</v>
      </c>
      <c r="T376" s="217" t="s">
        <v>379</v>
      </c>
    </row>
    <row r="377" spans="1:20" outlineLevel="1">
      <c r="A377" s="199" t="s">
        <v>255</v>
      </c>
      <c r="B377" s="181" t="s">
        <v>1566</v>
      </c>
      <c r="C377" s="190">
        <v>43672</v>
      </c>
      <c r="D377" s="181" t="s">
        <v>1834</v>
      </c>
      <c r="E377" s="182" t="s">
        <v>984</v>
      </c>
      <c r="F377" s="183">
        <v>76652</v>
      </c>
      <c r="G377" s="184">
        <v>11.16</v>
      </c>
      <c r="H377" s="181">
        <v>14.17</v>
      </c>
      <c r="I377" s="181" t="s">
        <v>292</v>
      </c>
      <c r="J377" s="191">
        <v>12.48</v>
      </c>
      <c r="K377" s="191">
        <v>14.17</v>
      </c>
      <c r="L377" s="199" t="s">
        <v>405</v>
      </c>
      <c r="M377" s="211" t="s">
        <v>1780</v>
      </c>
      <c r="N377" s="185" t="s">
        <v>400</v>
      </c>
      <c r="O377" s="185" t="s">
        <v>309</v>
      </c>
      <c r="P377" s="185" t="s">
        <v>497</v>
      </c>
      <c r="Q377" s="185"/>
      <c r="R377" s="185" t="s">
        <v>381</v>
      </c>
      <c r="S377" s="185" t="s">
        <v>295</v>
      </c>
      <c r="T377" s="217" t="s">
        <v>379</v>
      </c>
    </row>
    <row r="378" spans="1:20" outlineLevel="1">
      <c r="A378" s="199" t="s">
        <v>255</v>
      </c>
      <c r="B378" s="181" t="s">
        <v>1566</v>
      </c>
      <c r="C378" s="190">
        <v>43672</v>
      </c>
      <c r="D378" s="181" t="s">
        <v>1834</v>
      </c>
      <c r="E378" s="182" t="s">
        <v>1928</v>
      </c>
      <c r="F378" s="183">
        <v>76652</v>
      </c>
      <c r="G378" s="184">
        <v>13.03</v>
      </c>
      <c r="H378" s="181">
        <v>16.55</v>
      </c>
      <c r="I378" s="181" t="s">
        <v>292</v>
      </c>
      <c r="J378" s="191">
        <v>14.57</v>
      </c>
      <c r="K378" s="191">
        <v>16.55</v>
      </c>
      <c r="L378" s="199" t="s">
        <v>405</v>
      </c>
      <c r="M378" s="211" t="s">
        <v>1780</v>
      </c>
      <c r="N378" s="185" t="s">
        <v>400</v>
      </c>
      <c r="O378" s="185" t="s">
        <v>309</v>
      </c>
      <c r="P378" s="185" t="s">
        <v>499</v>
      </c>
      <c r="Q378" s="185"/>
      <c r="R378" s="185" t="s">
        <v>381</v>
      </c>
      <c r="S378" s="185" t="s">
        <v>295</v>
      </c>
      <c r="T378" s="217" t="s">
        <v>379</v>
      </c>
    </row>
    <row r="379" spans="1:20" outlineLevel="1">
      <c r="A379" s="199" t="s">
        <v>255</v>
      </c>
      <c r="B379" s="181" t="s">
        <v>1566</v>
      </c>
      <c r="C379" s="190">
        <v>43675</v>
      </c>
      <c r="D379" s="181" t="s">
        <v>1721</v>
      </c>
      <c r="E379" s="182" t="s">
        <v>1929</v>
      </c>
      <c r="F379" s="183">
        <v>76665</v>
      </c>
      <c r="G379" s="184">
        <v>0.09</v>
      </c>
      <c r="H379" s="181">
        <v>0.12</v>
      </c>
      <c r="I379" s="181" t="s">
        <v>292</v>
      </c>
      <c r="J379" s="191">
        <v>0.11</v>
      </c>
      <c r="K379" s="191">
        <v>0.11</v>
      </c>
      <c r="L379" s="199" t="s">
        <v>405</v>
      </c>
      <c r="M379" s="211" t="s">
        <v>1780</v>
      </c>
      <c r="N379" s="185" t="s">
        <v>396</v>
      </c>
      <c r="O379" s="185" t="s">
        <v>309</v>
      </c>
      <c r="P379" s="185" t="s">
        <v>908</v>
      </c>
      <c r="Q379" s="185"/>
      <c r="R379" s="185" t="s">
        <v>381</v>
      </c>
      <c r="S379" s="185" t="s">
        <v>295</v>
      </c>
      <c r="T379" s="217" t="s">
        <v>379</v>
      </c>
    </row>
    <row r="380" spans="1:20" outlineLevel="1">
      <c r="A380" s="199" t="s">
        <v>255</v>
      </c>
      <c r="B380" s="181" t="s">
        <v>1566</v>
      </c>
      <c r="C380" s="190">
        <v>43675</v>
      </c>
      <c r="D380" s="181" t="s">
        <v>1721</v>
      </c>
      <c r="E380" s="182" t="s">
        <v>1930</v>
      </c>
      <c r="F380" s="183">
        <v>76665</v>
      </c>
      <c r="G380" s="184">
        <v>0.26</v>
      </c>
      <c r="H380" s="181">
        <v>0.33</v>
      </c>
      <c r="I380" s="181" t="s">
        <v>292</v>
      </c>
      <c r="J380" s="191">
        <v>0.28999999999999998</v>
      </c>
      <c r="K380" s="191">
        <v>0.33</v>
      </c>
      <c r="L380" s="199" t="s">
        <v>405</v>
      </c>
      <c r="M380" s="211" t="s">
        <v>1780</v>
      </c>
      <c r="N380" s="185" t="s">
        <v>396</v>
      </c>
      <c r="O380" s="185" t="s">
        <v>309</v>
      </c>
      <c r="P380" s="185" t="s">
        <v>487</v>
      </c>
      <c r="Q380" s="185"/>
      <c r="R380" s="185" t="s">
        <v>381</v>
      </c>
      <c r="S380" s="185" t="s">
        <v>295</v>
      </c>
      <c r="T380" s="217" t="s">
        <v>379</v>
      </c>
    </row>
    <row r="381" spans="1:20" outlineLevel="1">
      <c r="A381" s="199" t="s">
        <v>255</v>
      </c>
      <c r="B381" s="181" t="s">
        <v>1566</v>
      </c>
      <c r="C381" s="190">
        <v>43675</v>
      </c>
      <c r="D381" s="181" t="s">
        <v>1721</v>
      </c>
      <c r="E381" s="182" t="s">
        <v>1931</v>
      </c>
      <c r="F381" s="183">
        <v>76665</v>
      </c>
      <c r="G381" s="184">
        <v>0.09</v>
      </c>
      <c r="H381" s="181">
        <v>0.12</v>
      </c>
      <c r="I381" s="181" t="s">
        <v>292</v>
      </c>
      <c r="J381" s="191">
        <v>0.11</v>
      </c>
      <c r="K381" s="191">
        <v>0.11</v>
      </c>
      <c r="L381" s="199" t="s">
        <v>405</v>
      </c>
      <c r="M381" s="211" t="s">
        <v>1780</v>
      </c>
      <c r="N381" s="185" t="s">
        <v>396</v>
      </c>
      <c r="O381" s="185" t="s">
        <v>309</v>
      </c>
      <c r="P381" s="185" t="s">
        <v>628</v>
      </c>
      <c r="Q381" s="185"/>
      <c r="R381" s="185" t="s">
        <v>381</v>
      </c>
      <c r="S381" s="185" t="s">
        <v>295</v>
      </c>
      <c r="T381" s="217" t="s">
        <v>379</v>
      </c>
    </row>
    <row r="382" spans="1:20" outlineLevel="1">
      <c r="A382" s="199" t="s">
        <v>255</v>
      </c>
      <c r="B382" s="181" t="s">
        <v>1566</v>
      </c>
      <c r="C382" s="190">
        <v>43675</v>
      </c>
      <c r="D382" s="181" t="s">
        <v>1721</v>
      </c>
      <c r="E382" s="182" t="s">
        <v>1932</v>
      </c>
      <c r="F382" s="183">
        <v>76665</v>
      </c>
      <c r="G382" s="184">
        <v>0.76</v>
      </c>
      <c r="H382" s="181">
        <v>0.96</v>
      </c>
      <c r="I382" s="181" t="s">
        <v>292</v>
      </c>
      <c r="J382" s="191">
        <v>0.85</v>
      </c>
      <c r="K382" s="191">
        <v>0.97</v>
      </c>
      <c r="L382" s="199" t="s">
        <v>405</v>
      </c>
      <c r="M382" s="211" t="s">
        <v>1780</v>
      </c>
      <c r="N382" s="185" t="s">
        <v>396</v>
      </c>
      <c r="O382" s="185" t="s">
        <v>309</v>
      </c>
      <c r="P382" s="185" t="s">
        <v>501</v>
      </c>
      <c r="Q382" s="185"/>
      <c r="R382" s="185" t="s">
        <v>381</v>
      </c>
      <c r="S382" s="185" t="s">
        <v>295</v>
      </c>
      <c r="T382" s="217" t="s">
        <v>379</v>
      </c>
    </row>
    <row r="383" spans="1:20" outlineLevel="1">
      <c r="A383" s="199" t="s">
        <v>255</v>
      </c>
      <c r="B383" s="181" t="s">
        <v>1566</v>
      </c>
      <c r="C383" s="190">
        <v>43672</v>
      </c>
      <c r="D383" s="181" t="s">
        <v>1835</v>
      </c>
      <c r="E383" s="182" t="s">
        <v>520</v>
      </c>
      <c r="F383" s="183">
        <v>76652</v>
      </c>
      <c r="G383" s="184">
        <v>0.55000000000000004</v>
      </c>
      <c r="H383" s="181">
        <v>0.7</v>
      </c>
      <c r="I383" s="181" t="s">
        <v>292</v>
      </c>
      <c r="J383" s="191">
        <v>0.62</v>
      </c>
      <c r="K383" s="191">
        <v>0.7</v>
      </c>
      <c r="L383" s="199" t="s">
        <v>405</v>
      </c>
      <c r="M383" s="211" t="s">
        <v>1780</v>
      </c>
      <c r="N383" s="185" t="s">
        <v>400</v>
      </c>
      <c r="O383" s="185" t="s">
        <v>309</v>
      </c>
      <c r="P383" s="185" t="s">
        <v>491</v>
      </c>
      <c r="Q383" s="185"/>
      <c r="R383" s="185" t="s">
        <v>381</v>
      </c>
      <c r="S383" s="185" t="s">
        <v>295</v>
      </c>
      <c r="T383" s="217" t="s">
        <v>379</v>
      </c>
    </row>
    <row r="384" spans="1:20" outlineLevel="1">
      <c r="A384" s="199" t="s">
        <v>255</v>
      </c>
      <c r="B384" s="181" t="s">
        <v>1566</v>
      </c>
      <c r="C384" s="190">
        <v>43672</v>
      </c>
      <c r="D384" s="181" t="s">
        <v>1835</v>
      </c>
      <c r="E384" s="182" t="s">
        <v>521</v>
      </c>
      <c r="F384" s="183">
        <v>76652</v>
      </c>
      <c r="G384" s="184">
        <v>0.17</v>
      </c>
      <c r="H384" s="181">
        <v>0.21</v>
      </c>
      <c r="I384" s="181" t="s">
        <v>292</v>
      </c>
      <c r="J384" s="191">
        <v>0.18</v>
      </c>
      <c r="K384" s="191">
        <v>0.22</v>
      </c>
      <c r="L384" s="199" t="s">
        <v>405</v>
      </c>
      <c r="M384" s="211" t="s">
        <v>1780</v>
      </c>
      <c r="N384" s="185" t="s">
        <v>400</v>
      </c>
      <c r="O384" s="185" t="s">
        <v>309</v>
      </c>
      <c r="P384" s="185" t="s">
        <v>493</v>
      </c>
      <c r="Q384" s="185"/>
      <c r="R384" s="185" t="s">
        <v>381</v>
      </c>
      <c r="S384" s="185" t="s">
        <v>295</v>
      </c>
      <c r="T384" s="217" t="s">
        <v>379</v>
      </c>
    </row>
    <row r="385" spans="1:20" outlineLevel="1">
      <c r="A385" s="199" t="s">
        <v>255</v>
      </c>
      <c r="B385" s="181" t="s">
        <v>1566</v>
      </c>
      <c r="C385" s="190">
        <v>43672</v>
      </c>
      <c r="D385" s="181" t="s">
        <v>1835</v>
      </c>
      <c r="E385" s="182" t="s">
        <v>509</v>
      </c>
      <c r="F385" s="183">
        <v>76652</v>
      </c>
      <c r="G385" s="184">
        <v>0.23</v>
      </c>
      <c r="H385" s="181">
        <v>0.28999999999999998</v>
      </c>
      <c r="I385" s="181" t="s">
        <v>292</v>
      </c>
      <c r="J385" s="191">
        <v>0.26</v>
      </c>
      <c r="K385" s="191">
        <v>0.28999999999999998</v>
      </c>
      <c r="L385" s="199" t="s">
        <v>405</v>
      </c>
      <c r="M385" s="211" t="s">
        <v>1780</v>
      </c>
      <c r="N385" s="185" t="s">
        <v>400</v>
      </c>
      <c r="O385" s="185" t="s">
        <v>309</v>
      </c>
      <c r="P385" s="185" t="s">
        <v>495</v>
      </c>
      <c r="Q385" s="185"/>
      <c r="R385" s="185" t="s">
        <v>381</v>
      </c>
      <c r="S385" s="185" t="s">
        <v>295</v>
      </c>
      <c r="T385" s="217" t="s">
        <v>379</v>
      </c>
    </row>
    <row r="386" spans="1:20" outlineLevel="1">
      <c r="A386" s="199" t="s">
        <v>255</v>
      </c>
      <c r="B386" s="181" t="s">
        <v>1566</v>
      </c>
      <c r="C386" s="190">
        <v>43672</v>
      </c>
      <c r="D386" s="181" t="s">
        <v>1835</v>
      </c>
      <c r="E386" s="182" t="s">
        <v>510</v>
      </c>
      <c r="F386" s="183">
        <v>76652</v>
      </c>
      <c r="G386" s="184">
        <v>0.74</v>
      </c>
      <c r="H386" s="181">
        <v>0.94</v>
      </c>
      <c r="I386" s="181" t="s">
        <v>292</v>
      </c>
      <c r="J386" s="191">
        <v>0.83</v>
      </c>
      <c r="K386" s="191">
        <v>0.94</v>
      </c>
      <c r="L386" s="199" t="s">
        <v>405</v>
      </c>
      <c r="M386" s="211" t="s">
        <v>1780</v>
      </c>
      <c r="N386" s="185" t="s">
        <v>400</v>
      </c>
      <c r="O386" s="185" t="s">
        <v>309</v>
      </c>
      <c r="P386" s="185" t="s">
        <v>497</v>
      </c>
      <c r="Q386" s="185"/>
      <c r="R386" s="185" t="s">
        <v>381</v>
      </c>
      <c r="S386" s="185" t="s">
        <v>295</v>
      </c>
      <c r="T386" s="217" t="s">
        <v>379</v>
      </c>
    </row>
    <row r="387" spans="1:20" outlineLevel="1">
      <c r="A387" s="199" t="s">
        <v>255</v>
      </c>
      <c r="B387" s="181" t="s">
        <v>1566</v>
      </c>
      <c r="C387" s="190">
        <v>43672</v>
      </c>
      <c r="D387" s="181" t="s">
        <v>1835</v>
      </c>
      <c r="E387" s="182" t="s">
        <v>511</v>
      </c>
      <c r="F387" s="183">
        <v>76652</v>
      </c>
      <c r="G387" s="184">
        <v>0.87</v>
      </c>
      <c r="H387" s="181">
        <v>1.1000000000000001</v>
      </c>
      <c r="I387" s="181" t="s">
        <v>292</v>
      </c>
      <c r="J387" s="191">
        <v>0.97</v>
      </c>
      <c r="K387" s="191">
        <v>1.1000000000000001</v>
      </c>
      <c r="L387" s="199" t="s">
        <v>405</v>
      </c>
      <c r="M387" s="211" t="s">
        <v>1780</v>
      </c>
      <c r="N387" s="185" t="s">
        <v>400</v>
      </c>
      <c r="O387" s="185" t="s">
        <v>309</v>
      </c>
      <c r="P387" s="185" t="s">
        <v>499</v>
      </c>
      <c r="Q387" s="185"/>
      <c r="R387" s="185" t="s">
        <v>381</v>
      </c>
      <c r="S387" s="185" t="s">
        <v>295</v>
      </c>
      <c r="T387" s="217" t="s">
        <v>379</v>
      </c>
    </row>
    <row r="388" spans="1:20" outlineLevel="1">
      <c r="A388" s="199" t="s">
        <v>255</v>
      </c>
      <c r="B388" s="181" t="s">
        <v>1566</v>
      </c>
      <c r="C388" s="190">
        <v>43672</v>
      </c>
      <c r="D388" s="181" t="s">
        <v>1834</v>
      </c>
      <c r="E388" s="182" t="s">
        <v>1933</v>
      </c>
      <c r="F388" s="183">
        <v>76652</v>
      </c>
      <c r="G388" s="184">
        <v>8.23</v>
      </c>
      <c r="H388" s="181">
        <v>10.45</v>
      </c>
      <c r="I388" s="181" t="s">
        <v>292</v>
      </c>
      <c r="J388" s="191">
        <v>9.1999999999999993</v>
      </c>
      <c r="K388" s="191">
        <v>10.45</v>
      </c>
      <c r="L388" s="199" t="s">
        <v>405</v>
      </c>
      <c r="M388" s="211" t="s">
        <v>1780</v>
      </c>
      <c r="N388" s="185" t="s">
        <v>400</v>
      </c>
      <c r="O388" s="185" t="s">
        <v>309</v>
      </c>
      <c r="P388" s="185" t="s">
        <v>491</v>
      </c>
      <c r="Q388" s="185"/>
      <c r="R388" s="185" t="s">
        <v>381</v>
      </c>
      <c r="S388" s="185" t="s">
        <v>295</v>
      </c>
      <c r="T388" s="217" t="s">
        <v>379</v>
      </c>
    </row>
    <row r="389" spans="1:20" outlineLevel="1">
      <c r="A389" s="199" t="s">
        <v>255</v>
      </c>
      <c r="B389" s="181" t="s">
        <v>1566</v>
      </c>
      <c r="C389" s="190">
        <v>43672</v>
      </c>
      <c r="D389" s="181" t="s">
        <v>1834</v>
      </c>
      <c r="E389" s="182" t="s">
        <v>989</v>
      </c>
      <c r="F389" s="183">
        <v>76652</v>
      </c>
      <c r="G389" s="184">
        <v>2.4700000000000002</v>
      </c>
      <c r="H389" s="181">
        <v>3.14</v>
      </c>
      <c r="I389" s="181" t="s">
        <v>292</v>
      </c>
      <c r="J389" s="191">
        <v>2.76</v>
      </c>
      <c r="K389" s="191">
        <v>3.14</v>
      </c>
      <c r="L389" s="199" t="s">
        <v>405</v>
      </c>
      <c r="M389" s="211" t="s">
        <v>1780</v>
      </c>
      <c r="N389" s="185" t="s">
        <v>400</v>
      </c>
      <c r="O389" s="185" t="s">
        <v>309</v>
      </c>
      <c r="P389" s="185" t="s">
        <v>493</v>
      </c>
      <c r="Q389" s="185"/>
      <c r="R389" s="185" t="s">
        <v>381</v>
      </c>
      <c r="S389" s="185" t="s">
        <v>295</v>
      </c>
      <c r="T389" s="217" t="s">
        <v>379</v>
      </c>
    </row>
    <row r="390" spans="1:20" outlineLevel="1">
      <c r="A390" s="199" t="s">
        <v>255</v>
      </c>
      <c r="B390" s="181" t="s">
        <v>1575</v>
      </c>
      <c r="C390" s="190">
        <v>43700</v>
      </c>
      <c r="D390" s="181" t="s">
        <v>1784</v>
      </c>
      <c r="E390" s="182" t="s">
        <v>1934</v>
      </c>
      <c r="F390" s="183">
        <v>76932</v>
      </c>
      <c r="G390" s="184">
        <v>225.77</v>
      </c>
      <c r="H390" s="181">
        <v>275.85000000000002</v>
      </c>
      <c r="I390" s="181" t="s">
        <v>292</v>
      </c>
      <c r="J390" s="191">
        <v>246.34</v>
      </c>
      <c r="K390" s="191">
        <v>275.83999999999997</v>
      </c>
      <c r="L390" s="199" t="s">
        <v>385</v>
      </c>
      <c r="M390" s="211" t="s">
        <v>1772</v>
      </c>
      <c r="N390" s="185" t="s">
        <v>396</v>
      </c>
      <c r="O390" s="185" t="s">
        <v>309</v>
      </c>
      <c r="P390" s="185" t="s">
        <v>501</v>
      </c>
      <c r="Q390" s="185"/>
      <c r="R390" s="185" t="s">
        <v>381</v>
      </c>
      <c r="S390" s="185" t="s">
        <v>295</v>
      </c>
      <c r="T390" s="217" t="s">
        <v>379</v>
      </c>
    </row>
    <row r="391" spans="1:20" outlineLevel="1">
      <c r="A391" s="199" t="s">
        <v>255</v>
      </c>
      <c r="B391" s="181" t="s">
        <v>1575</v>
      </c>
      <c r="C391" s="190">
        <v>43700</v>
      </c>
      <c r="D391" s="181" t="s">
        <v>1786</v>
      </c>
      <c r="E391" s="182" t="s">
        <v>1935</v>
      </c>
      <c r="F391" s="183">
        <v>76932</v>
      </c>
      <c r="G391" s="184">
        <v>11.93</v>
      </c>
      <c r="H391" s="181">
        <v>14.57</v>
      </c>
      <c r="I391" s="181" t="s">
        <v>292</v>
      </c>
      <c r="J391" s="191">
        <v>13.01</v>
      </c>
      <c r="K391" s="191">
        <v>14.58</v>
      </c>
      <c r="L391" s="199" t="s">
        <v>385</v>
      </c>
      <c r="M391" s="211" t="s">
        <v>1772</v>
      </c>
      <c r="N391" s="185" t="s">
        <v>396</v>
      </c>
      <c r="O391" s="185" t="s">
        <v>309</v>
      </c>
      <c r="P391" s="185" t="s">
        <v>915</v>
      </c>
      <c r="Q391" s="185"/>
      <c r="R391" s="185" t="s">
        <v>381</v>
      </c>
      <c r="S391" s="185" t="s">
        <v>295</v>
      </c>
      <c r="T391" s="217" t="s">
        <v>379</v>
      </c>
    </row>
    <row r="392" spans="1:20" outlineLevel="1">
      <c r="A392" s="199" t="s">
        <v>255</v>
      </c>
      <c r="B392" s="181" t="s">
        <v>1575</v>
      </c>
      <c r="C392" s="190">
        <v>43703</v>
      </c>
      <c r="D392" s="181" t="s">
        <v>1836</v>
      </c>
      <c r="E392" s="182" t="s">
        <v>1936</v>
      </c>
      <c r="F392" s="183">
        <v>76927</v>
      </c>
      <c r="G392" s="184">
        <v>172.59</v>
      </c>
      <c r="H392" s="181">
        <v>210.87</v>
      </c>
      <c r="I392" s="181" t="s">
        <v>292</v>
      </c>
      <c r="J392" s="191">
        <v>188.31</v>
      </c>
      <c r="K392" s="191">
        <v>210.87</v>
      </c>
      <c r="L392" s="199" t="s">
        <v>385</v>
      </c>
      <c r="M392" s="211" t="s">
        <v>1772</v>
      </c>
      <c r="N392" s="185" t="s">
        <v>400</v>
      </c>
      <c r="O392" s="185" t="s">
        <v>309</v>
      </c>
      <c r="P392" s="185" t="s">
        <v>495</v>
      </c>
      <c r="Q392" s="185"/>
      <c r="R392" s="185" t="s">
        <v>381</v>
      </c>
      <c r="S392" s="185" t="s">
        <v>295</v>
      </c>
      <c r="T392" s="217" t="s">
        <v>379</v>
      </c>
    </row>
    <row r="393" spans="1:20" outlineLevel="1">
      <c r="A393" s="199" t="s">
        <v>255</v>
      </c>
      <c r="B393" s="181" t="s">
        <v>1575</v>
      </c>
      <c r="C393" s="190">
        <v>43703</v>
      </c>
      <c r="D393" s="181" t="s">
        <v>1836</v>
      </c>
      <c r="E393" s="182" t="s">
        <v>1937</v>
      </c>
      <c r="F393" s="183">
        <v>76927</v>
      </c>
      <c r="G393" s="184">
        <v>441.02</v>
      </c>
      <c r="H393" s="181">
        <v>538.84</v>
      </c>
      <c r="I393" s="181" t="s">
        <v>292</v>
      </c>
      <c r="J393" s="191">
        <v>481.19</v>
      </c>
      <c r="K393" s="191">
        <v>538.83000000000004</v>
      </c>
      <c r="L393" s="199" t="s">
        <v>385</v>
      </c>
      <c r="M393" s="211" t="s">
        <v>1772</v>
      </c>
      <c r="N393" s="185" t="s">
        <v>400</v>
      </c>
      <c r="O393" s="185" t="s">
        <v>309</v>
      </c>
      <c r="P393" s="185" t="s">
        <v>497</v>
      </c>
      <c r="Q393" s="185"/>
      <c r="R393" s="185" t="s">
        <v>381</v>
      </c>
      <c r="S393" s="185" t="s">
        <v>295</v>
      </c>
      <c r="T393" s="217" t="s">
        <v>379</v>
      </c>
    </row>
    <row r="394" spans="1:20" outlineLevel="1">
      <c r="A394" s="199" t="s">
        <v>255</v>
      </c>
      <c r="B394" s="181" t="s">
        <v>1575</v>
      </c>
      <c r="C394" s="190">
        <v>43703</v>
      </c>
      <c r="D394" s="181" t="s">
        <v>1836</v>
      </c>
      <c r="E394" s="182" t="s">
        <v>1938</v>
      </c>
      <c r="F394" s="183">
        <v>76927</v>
      </c>
      <c r="G394" s="184">
        <v>769.17</v>
      </c>
      <c r="H394" s="181">
        <v>939.76</v>
      </c>
      <c r="I394" s="181" t="s">
        <v>292</v>
      </c>
      <c r="J394" s="191">
        <v>839.21</v>
      </c>
      <c r="K394" s="191">
        <v>939.77</v>
      </c>
      <c r="L394" s="199" t="s">
        <v>385</v>
      </c>
      <c r="M394" s="211" t="s">
        <v>1772</v>
      </c>
      <c r="N394" s="185" t="s">
        <v>400</v>
      </c>
      <c r="O394" s="185" t="s">
        <v>309</v>
      </c>
      <c r="P394" s="185" t="s">
        <v>499</v>
      </c>
      <c r="Q394" s="185"/>
      <c r="R394" s="185" t="s">
        <v>381</v>
      </c>
      <c r="S394" s="185" t="s">
        <v>295</v>
      </c>
      <c r="T394" s="217" t="s">
        <v>379</v>
      </c>
    </row>
    <row r="395" spans="1:20" outlineLevel="1">
      <c r="A395" s="199" t="s">
        <v>255</v>
      </c>
      <c r="B395" s="181" t="s">
        <v>1575</v>
      </c>
      <c r="C395" s="190">
        <v>43703</v>
      </c>
      <c r="D395" s="181" t="s">
        <v>1836</v>
      </c>
      <c r="E395" s="182" t="s">
        <v>1939</v>
      </c>
      <c r="F395" s="183">
        <v>76927</v>
      </c>
      <c r="G395" s="184">
        <v>428.43</v>
      </c>
      <c r="H395" s="181">
        <v>523.45000000000005</v>
      </c>
      <c r="I395" s="181" t="s">
        <v>292</v>
      </c>
      <c r="J395" s="191">
        <v>467.45</v>
      </c>
      <c r="K395" s="191">
        <v>523.45000000000005</v>
      </c>
      <c r="L395" s="199" t="s">
        <v>385</v>
      </c>
      <c r="M395" s="211" t="s">
        <v>1772</v>
      </c>
      <c r="N395" s="185" t="s">
        <v>400</v>
      </c>
      <c r="O395" s="185" t="s">
        <v>309</v>
      </c>
      <c r="P395" s="185" t="s">
        <v>491</v>
      </c>
      <c r="Q395" s="185"/>
      <c r="R395" s="185" t="s">
        <v>381</v>
      </c>
      <c r="S395" s="185" t="s">
        <v>295</v>
      </c>
      <c r="T395" s="217" t="s">
        <v>379</v>
      </c>
    </row>
    <row r="396" spans="1:20" outlineLevel="1">
      <c r="A396" s="199" t="s">
        <v>255</v>
      </c>
      <c r="B396" s="181" t="s">
        <v>1575</v>
      </c>
      <c r="C396" s="190">
        <v>43703</v>
      </c>
      <c r="D396" s="181" t="s">
        <v>1836</v>
      </c>
      <c r="E396" s="182" t="s">
        <v>1940</v>
      </c>
      <c r="F396" s="183">
        <v>76927</v>
      </c>
      <c r="G396" s="184">
        <v>133.80000000000001</v>
      </c>
      <c r="H396" s="181">
        <v>163.47</v>
      </c>
      <c r="I396" s="181" t="s">
        <v>292</v>
      </c>
      <c r="J396" s="191">
        <v>145.97999999999999</v>
      </c>
      <c r="K396" s="191">
        <v>163.47999999999999</v>
      </c>
      <c r="L396" s="199" t="s">
        <v>385</v>
      </c>
      <c r="M396" s="211" t="s">
        <v>1772</v>
      </c>
      <c r="N396" s="185" t="s">
        <v>400</v>
      </c>
      <c r="O396" s="185" t="s">
        <v>309</v>
      </c>
      <c r="P396" s="185" t="s">
        <v>493</v>
      </c>
      <c r="Q396" s="185"/>
      <c r="R396" s="185" t="s">
        <v>381</v>
      </c>
      <c r="S396" s="185" t="s">
        <v>295</v>
      </c>
      <c r="T396" s="217" t="s">
        <v>379</v>
      </c>
    </row>
    <row r="397" spans="1:20" outlineLevel="1">
      <c r="A397" s="199" t="s">
        <v>255</v>
      </c>
      <c r="B397" s="181" t="s">
        <v>1575</v>
      </c>
      <c r="C397" s="190">
        <v>43700</v>
      </c>
      <c r="D397" s="181" t="s">
        <v>1784</v>
      </c>
      <c r="E397" s="182" t="s">
        <v>1941</v>
      </c>
      <c r="F397" s="183">
        <v>76932</v>
      </c>
      <c r="G397" s="184">
        <v>68.2</v>
      </c>
      <c r="H397" s="181">
        <v>83.33</v>
      </c>
      <c r="I397" s="181" t="s">
        <v>292</v>
      </c>
      <c r="J397" s="191">
        <v>74.41</v>
      </c>
      <c r="K397" s="191">
        <v>83.33</v>
      </c>
      <c r="L397" s="199" t="s">
        <v>385</v>
      </c>
      <c r="M397" s="211" t="s">
        <v>1772</v>
      </c>
      <c r="N397" s="185" t="s">
        <v>396</v>
      </c>
      <c r="O397" s="185" t="s">
        <v>309</v>
      </c>
      <c r="P397" s="185" t="s">
        <v>908</v>
      </c>
      <c r="Q397" s="185"/>
      <c r="R397" s="185" t="s">
        <v>381</v>
      </c>
      <c r="S397" s="185" t="s">
        <v>295</v>
      </c>
      <c r="T397" s="217" t="s">
        <v>379</v>
      </c>
    </row>
    <row r="398" spans="1:20" outlineLevel="1">
      <c r="A398" s="199" t="s">
        <v>255</v>
      </c>
      <c r="B398" s="181" t="s">
        <v>1575</v>
      </c>
      <c r="C398" s="190">
        <v>43700</v>
      </c>
      <c r="D398" s="181" t="s">
        <v>1784</v>
      </c>
      <c r="E398" s="182" t="s">
        <v>1942</v>
      </c>
      <c r="F398" s="183">
        <v>76932</v>
      </c>
      <c r="G398" s="184">
        <v>93.88</v>
      </c>
      <c r="H398" s="181">
        <v>114.7</v>
      </c>
      <c r="I398" s="181" t="s">
        <v>292</v>
      </c>
      <c r="J398" s="191">
        <v>102.43</v>
      </c>
      <c r="K398" s="191">
        <v>114.7</v>
      </c>
      <c r="L398" s="199" t="s">
        <v>385</v>
      </c>
      <c r="M398" s="211" t="s">
        <v>1772</v>
      </c>
      <c r="N398" s="185" t="s">
        <v>396</v>
      </c>
      <c r="O398" s="185" t="s">
        <v>309</v>
      </c>
      <c r="P398" s="185" t="s">
        <v>487</v>
      </c>
      <c r="Q398" s="185"/>
      <c r="R398" s="185" t="s">
        <v>381</v>
      </c>
      <c r="S398" s="185" t="s">
        <v>295</v>
      </c>
      <c r="T398" s="217" t="s">
        <v>379</v>
      </c>
    </row>
    <row r="399" spans="1:20" outlineLevel="1">
      <c r="A399" s="199" t="s">
        <v>255</v>
      </c>
      <c r="B399" s="181" t="s">
        <v>1575</v>
      </c>
      <c r="C399" s="190">
        <v>43700</v>
      </c>
      <c r="D399" s="181" t="s">
        <v>1784</v>
      </c>
      <c r="E399" s="182" t="s">
        <v>1943</v>
      </c>
      <c r="F399" s="183">
        <v>76932</v>
      </c>
      <c r="G399" s="184">
        <v>63.26</v>
      </c>
      <c r="H399" s="181">
        <v>77.290000000000006</v>
      </c>
      <c r="I399" s="181" t="s">
        <v>292</v>
      </c>
      <c r="J399" s="191">
        <v>69.02</v>
      </c>
      <c r="K399" s="191">
        <v>77.290000000000006</v>
      </c>
      <c r="L399" s="199" t="s">
        <v>385</v>
      </c>
      <c r="M399" s="211" t="s">
        <v>1772</v>
      </c>
      <c r="N399" s="185" t="s">
        <v>396</v>
      </c>
      <c r="O399" s="185" t="s">
        <v>309</v>
      </c>
      <c r="P399" s="185" t="s">
        <v>628</v>
      </c>
      <c r="Q399" s="185"/>
      <c r="R399" s="185" t="s">
        <v>381</v>
      </c>
      <c r="S399" s="185" t="s">
        <v>295</v>
      </c>
      <c r="T399" s="217" t="s">
        <v>379</v>
      </c>
    </row>
    <row r="400" spans="1:20" outlineLevel="1">
      <c r="A400" s="199" t="s">
        <v>255</v>
      </c>
      <c r="B400" s="181" t="s">
        <v>1575</v>
      </c>
      <c r="C400" s="190">
        <v>43700</v>
      </c>
      <c r="D400" s="181" t="s">
        <v>1784</v>
      </c>
      <c r="E400" s="182" t="s">
        <v>1944</v>
      </c>
      <c r="F400" s="183">
        <v>76932</v>
      </c>
      <c r="G400" s="184">
        <v>157.1</v>
      </c>
      <c r="H400" s="181">
        <v>191.94</v>
      </c>
      <c r="I400" s="181" t="s">
        <v>292</v>
      </c>
      <c r="J400" s="191">
        <v>171.4</v>
      </c>
      <c r="K400" s="191">
        <v>191.94</v>
      </c>
      <c r="L400" s="199" t="s">
        <v>385</v>
      </c>
      <c r="M400" s="211" t="s">
        <v>1772</v>
      </c>
      <c r="N400" s="185" t="s">
        <v>396</v>
      </c>
      <c r="O400" s="185" t="s">
        <v>309</v>
      </c>
      <c r="P400" s="185" t="s">
        <v>915</v>
      </c>
      <c r="Q400" s="185"/>
      <c r="R400" s="185" t="s">
        <v>381</v>
      </c>
      <c r="S400" s="185" t="s">
        <v>295</v>
      </c>
      <c r="T400" s="217" t="s">
        <v>379</v>
      </c>
    </row>
    <row r="401" spans="1:20" outlineLevel="1">
      <c r="A401" s="199" t="s">
        <v>255</v>
      </c>
      <c r="B401" s="181" t="s">
        <v>1575</v>
      </c>
      <c r="C401" s="190">
        <v>43700</v>
      </c>
      <c r="D401" s="181" t="s">
        <v>1784</v>
      </c>
      <c r="E401" s="182" t="s">
        <v>1945</v>
      </c>
      <c r="F401" s="183">
        <v>76932</v>
      </c>
      <c r="G401" s="184">
        <v>54.87</v>
      </c>
      <c r="H401" s="181">
        <v>67.040000000000006</v>
      </c>
      <c r="I401" s="181" t="s">
        <v>292</v>
      </c>
      <c r="J401" s="191">
        <v>59.87</v>
      </c>
      <c r="K401" s="191">
        <v>67.040000000000006</v>
      </c>
      <c r="L401" s="199" t="s">
        <v>385</v>
      </c>
      <c r="M401" s="211" t="s">
        <v>1772</v>
      </c>
      <c r="N401" s="185" t="s">
        <v>396</v>
      </c>
      <c r="O401" s="185" t="s">
        <v>309</v>
      </c>
      <c r="P401" s="185" t="s">
        <v>489</v>
      </c>
      <c r="Q401" s="185"/>
      <c r="R401" s="185" t="s">
        <v>381</v>
      </c>
      <c r="S401" s="185" t="s">
        <v>295</v>
      </c>
      <c r="T401" s="217" t="s">
        <v>379</v>
      </c>
    </row>
    <row r="402" spans="1:20" outlineLevel="1">
      <c r="A402" s="199" t="s">
        <v>255</v>
      </c>
      <c r="B402" s="181" t="s">
        <v>1575</v>
      </c>
      <c r="C402" s="190">
        <v>43700</v>
      </c>
      <c r="D402" s="181" t="s">
        <v>1786</v>
      </c>
      <c r="E402" s="182" t="s">
        <v>1946</v>
      </c>
      <c r="F402" s="183">
        <v>76932</v>
      </c>
      <c r="G402" s="184">
        <v>5.72</v>
      </c>
      <c r="H402" s="181">
        <v>6.99</v>
      </c>
      <c r="I402" s="181" t="s">
        <v>292</v>
      </c>
      <c r="J402" s="191">
        <v>6.24</v>
      </c>
      <c r="K402" s="191">
        <v>6.99</v>
      </c>
      <c r="L402" s="199" t="s">
        <v>385</v>
      </c>
      <c r="M402" s="211" t="s">
        <v>1772</v>
      </c>
      <c r="N402" s="185" t="s">
        <v>396</v>
      </c>
      <c r="O402" s="185" t="s">
        <v>309</v>
      </c>
      <c r="P402" s="185" t="s">
        <v>908</v>
      </c>
      <c r="Q402" s="185"/>
      <c r="R402" s="185" t="s">
        <v>381</v>
      </c>
      <c r="S402" s="185" t="s">
        <v>295</v>
      </c>
      <c r="T402" s="217" t="s">
        <v>379</v>
      </c>
    </row>
    <row r="403" spans="1:20" outlineLevel="1">
      <c r="A403" s="199" t="s">
        <v>255</v>
      </c>
      <c r="B403" s="181" t="s">
        <v>1575</v>
      </c>
      <c r="C403" s="190">
        <v>43700</v>
      </c>
      <c r="D403" s="181" t="s">
        <v>1786</v>
      </c>
      <c r="E403" s="182" t="s">
        <v>1947</v>
      </c>
      <c r="F403" s="183">
        <v>76932</v>
      </c>
      <c r="G403" s="184">
        <v>7.57</v>
      </c>
      <c r="H403" s="181">
        <v>9.25</v>
      </c>
      <c r="I403" s="181" t="s">
        <v>292</v>
      </c>
      <c r="J403" s="191">
        <v>8.26</v>
      </c>
      <c r="K403" s="191">
        <v>9.25</v>
      </c>
      <c r="L403" s="199" t="s">
        <v>385</v>
      </c>
      <c r="M403" s="211" t="s">
        <v>1772</v>
      </c>
      <c r="N403" s="185" t="s">
        <v>396</v>
      </c>
      <c r="O403" s="185" t="s">
        <v>309</v>
      </c>
      <c r="P403" s="185" t="s">
        <v>487</v>
      </c>
      <c r="Q403" s="185"/>
      <c r="R403" s="185" t="s">
        <v>381</v>
      </c>
      <c r="S403" s="185" t="s">
        <v>295</v>
      </c>
      <c r="T403" s="217" t="s">
        <v>379</v>
      </c>
    </row>
    <row r="404" spans="1:20" outlineLevel="1">
      <c r="A404" s="199" t="s">
        <v>255</v>
      </c>
      <c r="B404" s="181" t="s">
        <v>1575</v>
      </c>
      <c r="C404" s="190">
        <v>43700</v>
      </c>
      <c r="D404" s="181" t="s">
        <v>1786</v>
      </c>
      <c r="E404" s="182" t="s">
        <v>1948</v>
      </c>
      <c r="F404" s="183">
        <v>76932</v>
      </c>
      <c r="G404" s="184">
        <v>5.82</v>
      </c>
      <c r="H404" s="181">
        <v>7.11</v>
      </c>
      <c r="I404" s="181" t="s">
        <v>292</v>
      </c>
      <c r="J404" s="191">
        <v>6.35</v>
      </c>
      <c r="K404" s="191">
        <v>7.11</v>
      </c>
      <c r="L404" s="199" t="s">
        <v>385</v>
      </c>
      <c r="M404" s="211" t="s">
        <v>1772</v>
      </c>
      <c r="N404" s="185" t="s">
        <v>396</v>
      </c>
      <c r="O404" s="185" t="s">
        <v>309</v>
      </c>
      <c r="P404" s="185" t="s">
        <v>628</v>
      </c>
      <c r="Q404" s="185"/>
      <c r="R404" s="185" t="s">
        <v>381</v>
      </c>
      <c r="S404" s="185" t="s">
        <v>295</v>
      </c>
      <c r="T404" s="217" t="s">
        <v>379</v>
      </c>
    </row>
    <row r="405" spans="1:20" outlineLevel="1">
      <c r="A405" s="199" t="s">
        <v>255</v>
      </c>
      <c r="B405" s="181" t="s">
        <v>1575</v>
      </c>
      <c r="C405" s="190">
        <v>43700</v>
      </c>
      <c r="D405" s="181" t="s">
        <v>1786</v>
      </c>
      <c r="E405" s="182" t="s">
        <v>1949</v>
      </c>
      <c r="F405" s="183">
        <v>76932</v>
      </c>
      <c r="G405" s="184">
        <v>33.56</v>
      </c>
      <c r="H405" s="181">
        <v>41</v>
      </c>
      <c r="I405" s="181" t="s">
        <v>292</v>
      </c>
      <c r="J405" s="191">
        <v>36.61</v>
      </c>
      <c r="K405" s="191">
        <v>41</v>
      </c>
      <c r="L405" s="199" t="s">
        <v>385</v>
      </c>
      <c r="M405" s="211" t="s">
        <v>1772</v>
      </c>
      <c r="N405" s="185" t="s">
        <v>396</v>
      </c>
      <c r="O405" s="185" t="s">
        <v>309</v>
      </c>
      <c r="P405" s="185" t="s">
        <v>501</v>
      </c>
      <c r="Q405" s="185"/>
      <c r="R405" s="185" t="s">
        <v>381</v>
      </c>
      <c r="S405" s="185" t="s">
        <v>295</v>
      </c>
      <c r="T405" s="217" t="s">
        <v>379</v>
      </c>
    </row>
    <row r="406" spans="1:20" outlineLevel="1">
      <c r="A406" s="199" t="s">
        <v>255</v>
      </c>
      <c r="B406" s="181" t="s">
        <v>1575</v>
      </c>
      <c r="C406" s="190">
        <v>43700</v>
      </c>
      <c r="D406" s="181" t="s">
        <v>1786</v>
      </c>
      <c r="E406" s="182" t="s">
        <v>1950</v>
      </c>
      <c r="F406" s="183">
        <v>76932</v>
      </c>
      <c r="G406" s="184">
        <v>6.2</v>
      </c>
      <c r="H406" s="181">
        <v>7.57</v>
      </c>
      <c r="I406" s="181" t="s">
        <v>292</v>
      </c>
      <c r="J406" s="191">
        <v>6.76</v>
      </c>
      <c r="K406" s="191">
        <v>7.58</v>
      </c>
      <c r="L406" s="199" t="s">
        <v>385</v>
      </c>
      <c r="M406" s="211" t="s">
        <v>1772</v>
      </c>
      <c r="N406" s="185" t="s">
        <v>396</v>
      </c>
      <c r="O406" s="185" t="s">
        <v>309</v>
      </c>
      <c r="P406" s="185" t="s">
        <v>489</v>
      </c>
      <c r="Q406" s="185"/>
      <c r="R406" s="185" t="s">
        <v>381</v>
      </c>
      <c r="S406" s="185" t="s">
        <v>295</v>
      </c>
      <c r="T406" s="217" t="s">
        <v>379</v>
      </c>
    </row>
    <row r="407" spans="1:20" outlineLevel="1">
      <c r="A407" s="199" t="s">
        <v>255</v>
      </c>
      <c r="B407" s="181" t="s">
        <v>1575</v>
      </c>
      <c r="C407" s="190">
        <v>43700</v>
      </c>
      <c r="D407" s="181" t="s">
        <v>1788</v>
      </c>
      <c r="E407" s="182" t="s">
        <v>1951</v>
      </c>
      <c r="F407" s="183">
        <v>76932</v>
      </c>
      <c r="G407" s="184">
        <v>35.31</v>
      </c>
      <c r="H407" s="181">
        <v>43.14</v>
      </c>
      <c r="I407" s="181" t="s">
        <v>292</v>
      </c>
      <c r="J407" s="191">
        <v>38.520000000000003</v>
      </c>
      <c r="K407" s="191">
        <v>43.14</v>
      </c>
      <c r="L407" s="199" t="s">
        <v>391</v>
      </c>
      <c r="M407" s="211" t="s">
        <v>1777</v>
      </c>
      <c r="N407" s="185" t="s">
        <v>396</v>
      </c>
      <c r="O407" s="185" t="s">
        <v>309</v>
      </c>
      <c r="P407" s="185" t="s">
        <v>501</v>
      </c>
      <c r="Q407" s="185"/>
      <c r="R407" s="185" t="s">
        <v>381</v>
      </c>
      <c r="S407" s="185" t="s">
        <v>295</v>
      </c>
      <c r="T407" s="217" t="s">
        <v>379</v>
      </c>
    </row>
    <row r="408" spans="1:20" outlineLevel="1">
      <c r="A408" s="199" t="s">
        <v>255</v>
      </c>
      <c r="B408" s="181" t="s">
        <v>1575</v>
      </c>
      <c r="C408" s="190">
        <v>43700</v>
      </c>
      <c r="D408" s="181" t="s">
        <v>1788</v>
      </c>
      <c r="E408" s="182" t="s">
        <v>1952</v>
      </c>
      <c r="F408" s="183">
        <v>76932</v>
      </c>
      <c r="G408" s="184">
        <v>8.59</v>
      </c>
      <c r="H408" s="181">
        <v>10.49</v>
      </c>
      <c r="I408" s="181" t="s">
        <v>292</v>
      </c>
      <c r="J408" s="191">
        <v>9.3699999999999992</v>
      </c>
      <c r="K408" s="191">
        <v>10.5</v>
      </c>
      <c r="L408" s="199" t="s">
        <v>391</v>
      </c>
      <c r="M408" s="211" t="s">
        <v>1777</v>
      </c>
      <c r="N408" s="185" t="s">
        <v>396</v>
      </c>
      <c r="O408" s="185" t="s">
        <v>309</v>
      </c>
      <c r="P408" s="185" t="s">
        <v>489</v>
      </c>
      <c r="Q408" s="185"/>
      <c r="R408" s="185" t="s">
        <v>381</v>
      </c>
      <c r="S408" s="185" t="s">
        <v>295</v>
      </c>
      <c r="T408" s="217" t="s">
        <v>379</v>
      </c>
    </row>
    <row r="409" spans="1:20" outlineLevel="1">
      <c r="A409" s="199" t="s">
        <v>255</v>
      </c>
      <c r="B409" s="181" t="s">
        <v>1575</v>
      </c>
      <c r="C409" s="190">
        <v>43700</v>
      </c>
      <c r="D409" s="181" t="s">
        <v>1788</v>
      </c>
      <c r="E409" s="182" t="s">
        <v>1953</v>
      </c>
      <c r="F409" s="183">
        <v>76932</v>
      </c>
      <c r="G409" s="184">
        <v>8.92</v>
      </c>
      <c r="H409" s="181">
        <v>10.9</v>
      </c>
      <c r="I409" s="181" t="s">
        <v>292</v>
      </c>
      <c r="J409" s="191">
        <v>9.73</v>
      </c>
      <c r="K409" s="191">
        <v>10.9</v>
      </c>
      <c r="L409" s="199" t="s">
        <v>391</v>
      </c>
      <c r="M409" s="211" t="s">
        <v>1777</v>
      </c>
      <c r="N409" s="185" t="s">
        <v>396</v>
      </c>
      <c r="O409" s="185" t="s">
        <v>309</v>
      </c>
      <c r="P409" s="185" t="s">
        <v>908</v>
      </c>
      <c r="Q409" s="185"/>
      <c r="R409" s="185" t="s">
        <v>381</v>
      </c>
      <c r="S409" s="185" t="s">
        <v>295</v>
      </c>
      <c r="T409" s="217" t="s">
        <v>379</v>
      </c>
    </row>
    <row r="410" spans="1:20" outlineLevel="1">
      <c r="A410" s="199" t="s">
        <v>255</v>
      </c>
      <c r="B410" s="181" t="s">
        <v>1575</v>
      </c>
      <c r="C410" s="190">
        <v>43700</v>
      </c>
      <c r="D410" s="181" t="s">
        <v>1788</v>
      </c>
      <c r="E410" s="182" t="s">
        <v>1954</v>
      </c>
      <c r="F410" s="183">
        <v>76932</v>
      </c>
      <c r="G410" s="184">
        <v>12.28</v>
      </c>
      <c r="H410" s="181">
        <v>15</v>
      </c>
      <c r="I410" s="181" t="s">
        <v>292</v>
      </c>
      <c r="J410" s="191">
        <v>13.4</v>
      </c>
      <c r="K410" s="191">
        <v>15</v>
      </c>
      <c r="L410" s="199" t="s">
        <v>391</v>
      </c>
      <c r="M410" s="211" t="s">
        <v>1777</v>
      </c>
      <c r="N410" s="185" t="s">
        <v>396</v>
      </c>
      <c r="O410" s="185" t="s">
        <v>309</v>
      </c>
      <c r="P410" s="185" t="s">
        <v>487</v>
      </c>
      <c r="Q410" s="185"/>
      <c r="R410" s="185" t="s">
        <v>381</v>
      </c>
      <c r="S410" s="185" t="s">
        <v>295</v>
      </c>
      <c r="T410" s="217" t="s">
        <v>379</v>
      </c>
    </row>
    <row r="411" spans="1:20" outlineLevel="1">
      <c r="A411" s="199" t="s">
        <v>255</v>
      </c>
      <c r="B411" s="181" t="s">
        <v>1575</v>
      </c>
      <c r="C411" s="190">
        <v>43700</v>
      </c>
      <c r="D411" s="181" t="s">
        <v>1788</v>
      </c>
      <c r="E411" s="182" t="s">
        <v>1955</v>
      </c>
      <c r="F411" s="183">
        <v>76932</v>
      </c>
      <c r="G411" s="184">
        <v>8.92</v>
      </c>
      <c r="H411" s="181">
        <v>10.9</v>
      </c>
      <c r="I411" s="181" t="s">
        <v>292</v>
      </c>
      <c r="J411" s="191">
        <v>9.73</v>
      </c>
      <c r="K411" s="191">
        <v>10.9</v>
      </c>
      <c r="L411" s="199" t="s">
        <v>391</v>
      </c>
      <c r="M411" s="211" t="s">
        <v>1777</v>
      </c>
      <c r="N411" s="185" t="s">
        <v>396</v>
      </c>
      <c r="O411" s="185" t="s">
        <v>309</v>
      </c>
      <c r="P411" s="185" t="s">
        <v>628</v>
      </c>
      <c r="Q411" s="185"/>
      <c r="R411" s="185" t="s">
        <v>381</v>
      </c>
      <c r="S411" s="185" t="s">
        <v>295</v>
      </c>
      <c r="T411" s="217" t="s">
        <v>379</v>
      </c>
    </row>
    <row r="412" spans="1:20" outlineLevel="1">
      <c r="A412" s="199" t="s">
        <v>255</v>
      </c>
      <c r="B412" s="181" t="s">
        <v>1575</v>
      </c>
      <c r="C412" s="190">
        <v>43700</v>
      </c>
      <c r="D412" s="181" t="s">
        <v>1788</v>
      </c>
      <c r="E412" s="182" t="s">
        <v>1956</v>
      </c>
      <c r="F412" s="183">
        <v>76932</v>
      </c>
      <c r="G412" s="184">
        <v>18.54</v>
      </c>
      <c r="H412" s="181">
        <v>22.65</v>
      </c>
      <c r="I412" s="181" t="s">
        <v>292</v>
      </c>
      <c r="J412" s="191">
        <v>20.23</v>
      </c>
      <c r="K412" s="191">
        <v>22.65</v>
      </c>
      <c r="L412" s="199" t="s">
        <v>391</v>
      </c>
      <c r="M412" s="211" t="s">
        <v>1777</v>
      </c>
      <c r="N412" s="185" t="s">
        <v>396</v>
      </c>
      <c r="O412" s="185" t="s">
        <v>309</v>
      </c>
      <c r="P412" s="185" t="s">
        <v>915</v>
      </c>
      <c r="Q412" s="185"/>
      <c r="R412" s="185" t="s">
        <v>381</v>
      </c>
      <c r="S412" s="185" t="s">
        <v>295</v>
      </c>
      <c r="T412" s="217" t="s">
        <v>379</v>
      </c>
    </row>
    <row r="413" spans="1:20" outlineLevel="1">
      <c r="A413" s="199" t="s">
        <v>255</v>
      </c>
      <c r="B413" s="181" t="s">
        <v>1575</v>
      </c>
      <c r="C413" s="190">
        <v>43703</v>
      </c>
      <c r="D413" s="181" t="s">
        <v>1838</v>
      </c>
      <c r="E413" s="182" t="s">
        <v>1957</v>
      </c>
      <c r="F413" s="183">
        <v>76927</v>
      </c>
      <c r="G413" s="184">
        <v>21.04</v>
      </c>
      <c r="H413" s="181">
        <v>25.71</v>
      </c>
      <c r="I413" s="181" t="s">
        <v>292</v>
      </c>
      <c r="J413" s="191">
        <v>22.96</v>
      </c>
      <c r="K413" s="191">
        <v>25.71</v>
      </c>
      <c r="L413" s="199" t="s">
        <v>391</v>
      </c>
      <c r="M413" s="211" t="s">
        <v>1777</v>
      </c>
      <c r="N413" s="185" t="s">
        <v>400</v>
      </c>
      <c r="O413" s="185" t="s">
        <v>309</v>
      </c>
      <c r="P413" s="185" t="s">
        <v>495</v>
      </c>
      <c r="Q413" s="185"/>
      <c r="R413" s="185" t="s">
        <v>381</v>
      </c>
      <c r="S413" s="185" t="s">
        <v>295</v>
      </c>
      <c r="T413" s="217" t="s">
        <v>379</v>
      </c>
    </row>
    <row r="414" spans="1:20" outlineLevel="1">
      <c r="A414" s="199" t="s">
        <v>255</v>
      </c>
      <c r="B414" s="181" t="s">
        <v>1575</v>
      </c>
      <c r="C414" s="190">
        <v>43703</v>
      </c>
      <c r="D414" s="181" t="s">
        <v>1838</v>
      </c>
      <c r="E414" s="182" t="s">
        <v>1958</v>
      </c>
      <c r="F414" s="183">
        <v>76927</v>
      </c>
      <c r="G414" s="184">
        <v>59.64</v>
      </c>
      <c r="H414" s="181">
        <v>72.87</v>
      </c>
      <c r="I414" s="181" t="s">
        <v>292</v>
      </c>
      <c r="J414" s="191">
        <v>65.069999999999993</v>
      </c>
      <c r="K414" s="191">
        <v>72.87</v>
      </c>
      <c r="L414" s="199" t="s">
        <v>391</v>
      </c>
      <c r="M414" s="211" t="s">
        <v>1777</v>
      </c>
      <c r="N414" s="185" t="s">
        <v>400</v>
      </c>
      <c r="O414" s="185" t="s">
        <v>309</v>
      </c>
      <c r="P414" s="185" t="s">
        <v>497</v>
      </c>
      <c r="Q414" s="185"/>
      <c r="R414" s="185" t="s">
        <v>381</v>
      </c>
      <c r="S414" s="185" t="s">
        <v>295</v>
      </c>
      <c r="T414" s="217" t="s">
        <v>379</v>
      </c>
    </row>
    <row r="415" spans="1:20" outlineLevel="1">
      <c r="A415" s="199" t="s">
        <v>255</v>
      </c>
      <c r="B415" s="181" t="s">
        <v>1575</v>
      </c>
      <c r="C415" s="190">
        <v>43703</v>
      </c>
      <c r="D415" s="181" t="s">
        <v>1838</v>
      </c>
      <c r="E415" s="182" t="s">
        <v>1959</v>
      </c>
      <c r="F415" s="183">
        <v>76927</v>
      </c>
      <c r="G415" s="184">
        <v>108.39</v>
      </c>
      <c r="H415" s="181">
        <v>132.43</v>
      </c>
      <c r="I415" s="181" t="s">
        <v>292</v>
      </c>
      <c r="J415" s="191">
        <v>118.26</v>
      </c>
      <c r="K415" s="191">
        <v>132.43</v>
      </c>
      <c r="L415" s="199" t="s">
        <v>391</v>
      </c>
      <c r="M415" s="211" t="s">
        <v>1777</v>
      </c>
      <c r="N415" s="185" t="s">
        <v>400</v>
      </c>
      <c r="O415" s="185" t="s">
        <v>309</v>
      </c>
      <c r="P415" s="185" t="s">
        <v>499</v>
      </c>
      <c r="Q415" s="185"/>
      <c r="R415" s="185" t="s">
        <v>381</v>
      </c>
      <c r="S415" s="185" t="s">
        <v>295</v>
      </c>
      <c r="T415" s="217" t="s">
        <v>379</v>
      </c>
    </row>
    <row r="416" spans="1:20" outlineLevel="1">
      <c r="A416" s="199" t="s">
        <v>255</v>
      </c>
      <c r="B416" s="181" t="s">
        <v>1575</v>
      </c>
      <c r="C416" s="190">
        <v>43703</v>
      </c>
      <c r="D416" s="181" t="s">
        <v>1838</v>
      </c>
      <c r="E416" s="182" t="s">
        <v>1960</v>
      </c>
      <c r="F416" s="183">
        <v>76927</v>
      </c>
      <c r="G416" s="184">
        <v>58.68</v>
      </c>
      <c r="H416" s="181">
        <v>71.69</v>
      </c>
      <c r="I416" s="181" t="s">
        <v>292</v>
      </c>
      <c r="J416" s="191">
        <v>64.02</v>
      </c>
      <c r="K416" s="191">
        <v>71.69</v>
      </c>
      <c r="L416" s="199" t="s">
        <v>391</v>
      </c>
      <c r="M416" s="211" t="s">
        <v>1777</v>
      </c>
      <c r="N416" s="185" t="s">
        <v>400</v>
      </c>
      <c r="O416" s="185" t="s">
        <v>309</v>
      </c>
      <c r="P416" s="185" t="s">
        <v>491</v>
      </c>
      <c r="Q416" s="185"/>
      <c r="R416" s="185" t="s">
        <v>381</v>
      </c>
      <c r="S416" s="185" t="s">
        <v>295</v>
      </c>
      <c r="T416" s="217" t="s">
        <v>379</v>
      </c>
    </row>
    <row r="417" spans="1:20" outlineLevel="1">
      <c r="A417" s="199" t="s">
        <v>255</v>
      </c>
      <c r="B417" s="181" t="s">
        <v>1575</v>
      </c>
      <c r="C417" s="190">
        <v>43703</v>
      </c>
      <c r="D417" s="181" t="s">
        <v>1838</v>
      </c>
      <c r="E417" s="182" t="s">
        <v>1961</v>
      </c>
      <c r="F417" s="183">
        <v>76927</v>
      </c>
      <c r="G417" s="184">
        <v>15.4</v>
      </c>
      <c r="H417" s="181">
        <v>18.82</v>
      </c>
      <c r="I417" s="181" t="s">
        <v>292</v>
      </c>
      <c r="J417" s="191">
        <v>16.809999999999999</v>
      </c>
      <c r="K417" s="191">
        <v>18.82</v>
      </c>
      <c r="L417" s="199" t="s">
        <v>391</v>
      </c>
      <c r="M417" s="211" t="s">
        <v>1777</v>
      </c>
      <c r="N417" s="185" t="s">
        <v>400</v>
      </c>
      <c r="O417" s="185" t="s">
        <v>309</v>
      </c>
      <c r="P417" s="185" t="s">
        <v>493</v>
      </c>
      <c r="Q417" s="185"/>
      <c r="R417" s="185" t="s">
        <v>381</v>
      </c>
      <c r="S417" s="185" t="s">
        <v>295</v>
      </c>
      <c r="T417" s="217" t="s">
        <v>379</v>
      </c>
    </row>
    <row r="418" spans="1:20" outlineLevel="1">
      <c r="A418" s="199" t="s">
        <v>255</v>
      </c>
      <c r="B418" s="181" t="s">
        <v>1575</v>
      </c>
      <c r="C418" s="190">
        <v>43700</v>
      </c>
      <c r="D418" s="181" t="s">
        <v>1790</v>
      </c>
      <c r="E418" s="182" t="s">
        <v>1962</v>
      </c>
      <c r="F418" s="183">
        <v>76932</v>
      </c>
      <c r="G418" s="184">
        <v>1.49</v>
      </c>
      <c r="H418" s="181">
        <v>1.82</v>
      </c>
      <c r="I418" s="181" t="s">
        <v>292</v>
      </c>
      <c r="J418" s="191">
        <v>1.63</v>
      </c>
      <c r="K418" s="191">
        <v>1.82</v>
      </c>
      <c r="L418" s="199" t="s">
        <v>405</v>
      </c>
      <c r="M418" s="211" t="s">
        <v>1780</v>
      </c>
      <c r="N418" s="185" t="s">
        <v>396</v>
      </c>
      <c r="O418" s="185" t="s">
        <v>309</v>
      </c>
      <c r="P418" s="185" t="s">
        <v>908</v>
      </c>
      <c r="Q418" s="185"/>
      <c r="R418" s="185" t="s">
        <v>381</v>
      </c>
      <c r="S418" s="185" t="s">
        <v>295</v>
      </c>
      <c r="T418" s="217" t="s">
        <v>379</v>
      </c>
    </row>
    <row r="419" spans="1:20" outlineLevel="1">
      <c r="A419" s="199" t="s">
        <v>255</v>
      </c>
      <c r="B419" s="181" t="s">
        <v>1575</v>
      </c>
      <c r="C419" s="190">
        <v>43700</v>
      </c>
      <c r="D419" s="181" t="s">
        <v>1790</v>
      </c>
      <c r="E419" s="182" t="s">
        <v>1963</v>
      </c>
      <c r="F419" s="183">
        <v>76932</v>
      </c>
      <c r="G419" s="184">
        <v>2.0499999999999998</v>
      </c>
      <c r="H419" s="181">
        <v>2.5</v>
      </c>
      <c r="I419" s="181" t="s">
        <v>292</v>
      </c>
      <c r="J419" s="191">
        <v>2.23</v>
      </c>
      <c r="K419" s="191">
        <v>2.5</v>
      </c>
      <c r="L419" s="199" t="s">
        <v>405</v>
      </c>
      <c r="M419" s="211" t="s">
        <v>1780</v>
      </c>
      <c r="N419" s="185" t="s">
        <v>396</v>
      </c>
      <c r="O419" s="185" t="s">
        <v>309</v>
      </c>
      <c r="P419" s="185" t="s">
        <v>487</v>
      </c>
      <c r="Q419" s="185"/>
      <c r="R419" s="185" t="s">
        <v>381</v>
      </c>
      <c r="S419" s="185" t="s">
        <v>295</v>
      </c>
      <c r="T419" s="217" t="s">
        <v>379</v>
      </c>
    </row>
    <row r="420" spans="1:20" outlineLevel="1">
      <c r="A420" s="199" t="s">
        <v>255</v>
      </c>
      <c r="B420" s="181" t="s">
        <v>1575</v>
      </c>
      <c r="C420" s="190">
        <v>43700</v>
      </c>
      <c r="D420" s="181" t="s">
        <v>1790</v>
      </c>
      <c r="E420" s="182" t="s">
        <v>1964</v>
      </c>
      <c r="F420" s="183">
        <v>76932</v>
      </c>
      <c r="G420" s="184">
        <v>1.49</v>
      </c>
      <c r="H420" s="181">
        <v>1.82</v>
      </c>
      <c r="I420" s="181" t="s">
        <v>292</v>
      </c>
      <c r="J420" s="191">
        <v>1.63</v>
      </c>
      <c r="K420" s="191">
        <v>1.82</v>
      </c>
      <c r="L420" s="199" t="s">
        <v>405</v>
      </c>
      <c r="M420" s="211" t="s">
        <v>1780</v>
      </c>
      <c r="N420" s="185" t="s">
        <v>396</v>
      </c>
      <c r="O420" s="185" t="s">
        <v>309</v>
      </c>
      <c r="P420" s="185" t="s">
        <v>628</v>
      </c>
      <c r="Q420" s="185"/>
      <c r="R420" s="185" t="s">
        <v>381</v>
      </c>
      <c r="S420" s="185" t="s">
        <v>295</v>
      </c>
      <c r="T420" s="217" t="s">
        <v>379</v>
      </c>
    </row>
    <row r="421" spans="1:20" outlineLevel="1">
      <c r="A421" s="199" t="s">
        <v>255</v>
      </c>
      <c r="B421" s="181" t="s">
        <v>1575</v>
      </c>
      <c r="C421" s="190">
        <v>43700</v>
      </c>
      <c r="D421" s="181" t="s">
        <v>1790</v>
      </c>
      <c r="E421" s="182" t="s">
        <v>1965</v>
      </c>
      <c r="F421" s="183">
        <v>76932</v>
      </c>
      <c r="G421" s="184">
        <v>5.88</v>
      </c>
      <c r="H421" s="181">
        <v>7.19</v>
      </c>
      <c r="I421" s="181" t="s">
        <v>292</v>
      </c>
      <c r="J421" s="191">
        <v>6.42</v>
      </c>
      <c r="K421" s="191">
        <v>7.18</v>
      </c>
      <c r="L421" s="199" t="s">
        <v>405</v>
      </c>
      <c r="M421" s="211" t="s">
        <v>1780</v>
      </c>
      <c r="N421" s="185" t="s">
        <v>396</v>
      </c>
      <c r="O421" s="185" t="s">
        <v>309</v>
      </c>
      <c r="P421" s="185" t="s">
        <v>501</v>
      </c>
      <c r="Q421" s="185"/>
      <c r="R421" s="185" t="s">
        <v>381</v>
      </c>
      <c r="S421" s="185" t="s">
        <v>295</v>
      </c>
      <c r="T421" s="217" t="s">
        <v>379</v>
      </c>
    </row>
    <row r="422" spans="1:20" outlineLevel="1">
      <c r="A422" s="199" t="s">
        <v>255</v>
      </c>
      <c r="B422" s="181" t="s">
        <v>1575</v>
      </c>
      <c r="C422" s="190">
        <v>43700</v>
      </c>
      <c r="D422" s="181" t="s">
        <v>1790</v>
      </c>
      <c r="E422" s="182" t="s">
        <v>1966</v>
      </c>
      <c r="F422" s="183">
        <v>76932</v>
      </c>
      <c r="G422" s="184">
        <v>1.43</v>
      </c>
      <c r="H422" s="181">
        <v>1.75</v>
      </c>
      <c r="I422" s="181" t="s">
        <v>292</v>
      </c>
      <c r="J422" s="191">
        <v>1.56</v>
      </c>
      <c r="K422" s="191">
        <v>1.75</v>
      </c>
      <c r="L422" s="199" t="s">
        <v>405</v>
      </c>
      <c r="M422" s="211" t="s">
        <v>1780</v>
      </c>
      <c r="N422" s="185" t="s">
        <v>396</v>
      </c>
      <c r="O422" s="185" t="s">
        <v>309</v>
      </c>
      <c r="P422" s="185" t="s">
        <v>489</v>
      </c>
      <c r="Q422" s="185"/>
      <c r="R422" s="185" t="s">
        <v>381</v>
      </c>
      <c r="S422" s="185" t="s">
        <v>295</v>
      </c>
      <c r="T422" s="217" t="s">
        <v>379</v>
      </c>
    </row>
    <row r="423" spans="1:20" outlineLevel="1">
      <c r="A423" s="199" t="s">
        <v>255</v>
      </c>
      <c r="B423" s="181" t="s">
        <v>1575</v>
      </c>
      <c r="C423" s="190">
        <v>43700</v>
      </c>
      <c r="D423" s="181" t="s">
        <v>1790</v>
      </c>
      <c r="E423" s="182" t="s">
        <v>1967</v>
      </c>
      <c r="F423" s="183">
        <v>76932</v>
      </c>
      <c r="G423" s="184">
        <v>3.09</v>
      </c>
      <c r="H423" s="181">
        <v>3.78</v>
      </c>
      <c r="I423" s="181" t="s">
        <v>292</v>
      </c>
      <c r="J423" s="191">
        <v>3.38</v>
      </c>
      <c r="K423" s="191">
        <v>3.78</v>
      </c>
      <c r="L423" s="199" t="s">
        <v>405</v>
      </c>
      <c r="M423" s="211" t="s">
        <v>1780</v>
      </c>
      <c r="N423" s="185" t="s">
        <v>396</v>
      </c>
      <c r="O423" s="185" t="s">
        <v>309</v>
      </c>
      <c r="P423" s="185" t="s">
        <v>915</v>
      </c>
      <c r="Q423" s="185"/>
      <c r="R423" s="185" t="s">
        <v>381</v>
      </c>
      <c r="S423" s="185" t="s">
        <v>295</v>
      </c>
      <c r="T423" s="217" t="s">
        <v>379</v>
      </c>
    </row>
    <row r="424" spans="1:20" outlineLevel="1">
      <c r="A424" s="199" t="s">
        <v>255</v>
      </c>
      <c r="B424" s="181" t="s">
        <v>1575</v>
      </c>
      <c r="C424" s="190">
        <v>43703</v>
      </c>
      <c r="D424" s="181" t="s">
        <v>1840</v>
      </c>
      <c r="E424" s="182" t="s">
        <v>1968</v>
      </c>
      <c r="F424" s="183">
        <v>76927</v>
      </c>
      <c r="G424" s="184">
        <v>3.51</v>
      </c>
      <c r="H424" s="181">
        <v>4.29</v>
      </c>
      <c r="I424" s="181" t="s">
        <v>292</v>
      </c>
      <c r="J424" s="191">
        <v>3.83</v>
      </c>
      <c r="K424" s="191">
        <v>4.29</v>
      </c>
      <c r="L424" s="199" t="s">
        <v>405</v>
      </c>
      <c r="M424" s="211" t="s">
        <v>1780</v>
      </c>
      <c r="N424" s="185" t="s">
        <v>400</v>
      </c>
      <c r="O424" s="185" t="s">
        <v>309</v>
      </c>
      <c r="P424" s="185" t="s">
        <v>495</v>
      </c>
      <c r="Q424" s="185"/>
      <c r="R424" s="185" t="s">
        <v>381</v>
      </c>
      <c r="S424" s="185" t="s">
        <v>295</v>
      </c>
      <c r="T424" s="217" t="s">
        <v>379</v>
      </c>
    </row>
    <row r="425" spans="1:20" outlineLevel="1">
      <c r="A425" s="199" t="s">
        <v>255</v>
      </c>
      <c r="B425" s="181" t="s">
        <v>1575</v>
      </c>
      <c r="C425" s="190">
        <v>43703</v>
      </c>
      <c r="D425" s="181" t="s">
        <v>1840</v>
      </c>
      <c r="E425" s="182" t="s">
        <v>1969</v>
      </c>
      <c r="F425" s="183">
        <v>76927</v>
      </c>
      <c r="G425" s="184">
        <v>9.94</v>
      </c>
      <c r="H425" s="181">
        <v>12.15</v>
      </c>
      <c r="I425" s="181" t="s">
        <v>292</v>
      </c>
      <c r="J425" s="191">
        <v>10.85</v>
      </c>
      <c r="K425" s="191">
        <v>12.14</v>
      </c>
      <c r="L425" s="199" t="s">
        <v>405</v>
      </c>
      <c r="M425" s="211" t="s">
        <v>1780</v>
      </c>
      <c r="N425" s="185" t="s">
        <v>400</v>
      </c>
      <c r="O425" s="185" t="s">
        <v>309</v>
      </c>
      <c r="P425" s="185" t="s">
        <v>497</v>
      </c>
      <c r="Q425" s="185"/>
      <c r="R425" s="185" t="s">
        <v>381</v>
      </c>
      <c r="S425" s="185" t="s">
        <v>295</v>
      </c>
      <c r="T425" s="217" t="s">
        <v>379</v>
      </c>
    </row>
    <row r="426" spans="1:20" outlineLevel="1">
      <c r="A426" s="199" t="s">
        <v>255</v>
      </c>
      <c r="B426" s="181" t="s">
        <v>1575</v>
      </c>
      <c r="C426" s="190">
        <v>43703</v>
      </c>
      <c r="D426" s="181" t="s">
        <v>1840</v>
      </c>
      <c r="E426" s="182" t="s">
        <v>1970</v>
      </c>
      <c r="F426" s="183">
        <v>76927</v>
      </c>
      <c r="G426" s="184">
        <v>18.059999999999999</v>
      </c>
      <c r="H426" s="181">
        <v>22.07</v>
      </c>
      <c r="I426" s="181" t="s">
        <v>292</v>
      </c>
      <c r="J426" s="191">
        <v>19.71</v>
      </c>
      <c r="K426" s="191">
        <v>22.07</v>
      </c>
      <c r="L426" s="199" t="s">
        <v>405</v>
      </c>
      <c r="M426" s="211" t="s">
        <v>1780</v>
      </c>
      <c r="N426" s="185" t="s">
        <v>400</v>
      </c>
      <c r="O426" s="185" t="s">
        <v>309</v>
      </c>
      <c r="P426" s="185" t="s">
        <v>499</v>
      </c>
      <c r="Q426" s="185"/>
      <c r="R426" s="185" t="s">
        <v>381</v>
      </c>
      <c r="S426" s="185" t="s">
        <v>295</v>
      </c>
      <c r="T426" s="217" t="s">
        <v>379</v>
      </c>
    </row>
    <row r="427" spans="1:20" outlineLevel="1">
      <c r="A427" s="199" t="s">
        <v>255</v>
      </c>
      <c r="B427" s="181" t="s">
        <v>1575</v>
      </c>
      <c r="C427" s="190">
        <v>43704</v>
      </c>
      <c r="D427" s="181" t="s">
        <v>1842</v>
      </c>
      <c r="E427" s="182" t="s">
        <v>1971</v>
      </c>
      <c r="F427" s="183">
        <v>76927</v>
      </c>
      <c r="G427" s="184">
        <v>0.24</v>
      </c>
      <c r="H427" s="181">
        <v>0.28999999999999998</v>
      </c>
      <c r="I427" s="181" t="s">
        <v>292</v>
      </c>
      <c r="J427" s="191">
        <v>0.26</v>
      </c>
      <c r="K427" s="191">
        <v>0.28999999999999998</v>
      </c>
      <c r="L427" s="199" t="s">
        <v>405</v>
      </c>
      <c r="M427" s="211" t="s">
        <v>1780</v>
      </c>
      <c r="N427" s="185" t="s">
        <v>400</v>
      </c>
      <c r="O427" s="185" t="s">
        <v>309</v>
      </c>
      <c r="P427" s="185" t="s">
        <v>495</v>
      </c>
      <c r="Q427" s="185"/>
      <c r="R427" s="185" t="s">
        <v>381</v>
      </c>
      <c r="S427" s="185" t="s">
        <v>295</v>
      </c>
      <c r="T427" s="217" t="s">
        <v>379</v>
      </c>
    </row>
    <row r="428" spans="1:20" outlineLevel="1">
      <c r="A428" s="199" t="s">
        <v>255</v>
      </c>
      <c r="B428" s="181" t="s">
        <v>1575</v>
      </c>
      <c r="C428" s="190">
        <v>43704</v>
      </c>
      <c r="D428" s="181" t="s">
        <v>1842</v>
      </c>
      <c r="E428" s="182" t="s">
        <v>1972</v>
      </c>
      <c r="F428" s="183">
        <v>76927</v>
      </c>
      <c r="G428" s="184">
        <v>0.66</v>
      </c>
      <c r="H428" s="181">
        <v>0.81</v>
      </c>
      <c r="I428" s="181" t="s">
        <v>292</v>
      </c>
      <c r="J428" s="191">
        <v>0.72</v>
      </c>
      <c r="K428" s="191">
        <v>0.81</v>
      </c>
      <c r="L428" s="199" t="s">
        <v>405</v>
      </c>
      <c r="M428" s="211" t="s">
        <v>1780</v>
      </c>
      <c r="N428" s="185" t="s">
        <v>400</v>
      </c>
      <c r="O428" s="185" t="s">
        <v>309</v>
      </c>
      <c r="P428" s="185" t="s">
        <v>497</v>
      </c>
      <c r="Q428" s="185"/>
      <c r="R428" s="185" t="s">
        <v>381</v>
      </c>
      <c r="S428" s="185" t="s">
        <v>295</v>
      </c>
      <c r="T428" s="217" t="s">
        <v>379</v>
      </c>
    </row>
    <row r="429" spans="1:20" outlineLevel="1">
      <c r="A429" s="199" t="s">
        <v>255</v>
      </c>
      <c r="B429" s="181" t="s">
        <v>1575</v>
      </c>
      <c r="C429" s="190">
        <v>43704</v>
      </c>
      <c r="D429" s="181" t="s">
        <v>1842</v>
      </c>
      <c r="E429" s="182" t="s">
        <v>1973</v>
      </c>
      <c r="F429" s="183">
        <v>76927</v>
      </c>
      <c r="G429" s="184">
        <v>1.2</v>
      </c>
      <c r="H429" s="181">
        <v>1.47</v>
      </c>
      <c r="I429" s="181" t="s">
        <v>292</v>
      </c>
      <c r="J429" s="191">
        <v>1.31</v>
      </c>
      <c r="K429" s="191">
        <v>1.47</v>
      </c>
      <c r="L429" s="199" t="s">
        <v>405</v>
      </c>
      <c r="M429" s="211" t="s">
        <v>1780</v>
      </c>
      <c r="N429" s="185" t="s">
        <v>400</v>
      </c>
      <c r="O429" s="185" t="s">
        <v>309</v>
      </c>
      <c r="P429" s="185" t="s">
        <v>499</v>
      </c>
      <c r="Q429" s="185"/>
      <c r="R429" s="185" t="s">
        <v>381</v>
      </c>
      <c r="S429" s="185" t="s">
        <v>295</v>
      </c>
      <c r="T429" s="217" t="s">
        <v>379</v>
      </c>
    </row>
    <row r="430" spans="1:20" outlineLevel="1">
      <c r="A430" s="199" t="s">
        <v>255</v>
      </c>
      <c r="B430" s="181" t="s">
        <v>1575</v>
      </c>
      <c r="C430" s="190">
        <v>43703</v>
      </c>
      <c r="D430" s="181" t="s">
        <v>1840</v>
      </c>
      <c r="E430" s="182" t="s">
        <v>1974</v>
      </c>
      <c r="F430" s="183">
        <v>76927</v>
      </c>
      <c r="G430" s="184">
        <v>9.7799999999999994</v>
      </c>
      <c r="H430" s="181">
        <v>11.95</v>
      </c>
      <c r="I430" s="181" t="s">
        <v>292</v>
      </c>
      <c r="J430" s="191">
        <v>10.67</v>
      </c>
      <c r="K430" s="191">
        <v>11.95</v>
      </c>
      <c r="L430" s="199" t="s">
        <v>405</v>
      </c>
      <c r="M430" s="211" t="s">
        <v>1780</v>
      </c>
      <c r="N430" s="185" t="s">
        <v>400</v>
      </c>
      <c r="O430" s="185" t="s">
        <v>309</v>
      </c>
      <c r="P430" s="185" t="s">
        <v>491</v>
      </c>
      <c r="Q430" s="185"/>
      <c r="R430" s="185" t="s">
        <v>381</v>
      </c>
      <c r="S430" s="185" t="s">
        <v>295</v>
      </c>
      <c r="T430" s="217" t="s">
        <v>379</v>
      </c>
    </row>
    <row r="431" spans="1:20" outlineLevel="1">
      <c r="A431" s="199" t="s">
        <v>255</v>
      </c>
      <c r="B431" s="181" t="s">
        <v>1575</v>
      </c>
      <c r="C431" s="190">
        <v>43703</v>
      </c>
      <c r="D431" s="181" t="s">
        <v>1840</v>
      </c>
      <c r="E431" s="182" t="s">
        <v>1975</v>
      </c>
      <c r="F431" s="183">
        <v>76927</v>
      </c>
      <c r="G431" s="184">
        <v>2.57</v>
      </c>
      <c r="H431" s="181">
        <v>3.14</v>
      </c>
      <c r="I431" s="181" t="s">
        <v>292</v>
      </c>
      <c r="J431" s="191">
        <v>2.8</v>
      </c>
      <c r="K431" s="191">
        <v>3.14</v>
      </c>
      <c r="L431" s="199" t="s">
        <v>405</v>
      </c>
      <c r="M431" s="211" t="s">
        <v>1780</v>
      </c>
      <c r="N431" s="185" t="s">
        <v>400</v>
      </c>
      <c r="O431" s="185" t="s">
        <v>309</v>
      </c>
      <c r="P431" s="185" t="s">
        <v>493</v>
      </c>
      <c r="Q431" s="185"/>
      <c r="R431" s="185" t="s">
        <v>381</v>
      </c>
      <c r="S431" s="185" t="s">
        <v>295</v>
      </c>
      <c r="T431" s="217" t="s">
        <v>379</v>
      </c>
    </row>
    <row r="432" spans="1:20" outlineLevel="1">
      <c r="A432" s="199" t="s">
        <v>255</v>
      </c>
      <c r="B432" s="181" t="s">
        <v>1575</v>
      </c>
      <c r="C432" s="190">
        <v>43705</v>
      </c>
      <c r="D432" s="181" t="s">
        <v>1792</v>
      </c>
      <c r="E432" s="182" t="s">
        <v>1976</v>
      </c>
      <c r="F432" s="183">
        <v>76932</v>
      </c>
      <c r="G432" s="184">
        <v>0.1</v>
      </c>
      <c r="H432" s="181">
        <v>0.12</v>
      </c>
      <c r="I432" s="181" t="s">
        <v>292</v>
      </c>
      <c r="J432" s="191">
        <v>0.11</v>
      </c>
      <c r="K432" s="191">
        <v>0.12</v>
      </c>
      <c r="L432" s="199" t="s">
        <v>405</v>
      </c>
      <c r="M432" s="211" t="s">
        <v>1780</v>
      </c>
      <c r="N432" s="185" t="s">
        <v>396</v>
      </c>
      <c r="O432" s="185" t="s">
        <v>309</v>
      </c>
      <c r="P432" s="185" t="s">
        <v>908</v>
      </c>
      <c r="Q432" s="185"/>
      <c r="R432" s="185" t="s">
        <v>381</v>
      </c>
      <c r="S432" s="185" t="s">
        <v>295</v>
      </c>
      <c r="T432" s="217" t="s">
        <v>379</v>
      </c>
    </row>
    <row r="433" spans="1:20" outlineLevel="1">
      <c r="A433" s="199" t="s">
        <v>255</v>
      </c>
      <c r="B433" s="181" t="s">
        <v>1575</v>
      </c>
      <c r="C433" s="190">
        <v>43705</v>
      </c>
      <c r="D433" s="181" t="s">
        <v>1792</v>
      </c>
      <c r="E433" s="182" t="s">
        <v>1977</v>
      </c>
      <c r="F433" s="183">
        <v>76932</v>
      </c>
      <c r="G433" s="184">
        <v>0.14000000000000001</v>
      </c>
      <c r="H433" s="181">
        <v>0.17</v>
      </c>
      <c r="I433" s="181" t="s">
        <v>292</v>
      </c>
      <c r="J433" s="191">
        <v>0.15</v>
      </c>
      <c r="K433" s="191">
        <v>0.17</v>
      </c>
      <c r="L433" s="199" t="s">
        <v>405</v>
      </c>
      <c r="M433" s="211" t="s">
        <v>1780</v>
      </c>
      <c r="N433" s="185" t="s">
        <v>396</v>
      </c>
      <c r="O433" s="185" t="s">
        <v>309</v>
      </c>
      <c r="P433" s="185" t="s">
        <v>487</v>
      </c>
      <c r="Q433" s="185"/>
      <c r="R433" s="185" t="s">
        <v>381</v>
      </c>
      <c r="S433" s="185" t="s">
        <v>295</v>
      </c>
      <c r="T433" s="217" t="s">
        <v>379</v>
      </c>
    </row>
    <row r="434" spans="1:20" outlineLevel="1">
      <c r="A434" s="199" t="s">
        <v>255</v>
      </c>
      <c r="B434" s="181" t="s">
        <v>1575</v>
      </c>
      <c r="C434" s="190">
        <v>43705</v>
      </c>
      <c r="D434" s="181" t="s">
        <v>1792</v>
      </c>
      <c r="E434" s="182" t="s">
        <v>1978</v>
      </c>
      <c r="F434" s="183">
        <v>76932</v>
      </c>
      <c r="G434" s="184">
        <v>0.1</v>
      </c>
      <c r="H434" s="181">
        <v>0.12</v>
      </c>
      <c r="I434" s="181" t="s">
        <v>292</v>
      </c>
      <c r="J434" s="191">
        <v>0.11</v>
      </c>
      <c r="K434" s="191">
        <v>0.12</v>
      </c>
      <c r="L434" s="199" t="s">
        <v>405</v>
      </c>
      <c r="M434" s="211" t="s">
        <v>1780</v>
      </c>
      <c r="N434" s="185" t="s">
        <v>396</v>
      </c>
      <c r="O434" s="185" t="s">
        <v>309</v>
      </c>
      <c r="P434" s="185" t="s">
        <v>628</v>
      </c>
      <c r="Q434" s="185"/>
      <c r="R434" s="185" t="s">
        <v>381</v>
      </c>
      <c r="S434" s="185" t="s">
        <v>295</v>
      </c>
      <c r="T434" s="217" t="s">
        <v>379</v>
      </c>
    </row>
    <row r="435" spans="1:20" outlineLevel="1">
      <c r="A435" s="199" t="s">
        <v>255</v>
      </c>
      <c r="B435" s="181" t="s">
        <v>1575</v>
      </c>
      <c r="C435" s="190">
        <v>43704</v>
      </c>
      <c r="D435" s="181" t="s">
        <v>1842</v>
      </c>
      <c r="E435" s="182" t="s">
        <v>1979</v>
      </c>
      <c r="F435" s="183">
        <v>76927</v>
      </c>
      <c r="G435" s="184">
        <v>0.65</v>
      </c>
      <c r="H435" s="181">
        <v>0.8</v>
      </c>
      <c r="I435" s="181" t="s">
        <v>292</v>
      </c>
      <c r="J435" s="191">
        <v>0.71</v>
      </c>
      <c r="K435" s="191">
        <v>0.79</v>
      </c>
      <c r="L435" s="199" t="s">
        <v>405</v>
      </c>
      <c r="M435" s="211" t="s">
        <v>1780</v>
      </c>
      <c r="N435" s="185" t="s">
        <v>400</v>
      </c>
      <c r="O435" s="185" t="s">
        <v>309</v>
      </c>
      <c r="P435" s="185" t="s">
        <v>491</v>
      </c>
      <c r="Q435" s="185"/>
      <c r="R435" s="185" t="s">
        <v>381</v>
      </c>
      <c r="S435" s="185" t="s">
        <v>295</v>
      </c>
      <c r="T435" s="217" t="s">
        <v>379</v>
      </c>
    </row>
    <row r="436" spans="1:20" outlineLevel="1">
      <c r="A436" s="199" t="s">
        <v>255</v>
      </c>
      <c r="B436" s="181" t="s">
        <v>1575</v>
      </c>
      <c r="C436" s="190">
        <v>43705</v>
      </c>
      <c r="D436" s="181" t="s">
        <v>1842</v>
      </c>
      <c r="E436" s="182" t="s">
        <v>1980</v>
      </c>
      <c r="F436" s="183">
        <v>76927</v>
      </c>
      <c r="G436" s="184">
        <v>0.17</v>
      </c>
      <c r="H436" s="181">
        <v>0.21</v>
      </c>
      <c r="I436" s="181" t="s">
        <v>292</v>
      </c>
      <c r="J436" s="191">
        <v>0.19</v>
      </c>
      <c r="K436" s="191">
        <v>0.21</v>
      </c>
      <c r="L436" s="199" t="s">
        <v>405</v>
      </c>
      <c r="M436" s="211" t="s">
        <v>1780</v>
      </c>
      <c r="N436" s="185" t="s">
        <v>400</v>
      </c>
      <c r="O436" s="185" t="s">
        <v>309</v>
      </c>
      <c r="P436" s="185" t="s">
        <v>493</v>
      </c>
      <c r="Q436" s="185"/>
      <c r="R436" s="185" t="s">
        <v>381</v>
      </c>
      <c r="S436" s="185" t="s">
        <v>295</v>
      </c>
      <c r="T436" s="217" t="s">
        <v>379</v>
      </c>
    </row>
    <row r="437" spans="1:20" outlineLevel="1">
      <c r="A437" s="199" t="s">
        <v>255</v>
      </c>
      <c r="B437" s="181" t="s">
        <v>1575</v>
      </c>
      <c r="C437" s="190">
        <v>43705</v>
      </c>
      <c r="D437" s="181" t="s">
        <v>1792</v>
      </c>
      <c r="E437" s="182" t="s">
        <v>1981</v>
      </c>
      <c r="F437" s="183">
        <v>76932</v>
      </c>
      <c r="G437" s="184">
        <v>0.2</v>
      </c>
      <c r="H437" s="181">
        <v>0.25</v>
      </c>
      <c r="I437" s="181" t="s">
        <v>292</v>
      </c>
      <c r="J437" s="191">
        <v>0.22</v>
      </c>
      <c r="K437" s="191">
        <v>0.24</v>
      </c>
      <c r="L437" s="199" t="s">
        <v>405</v>
      </c>
      <c r="M437" s="211" t="s">
        <v>1780</v>
      </c>
      <c r="N437" s="185" t="s">
        <v>396</v>
      </c>
      <c r="O437" s="185" t="s">
        <v>309</v>
      </c>
      <c r="P437" s="185" t="s">
        <v>915</v>
      </c>
      <c r="Q437" s="185"/>
      <c r="R437" s="185" t="s">
        <v>381</v>
      </c>
      <c r="S437" s="185" t="s">
        <v>295</v>
      </c>
      <c r="T437" s="217" t="s">
        <v>379</v>
      </c>
    </row>
    <row r="438" spans="1:20" outlineLevel="1">
      <c r="A438" s="199" t="s">
        <v>255</v>
      </c>
      <c r="B438" s="181" t="s">
        <v>1575</v>
      </c>
      <c r="C438" s="190">
        <v>43705</v>
      </c>
      <c r="D438" s="181" t="s">
        <v>1792</v>
      </c>
      <c r="E438" s="182" t="s">
        <v>548</v>
      </c>
      <c r="F438" s="183">
        <v>76932</v>
      </c>
      <c r="G438" s="184">
        <v>0.39</v>
      </c>
      <c r="H438" s="181">
        <v>0.48</v>
      </c>
      <c r="I438" s="181" t="s">
        <v>292</v>
      </c>
      <c r="J438" s="191">
        <v>0.43</v>
      </c>
      <c r="K438" s="191">
        <v>0.48</v>
      </c>
      <c r="L438" s="199" t="s">
        <v>405</v>
      </c>
      <c r="M438" s="211" t="s">
        <v>1780</v>
      </c>
      <c r="N438" s="185" t="s">
        <v>396</v>
      </c>
      <c r="O438" s="185" t="s">
        <v>309</v>
      </c>
      <c r="P438" s="185" t="s">
        <v>501</v>
      </c>
      <c r="Q438" s="185"/>
      <c r="R438" s="185" t="s">
        <v>381</v>
      </c>
      <c r="S438" s="185" t="s">
        <v>295</v>
      </c>
      <c r="T438" s="217" t="s">
        <v>379</v>
      </c>
    </row>
    <row r="439" spans="1:20" outlineLevel="1">
      <c r="A439" s="199" t="s">
        <v>255</v>
      </c>
      <c r="B439" s="181" t="s">
        <v>1575</v>
      </c>
      <c r="C439" s="190">
        <v>43705</v>
      </c>
      <c r="D439" s="181" t="s">
        <v>1792</v>
      </c>
      <c r="E439" s="182" t="s">
        <v>1982</v>
      </c>
      <c r="F439" s="183">
        <v>76932</v>
      </c>
      <c r="G439" s="184">
        <v>0.1</v>
      </c>
      <c r="H439" s="181">
        <v>0.12</v>
      </c>
      <c r="I439" s="181" t="s">
        <v>292</v>
      </c>
      <c r="J439" s="191">
        <v>0.11</v>
      </c>
      <c r="K439" s="191">
        <v>0.12</v>
      </c>
      <c r="L439" s="199" t="s">
        <v>405</v>
      </c>
      <c r="M439" s="211" t="s">
        <v>1780</v>
      </c>
      <c r="N439" s="185" t="s">
        <v>396</v>
      </c>
      <c r="O439" s="185" t="s">
        <v>309</v>
      </c>
      <c r="P439" s="185" t="s">
        <v>489</v>
      </c>
      <c r="Q439" s="185"/>
      <c r="R439" s="185" t="s">
        <v>381</v>
      </c>
      <c r="S439" s="185" t="s">
        <v>295</v>
      </c>
      <c r="T439" s="217" t="s">
        <v>379</v>
      </c>
    </row>
    <row r="440" spans="1:20" outlineLevel="1">
      <c r="A440" s="199" t="s">
        <v>255</v>
      </c>
      <c r="B440" s="181" t="s">
        <v>1575</v>
      </c>
      <c r="C440" s="190">
        <v>43706</v>
      </c>
      <c r="D440" s="181" t="s">
        <v>1842</v>
      </c>
      <c r="E440" s="182" t="s">
        <v>1983</v>
      </c>
      <c r="F440" s="183">
        <v>76927</v>
      </c>
      <c r="G440" s="184">
        <v>75.27</v>
      </c>
      <c r="H440" s="181">
        <v>91.97</v>
      </c>
      <c r="I440" s="181" t="s">
        <v>292</v>
      </c>
      <c r="J440" s="191">
        <v>82.13</v>
      </c>
      <c r="K440" s="191">
        <v>91.96</v>
      </c>
      <c r="L440" s="199" t="s">
        <v>1066</v>
      </c>
      <c r="M440" s="211" t="s">
        <v>1984</v>
      </c>
      <c r="N440" s="185" t="s">
        <v>400</v>
      </c>
      <c r="O440" s="185" t="s">
        <v>309</v>
      </c>
      <c r="P440" s="185" t="s">
        <v>469</v>
      </c>
      <c r="Q440" s="185"/>
      <c r="R440" s="185" t="s">
        <v>381</v>
      </c>
      <c r="S440" s="185" t="s">
        <v>295</v>
      </c>
      <c r="T440" s="217" t="s">
        <v>379</v>
      </c>
    </row>
    <row r="441" spans="1:20" outlineLevel="1">
      <c r="A441" s="199" t="s">
        <v>255</v>
      </c>
      <c r="B441" s="181" t="s">
        <v>1575</v>
      </c>
      <c r="C441" s="190">
        <v>43684</v>
      </c>
      <c r="D441" s="181" t="s">
        <v>1842</v>
      </c>
      <c r="E441" s="182" t="s">
        <v>1985</v>
      </c>
      <c r="F441" s="183">
        <v>76927</v>
      </c>
      <c r="G441" s="184">
        <v>12.28</v>
      </c>
      <c r="H441" s="181">
        <v>15</v>
      </c>
      <c r="I441" s="181" t="s">
        <v>292</v>
      </c>
      <c r="J441" s="191">
        <v>13.4</v>
      </c>
      <c r="K441" s="191">
        <v>15</v>
      </c>
      <c r="L441" s="199" t="s">
        <v>640</v>
      </c>
      <c r="M441" s="211" t="s">
        <v>1580</v>
      </c>
      <c r="N441" s="185" t="s">
        <v>400</v>
      </c>
      <c r="O441" s="185" t="s">
        <v>309</v>
      </c>
      <c r="P441" s="185"/>
      <c r="Q441" s="185"/>
      <c r="R441" s="185" t="s">
        <v>381</v>
      </c>
      <c r="S441" s="185" t="s">
        <v>295</v>
      </c>
      <c r="T441" s="217" t="s">
        <v>379</v>
      </c>
    </row>
    <row r="442" spans="1:20" outlineLevel="1">
      <c r="A442" s="199" t="s">
        <v>255</v>
      </c>
      <c r="B442" s="181" t="s">
        <v>1567</v>
      </c>
      <c r="C442" s="190">
        <v>43734</v>
      </c>
      <c r="D442" s="181" t="s">
        <v>1796</v>
      </c>
      <c r="E442" s="182" t="s">
        <v>1986</v>
      </c>
      <c r="F442" s="183">
        <v>77221</v>
      </c>
      <c r="G442" s="184">
        <v>2.89</v>
      </c>
      <c r="H442" s="181">
        <v>3.52</v>
      </c>
      <c r="I442" s="181" t="s">
        <v>292</v>
      </c>
      <c r="J442" s="191">
        <v>3.2</v>
      </c>
      <c r="K442" s="191">
        <v>3.51</v>
      </c>
      <c r="L442" s="199" t="s">
        <v>385</v>
      </c>
      <c r="M442" s="211" t="s">
        <v>1772</v>
      </c>
      <c r="N442" s="185" t="s">
        <v>396</v>
      </c>
      <c r="O442" s="185" t="s">
        <v>309</v>
      </c>
      <c r="P442" s="185" t="s">
        <v>908</v>
      </c>
      <c r="Q442" s="185"/>
      <c r="R442" s="185" t="s">
        <v>381</v>
      </c>
      <c r="S442" s="185" t="s">
        <v>295</v>
      </c>
      <c r="T442" s="217" t="s">
        <v>379</v>
      </c>
    </row>
    <row r="443" spans="1:20" outlineLevel="1">
      <c r="A443" s="199" t="s">
        <v>255</v>
      </c>
      <c r="B443" s="181" t="s">
        <v>1567</v>
      </c>
      <c r="C443" s="190">
        <v>43734</v>
      </c>
      <c r="D443" s="181" t="s">
        <v>1796</v>
      </c>
      <c r="E443" s="182" t="s">
        <v>1987</v>
      </c>
      <c r="F443" s="183">
        <v>77221</v>
      </c>
      <c r="G443" s="184">
        <v>10.07</v>
      </c>
      <c r="H443" s="181">
        <v>12.25</v>
      </c>
      <c r="I443" s="181" t="s">
        <v>292</v>
      </c>
      <c r="J443" s="191">
        <v>11.13</v>
      </c>
      <c r="K443" s="191">
        <v>12.25</v>
      </c>
      <c r="L443" s="199" t="s">
        <v>385</v>
      </c>
      <c r="M443" s="211" t="s">
        <v>1772</v>
      </c>
      <c r="N443" s="185" t="s">
        <v>396</v>
      </c>
      <c r="O443" s="185" t="s">
        <v>309</v>
      </c>
      <c r="P443" s="185" t="s">
        <v>487</v>
      </c>
      <c r="Q443" s="185"/>
      <c r="R443" s="185" t="s">
        <v>381</v>
      </c>
      <c r="S443" s="185" t="s">
        <v>295</v>
      </c>
      <c r="T443" s="217" t="s">
        <v>379</v>
      </c>
    </row>
    <row r="444" spans="1:20" outlineLevel="1">
      <c r="A444" s="199" t="s">
        <v>255</v>
      </c>
      <c r="B444" s="181" t="s">
        <v>1567</v>
      </c>
      <c r="C444" s="190">
        <v>43734</v>
      </c>
      <c r="D444" s="181" t="s">
        <v>1796</v>
      </c>
      <c r="E444" s="182" t="s">
        <v>1988</v>
      </c>
      <c r="F444" s="183">
        <v>77221</v>
      </c>
      <c r="G444" s="184">
        <v>2.88</v>
      </c>
      <c r="H444" s="181">
        <v>3.5</v>
      </c>
      <c r="I444" s="181" t="s">
        <v>292</v>
      </c>
      <c r="J444" s="191">
        <v>3.18</v>
      </c>
      <c r="K444" s="191">
        <v>3.5</v>
      </c>
      <c r="L444" s="199" t="s">
        <v>385</v>
      </c>
      <c r="M444" s="211" t="s">
        <v>1772</v>
      </c>
      <c r="N444" s="185" t="s">
        <v>396</v>
      </c>
      <c r="O444" s="185" t="s">
        <v>309</v>
      </c>
      <c r="P444" s="185" t="s">
        <v>628</v>
      </c>
      <c r="Q444" s="185"/>
      <c r="R444" s="185" t="s">
        <v>381</v>
      </c>
      <c r="S444" s="185" t="s">
        <v>295</v>
      </c>
      <c r="T444" s="217" t="s">
        <v>379</v>
      </c>
    </row>
    <row r="445" spans="1:20" outlineLevel="1">
      <c r="A445" s="199" t="s">
        <v>255</v>
      </c>
      <c r="B445" s="181" t="s">
        <v>1567</v>
      </c>
      <c r="C445" s="190">
        <v>43734</v>
      </c>
      <c r="D445" s="181" t="s">
        <v>1796</v>
      </c>
      <c r="E445" s="182" t="s">
        <v>1989</v>
      </c>
      <c r="F445" s="183">
        <v>77221</v>
      </c>
      <c r="G445" s="184">
        <v>1.52</v>
      </c>
      <c r="H445" s="181">
        <v>1.85</v>
      </c>
      <c r="I445" s="181" t="s">
        <v>292</v>
      </c>
      <c r="J445" s="191">
        <v>1.68</v>
      </c>
      <c r="K445" s="191">
        <v>1.85</v>
      </c>
      <c r="L445" s="199" t="s">
        <v>385</v>
      </c>
      <c r="M445" s="211" t="s">
        <v>1772</v>
      </c>
      <c r="N445" s="185" t="s">
        <v>396</v>
      </c>
      <c r="O445" s="185" t="s">
        <v>309</v>
      </c>
      <c r="P445" s="185" t="s">
        <v>915</v>
      </c>
      <c r="Q445" s="185"/>
      <c r="R445" s="185" t="s">
        <v>381</v>
      </c>
      <c r="S445" s="185" t="s">
        <v>295</v>
      </c>
      <c r="T445" s="217" t="s">
        <v>379</v>
      </c>
    </row>
    <row r="446" spans="1:20" outlineLevel="1">
      <c r="A446" s="199" t="s">
        <v>255</v>
      </c>
      <c r="B446" s="181" t="s">
        <v>1567</v>
      </c>
      <c r="C446" s="190">
        <v>43734</v>
      </c>
      <c r="D446" s="181" t="s">
        <v>1794</v>
      </c>
      <c r="E446" s="182" t="s">
        <v>1990</v>
      </c>
      <c r="F446" s="183">
        <v>77221</v>
      </c>
      <c r="G446" s="184">
        <v>34.4</v>
      </c>
      <c r="H446" s="181">
        <v>41.84</v>
      </c>
      <c r="I446" s="181" t="s">
        <v>292</v>
      </c>
      <c r="J446" s="191">
        <v>38</v>
      </c>
      <c r="K446" s="191">
        <v>41.84</v>
      </c>
      <c r="L446" s="199" t="s">
        <v>385</v>
      </c>
      <c r="M446" s="211" t="s">
        <v>1772</v>
      </c>
      <c r="N446" s="185" t="s">
        <v>396</v>
      </c>
      <c r="O446" s="185" t="s">
        <v>309</v>
      </c>
      <c r="P446" s="185" t="s">
        <v>908</v>
      </c>
      <c r="Q446" s="185"/>
      <c r="R446" s="185" t="s">
        <v>381</v>
      </c>
      <c r="S446" s="185" t="s">
        <v>295</v>
      </c>
      <c r="T446" s="217" t="s">
        <v>379</v>
      </c>
    </row>
    <row r="447" spans="1:20" outlineLevel="1">
      <c r="A447" s="199" t="s">
        <v>255</v>
      </c>
      <c r="B447" s="181" t="s">
        <v>1567</v>
      </c>
      <c r="C447" s="190">
        <v>43734</v>
      </c>
      <c r="D447" s="181" t="s">
        <v>1794</v>
      </c>
      <c r="E447" s="182" t="s">
        <v>1991</v>
      </c>
      <c r="F447" s="183">
        <v>77221</v>
      </c>
      <c r="G447" s="184">
        <v>121.45</v>
      </c>
      <c r="H447" s="181">
        <v>147.69999999999999</v>
      </c>
      <c r="I447" s="181" t="s">
        <v>292</v>
      </c>
      <c r="J447" s="191">
        <v>134.15</v>
      </c>
      <c r="K447" s="191">
        <v>147.69999999999999</v>
      </c>
      <c r="L447" s="199" t="s">
        <v>385</v>
      </c>
      <c r="M447" s="211" t="s">
        <v>1772</v>
      </c>
      <c r="N447" s="185" t="s">
        <v>396</v>
      </c>
      <c r="O447" s="185" t="s">
        <v>309</v>
      </c>
      <c r="P447" s="185" t="s">
        <v>487</v>
      </c>
      <c r="Q447" s="185"/>
      <c r="R447" s="185" t="s">
        <v>381</v>
      </c>
      <c r="S447" s="185" t="s">
        <v>295</v>
      </c>
      <c r="T447" s="217" t="s">
        <v>379</v>
      </c>
    </row>
    <row r="448" spans="1:20" outlineLevel="1">
      <c r="A448" s="199" t="s">
        <v>255</v>
      </c>
      <c r="B448" s="181" t="s">
        <v>1567</v>
      </c>
      <c r="C448" s="190">
        <v>43734</v>
      </c>
      <c r="D448" s="181" t="s">
        <v>1794</v>
      </c>
      <c r="E448" s="182" t="s">
        <v>1992</v>
      </c>
      <c r="F448" s="183">
        <v>77221</v>
      </c>
      <c r="G448" s="184">
        <v>31.49</v>
      </c>
      <c r="H448" s="181">
        <v>38.299999999999997</v>
      </c>
      <c r="I448" s="181" t="s">
        <v>292</v>
      </c>
      <c r="J448" s="191">
        <v>34.79</v>
      </c>
      <c r="K448" s="191">
        <v>38.299999999999997</v>
      </c>
      <c r="L448" s="199" t="s">
        <v>385</v>
      </c>
      <c r="M448" s="211" t="s">
        <v>1772</v>
      </c>
      <c r="N448" s="185" t="s">
        <v>396</v>
      </c>
      <c r="O448" s="185" t="s">
        <v>309</v>
      </c>
      <c r="P448" s="185" t="s">
        <v>628</v>
      </c>
      <c r="Q448" s="185"/>
      <c r="R448" s="185" t="s">
        <v>381</v>
      </c>
      <c r="S448" s="185" t="s">
        <v>295</v>
      </c>
      <c r="T448" s="217" t="s">
        <v>379</v>
      </c>
    </row>
    <row r="449" spans="1:20" outlineLevel="1">
      <c r="A449" s="199" t="s">
        <v>255</v>
      </c>
      <c r="B449" s="181" t="s">
        <v>1567</v>
      </c>
      <c r="C449" s="190">
        <v>43733</v>
      </c>
      <c r="D449" s="181" t="s">
        <v>1844</v>
      </c>
      <c r="E449" s="182" t="s">
        <v>1993</v>
      </c>
      <c r="F449" s="183">
        <v>77220</v>
      </c>
      <c r="G449" s="184">
        <v>438.3</v>
      </c>
      <c r="H449" s="181">
        <v>533.04999999999995</v>
      </c>
      <c r="I449" s="181" t="s">
        <v>292</v>
      </c>
      <c r="J449" s="191">
        <v>484.14</v>
      </c>
      <c r="K449" s="191">
        <v>533.04999999999995</v>
      </c>
      <c r="L449" s="199" t="s">
        <v>385</v>
      </c>
      <c r="M449" s="211" t="s">
        <v>1772</v>
      </c>
      <c r="N449" s="185" t="s">
        <v>400</v>
      </c>
      <c r="O449" s="185" t="s">
        <v>309</v>
      </c>
      <c r="P449" s="185" t="s">
        <v>491</v>
      </c>
      <c r="Q449" s="185"/>
      <c r="R449" s="185" t="s">
        <v>381</v>
      </c>
      <c r="S449" s="185" t="s">
        <v>295</v>
      </c>
      <c r="T449" s="217" t="s">
        <v>379</v>
      </c>
    </row>
    <row r="450" spans="1:20" outlineLevel="1">
      <c r="A450" s="199" t="s">
        <v>255</v>
      </c>
      <c r="B450" s="181" t="s">
        <v>1567</v>
      </c>
      <c r="C450" s="190">
        <v>43733</v>
      </c>
      <c r="D450" s="181" t="s">
        <v>1844</v>
      </c>
      <c r="E450" s="182" t="s">
        <v>1994</v>
      </c>
      <c r="F450" s="183">
        <v>77220</v>
      </c>
      <c r="G450" s="184">
        <v>183.17</v>
      </c>
      <c r="H450" s="181">
        <v>222.77</v>
      </c>
      <c r="I450" s="181" t="s">
        <v>292</v>
      </c>
      <c r="J450" s="191">
        <v>202.33</v>
      </c>
      <c r="K450" s="191">
        <v>222.77</v>
      </c>
      <c r="L450" s="199" t="s">
        <v>385</v>
      </c>
      <c r="M450" s="211" t="s">
        <v>1772</v>
      </c>
      <c r="N450" s="185" t="s">
        <v>400</v>
      </c>
      <c r="O450" s="185" t="s">
        <v>309</v>
      </c>
      <c r="P450" s="185" t="s">
        <v>493</v>
      </c>
      <c r="Q450" s="185"/>
      <c r="R450" s="185" t="s">
        <v>381</v>
      </c>
      <c r="S450" s="185" t="s">
        <v>295</v>
      </c>
      <c r="T450" s="217" t="s">
        <v>379</v>
      </c>
    </row>
    <row r="451" spans="1:20" outlineLevel="1">
      <c r="A451" s="199" t="s">
        <v>255</v>
      </c>
      <c r="B451" s="181" t="s">
        <v>1567</v>
      </c>
      <c r="C451" s="190">
        <v>43734</v>
      </c>
      <c r="D451" s="181" t="s">
        <v>1794</v>
      </c>
      <c r="E451" s="182" t="s">
        <v>1995</v>
      </c>
      <c r="F451" s="183">
        <v>77221</v>
      </c>
      <c r="G451" s="184">
        <v>19.87</v>
      </c>
      <c r="H451" s="181">
        <v>24.17</v>
      </c>
      <c r="I451" s="181" t="s">
        <v>292</v>
      </c>
      <c r="J451" s="191">
        <v>21.95</v>
      </c>
      <c r="K451" s="191">
        <v>24.17</v>
      </c>
      <c r="L451" s="199" t="s">
        <v>385</v>
      </c>
      <c r="M451" s="211" t="s">
        <v>1772</v>
      </c>
      <c r="N451" s="185" t="s">
        <v>396</v>
      </c>
      <c r="O451" s="185" t="s">
        <v>309</v>
      </c>
      <c r="P451" s="185" t="s">
        <v>915</v>
      </c>
      <c r="Q451" s="185"/>
      <c r="R451" s="185" t="s">
        <v>381</v>
      </c>
      <c r="S451" s="185" t="s">
        <v>295</v>
      </c>
      <c r="T451" s="217" t="s">
        <v>379</v>
      </c>
    </row>
    <row r="452" spans="1:20" outlineLevel="1">
      <c r="A452" s="199" t="s">
        <v>255</v>
      </c>
      <c r="B452" s="181" t="s">
        <v>1567</v>
      </c>
      <c r="C452" s="190">
        <v>43734</v>
      </c>
      <c r="D452" s="181" t="s">
        <v>1794</v>
      </c>
      <c r="E452" s="182" t="s">
        <v>1996</v>
      </c>
      <c r="F452" s="183">
        <v>77221</v>
      </c>
      <c r="G452" s="184">
        <v>227.16</v>
      </c>
      <c r="H452" s="181">
        <v>276.27</v>
      </c>
      <c r="I452" s="181" t="s">
        <v>292</v>
      </c>
      <c r="J452" s="191">
        <v>250.92</v>
      </c>
      <c r="K452" s="191">
        <v>276.27</v>
      </c>
      <c r="L452" s="199" t="s">
        <v>385</v>
      </c>
      <c r="M452" s="211" t="s">
        <v>1772</v>
      </c>
      <c r="N452" s="185" t="s">
        <v>396</v>
      </c>
      <c r="O452" s="185" t="s">
        <v>309</v>
      </c>
      <c r="P452" s="185" t="s">
        <v>501</v>
      </c>
      <c r="Q452" s="185"/>
      <c r="R452" s="185" t="s">
        <v>381</v>
      </c>
      <c r="S452" s="185" t="s">
        <v>295</v>
      </c>
      <c r="T452" s="217" t="s">
        <v>379</v>
      </c>
    </row>
    <row r="453" spans="1:20" outlineLevel="1">
      <c r="A453" s="199" t="s">
        <v>255</v>
      </c>
      <c r="B453" s="181" t="s">
        <v>1567</v>
      </c>
      <c r="C453" s="190">
        <v>43734</v>
      </c>
      <c r="D453" s="181" t="s">
        <v>1796</v>
      </c>
      <c r="E453" s="182" t="s">
        <v>1997</v>
      </c>
      <c r="F453" s="183">
        <v>77221</v>
      </c>
      <c r="G453" s="184">
        <v>33.869999999999997</v>
      </c>
      <c r="H453" s="181">
        <v>41.19</v>
      </c>
      <c r="I453" s="181" t="s">
        <v>292</v>
      </c>
      <c r="J453" s="191">
        <v>37.409999999999997</v>
      </c>
      <c r="K453" s="191">
        <v>41.19</v>
      </c>
      <c r="L453" s="199" t="s">
        <v>385</v>
      </c>
      <c r="M453" s="211" t="s">
        <v>1772</v>
      </c>
      <c r="N453" s="185" t="s">
        <v>396</v>
      </c>
      <c r="O453" s="185" t="s">
        <v>309</v>
      </c>
      <c r="P453" s="185" t="s">
        <v>501</v>
      </c>
      <c r="Q453" s="185"/>
      <c r="R453" s="185" t="s">
        <v>381</v>
      </c>
      <c r="S453" s="185" t="s">
        <v>295</v>
      </c>
      <c r="T453" s="217" t="s">
        <v>379</v>
      </c>
    </row>
    <row r="454" spans="1:20" outlineLevel="1">
      <c r="A454" s="199" t="s">
        <v>255</v>
      </c>
      <c r="B454" s="181" t="s">
        <v>1567</v>
      </c>
      <c r="C454" s="190">
        <v>43733</v>
      </c>
      <c r="D454" s="181" t="s">
        <v>1844</v>
      </c>
      <c r="E454" s="182" t="s">
        <v>1998</v>
      </c>
      <c r="F454" s="183">
        <v>77220</v>
      </c>
      <c r="G454" s="184">
        <v>120.56</v>
      </c>
      <c r="H454" s="181">
        <v>146.62</v>
      </c>
      <c r="I454" s="181" t="s">
        <v>292</v>
      </c>
      <c r="J454" s="191">
        <v>133.16999999999999</v>
      </c>
      <c r="K454" s="191">
        <v>146.62</v>
      </c>
      <c r="L454" s="199" t="s">
        <v>385</v>
      </c>
      <c r="M454" s="211" t="s">
        <v>1772</v>
      </c>
      <c r="N454" s="185" t="s">
        <v>400</v>
      </c>
      <c r="O454" s="185" t="s">
        <v>309</v>
      </c>
      <c r="P454" s="185" t="s">
        <v>495</v>
      </c>
      <c r="Q454" s="185"/>
      <c r="R454" s="185" t="s">
        <v>381</v>
      </c>
      <c r="S454" s="185" t="s">
        <v>295</v>
      </c>
      <c r="T454" s="217" t="s">
        <v>379</v>
      </c>
    </row>
    <row r="455" spans="1:20" outlineLevel="1">
      <c r="A455" s="199" t="s">
        <v>255</v>
      </c>
      <c r="B455" s="181" t="s">
        <v>1567</v>
      </c>
      <c r="C455" s="190">
        <v>43733</v>
      </c>
      <c r="D455" s="181" t="s">
        <v>1844</v>
      </c>
      <c r="E455" s="182" t="s">
        <v>1999</v>
      </c>
      <c r="F455" s="183">
        <v>77220</v>
      </c>
      <c r="G455" s="184">
        <v>446.02</v>
      </c>
      <c r="H455" s="181">
        <v>542.44000000000005</v>
      </c>
      <c r="I455" s="181" t="s">
        <v>292</v>
      </c>
      <c r="J455" s="191">
        <v>492.67</v>
      </c>
      <c r="K455" s="191">
        <v>542.44000000000005</v>
      </c>
      <c r="L455" s="199" t="s">
        <v>385</v>
      </c>
      <c r="M455" s="211" t="s">
        <v>1772</v>
      </c>
      <c r="N455" s="185" t="s">
        <v>400</v>
      </c>
      <c r="O455" s="185" t="s">
        <v>309</v>
      </c>
      <c r="P455" s="185" t="s">
        <v>497</v>
      </c>
      <c r="Q455" s="185"/>
      <c r="R455" s="185" t="s">
        <v>381</v>
      </c>
      <c r="S455" s="185" t="s">
        <v>295</v>
      </c>
      <c r="T455" s="217" t="s">
        <v>379</v>
      </c>
    </row>
    <row r="456" spans="1:20" outlineLevel="1">
      <c r="A456" s="199" t="s">
        <v>255</v>
      </c>
      <c r="B456" s="181" t="s">
        <v>1567</v>
      </c>
      <c r="C456" s="190">
        <v>43733</v>
      </c>
      <c r="D456" s="181" t="s">
        <v>1844</v>
      </c>
      <c r="E456" s="182" t="s">
        <v>2000</v>
      </c>
      <c r="F456" s="183">
        <v>77220</v>
      </c>
      <c r="G456" s="184">
        <v>192.36</v>
      </c>
      <c r="H456" s="181">
        <v>233.94</v>
      </c>
      <c r="I456" s="181" t="s">
        <v>292</v>
      </c>
      <c r="J456" s="191">
        <v>212.48</v>
      </c>
      <c r="K456" s="191">
        <v>233.94</v>
      </c>
      <c r="L456" s="199" t="s">
        <v>385</v>
      </c>
      <c r="M456" s="211" t="s">
        <v>1772</v>
      </c>
      <c r="N456" s="185" t="s">
        <v>400</v>
      </c>
      <c r="O456" s="185" t="s">
        <v>309</v>
      </c>
      <c r="P456" s="185" t="s">
        <v>499</v>
      </c>
      <c r="Q456" s="185"/>
      <c r="R456" s="185" t="s">
        <v>381</v>
      </c>
      <c r="S456" s="185" t="s">
        <v>295</v>
      </c>
      <c r="T456" s="217" t="s">
        <v>379</v>
      </c>
    </row>
    <row r="457" spans="1:20" outlineLevel="1">
      <c r="A457" s="199" t="s">
        <v>255</v>
      </c>
      <c r="B457" s="181" t="s">
        <v>1567</v>
      </c>
      <c r="C457" s="190">
        <v>43734</v>
      </c>
      <c r="D457" s="181" t="s">
        <v>1798</v>
      </c>
      <c r="E457" s="182" t="s">
        <v>2001</v>
      </c>
      <c r="F457" s="183">
        <v>77221</v>
      </c>
      <c r="G457" s="184">
        <v>2.33</v>
      </c>
      <c r="H457" s="181">
        <v>2.83</v>
      </c>
      <c r="I457" s="181" t="s">
        <v>292</v>
      </c>
      <c r="J457" s="191">
        <v>2.57</v>
      </c>
      <c r="K457" s="191">
        <v>2.83</v>
      </c>
      <c r="L457" s="199" t="s">
        <v>391</v>
      </c>
      <c r="M457" s="211" t="s">
        <v>1777</v>
      </c>
      <c r="N457" s="185" t="s">
        <v>396</v>
      </c>
      <c r="O457" s="185" t="s">
        <v>309</v>
      </c>
      <c r="P457" s="185" t="s">
        <v>915</v>
      </c>
      <c r="Q457" s="185"/>
      <c r="R457" s="185" t="s">
        <v>381</v>
      </c>
      <c r="S457" s="185" t="s">
        <v>295</v>
      </c>
      <c r="T457" s="217" t="s">
        <v>379</v>
      </c>
    </row>
    <row r="458" spans="1:20" outlineLevel="1">
      <c r="A458" s="199" t="s">
        <v>255</v>
      </c>
      <c r="B458" s="181" t="s">
        <v>1567</v>
      </c>
      <c r="C458" s="190">
        <v>43734</v>
      </c>
      <c r="D458" s="181" t="s">
        <v>1798</v>
      </c>
      <c r="E458" s="182" t="s">
        <v>2002</v>
      </c>
      <c r="F458" s="183">
        <v>77221</v>
      </c>
      <c r="G458" s="184">
        <v>4.4800000000000004</v>
      </c>
      <c r="H458" s="181">
        <v>5.45</v>
      </c>
      <c r="I458" s="181" t="s">
        <v>292</v>
      </c>
      <c r="J458" s="191">
        <v>4.95</v>
      </c>
      <c r="K458" s="191">
        <v>5.45</v>
      </c>
      <c r="L458" s="199" t="s">
        <v>391</v>
      </c>
      <c r="M458" s="211" t="s">
        <v>1777</v>
      </c>
      <c r="N458" s="185" t="s">
        <v>396</v>
      </c>
      <c r="O458" s="185" t="s">
        <v>309</v>
      </c>
      <c r="P458" s="185" t="s">
        <v>908</v>
      </c>
      <c r="Q458" s="185"/>
      <c r="R458" s="185" t="s">
        <v>381</v>
      </c>
      <c r="S458" s="185" t="s">
        <v>295</v>
      </c>
      <c r="T458" s="217" t="s">
        <v>379</v>
      </c>
    </row>
    <row r="459" spans="1:20" outlineLevel="1">
      <c r="A459" s="199" t="s">
        <v>255</v>
      </c>
      <c r="B459" s="181" t="s">
        <v>1567</v>
      </c>
      <c r="C459" s="190">
        <v>43734</v>
      </c>
      <c r="D459" s="181" t="s">
        <v>1798</v>
      </c>
      <c r="E459" s="182" t="s">
        <v>2003</v>
      </c>
      <c r="F459" s="183">
        <v>77221</v>
      </c>
      <c r="G459" s="184">
        <v>15.42</v>
      </c>
      <c r="H459" s="181">
        <v>18.75</v>
      </c>
      <c r="I459" s="181" t="s">
        <v>292</v>
      </c>
      <c r="J459" s="191">
        <v>17.03</v>
      </c>
      <c r="K459" s="191">
        <v>18.75</v>
      </c>
      <c r="L459" s="199" t="s">
        <v>391</v>
      </c>
      <c r="M459" s="211" t="s">
        <v>1777</v>
      </c>
      <c r="N459" s="185" t="s">
        <v>396</v>
      </c>
      <c r="O459" s="185" t="s">
        <v>309</v>
      </c>
      <c r="P459" s="185" t="s">
        <v>487</v>
      </c>
      <c r="Q459" s="185"/>
      <c r="R459" s="185" t="s">
        <v>381</v>
      </c>
      <c r="S459" s="185" t="s">
        <v>295</v>
      </c>
      <c r="T459" s="217" t="s">
        <v>379</v>
      </c>
    </row>
    <row r="460" spans="1:20" outlineLevel="1">
      <c r="A460" s="199" t="s">
        <v>255</v>
      </c>
      <c r="B460" s="181" t="s">
        <v>1567</v>
      </c>
      <c r="C460" s="190">
        <v>43734</v>
      </c>
      <c r="D460" s="181" t="s">
        <v>1798</v>
      </c>
      <c r="E460" s="182" t="s">
        <v>2004</v>
      </c>
      <c r="F460" s="183">
        <v>77221</v>
      </c>
      <c r="G460" s="184">
        <v>4.4800000000000004</v>
      </c>
      <c r="H460" s="181">
        <v>5.45</v>
      </c>
      <c r="I460" s="181" t="s">
        <v>292</v>
      </c>
      <c r="J460" s="191">
        <v>4.95</v>
      </c>
      <c r="K460" s="191">
        <v>5.45</v>
      </c>
      <c r="L460" s="199" t="s">
        <v>391</v>
      </c>
      <c r="M460" s="211" t="s">
        <v>1777</v>
      </c>
      <c r="N460" s="185" t="s">
        <v>396</v>
      </c>
      <c r="O460" s="185" t="s">
        <v>309</v>
      </c>
      <c r="P460" s="185" t="s">
        <v>628</v>
      </c>
      <c r="Q460" s="185"/>
      <c r="R460" s="185" t="s">
        <v>381</v>
      </c>
      <c r="S460" s="185" t="s">
        <v>295</v>
      </c>
      <c r="T460" s="217" t="s">
        <v>379</v>
      </c>
    </row>
    <row r="461" spans="1:20" outlineLevel="1">
      <c r="A461" s="199" t="s">
        <v>255</v>
      </c>
      <c r="B461" s="181" t="s">
        <v>1567</v>
      </c>
      <c r="C461" s="190">
        <v>43734</v>
      </c>
      <c r="D461" s="181" t="s">
        <v>1798</v>
      </c>
      <c r="E461" s="182" t="s">
        <v>2005</v>
      </c>
      <c r="F461" s="183">
        <v>77221</v>
      </c>
      <c r="G461" s="184">
        <v>35.47</v>
      </c>
      <c r="H461" s="181">
        <v>43.14</v>
      </c>
      <c r="I461" s="181" t="s">
        <v>292</v>
      </c>
      <c r="J461" s="191">
        <v>39.18</v>
      </c>
      <c r="K461" s="191">
        <v>43.14</v>
      </c>
      <c r="L461" s="199" t="s">
        <v>391</v>
      </c>
      <c r="M461" s="211" t="s">
        <v>1777</v>
      </c>
      <c r="N461" s="185" t="s">
        <v>396</v>
      </c>
      <c r="O461" s="185" t="s">
        <v>309</v>
      </c>
      <c r="P461" s="185" t="s">
        <v>501</v>
      </c>
      <c r="Q461" s="185"/>
      <c r="R461" s="185" t="s">
        <v>381</v>
      </c>
      <c r="S461" s="185" t="s">
        <v>295</v>
      </c>
      <c r="T461" s="217" t="s">
        <v>379</v>
      </c>
    </row>
    <row r="462" spans="1:20" outlineLevel="1">
      <c r="A462" s="199" t="s">
        <v>255</v>
      </c>
      <c r="B462" s="181" t="s">
        <v>1567</v>
      </c>
      <c r="C462" s="190">
        <v>43734</v>
      </c>
      <c r="D462" s="181" t="s">
        <v>1845</v>
      </c>
      <c r="E462" s="182" t="s">
        <v>2006</v>
      </c>
      <c r="F462" s="183">
        <v>77220</v>
      </c>
      <c r="G462" s="184">
        <v>58.95</v>
      </c>
      <c r="H462" s="181">
        <v>71.69</v>
      </c>
      <c r="I462" s="181" t="s">
        <v>292</v>
      </c>
      <c r="J462" s="191">
        <v>65.11</v>
      </c>
      <c r="K462" s="191">
        <v>71.69</v>
      </c>
      <c r="L462" s="199" t="s">
        <v>391</v>
      </c>
      <c r="M462" s="211" t="s">
        <v>1777</v>
      </c>
      <c r="N462" s="185" t="s">
        <v>400</v>
      </c>
      <c r="O462" s="185" t="s">
        <v>309</v>
      </c>
      <c r="P462" s="185" t="s">
        <v>491</v>
      </c>
      <c r="Q462" s="185"/>
      <c r="R462" s="185" t="s">
        <v>381</v>
      </c>
      <c r="S462" s="185" t="s">
        <v>295</v>
      </c>
      <c r="T462" s="217" t="s">
        <v>379</v>
      </c>
    </row>
    <row r="463" spans="1:20" outlineLevel="1">
      <c r="A463" s="199" t="s">
        <v>255</v>
      </c>
      <c r="B463" s="181" t="s">
        <v>1567</v>
      </c>
      <c r="C463" s="190">
        <v>43734</v>
      </c>
      <c r="D463" s="181" t="s">
        <v>1845</v>
      </c>
      <c r="E463" s="182" t="s">
        <v>2007</v>
      </c>
      <c r="F463" s="183">
        <v>77220</v>
      </c>
      <c r="G463" s="184">
        <v>20.63</v>
      </c>
      <c r="H463" s="181">
        <v>25.09</v>
      </c>
      <c r="I463" s="181" t="s">
        <v>292</v>
      </c>
      <c r="J463" s="191">
        <v>22.79</v>
      </c>
      <c r="K463" s="191">
        <v>25.09</v>
      </c>
      <c r="L463" s="199" t="s">
        <v>391</v>
      </c>
      <c r="M463" s="211" t="s">
        <v>1777</v>
      </c>
      <c r="N463" s="185" t="s">
        <v>400</v>
      </c>
      <c r="O463" s="185" t="s">
        <v>309</v>
      </c>
      <c r="P463" s="185" t="s">
        <v>493</v>
      </c>
      <c r="Q463" s="185"/>
      <c r="R463" s="185" t="s">
        <v>381</v>
      </c>
      <c r="S463" s="185" t="s">
        <v>295</v>
      </c>
      <c r="T463" s="217" t="s">
        <v>379</v>
      </c>
    </row>
    <row r="464" spans="1:20" outlineLevel="1">
      <c r="A464" s="199" t="s">
        <v>255</v>
      </c>
      <c r="B464" s="181" t="s">
        <v>1567</v>
      </c>
      <c r="C464" s="190">
        <v>43734</v>
      </c>
      <c r="D464" s="181" t="s">
        <v>1845</v>
      </c>
      <c r="E464" s="182" t="s">
        <v>2008</v>
      </c>
      <c r="F464" s="183">
        <v>77220</v>
      </c>
      <c r="G464" s="184">
        <v>15.1</v>
      </c>
      <c r="H464" s="181">
        <v>18.37</v>
      </c>
      <c r="I464" s="181" t="s">
        <v>292</v>
      </c>
      <c r="J464" s="191">
        <v>16.68</v>
      </c>
      <c r="K464" s="191">
        <v>18.36</v>
      </c>
      <c r="L464" s="199" t="s">
        <v>391</v>
      </c>
      <c r="M464" s="211" t="s">
        <v>1777</v>
      </c>
      <c r="N464" s="185" t="s">
        <v>400</v>
      </c>
      <c r="O464" s="185" t="s">
        <v>309</v>
      </c>
      <c r="P464" s="185" t="s">
        <v>495</v>
      </c>
      <c r="Q464" s="185"/>
      <c r="R464" s="185" t="s">
        <v>381</v>
      </c>
      <c r="S464" s="185" t="s">
        <v>295</v>
      </c>
      <c r="T464" s="217" t="s">
        <v>379</v>
      </c>
    </row>
    <row r="465" spans="1:20" outlineLevel="1">
      <c r="A465" s="199" t="s">
        <v>255</v>
      </c>
      <c r="B465" s="181" t="s">
        <v>1567</v>
      </c>
      <c r="C465" s="190">
        <v>43734</v>
      </c>
      <c r="D465" s="181" t="s">
        <v>1845</v>
      </c>
      <c r="E465" s="182" t="s">
        <v>2009</v>
      </c>
      <c r="F465" s="183">
        <v>77220</v>
      </c>
      <c r="G465" s="184">
        <v>59.92</v>
      </c>
      <c r="H465" s="181">
        <v>72.87</v>
      </c>
      <c r="I465" s="181" t="s">
        <v>292</v>
      </c>
      <c r="J465" s="191">
        <v>66.180000000000007</v>
      </c>
      <c r="K465" s="191">
        <v>72.87</v>
      </c>
      <c r="L465" s="199" t="s">
        <v>391</v>
      </c>
      <c r="M465" s="211" t="s">
        <v>1777</v>
      </c>
      <c r="N465" s="185" t="s">
        <v>400</v>
      </c>
      <c r="O465" s="185" t="s">
        <v>309</v>
      </c>
      <c r="P465" s="185" t="s">
        <v>497</v>
      </c>
      <c r="Q465" s="185"/>
      <c r="R465" s="185" t="s">
        <v>381</v>
      </c>
      <c r="S465" s="185" t="s">
        <v>295</v>
      </c>
      <c r="T465" s="217" t="s">
        <v>379</v>
      </c>
    </row>
    <row r="466" spans="1:20" outlineLevel="1">
      <c r="A466" s="199" t="s">
        <v>255</v>
      </c>
      <c r="B466" s="181" t="s">
        <v>1567</v>
      </c>
      <c r="C466" s="190">
        <v>43734</v>
      </c>
      <c r="D466" s="181" t="s">
        <v>1845</v>
      </c>
      <c r="E466" s="182" t="s">
        <v>2010</v>
      </c>
      <c r="F466" s="183">
        <v>77220</v>
      </c>
      <c r="G466" s="184">
        <v>27.22</v>
      </c>
      <c r="H466" s="181">
        <v>33.11</v>
      </c>
      <c r="I466" s="181" t="s">
        <v>292</v>
      </c>
      <c r="J466" s="191">
        <v>30.07</v>
      </c>
      <c r="K466" s="191">
        <v>33.1</v>
      </c>
      <c r="L466" s="199" t="s">
        <v>391</v>
      </c>
      <c r="M466" s="211" t="s">
        <v>1777</v>
      </c>
      <c r="N466" s="185" t="s">
        <v>400</v>
      </c>
      <c r="O466" s="185" t="s">
        <v>309</v>
      </c>
      <c r="P466" s="185" t="s">
        <v>499</v>
      </c>
      <c r="Q466" s="185"/>
      <c r="R466" s="185" t="s">
        <v>381</v>
      </c>
      <c r="S466" s="185" t="s">
        <v>295</v>
      </c>
      <c r="T466" s="217" t="s">
        <v>379</v>
      </c>
    </row>
    <row r="467" spans="1:20" outlineLevel="1">
      <c r="A467" s="199" t="s">
        <v>255</v>
      </c>
      <c r="B467" s="181" t="s">
        <v>1567</v>
      </c>
      <c r="C467" s="190">
        <v>43734</v>
      </c>
      <c r="D467" s="181" t="s">
        <v>1848</v>
      </c>
      <c r="E467" s="182" t="s">
        <v>2011</v>
      </c>
      <c r="F467" s="183">
        <v>77220</v>
      </c>
      <c r="G467" s="184">
        <v>2.52</v>
      </c>
      <c r="H467" s="181">
        <v>3.06</v>
      </c>
      <c r="I467" s="181" t="s">
        <v>292</v>
      </c>
      <c r="J467" s="191">
        <v>2.78</v>
      </c>
      <c r="K467" s="191">
        <v>3.06</v>
      </c>
      <c r="L467" s="199" t="s">
        <v>405</v>
      </c>
      <c r="M467" s="211" t="s">
        <v>1780</v>
      </c>
      <c r="N467" s="185" t="s">
        <v>400</v>
      </c>
      <c r="O467" s="185" t="s">
        <v>309</v>
      </c>
      <c r="P467" s="185" t="s">
        <v>495</v>
      </c>
      <c r="Q467" s="185"/>
      <c r="R467" s="185" t="s">
        <v>381</v>
      </c>
      <c r="S467" s="185" t="s">
        <v>295</v>
      </c>
      <c r="T467" s="217" t="s">
        <v>379</v>
      </c>
    </row>
    <row r="468" spans="1:20" outlineLevel="1">
      <c r="A468" s="199" t="s">
        <v>255</v>
      </c>
      <c r="B468" s="181" t="s">
        <v>1567</v>
      </c>
      <c r="C468" s="190">
        <v>43734</v>
      </c>
      <c r="D468" s="181" t="s">
        <v>1848</v>
      </c>
      <c r="E468" s="182" t="s">
        <v>2012</v>
      </c>
      <c r="F468" s="183">
        <v>77220</v>
      </c>
      <c r="G468" s="184">
        <v>9.99</v>
      </c>
      <c r="H468" s="181">
        <v>12.15</v>
      </c>
      <c r="I468" s="181" t="s">
        <v>292</v>
      </c>
      <c r="J468" s="191">
        <v>11.04</v>
      </c>
      <c r="K468" s="191">
        <v>12.15</v>
      </c>
      <c r="L468" s="199" t="s">
        <v>405</v>
      </c>
      <c r="M468" s="211" t="s">
        <v>1780</v>
      </c>
      <c r="N468" s="185" t="s">
        <v>400</v>
      </c>
      <c r="O468" s="185" t="s">
        <v>309</v>
      </c>
      <c r="P468" s="185" t="s">
        <v>497</v>
      </c>
      <c r="Q468" s="185"/>
      <c r="R468" s="185" t="s">
        <v>381</v>
      </c>
      <c r="S468" s="185" t="s">
        <v>295</v>
      </c>
      <c r="T468" s="217" t="s">
        <v>379</v>
      </c>
    </row>
    <row r="469" spans="1:20" outlineLevel="1">
      <c r="A469" s="199" t="s">
        <v>255</v>
      </c>
      <c r="B469" s="181" t="s">
        <v>1567</v>
      </c>
      <c r="C469" s="190">
        <v>43734</v>
      </c>
      <c r="D469" s="181" t="s">
        <v>1848</v>
      </c>
      <c r="E469" s="182" t="s">
        <v>2013</v>
      </c>
      <c r="F469" s="183">
        <v>77220</v>
      </c>
      <c r="G469" s="184">
        <v>4.54</v>
      </c>
      <c r="H469" s="181">
        <v>5.52</v>
      </c>
      <c r="I469" s="181" t="s">
        <v>292</v>
      </c>
      <c r="J469" s="191">
        <v>5.01</v>
      </c>
      <c r="K469" s="191">
        <v>5.52</v>
      </c>
      <c r="L469" s="199" t="s">
        <v>405</v>
      </c>
      <c r="M469" s="211" t="s">
        <v>1780</v>
      </c>
      <c r="N469" s="185" t="s">
        <v>400</v>
      </c>
      <c r="O469" s="185" t="s">
        <v>309</v>
      </c>
      <c r="P469" s="185" t="s">
        <v>499</v>
      </c>
      <c r="Q469" s="185"/>
      <c r="R469" s="185" t="s">
        <v>381</v>
      </c>
      <c r="S469" s="185" t="s">
        <v>295</v>
      </c>
      <c r="T469" s="217" t="s">
        <v>379</v>
      </c>
    </row>
    <row r="470" spans="1:20" outlineLevel="1">
      <c r="A470" s="199" t="s">
        <v>255</v>
      </c>
      <c r="B470" s="181" t="s">
        <v>1567</v>
      </c>
      <c r="C470" s="190">
        <v>43734</v>
      </c>
      <c r="D470" s="181" t="s">
        <v>1604</v>
      </c>
      <c r="E470" s="182" t="s">
        <v>2014</v>
      </c>
      <c r="F470" s="183">
        <v>77220</v>
      </c>
      <c r="G470" s="184">
        <v>0.16</v>
      </c>
      <c r="H470" s="181">
        <v>0.2</v>
      </c>
      <c r="I470" s="181" t="s">
        <v>292</v>
      </c>
      <c r="J470" s="191">
        <v>0.18</v>
      </c>
      <c r="K470" s="191">
        <v>0.19</v>
      </c>
      <c r="L470" s="199" t="s">
        <v>405</v>
      </c>
      <c r="M470" s="211" t="s">
        <v>1780</v>
      </c>
      <c r="N470" s="185" t="s">
        <v>400</v>
      </c>
      <c r="O470" s="185" t="s">
        <v>309</v>
      </c>
      <c r="P470" s="185" t="s">
        <v>495</v>
      </c>
      <c r="Q470" s="185"/>
      <c r="R470" s="185" t="s">
        <v>381</v>
      </c>
      <c r="S470" s="185" t="s">
        <v>295</v>
      </c>
      <c r="T470" s="217" t="s">
        <v>379</v>
      </c>
    </row>
    <row r="471" spans="1:20" outlineLevel="1">
      <c r="A471" s="199" t="s">
        <v>255</v>
      </c>
      <c r="B471" s="181" t="s">
        <v>1567</v>
      </c>
      <c r="C471" s="190">
        <v>43734</v>
      </c>
      <c r="D471" s="181" t="s">
        <v>1604</v>
      </c>
      <c r="E471" s="182" t="s">
        <v>2015</v>
      </c>
      <c r="F471" s="183">
        <v>77220</v>
      </c>
      <c r="G471" s="184">
        <v>0.67</v>
      </c>
      <c r="H471" s="181">
        <v>0.81</v>
      </c>
      <c r="I471" s="181" t="s">
        <v>292</v>
      </c>
      <c r="J471" s="191">
        <v>0.74</v>
      </c>
      <c r="K471" s="191">
        <v>0.81</v>
      </c>
      <c r="L471" s="199" t="s">
        <v>405</v>
      </c>
      <c r="M471" s="211" t="s">
        <v>1780</v>
      </c>
      <c r="N471" s="185" t="s">
        <v>400</v>
      </c>
      <c r="O471" s="185" t="s">
        <v>309</v>
      </c>
      <c r="P471" s="185" t="s">
        <v>497</v>
      </c>
      <c r="Q471" s="185"/>
      <c r="R471" s="185" t="s">
        <v>381</v>
      </c>
      <c r="S471" s="185" t="s">
        <v>295</v>
      </c>
      <c r="T471" s="217" t="s">
        <v>379</v>
      </c>
    </row>
    <row r="472" spans="1:20" outlineLevel="1">
      <c r="A472" s="199" t="s">
        <v>255</v>
      </c>
      <c r="B472" s="181" t="s">
        <v>1567</v>
      </c>
      <c r="C472" s="190">
        <v>43734</v>
      </c>
      <c r="D472" s="181" t="s">
        <v>1604</v>
      </c>
      <c r="E472" s="182" t="s">
        <v>2016</v>
      </c>
      <c r="F472" s="183">
        <v>77220</v>
      </c>
      <c r="G472" s="184">
        <v>0.3</v>
      </c>
      <c r="H472" s="181">
        <v>0.37</v>
      </c>
      <c r="I472" s="181" t="s">
        <v>292</v>
      </c>
      <c r="J472" s="191">
        <v>0.34</v>
      </c>
      <c r="K472" s="191">
        <v>0.36</v>
      </c>
      <c r="L472" s="199" t="s">
        <v>405</v>
      </c>
      <c r="M472" s="211" t="s">
        <v>1780</v>
      </c>
      <c r="N472" s="185" t="s">
        <v>400</v>
      </c>
      <c r="O472" s="185" t="s">
        <v>309</v>
      </c>
      <c r="P472" s="185" t="s">
        <v>499</v>
      </c>
      <c r="Q472" s="185"/>
      <c r="R472" s="185" t="s">
        <v>381</v>
      </c>
      <c r="S472" s="185" t="s">
        <v>295</v>
      </c>
      <c r="T472" s="217" t="s">
        <v>379</v>
      </c>
    </row>
    <row r="473" spans="1:20" outlineLevel="1">
      <c r="A473" s="199" t="s">
        <v>255</v>
      </c>
      <c r="B473" s="181" t="s">
        <v>1567</v>
      </c>
      <c r="C473" s="190">
        <v>43734</v>
      </c>
      <c r="D473" s="181" t="s">
        <v>1848</v>
      </c>
      <c r="E473" s="182" t="s">
        <v>2017</v>
      </c>
      <c r="F473" s="183">
        <v>77220</v>
      </c>
      <c r="G473" s="184">
        <v>9.83</v>
      </c>
      <c r="H473" s="181">
        <v>11.95</v>
      </c>
      <c r="I473" s="181" t="s">
        <v>292</v>
      </c>
      <c r="J473" s="191">
        <v>10.85</v>
      </c>
      <c r="K473" s="191">
        <v>11.96</v>
      </c>
      <c r="L473" s="199" t="s">
        <v>405</v>
      </c>
      <c r="M473" s="211" t="s">
        <v>1780</v>
      </c>
      <c r="N473" s="185" t="s">
        <v>400</v>
      </c>
      <c r="O473" s="185" t="s">
        <v>309</v>
      </c>
      <c r="P473" s="185" t="s">
        <v>491</v>
      </c>
      <c r="Q473" s="185"/>
      <c r="R473" s="185" t="s">
        <v>381</v>
      </c>
      <c r="S473" s="185" t="s">
        <v>295</v>
      </c>
      <c r="T473" s="217" t="s">
        <v>379</v>
      </c>
    </row>
    <row r="474" spans="1:20" outlineLevel="1">
      <c r="A474" s="199" t="s">
        <v>255</v>
      </c>
      <c r="B474" s="181" t="s">
        <v>1567</v>
      </c>
      <c r="C474" s="190">
        <v>43734</v>
      </c>
      <c r="D474" s="181" t="s">
        <v>1848</v>
      </c>
      <c r="E474" s="182" t="s">
        <v>2018</v>
      </c>
      <c r="F474" s="183">
        <v>77220</v>
      </c>
      <c r="G474" s="184">
        <v>3.44</v>
      </c>
      <c r="H474" s="181">
        <v>4.18</v>
      </c>
      <c r="I474" s="181" t="s">
        <v>292</v>
      </c>
      <c r="J474" s="191">
        <v>3.8</v>
      </c>
      <c r="K474" s="191">
        <v>4.18</v>
      </c>
      <c r="L474" s="199" t="s">
        <v>405</v>
      </c>
      <c r="M474" s="211" t="s">
        <v>1780</v>
      </c>
      <c r="N474" s="185" t="s">
        <v>400</v>
      </c>
      <c r="O474" s="185" t="s">
        <v>309</v>
      </c>
      <c r="P474" s="185" t="s">
        <v>493</v>
      </c>
      <c r="Q474" s="185"/>
      <c r="R474" s="185" t="s">
        <v>381</v>
      </c>
      <c r="S474" s="185" t="s">
        <v>295</v>
      </c>
      <c r="T474" s="217" t="s">
        <v>379</v>
      </c>
    </row>
    <row r="475" spans="1:20" outlineLevel="1">
      <c r="A475" s="199" t="s">
        <v>255</v>
      </c>
      <c r="B475" s="181" t="s">
        <v>1567</v>
      </c>
      <c r="C475" s="190">
        <v>43734</v>
      </c>
      <c r="D475" s="181" t="s">
        <v>1800</v>
      </c>
      <c r="E475" s="182" t="s">
        <v>2019</v>
      </c>
      <c r="F475" s="183">
        <v>77221</v>
      </c>
      <c r="G475" s="184">
        <v>5.91</v>
      </c>
      <c r="H475" s="181">
        <v>7.19</v>
      </c>
      <c r="I475" s="181" t="s">
        <v>292</v>
      </c>
      <c r="J475" s="191">
        <v>6.53</v>
      </c>
      <c r="K475" s="191">
        <v>7.19</v>
      </c>
      <c r="L475" s="199" t="s">
        <v>405</v>
      </c>
      <c r="M475" s="211" t="s">
        <v>1780</v>
      </c>
      <c r="N475" s="185" t="s">
        <v>396</v>
      </c>
      <c r="O475" s="185" t="s">
        <v>309</v>
      </c>
      <c r="P475" s="185" t="s">
        <v>501</v>
      </c>
      <c r="Q475" s="185"/>
      <c r="R475" s="185" t="s">
        <v>381</v>
      </c>
      <c r="S475" s="185" t="s">
        <v>295</v>
      </c>
      <c r="T475" s="217" t="s">
        <v>379</v>
      </c>
    </row>
    <row r="476" spans="1:20" outlineLevel="1">
      <c r="A476" s="199" t="s">
        <v>255</v>
      </c>
      <c r="B476" s="181" t="s">
        <v>1567</v>
      </c>
      <c r="C476" s="190">
        <v>43734</v>
      </c>
      <c r="D476" s="181" t="s">
        <v>1800</v>
      </c>
      <c r="E476" s="182" t="s">
        <v>2020</v>
      </c>
      <c r="F476" s="183">
        <v>77221</v>
      </c>
      <c r="G476" s="184">
        <v>0.39</v>
      </c>
      <c r="H476" s="181">
        <v>0.47</v>
      </c>
      <c r="I476" s="181" t="s">
        <v>292</v>
      </c>
      <c r="J476" s="191">
        <v>0.43</v>
      </c>
      <c r="K476" s="191">
        <v>0.47</v>
      </c>
      <c r="L476" s="199" t="s">
        <v>405</v>
      </c>
      <c r="M476" s="211" t="s">
        <v>1780</v>
      </c>
      <c r="N476" s="185" t="s">
        <v>396</v>
      </c>
      <c r="O476" s="185" t="s">
        <v>309</v>
      </c>
      <c r="P476" s="185" t="s">
        <v>915</v>
      </c>
      <c r="Q476" s="185"/>
      <c r="R476" s="185" t="s">
        <v>381</v>
      </c>
      <c r="S476" s="185" t="s">
        <v>295</v>
      </c>
      <c r="T476" s="217" t="s">
        <v>379</v>
      </c>
    </row>
    <row r="477" spans="1:20" outlineLevel="1" collapsed="1">
      <c r="A477" s="199" t="s">
        <v>255</v>
      </c>
      <c r="B477" s="181" t="s">
        <v>1567</v>
      </c>
      <c r="C477" s="190">
        <v>43734</v>
      </c>
      <c r="D477" s="181" t="s">
        <v>1800</v>
      </c>
      <c r="E477" s="182" t="s">
        <v>2021</v>
      </c>
      <c r="F477" s="183">
        <v>77221</v>
      </c>
      <c r="G477" s="184">
        <v>0.75</v>
      </c>
      <c r="H477" s="181">
        <v>0.91</v>
      </c>
      <c r="I477" s="181" t="s">
        <v>292</v>
      </c>
      <c r="J477" s="191">
        <v>0.83</v>
      </c>
      <c r="K477" s="191">
        <v>0.91</v>
      </c>
      <c r="L477" s="199" t="s">
        <v>405</v>
      </c>
      <c r="M477" s="211" t="s">
        <v>1780</v>
      </c>
      <c r="N477" s="185" t="s">
        <v>396</v>
      </c>
      <c r="O477" s="185" t="s">
        <v>309</v>
      </c>
      <c r="P477" s="185" t="s">
        <v>908</v>
      </c>
      <c r="Q477" s="185"/>
      <c r="R477" s="185" t="s">
        <v>381</v>
      </c>
      <c r="S477" s="185" t="s">
        <v>295</v>
      </c>
      <c r="T477" s="217" t="s">
        <v>379</v>
      </c>
    </row>
    <row r="478" spans="1:20" outlineLevel="1">
      <c r="A478" s="199" t="s">
        <v>255</v>
      </c>
      <c r="B478" s="181" t="s">
        <v>1567</v>
      </c>
      <c r="C478" s="190">
        <v>43734</v>
      </c>
      <c r="D478" s="181" t="s">
        <v>1800</v>
      </c>
      <c r="E478" s="182" t="s">
        <v>2022</v>
      </c>
      <c r="F478" s="183">
        <v>77221</v>
      </c>
      <c r="G478" s="184">
        <v>2.57</v>
      </c>
      <c r="H478" s="181">
        <v>3.12</v>
      </c>
      <c r="I478" s="181" t="s">
        <v>292</v>
      </c>
      <c r="J478" s="191">
        <v>2.83</v>
      </c>
      <c r="K478" s="191">
        <v>3.13</v>
      </c>
      <c r="L478" s="199" t="s">
        <v>405</v>
      </c>
      <c r="M478" s="211" t="s">
        <v>1780</v>
      </c>
      <c r="N478" s="185" t="s">
        <v>396</v>
      </c>
      <c r="O478" s="185" t="s">
        <v>309</v>
      </c>
      <c r="P478" s="185" t="s">
        <v>487</v>
      </c>
      <c r="Q478" s="185"/>
      <c r="R478" s="185" t="s">
        <v>381</v>
      </c>
      <c r="S478" s="185" t="s">
        <v>295</v>
      </c>
      <c r="T478" s="217" t="s">
        <v>379</v>
      </c>
    </row>
    <row r="479" spans="1:20" outlineLevel="1">
      <c r="A479" s="199" t="s">
        <v>255</v>
      </c>
      <c r="B479" s="181" t="s">
        <v>1567</v>
      </c>
      <c r="C479" s="190">
        <v>43734</v>
      </c>
      <c r="D479" s="181" t="s">
        <v>1800</v>
      </c>
      <c r="E479" s="182" t="s">
        <v>2023</v>
      </c>
      <c r="F479" s="183">
        <v>77221</v>
      </c>
      <c r="G479" s="184">
        <v>0.75</v>
      </c>
      <c r="H479" s="181">
        <v>0.91</v>
      </c>
      <c r="I479" s="181" t="s">
        <v>292</v>
      </c>
      <c r="J479" s="191">
        <v>0.83</v>
      </c>
      <c r="K479" s="191">
        <v>0.91</v>
      </c>
      <c r="L479" s="199" t="s">
        <v>405</v>
      </c>
      <c r="M479" s="211" t="s">
        <v>1780</v>
      </c>
      <c r="N479" s="185" t="s">
        <v>396</v>
      </c>
      <c r="O479" s="185" t="s">
        <v>309</v>
      </c>
      <c r="P479" s="185" t="s">
        <v>628</v>
      </c>
      <c r="Q479" s="185"/>
      <c r="R479" s="185" t="s">
        <v>381</v>
      </c>
      <c r="S479" s="185" t="s">
        <v>295</v>
      </c>
      <c r="T479" s="217" t="s">
        <v>379</v>
      </c>
    </row>
    <row r="480" spans="1:20" outlineLevel="1">
      <c r="A480" s="199" t="s">
        <v>255</v>
      </c>
      <c r="B480" s="181" t="s">
        <v>1567</v>
      </c>
      <c r="C480" s="190">
        <v>43734</v>
      </c>
      <c r="D480" s="181" t="s">
        <v>1604</v>
      </c>
      <c r="E480" s="182" t="s">
        <v>2024</v>
      </c>
      <c r="F480" s="183">
        <v>77220</v>
      </c>
      <c r="G480" s="184">
        <v>0.66</v>
      </c>
      <c r="H480" s="181">
        <v>0.8</v>
      </c>
      <c r="I480" s="181" t="s">
        <v>292</v>
      </c>
      <c r="J480" s="191">
        <v>0.73</v>
      </c>
      <c r="K480" s="191">
        <v>0.8</v>
      </c>
      <c r="L480" s="199" t="s">
        <v>405</v>
      </c>
      <c r="M480" s="211" t="s">
        <v>1780</v>
      </c>
      <c r="N480" s="185" t="s">
        <v>400</v>
      </c>
      <c r="O480" s="185" t="s">
        <v>309</v>
      </c>
      <c r="P480" s="185" t="s">
        <v>491</v>
      </c>
      <c r="Q480" s="185"/>
      <c r="R480" s="185" t="s">
        <v>381</v>
      </c>
      <c r="S480" s="185" t="s">
        <v>295</v>
      </c>
      <c r="T480" s="217" t="s">
        <v>379</v>
      </c>
    </row>
    <row r="481" spans="1:20" outlineLevel="1">
      <c r="A481" s="199" t="s">
        <v>255</v>
      </c>
      <c r="B481" s="181" t="s">
        <v>1567</v>
      </c>
      <c r="C481" s="190">
        <v>43734</v>
      </c>
      <c r="D481" s="181" t="s">
        <v>1604</v>
      </c>
      <c r="E481" s="182" t="s">
        <v>2025</v>
      </c>
      <c r="F481" s="183">
        <v>77220</v>
      </c>
      <c r="G481" s="184">
        <v>0.23</v>
      </c>
      <c r="H481" s="181">
        <v>0.28000000000000003</v>
      </c>
      <c r="I481" s="181" t="s">
        <v>292</v>
      </c>
      <c r="J481" s="191">
        <v>0.25</v>
      </c>
      <c r="K481" s="191">
        <v>0.28000000000000003</v>
      </c>
      <c r="L481" s="199" t="s">
        <v>405</v>
      </c>
      <c r="M481" s="211" t="s">
        <v>1780</v>
      </c>
      <c r="N481" s="185" t="s">
        <v>400</v>
      </c>
      <c r="O481" s="185" t="s">
        <v>309</v>
      </c>
      <c r="P481" s="185" t="s">
        <v>493</v>
      </c>
      <c r="Q481" s="185"/>
      <c r="R481" s="185" t="s">
        <v>381</v>
      </c>
      <c r="S481" s="185" t="s">
        <v>295</v>
      </c>
      <c r="T481" s="217" t="s">
        <v>379</v>
      </c>
    </row>
    <row r="482" spans="1:20" outlineLevel="1">
      <c r="A482" s="199" t="s">
        <v>255</v>
      </c>
      <c r="B482" s="181" t="s">
        <v>1567</v>
      </c>
      <c r="C482" s="190">
        <v>43714</v>
      </c>
      <c r="D482" s="181" t="s">
        <v>2026</v>
      </c>
      <c r="E482" s="182" t="s">
        <v>2027</v>
      </c>
      <c r="F482" s="183">
        <v>77220</v>
      </c>
      <c r="G482" s="184">
        <v>26.72</v>
      </c>
      <c r="H482" s="181">
        <v>32.5</v>
      </c>
      <c r="I482" s="181" t="s">
        <v>292</v>
      </c>
      <c r="J482" s="191">
        <v>29.52</v>
      </c>
      <c r="K482" s="191">
        <v>32.5</v>
      </c>
      <c r="L482" s="199" t="s">
        <v>640</v>
      </c>
      <c r="M482" s="211" t="s">
        <v>1580</v>
      </c>
      <c r="N482" s="185" t="s">
        <v>400</v>
      </c>
      <c r="O482" s="185" t="s">
        <v>309</v>
      </c>
      <c r="P482" s="185"/>
      <c r="Q482" s="185"/>
      <c r="R482" s="185" t="s">
        <v>381</v>
      </c>
      <c r="S482" s="185" t="s">
        <v>295</v>
      </c>
      <c r="T482" s="217" t="s">
        <v>379</v>
      </c>
    </row>
    <row r="483" spans="1:20">
      <c r="A483" s="212" t="s">
        <v>378</v>
      </c>
      <c r="B483" s="212"/>
      <c r="C483" s="212"/>
      <c r="D483" s="212"/>
      <c r="E483" s="213"/>
      <c r="F483" s="214"/>
      <c r="G483" s="215">
        <f>SUM(G337:G482)</f>
        <v>8691.19</v>
      </c>
      <c r="H483" s="216">
        <f>SUM(H337:H482)</f>
        <v>10766.680000000004</v>
      </c>
      <c r="I483" s="212"/>
      <c r="J483" s="216">
        <f>SUM(J337:J482)</f>
        <v>9602.480000000005</v>
      </c>
      <c r="K483" s="216">
        <f>SUM(K337:K482)</f>
        <v>10766.689999999999</v>
      </c>
      <c r="L483" s="212"/>
      <c r="M483" s="213"/>
      <c r="N483" s="212"/>
      <c r="O483" s="212"/>
      <c r="P483" s="212"/>
      <c r="Q483" s="212"/>
      <c r="R483" s="212"/>
      <c r="S483" s="212"/>
      <c r="T483" s="212"/>
    </row>
    <row r="484" spans="1:20" outlineLevel="1">
      <c r="A484" s="199" t="s">
        <v>256</v>
      </c>
      <c r="B484" s="181" t="s">
        <v>1566</v>
      </c>
      <c r="C484" s="190">
        <v>43658</v>
      </c>
      <c r="D484" s="181" t="s">
        <v>2028</v>
      </c>
      <c r="E484" s="182" t="s">
        <v>2029</v>
      </c>
      <c r="F484" s="183">
        <v>76665</v>
      </c>
      <c r="G484" s="184">
        <v>6.36</v>
      </c>
      <c r="H484" s="181">
        <v>8.08</v>
      </c>
      <c r="I484" s="181" t="s">
        <v>292</v>
      </c>
      <c r="J484" s="191">
        <v>7.11</v>
      </c>
      <c r="K484" s="191">
        <v>8.08</v>
      </c>
      <c r="L484" s="199" t="s">
        <v>555</v>
      </c>
      <c r="M484" s="211" t="s">
        <v>1606</v>
      </c>
      <c r="N484" s="185" t="s">
        <v>396</v>
      </c>
      <c r="O484" s="185" t="s">
        <v>309</v>
      </c>
      <c r="P484" s="185" t="s">
        <v>449</v>
      </c>
      <c r="Q484" s="185"/>
      <c r="R484" s="185" t="s">
        <v>381</v>
      </c>
      <c r="S484" s="185" t="s">
        <v>295</v>
      </c>
      <c r="T484" s="217" t="s">
        <v>379</v>
      </c>
    </row>
    <row r="485" spans="1:20" outlineLevel="1">
      <c r="A485" s="199" t="s">
        <v>256</v>
      </c>
      <c r="B485" s="181" t="s">
        <v>1566</v>
      </c>
      <c r="C485" s="190">
        <v>43658</v>
      </c>
      <c r="D485" s="181" t="s">
        <v>2028</v>
      </c>
      <c r="E485" s="182" t="s">
        <v>2030</v>
      </c>
      <c r="F485" s="183">
        <v>76665</v>
      </c>
      <c r="G485" s="184">
        <v>3.84</v>
      </c>
      <c r="H485" s="181">
        <v>4.88</v>
      </c>
      <c r="I485" s="181" t="s">
        <v>292</v>
      </c>
      <c r="J485" s="191">
        <v>4.3</v>
      </c>
      <c r="K485" s="191">
        <v>4.88</v>
      </c>
      <c r="L485" s="199" t="s">
        <v>555</v>
      </c>
      <c r="M485" s="211" t="s">
        <v>1606</v>
      </c>
      <c r="N485" s="185" t="s">
        <v>396</v>
      </c>
      <c r="O485" s="185" t="s">
        <v>309</v>
      </c>
      <c r="P485" s="185" t="s">
        <v>489</v>
      </c>
      <c r="Q485" s="185"/>
      <c r="R485" s="185" t="s">
        <v>381</v>
      </c>
      <c r="S485" s="185" t="s">
        <v>295</v>
      </c>
      <c r="T485" s="217" t="s">
        <v>379</v>
      </c>
    </row>
    <row r="486" spans="1:20" outlineLevel="1">
      <c r="A486" s="199" t="s">
        <v>256</v>
      </c>
      <c r="B486" s="181" t="s">
        <v>1566</v>
      </c>
      <c r="C486" s="190">
        <v>43663</v>
      </c>
      <c r="D486" s="181" t="s">
        <v>2031</v>
      </c>
      <c r="E486" s="182" t="s">
        <v>2032</v>
      </c>
      <c r="F486" s="183">
        <v>76665</v>
      </c>
      <c r="G486" s="184">
        <v>36.64</v>
      </c>
      <c r="H486" s="181">
        <v>46.53</v>
      </c>
      <c r="I486" s="181" t="s">
        <v>292</v>
      </c>
      <c r="J486" s="191">
        <v>40.97</v>
      </c>
      <c r="K486" s="191">
        <v>46.53</v>
      </c>
      <c r="L486" s="199" t="s">
        <v>555</v>
      </c>
      <c r="M486" s="211" t="s">
        <v>1606</v>
      </c>
      <c r="N486" s="185" t="s">
        <v>396</v>
      </c>
      <c r="O486" s="185" t="s">
        <v>309</v>
      </c>
      <c r="P486" s="185" t="s">
        <v>468</v>
      </c>
      <c r="Q486" s="185"/>
      <c r="R486" s="185" t="s">
        <v>381</v>
      </c>
      <c r="S486" s="185" t="s">
        <v>295</v>
      </c>
      <c r="T486" s="217" t="s">
        <v>379</v>
      </c>
    </row>
    <row r="487" spans="1:20" outlineLevel="1">
      <c r="A487" s="199" t="s">
        <v>256</v>
      </c>
      <c r="B487" s="181" t="s">
        <v>1566</v>
      </c>
      <c r="C487" s="190">
        <v>43663</v>
      </c>
      <c r="D487" s="181" t="s">
        <v>2031</v>
      </c>
      <c r="E487" s="182" t="s">
        <v>2033</v>
      </c>
      <c r="F487" s="183">
        <v>76665</v>
      </c>
      <c r="G487" s="184">
        <v>15.14</v>
      </c>
      <c r="H487" s="181">
        <v>19.23</v>
      </c>
      <c r="I487" s="181" t="s">
        <v>292</v>
      </c>
      <c r="J487" s="191">
        <v>16.93</v>
      </c>
      <c r="K487" s="191">
        <v>19.23</v>
      </c>
      <c r="L487" s="199" t="s">
        <v>555</v>
      </c>
      <c r="M487" s="211" t="s">
        <v>1606</v>
      </c>
      <c r="N487" s="185" t="s">
        <v>396</v>
      </c>
      <c r="O487" s="185" t="s">
        <v>309</v>
      </c>
      <c r="P487" s="185" t="s">
        <v>908</v>
      </c>
      <c r="Q487" s="185"/>
      <c r="R487" s="185" t="s">
        <v>381</v>
      </c>
      <c r="S487" s="185" t="s">
        <v>295</v>
      </c>
      <c r="T487" s="217" t="s">
        <v>379</v>
      </c>
    </row>
    <row r="488" spans="1:20" outlineLevel="1">
      <c r="A488" s="199" t="s">
        <v>256</v>
      </c>
      <c r="B488" s="181" t="s">
        <v>1566</v>
      </c>
      <c r="C488" s="190">
        <v>43663</v>
      </c>
      <c r="D488" s="181" t="s">
        <v>2031</v>
      </c>
      <c r="E488" s="182" t="s">
        <v>2034</v>
      </c>
      <c r="F488" s="183">
        <v>76665</v>
      </c>
      <c r="G488" s="184">
        <v>66.97</v>
      </c>
      <c r="H488" s="181">
        <v>85.05</v>
      </c>
      <c r="I488" s="181" t="s">
        <v>292</v>
      </c>
      <c r="J488" s="191">
        <v>74.89</v>
      </c>
      <c r="K488" s="191">
        <v>85.05</v>
      </c>
      <c r="L488" s="199" t="s">
        <v>555</v>
      </c>
      <c r="M488" s="211" t="s">
        <v>1606</v>
      </c>
      <c r="N488" s="185" t="s">
        <v>396</v>
      </c>
      <c r="O488" s="185" t="s">
        <v>309</v>
      </c>
      <c r="P488" s="185" t="s">
        <v>499</v>
      </c>
      <c r="Q488" s="185"/>
      <c r="R488" s="185" t="s">
        <v>381</v>
      </c>
      <c r="S488" s="185" t="s">
        <v>295</v>
      </c>
      <c r="T488" s="217" t="s">
        <v>379</v>
      </c>
    </row>
    <row r="489" spans="1:20" outlineLevel="1">
      <c r="A489" s="199" t="s">
        <v>256</v>
      </c>
      <c r="B489" s="181" t="s">
        <v>1566</v>
      </c>
      <c r="C489" s="190">
        <v>43663</v>
      </c>
      <c r="D489" s="181" t="s">
        <v>2031</v>
      </c>
      <c r="E489" s="182" t="s">
        <v>2035</v>
      </c>
      <c r="F489" s="183">
        <v>76665</v>
      </c>
      <c r="G489" s="184">
        <v>9.0299999999999994</v>
      </c>
      <c r="H489" s="181">
        <v>11.46</v>
      </c>
      <c r="I489" s="181" t="s">
        <v>292</v>
      </c>
      <c r="J489" s="191">
        <v>10.09</v>
      </c>
      <c r="K489" s="191">
        <v>11.47</v>
      </c>
      <c r="L489" s="199" t="s">
        <v>555</v>
      </c>
      <c r="M489" s="211" t="s">
        <v>1606</v>
      </c>
      <c r="N489" s="185" t="s">
        <v>396</v>
      </c>
      <c r="O489" s="185" t="s">
        <v>309</v>
      </c>
      <c r="P489" s="185" t="s">
        <v>915</v>
      </c>
      <c r="Q489" s="185"/>
      <c r="R489" s="185" t="s">
        <v>381</v>
      </c>
      <c r="S489" s="185" t="s">
        <v>295</v>
      </c>
      <c r="T489" s="217" t="s">
        <v>379</v>
      </c>
    </row>
    <row r="490" spans="1:20" outlineLevel="1">
      <c r="A490" s="199" t="s">
        <v>256</v>
      </c>
      <c r="B490" s="181" t="s">
        <v>1566</v>
      </c>
      <c r="C490" s="190">
        <v>43663</v>
      </c>
      <c r="D490" s="181" t="s">
        <v>2031</v>
      </c>
      <c r="E490" s="182" t="s">
        <v>2036</v>
      </c>
      <c r="F490" s="183">
        <v>76665</v>
      </c>
      <c r="G490" s="184">
        <v>35.51</v>
      </c>
      <c r="H490" s="181">
        <v>45.1</v>
      </c>
      <c r="I490" s="181" t="s">
        <v>292</v>
      </c>
      <c r="J490" s="191">
        <v>39.71</v>
      </c>
      <c r="K490" s="191">
        <v>45.1</v>
      </c>
      <c r="L490" s="199" t="s">
        <v>555</v>
      </c>
      <c r="M490" s="211" t="s">
        <v>1606</v>
      </c>
      <c r="N490" s="185" t="s">
        <v>396</v>
      </c>
      <c r="O490" s="185" t="s">
        <v>309</v>
      </c>
      <c r="P490" s="185" t="s">
        <v>487</v>
      </c>
      <c r="Q490" s="185"/>
      <c r="R490" s="185" t="s">
        <v>381</v>
      </c>
      <c r="S490" s="185" t="s">
        <v>295</v>
      </c>
      <c r="T490" s="217" t="s">
        <v>379</v>
      </c>
    </row>
    <row r="491" spans="1:20" outlineLevel="1">
      <c r="A491" s="199" t="s">
        <v>256</v>
      </c>
      <c r="B491" s="181" t="s">
        <v>1566</v>
      </c>
      <c r="C491" s="190">
        <v>43663</v>
      </c>
      <c r="D491" s="181" t="s">
        <v>2031</v>
      </c>
      <c r="E491" s="182" t="s">
        <v>2037</v>
      </c>
      <c r="F491" s="183">
        <v>76665</v>
      </c>
      <c r="G491" s="184">
        <v>155.61000000000001</v>
      </c>
      <c r="H491" s="181">
        <v>197.61</v>
      </c>
      <c r="I491" s="181" t="s">
        <v>292</v>
      </c>
      <c r="J491" s="191">
        <v>174</v>
      </c>
      <c r="K491" s="191">
        <v>197.61</v>
      </c>
      <c r="L491" s="199" t="s">
        <v>555</v>
      </c>
      <c r="M491" s="211" t="s">
        <v>1606</v>
      </c>
      <c r="N491" s="185" t="s">
        <v>396</v>
      </c>
      <c r="O491" s="185" t="s">
        <v>309</v>
      </c>
      <c r="P491" s="185" t="s">
        <v>558</v>
      </c>
      <c r="Q491" s="185"/>
      <c r="R491" s="185" t="s">
        <v>381</v>
      </c>
      <c r="S491" s="185" t="s">
        <v>295</v>
      </c>
      <c r="T491" s="217" t="s">
        <v>379</v>
      </c>
    </row>
    <row r="492" spans="1:20" outlineLevel="1">
      <c r="A492" s="199" t="s">
        <v>256</v>
      </c>
      <c r="B492" s="181" t="s">
        <v>1566</v>
      </c>
      <c r="C492" s="190">
        <v>43663</v>
      </c>
      <c r="D492" s="181" t="s">
        <v>2031</v>
      </c>
      <c r="E492" s="182" t="s">
        <v>2038</v>
      </c>
      <c r="F492" s="183">
        <v>76665</v>
      </c>
      <c r="G492" s="184">
        <v>57.48</v>
      </c>
      <c r="H492" s="181">
        <v>73</v>
      </c>
      <c r="I492" s="181" t="s">
        <v>292</v>
      </c>
      <c r="J492" s="191">
        <v>64.28</v>
      </c>
      <c r="K492" s="191">
        <v>73</v>
      </c>
      <c r="L492" s="199" t="s">
        <v>555</v>
      </c>
      <c r="M492" s="211" t="s">
        <v>1606</v>
      </c>
      <c r="N492" s="185" t="s">
        <v>396</v>
      </c>
      <c r="O492" s="185" t="s">
        <v>309</v>
      </c>
      <c r="P492" s="185" t="s">
        <v>397</v>
      </c>
      <c r="Q492" s="185"/>
      <c r="R492" s="185" t="s">
        <v>381</v>
      </c>
      <c r="S492" s="185" t="s">
        <v>295</v>
      </c>
      <c r="T492" s="217" t="s">
        <v>379</v>
      </c>
    </row>
    <row r="493" spans="1:20" outlineLevel="1">
      <c r="A493" s="199" t="s">
        <v>256</v>
      </c>
      <c r="B493" s="181" t="s">
        <v>1566</v>
      </c>
      <c r="C493" s="190">
        <v>43669</v>
      </c>
      <c r="D493" s="181" t="s">
        <v>2039</v>
      </c>
      <c r="E493" s="182" t="s">
        <v>2040</v>
      </c>
      <c r="F493" s="183">
        <v>76652</v>
      </c>
      <c r="G493" s="184">
        <v>7.68</v>
      </c>
      <c r="H493" s="181">
        <v>9.75</v>
      </c>
      <c r="I493" s="181" t="s">
        <v>292</v>
      </c>
      <c r="J493" s="191">
        <v>8.59</v>
      </c>
      <c r="K493" s="191">
        <v>9.75</v>
      </c>
      <c r="L493" s="199" t="s">
        <v>555</v>
      </c>
      <c r="M493" s="211" t="s">
        <v>1606</v>
      </c>
      <c r="N493" s="185" t="s">
        <v>400</v>
      </c>
      <c r="O493" s="185" t="s">
        <v>309</v>
      </c>
      <c r="P493" s="185" t="s">
        <v>556</v>
      </c>
      <c r="Q493" s="185"/>
      <c r="R493" s="185" t="s">
        <v>381</v>
      </c>
      <c r="S493" s="185" t="s">
        <v>295</v>
      </c>
      <c r="T493" s="217" t="s">
        <v>379</v>
      </c>
    </row>
    <row r="494" spans="1:20" outlineLevel="1">
      <c r="A494" s="199" t="s">
        <v>256</v>
      </c>
      <c r="B494" s="181" t="s">
        <v>1566</v>
      </c>
      <c r="C494" s="190">
        <v>43669</v>
      </c>
      <c r="D494" s="181" t="s">
        <v>2039</v>
      </c>
      <c r="E494" s="182" t="s">
        <v>2041</v>
      </c>
      <c r="F494" s="183">
        <v>76652</v>
      </c>
      <c r="G494" s="184">
        <v>26.4</v>
      </c>
      <c r="H494" s="181">
        <v>33.53</v>
      </c>
      <c r="I494" s="181" t="s">
        <v>292</v>
      </c>
      <c r="J494" s="191">
        <v>29.52</v>
      </c>
      <c r="K494" s="191">
        <v>33.53</v>
      </c>
      <c r="L494" s="199" t="s">
        <v>555</v>
      </c>
      <c r="M494" s="211" t="s">
        <v>1606</v>
      </c>
      <c r="N494" s="185" t="s">
        <v>400</v>
      </c>
      <c r="O494" s="185" t="s">
        <v>309</v>
      </c>
      <c r="P494" s="185" t="s">
        <v>466</v>
      </c>
      <c r="Q494" s="185"/>
      <c r="R494" s="185" t="s">
        <v>381</v>
      </c>
      <c r="S494" s="185" t="s">
        <v>295</v>
      </c>
      <c r="T494" s="217" t="s">
        <v>379</v>
      </c>
    </row>
    <row r="495" spans="1:20" outlineLevel="1">
      <c r="A495" s="199" t="s">
        <v>256</v>
      </c>
      <c r="B495" s="181" t="s">
        <v>1566</v>
      </c>
      <c r="C495" s="190">
        <v>43669</v>
      </c>
      <c r="D495" s="181" t="s">
        <v>2039</v>
      </c>
      <c r="E495" s="182" t="s">
        <v>2042</v>
      </c>
      <c r="F495" s="183">
        <v>76652</v>
      </c>
      <c r="G495" s="184">
        <v>63.81</v>
      </c>
      <c r="H495" s="181">
        <v>81.03</v>
      </c>
      <c r="I495" s="181" t="s">
        <v>292</v>
      </c>
      <c r="J495" s="191">
        <v>71.349999999999994</v>
      </c>
      <c r="K495" s="191">
        <v>81.03</v>
      </c>
      <c r="L495" s="199" t="s">
        <v>555</v>
      </c>
      <c r="M495" s="211" t="s">
        <v>1606</v>
      </c>
      <c r="N495" s="185" t="s">
        <v>400</v>
      </c>
      <c r="O495" s="185" t="s">
        <v>309</v>
      </c>
      <c r="P495" s="185" t="s">
        <v>497</v>
      </c>
      <c r="Q495" s="185"/>
      <c r="R495" s="185" t="s">
        <v>381</v>
      </c>
      <c r="S495" s="185" t="s">
        <v>295</v>
      </c>
      <c r="T495" s="217" t="s">
        <v>379</v>
      </c>
    </row>
    <row r="496" spans="1:20" outlineLevel="1">
      <c r="A496" s="199" t="s">
        <v>256</v>
      </c>
      <c r="B496" s="181" t="s">
        <v>1566</v>
      </c>
      <c r="C496" s="190">
        <v>43669</v>
      </c>
      <c r="D496" s="181" t="s">
        <v>2043</v>
      </c>
      <c r="E496" s="182" t="s">
        <v>2040</v>
      </c>
      <c r="F496" s="183">
        <v>76652</v>
      </c>
      <c r="G496" s="184">
        <v>109.98</v>
      </c>
      <c r="H496" s="181">
        <v>139.66999999999999</v>
      </c>
      <c r="I496" s="181" t="s">
        <v>292</v>
      </c>
      <c r="J496" s="191">
        <v>122.98</v>
      </c>
      <c r="K496" s="191">
        <v>139.66999999999999</v>
      </c>
      <c r="L496" s="199" t="s">
        <v>555</v>
      </c>
      <c r="M496" s="211" t="s">
        <v>1606</v>
      </c>
      <c r="N496" s="185" t="s">
        <v>400</v>
      </c>
      <c r="O496" s="185" t="s">
        <v>309</v>
      </c>
      <c r="P496" s="185" t="s">
        <v>556</v>
      </c>
      <c r="Q496" s="185"/>
      <c r="R496" s="185" t="s">
        <v>381</v>
      </c>
      <c r="S496" s="185" t="s">
        <v>295</v>
      </c>
      <c r="T496" s="217" t="s">
        <v>379</v>
      </c>
    </row>
    <row r="497" spans="1:20" outlineLevel="1">
      <c r="A497" s="199" t="s">
        <v>256</v>
      </c>
      <c r="B497" s="181" t="s">
        <v>1566</v>
      </c>
      <c r="C497" s="190">
        <v>43669</v>
      </c>
      <c r="D497" s="181" t="s">
        <v>2043</v>
      </c>
      <c r="E497" s="182" t="s">
        <v>2044</v>
      </c>
      <c r="F497" s="183">
        <v>76652</v>
      </c>
      <c r="G497" s="184">
        <v>2.2799999999999998</v>
      </c>
      <c r="H497" s="181">
        <v>2.9</v>
      </c>
      <c r="I497" s="181" t="s">
        <v>292</v>
      </c>
      <c r="J497" s="191">
        <v>2.5499999999999998</v>
      </c>
      <c r="K497" s="191">
        <v>2.9</v>
      </c>
      <c r="L497" s="199" t="s">
        <v>555</v>
      </c>
      <c r="M497" s="211" t="s">
        <v>1606</v>
      </c>
      <c r="N497" s="185" t="s">
        <v>400</v>
      </c>
      <c r="O497" s="185" t="s">
        <v>309</v>
      </c>
      <c r="P497" s="185" t="s">
        <v>499</v>
      </c>
      <c r="Q497" s="185"/>
      <c r="R497" s="185" t="s">
        <v>381</v>
      </c>
      <c r="S497" s="185" t="s">
        <v>295</v>
      </c>
      <c r="T497" s="217" t="s">
        <v>379</v>
      </c>
    </row>
    <row r="498" spans="1:20" outlineLevel="1">
      <c r="A498" s="199" t="s">
        <v>256</v>
      </c>
      <c r="B498" s="181" t="s">
        <v>1575</v>
      </c>
      <c r="C498" s="190">
        <v>43697</v>
      </c>
      <c r="D498" s="181" t="s">
        <v>2045</v>
      </c>
      <c r="E498" s="182" t="s">
        <v>2046</v>
      </c>
      <c r="F498" s="183">
        <v>76927</v>
      </c>
      <c r="G498" s="184">
        <v>27.99</v>
      </c>
      <c r="H498" s="181">
        <v>34.200000000000003</v>
      </c>
      <c r="I498" s="181" t="s">
        <v>292</v>
      </c>
      <c r="J498" s="191">
        <v>30.54</v>
      </c>
      <c r="K498" s="191">
        <v>34.200000000000003</v>
      </c>
      <c r="L498" s="199" t="s">
        <v>555</v>
      </c>
      <c r="M498" s="211" t="s">
        <v>1606</v>
      </c>
      <c r="N498" s="185" t="s">
        <v>400</v>
      </c>
      <c r="O498" s="185" t="s">
        <v>309</v>
      </c>
      <c r="P498" s="185" t="s">
        <v>556</v>
      </c>
      <c r="Q498" s="185"/>
      <c r="R498" s="185" t="s">
        <v>381</v>
      </c>
      <c r="S498" s="185" t="s">
        <v>295</v>
      </c>
      <c r="T498" s="217" t="s">
        <v>379</v>
      </c>
    </row>
    <row r="499" spans="1:20" outlineLevel="1">
      <c r="A499" s="199" t="s">
        <v>256</v>
      </c>
      <c r="B499" s="181" t="s">
        <v>1575</v>
      </c>
      <c r="C499" s="190">
        <v>43699</v>
      </c>
      <c r="D499" s="181" t="s">
        <v>2047</v>
      </c>
      <c r="E499" s="182" t="s">
        <v>2048</v>
      </c>
      <c r="F499" s="183">
        <v>76932</v>
      </c>
      <c r="G499" s="184">
        <v>423.34</v>
      </c>
      <c r="H499" s="181">
        <v>517.23</v>
      </c>
      <c r="I499" s="181" t="s">
        <v>292</v>
      </c>
      <c r="J499" s="191">
        <v>461.89</v>
      </c>
      <c r="K499" s="191">
        <v>517.23</v>
      </c>
      <c r="L499" s="199" t="s">
        <v>555</v>
      </c>
      <c r="M499" s="211" t="s">
        <v>1606</v>
      </c>
      <c r="N499" s="185" t="s">
        <v>396</v>
      </c>
      <c r="O499" s="185" t="s">
        <v>309</v>
      </c>
      <c r="P499" s="185" t="s">
        <v>558</v>
      </c>
      <c r="Q499" s="185"/>
      <c r="R499" s="185" t="s">
        <v>381</v>
      </c>
      <c r="S499" s="185" t="s">
        <v>295</v>
      </c>
      <c r="T499" s="217" t="s">
        <v>379</v>
      </c>
    </row>
    <row r="500" spans="1:20" outlineLevel="1">
      <c r="A500" s="199" t="s">
        <v>256</v>
      </c>
      <c r="B500" s="181" t="s">
        <v>1575</v>
      </c>
      <c r="C500" s="190">
        <v>43699</v>
      </c>
      <c r="D500" s="181" t="s">
        <v>2047</v>
      </c>
      <c r="E500" s="182" t="s">
        <v>2049</v>
      </c>
      <c r="F500" s="183">
        <v>76932</v>
      </c>
      <c r="G500" s="184">
        <v>1.84</v>
      </c>
      <c r="H500" s="181">
        <v>2.25</v>
      </c>
      <c r="I500" s="181" t="s">
        <v>292</v>
      </c>
      <c r="J500" s="191">
        <v>2.0099999999999998</v>
      </c>
      <c r="K500" s="191">
        <v>2.25</v>
      </c>
      <c r="L500" s="199" t="s">
        <v>555</v>
      </c>
      <c r="M500" s="211" t="s">
        <v>1606</v>
      </c>
      <c r="N500" s="185" t="s">
        <v>396</v>
      </c>
      <c r="O500" s="185" t="s">
        <v>309</v>
      </c>
      <c r="P500" s="185" t="s">
        <v>489</v>
      </c>
      <c r="Q500" s="185"/>
      <c r="R500" s="185" t="s">
        <v>381</v>
      </c>
      <c r="S500" s="185" t="s">
        <v>295</v>
      </c>
      <c r="T500" s="217" t="s">
        <v>379</v>
      </c>
    </row>
    <row r="501" spans="1:20" outlineLevel="1">
      <c r="A501" s="199" t="s">
        <v>256</v>
      </c>
      <c r="B501" s="181" t="s">
        <v>1575</v>
      </c>
      <c r="C501" s="190">
        <v>43700</v>
      </c>
      <c r="D501" s="181" t="s">
        <v>2050</v>
      </c>
      <c r="E501" s="182" t="s">
        <v>2051</v>
      </c>
      <c r="F501" s="183">
        <v>76932</v>
      </c>
      <c r="G501" s="184">
        <v>34.72</v>
      </c>
      <c r="H501" s="181">
        <v>42.42</v>
      </c>
      <c r="I501" s="181" t="s">
        <v>292</v>
      </c>
      <c r="J501" s="191">
        <v>37.880000000000003</v>
      </c>
      <c r="K501" s="191">
        <v>42.42</v>
      </c>
      <c r="L501" s="199" t="s">
        <v>555</v>
      </c>
      <c r="M501" s="211" t="s">
        <v>1606</v>
      </c>
      <c r="N501" s="185" t="s">
        <v>396</v>
      </c>
      <c r="O501" s="185" t="s">
        <v>309</v>
      </c>
      <c r="P501" s="185" t="s">
        <v>626</v>
      </c>
      <c r="Q501" s="185"/>
      <c r="R501" s="185" t="s">
        <v>381</v>
      </c>
      <c r="S501" s="185" t="s">
        <v>295</v>
      </c>
      <c r="T501" s="217" t="s">
        <v>379</v>
      </c>
    </row>
    <row r="502" spans="1:20" outlineLevel="1" collapsed="1">
      <c r="A502" s="199" t="s">
        <v>256</v>
      </c>
      <c r="B502" s="181" t="s">
        <v>1575</v>
      </c>
      <c r="C502" s="190">
        <v>43700</v>
      </c>
      <c r="D502" s="181" t="s">
        <v>2050</v>
      </c>
      <c r="E502" s="182" t="s">
        <v>2052</v>
      </c>
      <c r="F502" s="183">
        <v>76932</v>
      </c>
      <c r="G502" s="184">
        <v>40.24</v>
      </c>
      <c r="H502" s="181">
        <v>49.17</v>
      </c>
      <c r="I502" s="181" t="s">
        <v>292</v>
      </c>
      <c r="J502" s="191">
        <v>43.91</v>
      </c>
      <c r="K502" s="191">
        <v>49.16</v>
      </c>
      <c r="L502" s="199" t="s">
        <v>555</v>
      </c>
      <c r="M502" s="211" t="s">
        <v>1606</v>
      </c>
      <c r="N502" s="185" t="s">
        <v>396</v>
      </c>
      <c r="O502" s="185" t="s">
        <v>309</v>
      </c>
      <c r="P502" s="185" t="s">
        <v>908</v>
      </c>
      <c r="Q502" s="185"/>
      <c r="R502" s="185" t="s">
        <v>381</v>
      </c>
      <c r="S502" s="185" t="s">
        <v>295</v>
      </c>
      <c r="T502" s="217" t="s">
        <v>379</v>
      </c>
    </row>
    <row r="503" spans="1:20" outlineLevel="1">
      <c r="A503" s="199" t="s">
        <v>256</v>
      </c>
      <c r="B503" s="181" t="s">
        <v>1575</v>
      </c>
      <c r="C503" s="190">
        <v>43700</v>
      </c>
      <c r="D503" s="181" t="s">
        <v>2050</v>
      </c>
      <c r="E503" s="182" t="s">
        <v>2053</v>
      </c>
      <c r="F503" s="183">
        <v>76932</v>
      </c>
      <c r="G503" s="184">
        <v>148.47</v>
      </c>
      <c r="H503" s="181">
        <v>181.4</v>
      </c>
      <c r="I503" s="181" t="s">
        <v>292</v>
      </c>
      <c r="J503" s="191">
        <v>161.99</v>
      </c>
      <c r="K503" s="191">
        <v>181.4</v>
      </c>
      <c r="L503" s="199" t="s">
        <v>555</v>
      </c>
      <c r="M503" s="211" t="s">
        <v>1606</v>
      </c>
      <c r="N503" s="185" t="s">
        <v>396</v>
      </c>
      <c r="O503" s="185" t="s">
        <v>309</v>
      </c>
      <c r="P503" s="185" t="s">
        <v>397</v>
      </c>
      <c r="Q503" s="185"/>
      <c r="R503" s="185" t="s">
        <v>381</v>
      </c>
      <c r="S503" s="185" t="s">
        <v>295</v>
      </c>
      <c r="T503" s="217" t="s">
        <v>379</v>
      </c>
    </row>
    <row r="504" spans="1:20" outlineLevel="1">
      <c r="A504" s="199" t="s">
        <v>256</v>
      </c>
      <c r="B504" s="181" t="s">
        <v>1575</v>
      </c>
      <c r="C504" s="190">
        <v>43700</v>
      </c>
      <c r="D504" s="181" t="s">
        <v>2050</v>
      </c>
      <c r="E504" s="182" t="s">
        <v>2054</v>
      </c>
      <c r="F504" s="183">
        <v>76932</v>
      </c>
      <c r="G504" s="184">
        <v>5.65</v>
      </c>
      <c r="H504" s="181">
        <v>6.9</v>
      </c>
      <c r="I504" s="181" t="s">
        <v>292</v>
      </c>
      <c r="J504" s="191">
        <v>6.16</v>
      </c>
      <c r="K504" s="191">
        <v>6.9</v>
      </c>
      <c r="L504" s="199" t="s">
        <v>555</v>
      </c>
      <c r="M504" s="211" t="s">
        <v>1606</v>
      </c>
      <c r="N504" s="185" t="s">
        <v>396</v>
      </c>
      <c r="O504" s="185" t="s">
        <v>309</v>
      </c>
      <c r="P504" s="185" t="s">
        <v>468</v>
      </c>
      <c r="Q504" s="185"/>
      <c r="R504" s="185" t="s">
        <v>381</v>
      </c>
      <c r="S504" s="185" t="s">
        <v>295</v>
      </c>
      <c r="T504" s="217" t="s">
        <v>379</v>
      </c>
    </row>
    <row r="505" spans="1:20" outlineLevel="1">
      <c r="A505" s="199" t="s">
        <v>256</v>
      </c>
      <c r="B505" s="181" t="s">
        <v>1575</v>
      </c>
      <c r="C505" s="190">
        <v>43700</v>
      </c>
      <c r="D505" s="181" t="s">
        <v>2050</v>
      </c>
      <c r="E505" s="182" t="s">
        <v>2055</v>
      </c>
      <c r="F505" s="183">
        <v>76932</v>
      </c>
      <c r="G505" s="184">
        <v>25.88</v>
      </c>
      <c r="H505" s="181">
        <v>31.62</v>
      </c>
      <c r="I505" s="181" t="s">
        <v>292</v>
      </c>
      <c r="J505" s="191">
        <v>28.24</v>
      </c>
      <c r="K505" s="191">
        <v>31.62</v>
      </c>
      <c r="L505" s="199" t="s">
        <v>555</v>
      </c>
      <c r="M505" s="211" t="s">
        <v>1606</v>
      </c>
      <c r="N505" s="185" t="s">
        <v>396</v>
      </c>
      <c r="O505" s="185" t="s">
        <v>309</v>
      </c>
      <c r="P505" s="185" t="s">
        <v>628</v>
      </c>
      <c r="Q505" s="185"/>
      <c r="R505" s="185" t="s">
        <v>381</v>
      </c>
      <c r="S505" s="185" t="s">
        <v>295</v>
      </c>
      <c r="T505" s="217" t="s">
        <v>379</v>
      </c>
    </row>
    <row r="506" spans="1:20" outlineLevel="1">
      <c r="A506" s="199" t="s">
        <v>256</v>
      </c>
      <c r="B506" s="181" t="s">
        <v>1575</v>
      </c>
      <c r="C506" s="190">
        <v>43700</v>
      </c>
      <c r="D506" s="181" t="s">
        <v>2050</v>
      </c>
      <c r="E506" s="182" t="s">
        <v>2056</v>
      </c>
      <c r="F506" s="183">
        <v>76932</v>
      </c>
      <c r="G506" s="184">
        <v>32.58</v>
      </c>
      <c r="H506" s="181">
        <v>39.81</v>
      </c>
      <c r="I506" s="181" t="s">
        <v>292</v>
      </c>
      <c r="J506" s="191">
        <v>35.549999999999997</v>
      </c>
      <c r="K506" s="191">
        <v>39.81</v>
      </c>
      <c r="L506" s="199" t="s">
        <v>555</v>
      </c>
      <c r="M506" s="211" t="s">
        <v>1606</v>
      </c>
      <c r="N506" s="185" t="s">
        <v>396</v>
      </c>
      <c r="O506" s="185" t="s">
        <v>309</v>
      </c>
      <c r="P506" s="185" t="s">
        <v>499</v>
      </c>
      <c r="Q506" s="185"/>
      <c r="R506" s="185" t="s">
        <v>381</v>
      </c>
      <c r="S506" s="185" t="s">
        <v>295</v>
      </c>
      <c r="T506" s="217" t="s">
        <v>379</v>
      </c>
    </row>
    <row r="507" spans="1:20" outlineLevel="1">
      <c r="A507" s="199" t="s">
        <v>256</v>
      </c>
      <c r="B507" s="181" t="s">
        <v>1575</v>
      </c>
      <c r="C507" s="190">
        <v>43708</v>
      </c>
      <c r="D507" s="181" t="s">
        <v>2057</v>
      </c>
      <c r="E507" s="182" t="s">
        <v>2046</v>
      </c>
      <c r="F507" s="183">
        <v>76927</v>
      </c>
      <c r="G507" s="184">
        <v>48.21</v>
      </c>
      <c r="H507" s="181">
        <v>58.9</v>
      </c>
      <c r="I507" s="181" t="s">
        <v>292</v>
      </c>
      <c r="J507" s="191">
        <v>52.6</v>
      </c>
      <c r="K507" s="191">
        <v>58.9</v>
      </c>
      <c r="L507" s="199" t="s">
        <v>555</v>
      </c>
      <c r="M507" s="211" t="s">
        <v>1606</v>
      </c>
      <c r="N507" s="185" t="s">
        <v>400</v>
      </c>
      <c r="O507" s="185" t="s">
        <v>309</v>
      </c>
      <c r="P507" s="185" t="s">
        <v>556</v>
      </c>
      <c r="Q507" s="185"/>
      <c r="R507" s="185" t="s">
        <v>381</v>
      </c>
      <c r="S507" s="185" t="s">
        <v>295</v>
      </c>
      <c r="T507" s="217" t="s">
        <v>379</v>
      </c>
    </row>
    <row r="508" spans="1:20" outlineLevel="1">
      <c r="A508" s="199" t="s">
        <v>256</v>
      </c>
      <c r="B508" s="181" t="s">
        <v>1567</v>
      </c>
      <c r="C508" s="190">
        <v>43721</v>
      </c>
      <c r="D508" s="181" t="s">
        <v>2058</v>
      </c>
      <c r="E508" s="182" t="s">
        <v>2059</v>
      </c>
      <c r="F508" s="183">
        <v>77221</v>
      </c>
      <c r="G508" s="184">
        <v>177.81</v>
      </c>
      <c r="H508" s="181">
        <v>216.25</v>
      </c>
      <c r="I508" s="181" t="s">
        <v>292</v>
      </c>
      <c r="J508" s="191">
        <v>196.41</v>
      </c>
      <c r="K508" s="191">
        <v>216.25</v>
      </c>
      <c r="L508" s="199" t="s">
        <v>555</v>
      </c>
      <c r="M508" s="211" t="s">
        <v>1606</v>
      </c>
      <c r="N508" s="185" t="s">
        <v>396</v>
      </c>
      <c r="O508" s="185" t="s">
        <v>309</v>
      </c>
      <c r="P508" s="185" t="s">
        <v>397</v>
      </c>
      <c r="Q508" s="185"/>
      <c r="R508" s="185" t="s">
        <v>381</v>
      </c>
      <c r="S508" s="185" t="s">
        <v>295</v>
      </c>
      <c r="T508" s="217" t="s">
        <v>379</v>
      </c>
    </row>
    <row r="509" spans="1:20" outlineLevel="1">
      <c r="A509" s="199" t="s">
        <v>256</v>
      </c>
      <c r="B509" s="181" t="s">
        <v>1567</v>
      </c>
      <c r="C509" s="190">
        <v>43721</v>
      </c>
      <c r="D509" s="181" t="s">
        <v>2058</v>
      </c>
      <c r="E509" s="182" t="s">
        <v>2060</v>
      </c>
      <c r="F509" s="183">
        <v>77221</v>
      </c>
      <c r="G509" s="184">
        <v>31.99</v>
      </c>
      <c r="H509" s="181">
        <v>38.909999999999997</v>
      </c>
      <c r="I509" s="181" t="s">
        <v>292</v>
      </c>
      <c r="J509" s="191">
        <v>35.340000000000003</v>
      </c>
      <c r="K509" s="191">
        <v>38.909999999999997</v>
      </c>
      <c r="L509" s="199" t="s">
        <v>555</v>
      </c>
      <c r="M509" s="211" t="s">
        <v>1606</v>
      </c>
      <c r="N509" s="185" t="s">
        <v>396</v>
      </c>
      <c r="O509" s="185" t="s">
        <v>309</v>
      </c>
      <c r="P509" s="185" t="s">
        <v>908</v>
      </c>
      <c r="Q509" s="185"/>
      <c r="R509" s="185" t="s">
        <v>381</v>
      </c>
      <c r="S509" s="185" t="s">
        <v>295</v>
      </c>
      <c r="T509" s="217" t="s">
        <v>379</v>
      </c>
    </row>
    <row r="510" spans="1:20" outlineLevel="1">
      <c r="A510" s="199" t="s">
        <v>256</v>
      </c>
      <c r="B510" s="181" t="s">
        <v>1567</v>
      </c>
      <c r="C510" s="190">
        <v>43721</v>
      </c>
      <c r="D510" s="181" t="s">
        <v>2058</v>
      </c>
      <c r="E510" s="182" t="s">
        <v>2061</v>
      </c>
      <c r="F510" s="183">
        <v>77221</v>
      </c>
      <c r="G510" s="184">
        <v>3.5</v>
      </c>
      <c r="H510" s="181">
        <v>4.26</v>
      </c>
      <c r="I510" s="181" t="s">
        <v>292</v>
      </c>
      <c r="J510" s="191">
        <v>3.87</v>
      </c>
      <c r="K510" s="191">
        <v>4.26</v>
      </c>
      <c r="L510" s="199" t="s">
        <v>555</v>
      </c>
      <c r="M510" s="211" t="s">
        <v>1606</v>
      </c>
      <c r="N510" s="185" t="s">
        <v>396</v>
      </c>
      <c r="O510" s="185" t="s">
        <v>309</v>
      </c>
      <c r="P510" s="185" t="s">
        <v>489</v>
      </c>
      <c r="Q510" s="185"/>
      <c r="R510" s="185" t="s">
        <v>381</v>
      </c>
      <c r="S510" s="185" t="s">
        <v>295</v>
      </c>
      <c r="T510" s="217" t="s">
        <v>379</v>
      </c>
    </row>
    <row r="511" spans="1:20" outlineLevel="1">
      <c r="A511" s="199" t="s">
        <v>256</v>
      </c>
      <c r="B511" s="181" t="s">
        <v>1567</v>
      </c>
      <c r="C511" s="190">
        <v>43721</v>
      </c>
      <c r="D511" s="181" t="s">
        <v>2058</v>
      </c>
      <c r="E511" s="182" t="s">
        <v>2062</v>
      </c>
      <c r="F511" s="183">
        <v>77221</v>
      </c>
      <c r="G511" s="184">
        <v>29.74</v>
      </c>
      <c r="H511" s="181">
        <v>36.17</v>
      </c>
      <c r="I511" s="181" t="s">
        <v>292</v>
      </c>
      <c r="J511" s="191">
        <v>32.85</v>
      </c>
      <c r="K511" s="191">
        <v>36.17</v>
      </c>
      <c r="L511" s="199" t="s">
        <v>555</v>
      </c>
      <c r="M511" s="211" t="s">
        <v>1606</v>
      </c>
      <c r="N511" s="185" t="s">
        <v>396</v>
      </c>
      <c r="O511" s="185" t="s">
        <v>309</v>
      </c>
      <c r="P511" s="185" t="s">
        <v>499</v>
      </c>
      <c r="Q511" s="185"/>
      <c r="R511" s="185" t="s">
        <v>381</v>
      </c>
      <c r="S511" s="185" t="s">
        <v>295</v>
      </c>
      <c r="T511" s="217" t="s">
        <v>379</v>
      </c>
    </row>
    <row r="512" spans="1:20" outlineLevel="1">
      <c r="A512" s="199" t="s">
        <v>256</v>
      </c>
      <c r="B512" s="181" t="s">
        <v>1567</v>
      </c>
      <c r="C512" s="190">
        <v>43721</v>
      </c>
      <c r="D512" s="181" t="s">
        <v>2058</v>
      </c>
      <c r="E512" s="182" t="s">
        <v>2063</v>
      </c>
      <c r="F512" s="183">
        <v>77221</v>
      </c>
      <c r="G512" s="184">
        <v>31.82</v>
      </c>
      <c r="H512" s="181">
        <v>38.700000000000003</v>
      </c>
      <c r="I512" s="181" t="s">
        <v>292</v>
      </c>
      <c r="J512" s="191">
        <v>35.15</v>
      </c>
      <c r="K512" s="191">
        <v>38.700000000000003</v>
      </c>
      <c r="L512" s="199" t="s">
        <v>555</v>
      </c>
      <c r="M512" s="211" t="s">
        <v>1606</v>
      </c>
      <c r="N512" s="185" t="s">
        <v>396</v>
      </c>
      <c r="O512" s="185" t="s">
        <v>309</v>
      </c>
      <c r="P512" s="185" t="s">
        <v>468</v>
      </c>
      <c r="Q512" s="185"/>
      <c r="R512" s="185" t="s">
        <v>381</v>
      </c>
      <c r="S512" s="185" t="s">
        <v>295</v>
      </c>
      <c r="T512" s="217" t="s">
        <v>379</v>
      </c>
    </row>
    <row r="513" spans="1:20" outlineLevel="1">
      <c r="A513" s="199" t="s">
        <v>256</v>
      </c>
      <c r="B513" s="181" t="s">
        <v>1567</v>
      </c>
      <c r="C513" s="190">
        <v>43725</v>
      </c>
      <c r="D513" s="181" t="s">
        <v>2064</v>
      </c>
      <c r="E513" s="182" t="s">
        <v>2065</v>
      </c>
      <c r="F513" s="183">
        <v>77220</v>
      </c>
      <c r="G513" s="184">
        <v>5.95</v>
      </c>
      <c r="H513" s="181">
        <v>7.24</v>
      </c>
      <c r="I513" s="181" t="s">
        <v>292</v>
      </c>
      <c r="J513" s="191">
        <v>6.58</v>
      </c>
      <c r="K513" s="191">
        <v>7.24</v>
      </c>
      <c r="L513" s="199" t="s">
        <v>555</v>
      </c>
      <c r="M513" s="211" t="s">
        <v>1606</v>
      </c>
      <c r="N513" s="185" t="s">
        <v>400</v>
      </c>
      <c r="O513" s="185" t="s">
        <v>309</v>
      </c>
      <c r="P513" s="185" t="s">
        <v>556</v>
      </c>
      <c r="Q513" s="185"/>
      <c r="R513" s="185" t="s">
        <v>381</v>
      </c>
      <c r="S513" s="185" t="s">
        <v>295</v>
      </c>
      <c r="T513" s="217" t="s">
        <v>379</v>
      </c>
    </row>
    <row r="514" spans="1:20" outlineLevel="1">
      <c r="A514" s="199" t="s">
        <v>256</v>
      </c>
      <c r="B514" s="181" t="s">
        <v>1567</v>
      </c>
      <c r="C514" s="190">
        <v>43725</v>
      </c>
      <c r="D514" s="181" t="s">
        <v>2064</v>
      </c>
      <c r="E514" s="182" t="s">
        <v>2066</v>
      </c>
      <c r="F514" s="183">
        <v>77220</v>
      </c>
      <c r="G514" s="184">
        <v>53.96</v>
      </c>
      <c r="H514" s="181">
        <v>65.63</v>
      </c>
      <c r="I514" s="181" t="s">
        <v>292</v>
      </c>
      <c r="J514" s="191">
        <v>59.61</v>
      </c>
      <c r="K514" s="191">
        <v>65.62</v>
      </c>
      <c r="L514" s="199" t="s">
        <v>555</v>
      </c>
      <c r="M514" s="211" t="s">
        <v>1606</v>
      </c>
      <c r="N514" s="185" t="s">
        <v>400</v>
      </c>
      <c r="O514" s="185" t="s">
        <v>309</v>
      </c>
      <c r="P514" s="185" t="s">
        <v>497</v>
      </c>
      <c r="Q514" s="185"/>
      <c r="R514" s="185" t="s">
        <v>381</v>
      </c>
      <c r="S514" s="185" t="s">
        <v>295</v>
      </c>
      <c r="T514" s="217" t="s">
        <v>379</v>
      </c>
    </row>
    <row r="515" spans="1:20" outlineLevel="1">
      <c r="A515" s="199" t="s">
        <v>256</v>
      </c>
      <c r="B515" s="181" t="s">
        <v>1567</v>
      </c>
      <c r="C515" s="190">
        <v>43725</v>
      </c>
      <c r="D515" s="181" t="s">
        <v>2064</v>
      </c>
      <c r="E515" s="182" t="s">
        <v>2067</v>
      </c>
      <c r="F515" s="183">
        <v>77220</v>
      </c>
      <c r="G515" s="184">
        <v>56.78</v>
      </c>
      <c r="H515" s="181">
        <v>69.06</v>
      </c>
      <c r="I515" s="181" t="s">
        <v>292</v>
      </c>
      <c r="J515" s="191">
        <v>62.72</v>
      </c>
      <c r="K515" s="191">
        <v>69.05</v>
      </c>
      <c r="L515" s="199" t="s">
        <v>555</v>
      </c>
      <c r="M515" s="211" t="s">
        <v>1606</v>
      </c>
      <c r="N515" s="185" t="s">
        <v>400</v>
      </c>
      <c r="O515" s="185" t="s">
        <v>309</v>
      </c>
      <c r="P515" s="185" t="s">
        <v>466</v>
      </c>
      <c r="Q515" s="185"/>
      <c r="R515" s="185" t="s">
        <v>381</v>
      </c>
      <c r="S515" s="185" t="s">
        <v>295</v>
      </c>
      <c r="T515" s="217" t="s">
        <v>379</v>
      </c>
    </row>
    <row r="516" spans="1:20" outlineLevel="1">
      <c r="A516" s="199" t="s">
        <v>256</v>
      </c>
      <c r="B516" s="181" t="s">
        <v>1567</v>
      </c>
      <c r="C516" s="190">
        <v>43728</v>
      </c>
      <c r="D516" s="181" t="s">
        <v>2068</v>
      </c>
      <c r="E516" s="182" t="s">
        <v>2069</v>
      </c>
      <c r="F516" s="183">
        <v>77221</v>
      </c>
      <c r="G516" s="184">
        <v>15.06</v>
      </c>
      <c r="H516" s="181">
        <v>18.32</v>
      </c>
      <c r="I516" s="181" t="s">
        <v>292</v>
      </c>
      <c r="J516" s="191">
        <v>16.64</v>
      </c>
      <c r="K516" s="191">
        <v>18.32</v>
      </c>
      <c r="L516" s="199" t="s">
        <v>555</v>
      </c>
      <c r="M516" s="211" t="s">
        <v>1606</v>
      </c>
      <c r="N516" s="185" t="s">
        <v>396</v>
      </c>
      <c r="O516" s="185" t="s">
        <v>309</v>
      </c>
      <c r="P516" s="185" t="s">
        <v>487</v>
      </c>
      <c r="Q516" s="185"/>
      <c r="R516" s="185" t="s">
        <v>381</v>
      </c>
      <c r="S516" s="185" t="s">
        <v>295</v>
      </c>
      <c r="T516" s="217" t="s">
        <v>379</v>
      </c>
    </row>
    <row r="517" spans="1:20">
      <c r="A517" s="212" t="s">
        <v>378</v>
      </c>
      <c r="B517" s="212"/>
      <c r="C517" s="212"/>
      <c r="D517" s="212"/>
      <c r="E517" s="213"/>
      <c r="F517" s="214"/>
      <c r="G517" s="215">
        <f>SUM(G484:G516)</f>
        <v>1792.26</v>
      </c>
      <c r="H517" s="216">
        <f>SUM(H484:H516)</f>
        <v>2216.2600000000002</v>
      </c>
      <c r="I517" s="212"/>
      <c r="J517" s="216">
        <f>SUM(J484:J516)</f>
        <v>1977.2099999999998</v>
      </c>
      <c r="K517" s="216">
        <f>SUM(K484:K516)</f>
        <v>2216.2400000000002</v>
      </c>
      <c r="L517" s="212"/>
      <c r="M517" s="213"/>
      <c r="N517" s="212"/>
      <c r="O517" s="212"/>
      <c r="P517" s="212"/>
      <c r="Q517" s="212"/>
      <c r="R517" s="212"/>
      <c r="S517" s="212"/>
      <c r="T517" s="212"/>
    </row>
    <row r="518" spans="1:20" outlineLevel="1">
      <c r="A518" s="199" t="s">
        <v>257</v>
      </c>
      <c r="B518" s="181" t="s">
        <v>1575</v>
      </c>
      <c r="C518" s="190">
        <v>43699</v>
      </c>
      <c r="D518" s="181" t="s">
        <v>2070</v>
      </c>
      <c r="E518" s="182" t="s">
        <v>2071</v>
      </c>
      <c r="F518" s="183">
        <v>76927</v>
      </c>
      <c r="G518" s="184">
        <v>279.3</v>
      </c>
      <c r="H518" s="181">
        <v>341.25</v>
      </c>
      <c r="I518" s="181" t="s">
        <v>292</v>
      </c>
      <c r="J518" s="191">
        <v>304.74</v>
      </c>
      <c r="K518" s="191">
        <v>341.25</v>
      </c>
      <c r="L518" s="199" t="s">
        <v>1050</v>
      </c>
      <c r="M518" s="211" t="s">
        <v>1674</v>
      </c>
      <c r="N518" s="185" t="s">
        <v>400</v>
      </c>
      <c r="O518" s="185" t="s">
        <v>309</v>
      </c>
      <c r="P518" s="185" t="s">
        <v>499</v>
      </c>
      <c r="Q518" s="185"/>
      <c r="R518" s="185" t="s">
        <v>381</v>
      </c>
      <c r="S518" s="185" t="s">
        <v>295</v>
      </c>
      <c r="T518" s="217" t="s">
        <v>379</v>
      </c>
    </row>
    <row r="519" spans="1:20" outlineLevel="1" collapsed="1">
      <c r="A519" s="199" t="s">
        <v>257</v>
      </c>
      <c r="B519" s="181" t="s">
        <v>1575</v>
      </c>
      <c r="C519" s="190">
        <v>43707</v>
      </c>
      <c r="D519" s="181" t="s">
        <v>2072</v>
      </c>
      <c r="E519" s="182" t="s">
        <v>2073</v>
      </c>
      <c r="F519" s="183">
        <v>76927</v>
      </c>
      <c r="G519" s="184">
        <v>114.59</v>
      </c>
      <c r="H519" s="181">
        <v>140</v>
      </c>
      <c r="I519" s="181" t="s">
        <v>292</v>
      </c>
      <c r="J519" s="191">
        <v>125.02</v>
      </c>
      <c r="K519" s="191">
        <v>140.01</v>
      </c>
      <c r="L519" s="199" t="s">
        <v>1050</v>
      </c>
      <c r="M519" s="211" t="s">
        <v>1674</v>
      </c>
      <c r="N519" s="185" t="s">
        <v>400</v>
      </c>
      <c r="O519" s="185" t="s">
        <v>309</v>
      </c>
      <c r="P519" s="185" t="s">
        <v>425</v>
      </c>
      <c r="Q519" s="185"/>
      <c r="R519" s="185" t="s">
        <v>381</v>
      </c>
      <c r="S519" s="185" t="s">
        <v>295</v>
      </c>
      <c r="T519" s="217" t="s">
        <v>379</v>
      </c>
    </row>
    <row r="520" spans="1:20" outlineLevel="1">
      <c r="A520" s="199" t="s">
        <v>257</v>
      </c>
      <c r="B520" s="181" t="s">
        <v>1575</v>
      </c>
      <c r="C520" s="190">
        <v>43707</v>
      </c>
      <c r="D520" s="181" t="s">
        <v>1792</v>
      </c>
      <c r="E520" s="182" t="s">
        <v>2074</v>
      </c>
      <c r="F520" s="183">
        <v>76932</v>
      </c>
      <c r="G520" s="184">
        <v>49.11</v>
      </c>
      <c r="H520" s="181">
        <v>60</v>
      </c>
      <c r="I520" s="181" t="s">
        <v>292</v>
      </c>
      <c r="J520" s="191">
        <v>53.58</v>
      </c>
      <c r="K520" s="191">
        <v>60</v>
      </c>
      <c r="L520" s="199" t="s">
        <v>1050</v>
      </c>
      <c r="M520" s="211" t="s">
        <v>1674</v>
      </c>
      <c r="N520" s="185" t="s">
        <v>396</v>
      </c>
      <c r="O520" s="185" t="s">
        <v>309</v>
      </c>
      <c r="P520" s="185" t="s">
        <v>445</v>
      </c>
      <c r="Q520" s="185"/>
      <c r="R520" s="185" t="s">
        <v>381</v>
      </c>
      <c r="S520" s="185" t="s">
        <v>295</v>
      </c>
      <c r="T520" s="217" t="s">
        <v>379</v>
      </c>
    </row>
    <row r="521" spans="1:20" outlineLevel="1">
      <c r="A521" s="199" t="s">
        <v>257</v>
      </c>
      <c r="B521" s="181" t="s">
        <v>1575</v>
      </c>
      <c r="C521" s="190">
        <v>43707</v>
      </c>
      <c r="D521" s="181" t="s">
        <v>2075</v>
      </c>
      <c r="E521" s="182" t="s">
        <v>2076</v>
      </c>
      <c r="F521" s="183">
        <v>76932</v>
      </c>
      <c r="G521" s="184">
        <v>10.64</v>
      </c>
      <c r="H521" s="181">
        <v>13</v>
      </c>
      <c r="I521" s="181" t="s">
        <v>292</v>
      </c>
      <c r="J521" s="191">
        <v>11.61</v>
      </c>
      <c r="K521" s="191">
        <v>13</v>
      </c>
      <c r="L521" s="199" t="s">
        <v>1050</v>
      </c>
      <c r="M521" s="211" t="s">
        <v>1674</v>
      </c>
      <c r="N521" s="185" t="s">
        <v>396</v>
      </c>
      <c r="O521" s="185" t="s">
        <v>309</v>
      </c>
      <c r="P521" s="185" t="s">
        <v>445</v>
      </c>
      <c r="Q521" s="185"/>
      <c r="R521" s="185" t="s">
        <v>381</v>
      </c>
      <c r="S521" s="185" t="s">
        <v>295</v>
      </c>
      <c r="T521" s="217" t="s">
        <v>379</v>
      </c>
    </row>
    <row r="522" spans="1:20" outlineLevel="1">
      <c r="A522" s="199" t="s">
        <v>257</v>
      </c>
      <c r="B522" s="181" t="s">
        <v>1575</v>
      </c>
      <c r="C522" s="190">
        <v>43683</v>
      </c>
      <c r="D522" s="181" t="s">
        <v>2077</v>
      </c>
      <c r="E522" s="182" t="s">
        <v>2078</v>
      </c>
      <c r="F522" s="183">
        <v>76913</v>
      </c>
      <c r="G522" s="184">
        <v>18.239999999999998</v>
      </c>
      <c r="H522" s="181">
        <v>2320</v>
      </c>
      <c r="I522" s="181" t="s">
        <v>2079</v>
      </c>
      <c r="J522" s="191">
        <v>19.899999999999999</v>
      </c>
      <c r="K522" s="191">
        <v>22.29</v>
      </c>
      <c r="L522" s="199" t="s">
        <v>604</v>
      </c>
      <c r="M522" s="211" t="s">
        <v>1725</v>
      </c>
      <c r="N522" s="185" t="s">
        <v>2080</v>
      </c>
      <c r="O522" s="185" t="s">
        <v>309</v>
      </c>
      <c r="P522" s="185" t="s">
        <v>499</v>
      </c>
      <c r="Q522" s="185"/>
      <c r="R522" s="185" t="s">
        <v>381</v>
      </c>
      <c r="S522" s="185" t="s">
        <v>295</v>
      </c>
      <c r="T522" s="217" t="s">
        <v>379</v>
      </c>
    </row>
    <row r="523" spans="1:20" outlineLevel="1">
      <c r="A523" s="199" t="s">
        <v>257</v>
      </c>
      <c r="B523" s="181" t="s">
        <v>1575</v>
      </c>
      <c r="C523" s="190">
        <v>43693</v>
      </c>
      <c r="D523" s="181" t="s">
        <v>2081</v>
      </c>
      <c r="E523" s="182" t="s">
        <v>2082</v>
      </c>
      <c r="F523" s="183">
        <v>76913</v>
      </c>
      <c r="G523" s="184">
        <v>21.52</v>
      </c>
      <c r="H523" s="181">
        <v>2737.06</v>
      </c>
      <c r="I523" s="181" t="s">
        <v>2079</v>
      </c>
      <c r="J523" s="191">
        <v>23.48</v>
      </c>
      <c r="K523" s="191">
        <v>26.29</v>
      </c>
      <c r="L523" s="199" t="s">
        <v>604</v>
      </c>
      <c r="M523" s="211" t="s">
        <v>1725</v>
      </c>
      <c r="N523" s="185" t="s">
        <v>2080</v>
      </c>
      <c r="O523" s="185" t="s">
        <v>309</v>
      </c>
      <c r="P523" s="185" t="s">
        <v>499</v>
      </c>
      <c r="Q523" s="185"/>
      <c r="R523" s="185" t="s">
        <v>381</v>
      </c>
      <c r="S523" s="185" t="s">
        <v>295</v>
      </c>
      <c r="T523" s="217" t="s">
        <v>379</v>
      </c>
    </row>
    <row r="524" spans="1:20" outlineLevel="1">
      <c r="A524" s="199" t="s">
        <v>257</v>
      </c>
      <c r="B524" s="181" t="s">
        <v>1575</v>
      </c>
      <c r="C524" s="190">
        <v>43705</v>
      </c>
      <c r="D524" s="181" t="s">
        <v>2083</v>
      </c>
      <c r="E524" s="182" t="s">
        <v>2078</v>
      </c>
      <c r="F524" s="183">
        <v>76913</v>
      </c>
      <c r="G524" s="184">
        <v>3.38</v>
      </c>
      <c r="H524" s="181">
        <v>430</v>
      </c>
      <c r="I524" s="181" t="s">
        <v>2079</v>
      </c>
      <c r="J524" s="191">
        <v>3.69</v>
      </c>
      <c r="K524" s="191">
        <v>4.13</v>
      </c>
      <c r="L524" s="199" t="s">
        <v>604</v>
      </c>
      <c r="M524" s="211" t="s">
        <v>1725</v>
      </c>
      <c r="N524" s="185" t="s">
        <v>2080</v>
      </c>
      <c r="O524" s="185" t="s">
        <v>309</v>
      </c>
      <c r="P524" s="185" t="s">
        <v>499</v>
      </c>
      <c r="Q524" s="185"/>
      <c r="R524" s="185" t="s">
        <v>381</v>
      </c>
      <c r="S524" s="185" t="s">
        <v>295</v>
      </c>
      <c r="T524" s="217" t="s">
        <v>379</v>
      </c>
    </row>
    <row r="525" spans="1:20" outlineLevel="1">
      <c r="A525" s="199" t="s">
        <v>257</v>
      </c>
      <c r="B525" s="181" t="s">
        <v>1575</v>
      </c>
      <c r="C525" s="190">
        <v>43683</v>
      </c>
      <c r="D525" s="199" t="s">
        <v>2084</v>
      </c>
      <c r="E525" s="182" t="s">
        <v>2085</v>
      </c>
      <c r="F525" s="183">
        <v>76984</v>
      </c>
      <c r="G525" s="184">
        <v>22.34</v>
      </c>
      <c r="H525" s="181">
        <v>25000</v>
      </c>
      <c r="I525" s="181" t="s">
        <v>2086</v>
      </c>
      <c r="J525" s="191">
        <v>24.37</v>
      </c>
      <c r="K525" s="191">
        <v>27.29</v>
      </c>
      <c r="L525" s="199" t="s">
        <v>610</v>
      </c>
      <c r="M525" s="211" t="s">
        <v>1620</v>
      </c>
      <c r="N525" s="185" t="s">
        <v>2087</v>
      </c>
      <c r="O525" s="185" t="s">
        <v>309</v>
      </c>
      <c r="P525" s="185" t="s">
        <v>499</v>
      </c>
      <c r="Q525" s="185"/>
      <c r="R525" s="185" t="s">
        <v>381</v>
      </c>
      <c r="S525" s="185" t="s">
        <v>295</v>
      </c>
      <c r="T525" s="217" t="s">
        <v>379</v>
      </c>
    </row>
    <row r="526" spans="1:20" outlineLevel="1">
      <c r="A526" s="199" t="s">
        <v>257</v>
      </c>
      <c r="B526" s="181" t="s">
        <v>1575</v>
      </c>
      <c r="C526" s="190">
        <v>43692</v>
      </c>
      <c r="D526" s="199" t="s">
        <v>2088</v>
      </c>
      <c r="E526" s="182" t="s">
        <v>2089</v>
      </c>
      <c r="F526" s="183">
        <v>76913</v>
      </c>
      <c r="G526" s="184">
        <v>147.32</v>
      </c>
      <c r="H526" s="181">
        <v>180</v>
      </c>
      <c r="I526" s="181" t="s">
        <v>292</v>
      </c>
      <c r="J526" s="191">
        <v>160.74</v>
      </c>
      <c r="K526" s="191">
        <v>179.99</v>
      </c>
      <c r="L526" s="199" t="s">
        <v>2090</v>
      </c>
      <c r="M526" s="211" t="s">
        <v>2091</v>
      </c>
      <c r="N526" s="185" t="s">
        <v>2080</v>
      </c>
      <c r="O526" s="185" t="s">
        <v>309</v>
      </c>
      <c r="P526" s="185" t="s">
        <v>499</v>
      </c>
      <c r="Q526" s="185"/>
      <c r="R526" s="185" t="s">
        <v>381</v>
      </c>
      <c r="S526" s="185" t="s">
        <v>295</v>
      </c>
      <c r="T526" s="217" t="s">
        <v>379</v>
      </c>
    </row>
    <row r="527" spans="1:20" outlineLevel="1">
      <c r="A527" s="199" t="s">
        <v>257</v>
      </c>
      <c r="B527" s="181" t="s">
        <v>1575</v>
      </c>
      <c r="C527" s="190">
        <v>43707</v>
      </c>
      <c r="D527" s="199" t="s">
        <v>2072</v>
      </c>
      <c r="E527" s="182" t="s">
        <v>2092</v>
      </c>
      <c r="F527" s="183">
        <v>76927</v>
      </c>
      <c r="G527" s="184">
        <v>87</v>
      </c>
      <c r="H527" s="181">
        <v>106.29</v>
      </c>
      <c r="I527" s="181" t="s">
        <v>292</v>
      </c>
      <c r="J527" s="191">
        <v>94.92</v>
      </c>
      <c r="K527" s="191">
        <v>106.3</v>
      </c>
      <c r="L527" s="199" t="s">
        <v>1066</v>
      </c>
      <c r="M527" s="211" t="s">
        <v>1984</v>
      </c>
      <c r="N527" s="185" t="s">
        <v>400</v>
      </c>
      <c r="O527" s="185" t="s">
        <v>309</v>
      </c>
      <c r="P527" s="185" t="s">
        <v>425</v>
      </c>
      <c r="Q527" s="185"/>
      <c r="R527" s="185" t="s">
        <v>381</v>
      </c>
      <c r="S527" s="185" t="s">
        <v>295</v>
      </c>
      <c r="T527" s="217" t="s">
        <v>379</v>
      </c>
    </row>
    <row r="528" spans="1:20" outlineLevel="1">
      <c r="A528" s="199" t="s">
        <v>257</v>
      </c>
      <c r="B528" s="181" t="s">
        <v>1575</v>
      </c>
      <c r="C528" s="190">
        <v>43707</v>
      </c>
      <c r="D528" s="199" t="s">
        <v>2093</v>
      </c>
      <c r="E528" s="182" t="s">
        <v>2094</v>
      </c>
      <c r="F528" s="183">
        <v>76932</v>
      </c>
      <c r="G528" s="184">
        <v>39.700000000000003</v>
      </c>
      <c r="H528" s="181">
        <v>48.5</v>
      </c>
      <c r="I528" s="181" t="s">
        <v>292</v>
      </c>
      <c r="J528" s="191">
        <v>43.31</v>
      </c>
      <c r="K528" s="191">
        <v>48.51</v>
      </c>
      <c r="L528" s="199" t="s">
        <v>1066</v>
      </c>
      <c r="M528" s="211" t="s">
        <v>1984</v>
      </c>
      <c r="N528" s="185" t="s">
        <v>396</v>
      </c>
      <c r="O528" s="185" t="s">
        <v>309</v>
      </c>
      <c r="P528" s="185" t="s">
        <v>626</v>
      </c>
      <c r="Q528" s="185"/>
      <c r="R528" s="185" t="s">
        <v>381</v>
      </c>
      <c r="S528" s="185" t="s">
        <v>295</v>
      </c>
      <c r="T528" s="217" t="s">
        <v>379</v>
      </c>
    </row>
    <row r="529" spans="1:20" outlineLevel="1">
      <c r="A529" s="199" t="s">
        <v>257</v>
      </c>
      <c r="B529" s="181" t="s">
        <v>1575</v>
      </c>
      <c r="C529" s="190">
        <v>43707</v>
      </c>
      <c r="D529" s="199" t="s">
        <v>2093</v>
      </c>
      <c r="E529" s="182" t="s">
        <v>2095</v>
      </c>
      <c r="F529" s="183">
        <v>76932</v>
      </c>
      <c r="G529" s="184">
        <v>39.700000000000003</v>
      </c>
      <c r="H529" s="181">
        <v>48.5</v>
      </c>
      <c r="I529" s="181" t="s">
        <v>292</v>
      </c>
      <c r="J529" s="191">
        <v>43.31</v>
      </c>
      <c r="K529" s="191">
        <v>48.51</v>
      </c>
      <c r="L529" s="199" t="s">
        <v>1066</v>
      </c>
      <c r="M529" s="211" t="s">
        <v>1984</v>
      </c>
      <c r="N529" s="185" t="s">
        <v>396</v>
      </c>
      <c r="O529" s="185" t="s">
        <v>309</v>
      </c>
      <c r="P529" s="185" t="s">
        <v>626</v>
      </c>
      <c r="Q529" s="185"/>
      <c r="R529" s="185" t="s">
        <v>381</v>
      </c>
      <c r="S529" s="185" t="s">
        <v>295</v>
      </c>
      <c r="T529" s="217" t="s">
        <v>379</v>
      </c>
    </row>
    <row r="530" spans="1:20" outlineLevel="1">
      <c r="A530" s="199" t="s">
        <v>257</v>
      </c>
      <c r="B530" s="181" t="s">
        <v>1575</v>
      </c>
      <c r="C530" s="190">
        <v>43707</v>
      </c>
      <c r="D530" s="199" t="s">
        <v>2072</v>
      </c>
      <c r="E530" s="182" t="s">
        <v>2096</v>
      </c>
      <c r="F530" s="183">
        <v>76927</v>
      </c>
      <c r="G530" s="184">
        <v>24.55</v>
      </c>
      <c r="H530" s="181">
        <v>30</v>
      </c>
      <c r="I530" s="181" t="s">
        <v>292</v>
      </c>
      <c r="J530" s="191">
        <v>26.79</v>
      </c>
      <c r="K530" s="191">
        <v>29.99</v>
      </c>
      <c r="L530" s="199" t="s">
        <v>615</v>
      </c>
      <c r="M530" s="211" t="s">
        <v>1676</v>
      </c>
      <c r="N530" s="185" t="s">
        <v>400</v>
      </c>
      <c r="O530" s="185" t="s">
        <v>309</v>
      </c>
      <c r="P530" s="185" t="s">
        <v>425</v>
      </c>
      <c r="Q530" s="185"/>
      <c r="R530" s="185" t="s">
        <v>381</v>
      </c>
      <c r="S530" s="185" t="s">
        <v>295</v>
      </c>
      <c r="T530" s="217" t="s">
        <v>379</v>
      </c>
    </row>
    <row r="531" spans="1:20" outlineLevel="1">
      <c r="A531" s="199" t="s">
        <v>257</v>
      </c>
      <c r="B531" s="181" t="s">
        <v>1575</v>
      </c>
      <c r="C531" s="190">
        <v>43707</v>
      </c>
      <c r="D531" s="199" t="s">
        <v>2075</v>
      </c>
      <c r="E531" s="182" t="s">
        <v>2097</v>
      </c>
      <c r="F531" s="183">
        <v>76932</v>
      </c>
      <c r="G531" s="184">
        <v>31.76</v>
      </c>
      <c r="H531" s="181">
        <v>38.799999999999997</v>
      </c>
      <c r="I531" s="181" t="s">
        <v>292</v>
      </c>
      <c r="J531" s="191">
        <v>34.65</v>
      </c>
      <c r="K531" s="191">
        <v>38.799999999999997</v>
      </c>
      <c r="L531" s="199" t="s">
        <v>615</v>
      </c>
      <c r="M531" s="211" t="s">
        <v>1676</v>
      </c>
      <c r="N531" s="185" t="s">
        <v>396</v>
      </c>
      <c r="O531" s="185" t="s">
        <v>309</v>
      </c>
      <c r="P531" s="185" t="s">
        <v>445</v>
      </c>
      <c r="Q531" s="185"/>
      <c r="R531" s="185" t="s">
        <v>381</v>
      </c>
      <c r="S531" s="185" t="s">
        <v>295</v>
      </c>
      <c r="T531" s="217" t="s">
        <v>379</v>
      </c>
    </row>
    <row r="532" spans="1:20" outlineLevel="1">
      <c r="A532" s="199" t="s">
        <v>257</v>
      </c>
      <c r="B532" s="181" t="s">
        <v>1575</v>
      </c>
      <c r="C532" s="190">
        <v>43707</v>
      </c>
      <c r="D532" s="199" t="s">
        <v>2093</v>
      </c>
      <c r="E532" s="182" t="s">
        <v>2098</v>
      </c>
      <c r="F532" s="183">
        <v>76932</v>
      </c>
      <c r="G532" s="184">
        <v>31.76</v>
      </c>
      <c r="H532" s="181">
        <v>38.799999999999997</v>
      </c>
      <c r="I532" s="181" t="s">
        <v>292</v>
      </c>
      <c r="J532" s="191">
        <v>34.65</v>
      </c>
      <c r="K532" s="191">
        <v>38.799999999999997</v>
      </c>
      <c r="L532" s="199" t="s">
        <v>615</v>
      </c>
      <c r="M532" s="211" t="s">
        <v>1676</v>
      </c>
      <c r="N532" s="185" t="s">
        <v>396</v>
      </c>
      <c r="O532" s="185" t="s">
        <v>309</v>
      </c>
      <c r="P532" s="185" t="s">
        <v>626</v>
      </c>
      <c r="Q532" s="185"/>
      <c r="R532" s="185" t="s">
        <v>381</v>
      </c>
      <c r="S532" s="185" t="s">
        <v>295</v>
      </c>
      <c r="T532" s="217" t="s">
        <v>379</v>
      </c>
    </row>
    <row r="533" spans="1:20" outlineLevel="1">
      <c r="A533" s="199" t="s">
        <v>257</v>
      </c>
      <c r="B533" s="181" t="s">
        <v>1567</v>
      </c>
      <c r="C533" s="190">
        <v>43738</v>
      </c>
      <c r="D533" s="199" t="s">
        <v>2099</v>
      </c>
      <c r="E533" s="182" t="s">
        <v>2100</v>
      </c>
      <c r="F533" s="183">
        <v>77221</v>
      </c>
      <c r="G533" s="184">
        <v>798.61</v>
      </c>
      <c r="H533" s="181">
        <v>971.25</v>
      </c>
      <c r="I533" s="181" t="s">
        <v>292</v>
      </c>
      <c r="J533" s="191">
        <v>882.13</v>
      </c>
      <c r="K533" s="191">
        <v>971.25</v>
      </c>
      <c r="L533" s="199" t="s">
        <v>1031</v>
      </c>
      <c r="M533" s="211" t="s">
        <v>2101</v>
      </c>
      <c r="N533" s="185" t="s">
        <v>396</v>
      </c>
      <c r="O533" s="185" t="s">
        <v>309</v>
      </c>
      <c r="P533" s="185" t="s">
        <v>468</v>
      </c>
      <c r="Q533" s="185"/>
      <c r="R533" s="185" t="s">
        <v>381</v>
      </c>
      <c r="S533" s="185" t="s">
        <v>295</v>
      </c>
      <c r="T533" s="217" t="s">
        <v>379</v>
      </c>
    </row>
    <row r="534" spans="1:20" outlineLevel="1">
      <c r="A534" s="199" t="s">
        <v>257</v>
      </c>
      <c r="B534" s="181" t="s">
        <v>1567</v>
      </c>
      <c r="C534" s="190">
        <v>43709</v>
      </c>
      <c r="D534" s="199" t="s">
        <v>2026</v>
      </c>
      <c r="E534" s="182" t="s">
        <v>2102</v>
      </c>
      <c r="F534" s="183">
        <v>77220</v>
      </c>
      <c r="G534" s="184">
        <v>92.5</v>
      </c>
      <c r="H534" s="181">
        <v>112.5</v>
      </c>
      <c r="I534" s="181" t="s">
        <v>292</v>
      </c>
      <c r="J534" s="191">
        <v>102.18</v>
      </c>
      <c r="K534" s="191">
        <v>112.5</v>
      </c>
      <c r="L534" s="199" t="s">
        <v>1050</v>
      </c>
      <c r="M534" s="211" t="s">
        <v>1674</v>
      </c>
      <c r="N534" s="185" t="s">
        <v>400</v>
      </c>
      <c r="O534" s="185" t="s">
        <v>309</v>
      </c>
      <c r="P534" s="185" t="s">
        <v>499</v>
      </c>
      <c r="Q534" s="185"/>
      <c r="R534" s="185" t="s">
        <v>381</v>
      </c>
      <c r="S534" s="185" t="s">
        <v>295</v>
      </c>
      <c r="T534" s="217" t="s">
        <v>379</v>
      </c>
    </row>
    <row r="535" spans="1:20" outlineLevel="1">
      <c r="A535" s="199" t="s">
        <v>257</v>
      </c>
      <c r="B535" s="181" t="s">
        <v>1567</v>
      </c>
      <c r="C535" s="190">
        <v>43721</v>
      </c>
      <c r="D535" s="199" t="s">
        <v>1604</v>
      </c>
      <c r="E535" s="182" t="s">
        <v>2103</v>
      </c>
      <c r="F535" s="183">
        <v>77220</v>
      </c>
      <c r="G535" s="184">
        <v>57.73</v>
      </c>
      <c r="H535" s="181">
        <v>70.209999999999994</v>
      </c>
      <c r="I535" s="181" t="s">
        <v>292</v>
      </c>
      <c r="J535" s="191">
        <v>63.77</v>
      </c>
      <c r="K535" s="191">
        <v>70.209999999999994</v>
      </c>
      <c r="L535" s="199" t="s">
        <v>1050</v>
      </c>
      <c r="M535" s="211" t="s">
        <v>1674</v>
      </c>
      <c r="N535" s="185" t="s">
        <v>400</v>
      </c>
      <c r="O535" s="185" t="s">
        <v>309</v>
      </c>
      <c r="P535" s="185" t="s">
        <v>469</v>
      </c>
      <c r="Q535" s="185"/>
      <c r="R535" s="185" t="s">
        <v>381</v>
      </c>
      <c r="S535" s="185" t="s">
        <v>295</v>
      </c>
      <c r="T535" s="217" t="s">
        <v>379</v>
      </c>
    </row>
    <row r="536" spans="1:20" outlineLevel="1">
      <c r="A536" s="199" t="s">
        <v>257</v>
      </c>
      <c r="B536" s="181" t="s">
        <v>1567</v>
      </c>
      <c r="C536" s="190">
        <v>43728</v>
      </c>
      <c r="D536" s="199" t="s">
        <v>2068</v>
      </c>
      <c r="E536" s="182" t="s">
        <v>2104</v>
      </c>
      <c r="F536" s="183">
        <v>77221</v>
      </c>
      <c r="G536" s="184">
        <v>65.37</v>
      </c>
      <c r="H536" s="181">
        <v>79.5</v>
      </c>
      <c r="I536" s="181" t="s">
        <v>292</v>
      </c>
      <c r="J536" s="191">
        <v>72.209999999999994</v>
      </c>
      <c r="K536" s="191">
        <v>79.5</v>
      </c>
      <c r="L536" s="199" t="s">
        <v>1050</v>
      </c>
      <c r="M536" s="211" t="s">
        <v>1674</v>
      </c>
      <c r="N536" s="185" t="s">
        <v>396</v>
      </c>
      <c r="O536" s="185" t="s">
        <v>309</v>
      </c>
      <c r="P536" s="185" t="s">
        <v>445</v>
      </c>
      <c r="Q536" s="185"/>
      <c r="R536" s="185" t="s">
        <v>381</v>
      </c>
      <c r="S536" s="185" t="s">
        <v>295</v>
      </c>
      <c r="T536" s="217" t="s">
        <v>379</v>
      </c>
    </row>
    <row r="537" spans="1:20" outlineLevel="1">
      <c r="A537" s="199" t="s">
        <v>257</v>
      </c>
      <c r="B537" s="181" t="s">
        <v>1567</v>
      </c>
      <c r="C537" s="190">
        <v>43714</v>
      </c>
      <c r="D537" s="199" t="s">
        <v>2105</v>
      </c>
      <c r="E537" s="182" t="s">
        <v>2106</v>
      </c>
      <c r="F537" s="183">
        <v>77163</v>
      </c>
      <c r="G537" s="184">
        <v>22.12</v>
      </c>
      <c r="H537" s="181">
        <v>2784</v>
      </c>
      <c r="I537" s="181" t="s">
        <v>2079</v>
      </c>
      <c r="J537" s="191">
        <v>24.44</v>
      </c>
      <c r="K537" s="191">
        <v>26.9</v>
      </c>
      <c r="L537" s="199" t="s">
        <v>604</v>
      </c>
      <c r="M537" s="211" t="s">
        <v>1725</v>
      </c>
      <c r="N537" s="185" t="s">
        <v>2080</v>
      </c>
      <c r="O537" s="185" t="s">
        <v>309</v>
      </c>
      <c r="P537" s="185" t="s">
        <v>499</v>
      </c>
      <c r="Q537" s="185"/>
      <c r="R537" s="185" t="s">
        <v>381</v>
      </c>
      <c r="S537" s="185" t="s">
        <v>295</v>
      </c>
      <c r="T537" s="217" t="s">
        <v>379</v>
      </c>
    </row>
    <row r="538" spans="1:20" outlineLevel="1">
      <c r="A538" s="199" t="s">
        <v>257</v>
      </c>
      <c r="B538" s="181" t="s">
        <v>1567</v>
      </c>
      <c r="C538" s="190">
        <v>43731</v>
      </c>
      <c r="D538" s="199" t="s">
        <v>2107</v>
      </c>
      <c r="E538" s="182" t="s">
        <v>2108</v>
      </c>
      <c r="F538" s="183">
        <v>77234</v>
      </c>
      <c r="G538" s="184">
        <v>311.13</v>
      </c>
      <c r="H538" s="181">
        <v>344500</v>
      </c>
      <c r="I538" s="181" t="s">
        <v>2086</v>
      </c>
      <c r="J538" s="191">
        <v>343.67</v>
      </c>
      <c r="K538" s="191">
        <v>378.39</v>
      </c>
      <c r="L538" s="199" t="s">
        <v>610</v>
      </c>
      <c r="M538" s="211" t="s">
        <v>1620</v>
      </c>
      <c r="N538" s="185" t="s">
        <v>2087</v>
      </c>
      <c r="O538" s="185" t="s">
        <v>309</v>
      </c>
      <c r="P538" s="185" t="s">
        <v>445</v>
      </c>
      <c r="Q538" s="185"/>
      <c r="R538" s="185" t="s">
        <v>381</v>
      </c>
      <c r="S538" s="185" t="s">
        <v>295</v>
      </c>
      <c r="T538" s="217" t="s">
        <v>379</v>
      </c>
    </row>
    <row r="539" spans="1:20" outlineLevel="1" collapsed="1">
      <c r="A539" s="199" t="s">
        <v>257</v>
      </c>
      <c r="B539" s="181" t="s">
        <v>1567</v>
      </c>
      <c r="C539" s="190">
        <v>43731</v>
      </c>
      <c r="D539" s="199" t="s">
        <v>2107</v>
      </c>
      <c r="E539" s="182" t="s">
        <v>2108</v>
      </c>
      <c r="F539" s="183">
        <v>77241</v>
      </c>
      <c r="G539" s="184">
        <v>-311.13</v>
      </c>
      <c r="H539" s="181">
        <v>-344500</v>
      </c>
      <c r="I539" s="181" t="s">
        <v>2086</v>
      </c>
      <c r="J539" s="191">
        <v>-343.67</v>
      </c>
      <c r="K539" s="191">
        <v>-378.39</v>
      </c>
      <c r="L539" s="199" t="s">
        <v>610</v>
      </c>
      <c r="M539" s="211" t="s">
        <v>1620</v>
      </c>
      <c r="N539" s="185" t="s">
        <v>2087</v>
      </c>
      <c r="O539" s="185" t="s">
        <v>309</v>
      </c>
      <c r="P539" s="185" t="s">
        <v>445</v>
      </c>
      <c r="Q539" s="185"/>
      <c r="R539" s="185" t="s">
        <v>381</v>
      </c>
      <c r="S539" s="185" t="s">
        <v>295</v>
      </c>
      <c r="T539" s="217" t="s">
        <v>379</v>
      </c>
    </row>
    <row r="540" spans="1:20" outlineLevel="1">
      <c r="A540" s="199" t="s">
        <v>257</v>
      </c>
      <c r="B540" s="181" t="s">
        <v>1567</v>
      </c>
      <c r="C540" s="190">
        <v>43731</v>
      </c>
      <c r="D540" s="199" t="s">
        <v>2107</v>
      </c>
      <c r="E540" s="182" t="s">
        <v>2108</v>
      </c>
      <c r="F540" s="183">
        <v>77264</v>
      </c>
      <c r="G540" s="184">
        <v>311.13</v>
      </c>
      <c r="H540" s="181">
        <v>344500</v>
      </c>
      <c r="I540" s="181" t="s">
        <v>2086</v>
      </c>
      <c r="J540" s="191">
        <v>343.67</v>
      </c>
      <c r="K540" s="191">
        <v>378.39</v>
      </c>
      <c r="L540" s="199" t="s">
        <v>610</v>
      </c>
      <c r="M540" s="211" t="s">
        <v>1620</v>
      </c>
      <c r="N540" s="185" t="s">
        <v>2087</v>
      </c>
      <c r="O540" s="185" t="s">
        <v>309</v>
      </c>
      <c r="P540" s="185" t="s">
        <v>445</v>
      </c>
      <c r="Q540" s="185"/>
      <c r="R540" s="185" t="s">
        <v>381</v>
      </c>
      <c r="S540" s="185" t="s">
        <v>295</v>
      </c>
      <c r="T540" s="217" t="s">
        <v>379</v>
      </c>
    </row>
    <row r="541" spans="1:20" outlineLevel="1">
      <c r="A541" s="199" t="s">
        <v>257</v>
      </c>
      <c r="B541" s="181" t="s">
        <v>1567</v>
      </c>
      <c r="C541" s="190">
        <v>43738</v>
      </c>
      <c r="D541" s="199" t="s">
        <v>2109</v>
      </c>
      <c r="E541" s="182" t="s">
        <v>2110</v>
      </c>
      <c r="F541" s="183">
        <v>77221</v>
      </c>
      <c r="G541" s="184">
        <v>53.64</v>
      </c>
      <c r="H541" s="181">
        <v>65.23</v>
      </c>
      <c r="I541" s="181" t="s">
        <v>292</v>
      </c>
      <c r="J541" s="191">
        <v>59.24</v>
      </c>
      <c r="K541" s="191">
        <v>65.239999999999995</v>
      </c>
      <c r="L541" s="199" t="s">
        <v>615</v>
      </c>
      <c r="M541" s="211" t="s">
        <v>1676</v>
      </c>
      <c r="N541" s="185" t="s">
        <v>396</v>
      </c>
      <c r="O541" s="185" t="s">
        <v>309</v>
      </c>
      <c r="P541" s="185" t="s">
        <v>445</v>
      </c>
      <c r="Q541" s="185"/>
      <c r="R541" s="185" t="s">
        <v>381</v>
      </c>
      <c r="S541" s="185" t="s">
        <v>295</v>
      </c>
      <c r="T541" s="217" t="s">
        <v>379</v>
      </c>
    </row>
    <row r="542" spans="1:20" outlineLevel="1">
      <c r="A542" s="199" t="s">
        <v>257</v>
      </c>
      <c r="B542" s="181" t="s">
        <v>1567</v>
      </c>
      <c r="C542" s="190">
        <v>43738</v>
      </c>
      <c r="D542" s="199" t="s">
        <v>2111</v>
      </c>
      <c r="E542" s="182" t="s">
        <v>2112</v>
      </c>
      <c r="F542" s="183">
        <v>77221</v>
      </c>
      <c r="G542" s="184">
        <v>120.68</v>
      </c>
      <c r="H542" s="181">
        <v>146.77000000000001</v>
      </c>
      <c r="I542" s="181" t="s">
        <v>292</v>
      </c>
      <c r="J542" s="191">
        <v>133.30000000000001</v>
      </c>
      <c r="K542" s="191">
        <v>146.77000000000001</v>
      </c>
      <c r="L542" s="199" t="s">
        <v>615</v>
      </c>
      <c r="M542" s="211" t="s">
        <v>1676</v>
      </c>
      <c r="N542" s="185" t="s">
        <v>396</v>
      </c>
      <c r="O542" s="185" t="s">
        <v>309</v>
      </c>
      <c r="P542" s="185" t="s">
        <v>445</v>
      </c>
      <c r="Q542" s="185"/>
      <c r="R542" s="185" t="s">
        <v>381</v>
      </c>
      <c r="S542" s="185" t="s">
        <v>295</v>
      </c>
      <c r="T542" s="217" t="s">
        <v>379</v>
      </c>
    </row>
    <row r="543" spans="1:20" outlineLevel="1">
      <c r="A543" s="199" t="s">
        <v>257</v>
      </c>
      <c r="B543" s="181" t="s">
        <v>1567</v>
      </c>
      <c r="C543" s="190">
        <v>43724</v>
      </c>
      <c r="D543" s="199" t="s">
        <v>2113</v>
      </c>
      <c r="E543" s="182" t="s">
        <v>2114</v>
      </c>
      <c r="F543" s="183">
        <v>77234</v>
      </c>
      <c r="G543" s="184">
        <v>119.66</v>
      </c>
      <c r="H543" s="181">
        <v>132500</v>
      </c>
      <c r="I543" s="181" t="s">
        <v>2086</v>
      </c>
      <c r="J543" s="191">
        <v>132.18</v>
      </c>
      <c r="K543" s="191">
        <v>145.53</v>
      </c>
      <c r="L543" s="199" t="s">
        <v>716</v>
      </c>
      <c r="M543" s="211" t="s">
        <v>1629</v>
      </c>
      <c r="N543" s="185" t="s">
        <v>2087</v>
      </c>
      <c r="O543" s="185" t="s">
        <v>309</v>
      </c>
      <c r="P543" s="185"/>
      <c r="Q543" s="185"/>
      <c r="R543" s="185" t="s">
        <v>381</v>
      </c>
      <c r="S543" s="185" t="s">
        <v>295</v>
      </c>
      <c r="T543" s="217" t="s">
        <v>379</v>
      </c>
    </row>
    <row r="544" spans="1:20" outlineLevel="1">
      <c r="A544" s="199" t="s">
        <v>257</v>
      </c>
      <c r="B544" s="181" t="s">
        <v>1567</v>
      </c>
      <c r="C544" s="190">
        <v>43724</v>
      </c>
      <c r="D544" s="199" t="s">
        <v>2113</v>
      </c>
      <c r="E544" s="182" t="s">
        <v>2114</v>
      </c>
      <c r="F544" s="183">
        <v>77241</v>
      </c>
      <c r="G544" s="184">
        <v>-119.66</v>
      </c>
      <c r="H544" s="181">
        <v>-132500</v>
      </c>
      <c r="I544" s="181" t="s">
        <v>2086</v>
      </c>
      <c r="J544" s="191">
        <v>-132.18</v>
      </c>
      <c r="K544" s="191">
        <v>-145.53</v>
      </c>
      <c r="L544" s="199" t="s">
        <v>716</v>
      </c>
      <c r="M544" s="211" t="s">
        <v>1629</v>
      </c>
      <c r="N544" s="185" t="s">
        <v>2087</v>
      </c>
      <c r="O544" s="185" t="s">
        <v>309</v>
      </c>
      <c r="P544" s="185"/>
      <c r="Q544" s="185"/>
      <c r="R544" s="185" t="s">
        <v>381</v>
      </c>
      <c r="S544" s="185" t="s">
        <v>295</v>
      </c>
      <c r="T544" s="217" t="s">
        <v>379</v>
      </c>
    </row>
    <row r="545" spans="1:20" outlineLevel="1">
      <c r="A545" s="199" t="s">
        <v>257</v>
      </c>
      <c r="B545" s="181" t="s">
        <v>1567</v>
      </c>
      <c r="C545" s="190">
        <v>43724</v>
      </c>
      <c r="D545" s="199" t="s">
        <v>2113</v>
      </c>
      <c r="E545" s="182" t="s">
        <v>2114</v>
      </c>
      <c r="F545" s="183">
        <v>77264</v>
      </c>
      <c r="G545" s="184">
        <v>119.66</v>
      </c>
      <c r="H545" s="181">
        <v>132500</v>
      </c>
      <c r="I545" s="181" t="s">
        <v>2086</v>
      </c>
      <c r="J545" s="191">
        <v>132.18</v>
      </c>
      <c r="K545" s="191">
        <v>145.53</v>
      </c>
      <c r="L545" s="199" t="s">
        <v>716</v>
      </c>
      <c r="M545" s="211" t="s">
        <v>1629</v>
      </c>
      <c r="N545" s="185" t="s">
        <v>2087</v>
      </c>
      <c r="O545" s="185" t="s">
        <v>309</v>
      </c>
      <c r="P545" s="185"/>
      <c r="Q545" s="185"/>
      <c r="R545" s="185" t="s">
        <v>381</v>
      </c>
      <c r="S545" s="185" t="s">
        <v>295</v>
      </c>
      <c r="T545" s="217" t="s">
        <v>379</v>
      </c>
    </row>
    <row r="546" spans="1:20" outlineLevel="1">
      <c r="A546" s="199" t="s">
        <v>257</v>
      </c>
      <c r="B546" s="181" t="s">
        <v>1567</v>
      </c>
      <c r="C546" s="190">
        <v>43721</v>
      </c>
      <c r="D546" s="199" t="s">
        <v>1604</v>
      </c>
      <c r="E546" s="182" t="s">
        <v>2115</v>
      </c>
      <c r="F546" s="183">
        <v>77220</v>
      </c>
      <c r="G546" s="184">
        <v>47.72</v>
      </c>
      <c r="H546" s="181">
        <v>58.03</v>
      </c>
      <c r="I546" s="181" t="s">
        <v>292</v>
      </c>
      <c r="J546" s="191">
        <v>52.71</v>
      </c>
      <c r="K546" s="191">
        <v>58.04</v>
      </c>
      <c r="L546" s="199" t="s">
        <v>1072</v>
      </c>
      <c r="M546" s="211" t="s">
        <v>2116</v>
      </c>
      <c r="N546" s="185" t="s">
        <v>400</v>
      </c>
      <c r="O546" s="185" t="s">
        <v>309</v>
      </c>
      <c r="P546" s="185"/>
      <c r="Q546" s="185"/>
      <c r="R546" s="185" t="s">
        <v>381</v>
      </c>
      <c r="S546" s="185" t="s">
        <v>295</v>
      </c>
      <c r="T546" s="217" t="s">
        <v>379</v>
      </c>
    </row>
    <row r="547" spans="1:20">
      <c r="A547" s="212" t="s">
        <v>378</v>
      </c>
      <c r="B547" s="212"/>
      <c r="C547" s="212"/>
      <c r="D547" s="212"/>
      <c r="E547" s="213"/>
      <c r="F547" s="214"/>
      <c r="G547" s="215">
        <f>SUM(G518:G546)</f>
        <v>2610.0699999999993</v>
      </c>
      <c r="H547" s="216">
        <f>SUM(H518:H546)</f>
        <v>512819.69</v>
      </c>
      <c r="I547" s="212"/>
      <c r="J547" s="216">
        <f>SUM(J518:J546)</f>
        <v>2870.59</v>
      </c>
      <c r="K547" s="216">
        <f>SUM(K518:K546)</f>
        <v>3179.49</v>
      </c>
      <c r="L547" s="212"/>
      <c r="M547" s="213"/>
      <c r="N547" s="212"/>
      <c r="O547" s="212"/>
      <c r="P547" s="212"/>
      <c r="Q547" s="212"/>
      <c r="R547" s="212"/>
      <c r="S547" s="212"/>
      <c r="T547" s="212"/>
    </row>
    <row r="548" spans="1:20" outlineLevel="1">
      <c r="A548" s="199" t="s">
        <v>259</v>
      </c>
      <c r="B548" s="181" t="s">
        <v>1566</v>
      </c>
      <c r="C548" s="190">
        <v>43672</v>
      </c>
      <c r="D548" s="199" t="s">
        <v>2117</v>
      </c>
      <c r="E548" s="182" t="s">
        <v>2118</v>
      </c>
      <c r="F548" s="183">
        <v>76665</v>
      </c>
      <c r="G548" s="184">
        <v>79.73</v>
      </c>
      <c r="H548" s="181">
        <v>101.25</v>
      </c>
      <c r="I548" s="181" t="s">
        <v>292</v>
      </c>
      <c r="J548" s="191">
        <v>89.15</v>
      </c>
      <c r="K548" s="191">
        <v>101.25</v>
      </c>
      <c r="L548" s="199" t="s">
        <v>595</v>
      </c>
      <c r="M548" s="211" t="s">
        <v>1679</v>
      </c>
      <c r="N548" s="185" t="s">
        <v>396</v>
      </c>
      <c r="O548" s="185" t="s">
        <v>309</v>
      </c>
      <c r="P548" s="185" t="s">
        <v>445</v>
      </c>
      <c r="Q548" s="185"/>
      <c r="R548" s="185" t="s">
        <v>381</v>
      </c>
      <c r="S548" s="185" t="s">
        <v>295</v>
      </c>
      <c r="T548" s="217" t="s">
        <v>379</v>
      </c>
    </row>
    <row r="549" spans="1:20" outlineLevel="1">
      <c r="A549" s="199" t="s">
        <v>259</v>
      </c>
      <c r="B549" s="181" t="s">
        <v>1566</v>
      </c>
      <c r="C549" s="190">
        <v>43649</v>
      </c>
      <c r="D549" s="199" t="s">
        <v>2119</v>
      </c>
      <c r="E549" s="182" t="s">
        <v>2120</v>
      </c>
      <c r="F549" s="183">
        <v>76652</v>
      </c>
      <c r="G549" s="184">
        <v>34.96</v>
      </c>
      <c r="H549" s="181">
        <v>44.4</v>
      </c>
      <c r="I549" s="181" t="s">
        <v>292</v>
      </c>
      <c r="J549" s="191">
        <v>39.1</v>
      </c>
      <c r="K549" s="191">
        <v>44.4</v>
      </c>
      <c r="L549" s="199" t="s">
        <v>1131</v>
      </c>
      <c r="M549" s="211" t="s">
        <v>2121</v>
      </c>
      <c r="N549" s="185" t="s">
        <v>400</v>
      </c>
      <c r="O549" s="185" t="s">
        <v>309</v>
      </c>
      <c r="P549" s="185"/>
      <c r="Q549" s="185"/>
      <c r="R549" s="185" t="s">
        <v>381</v>
      </c>
      <c r="S549" s="185" t="s">
        <v>295</v>
      </c>
      <c r="T549" s="217" t="s">
        <v>379</v>
      </c>
    </row>
    <row r="550" spans="1:20" outlineLevel="1">
      <c r="A550" s="199" t="s">
        <v>259</v>
      </c>
      <c r="B550" s="181" t="s">
        <v>1575</v>
      </c>
      <c r="C550" s="190">
        <v>43703</v>
      </c>
      <c r="D550" s="199" t="s">
        <v>2122</v>
      </c>
      <c r="E550" s="182" t="s">
        <v>2123</v>
      </c>
      <c r="F550" s="183">
        <v>76927</v>
      </c>
      <c r="G550" s="184">
        <v>163.66</v>
      </c>
      <c r="H550" s="181">
        <v>199.96</v>
      </c>
      <c r="I550" s="181" t="s">
        <v>292</v>
      </c>
      <c r="J550" s="191">
        <v>178.57</v>
      </c>
      <c r="K550" s="191">
        <v>199.96</v>
      </c>
      <c r="L550" s="199" t="s">
        <v>595</v>
      </c>
      <c r="M550" s="211" t="s">
        <v>1679</v>
      </c>
      <c r="N550" s="185" t="s">
        <v>400</v>
      </c>
      <c r="O550" s="185" t="s">
        <v>309</v>
      </c>
      <c r="P550" s="185" t="s">
        <v>469</v>
      </c>
      <c r="Q550" s="185"/>
      <c r="R550" s="185" t="s">
        <v>381</v>
      </c>
      <c r="S550" s="185" t="s">
        <v>295</v>
      </c>
      <c r="T550" s="217" t="s">
        <v>379</v>
      </c>
    </row>
    <row r="551" spans="1:20" outlineLevel="1">
      <c r="A551" s="199" t="s">
        <v>259</v>
      </c>
      <c r="B551" s="181" t="s">
        <v>1575</v>
      </c>
      <c r="C551" s="190">
        <v>43699</v>
      </c>
      <c r="D551" s="199" t="s">
        <v>2124</v>
      </c>
      <c r="E551" s="182" t="s">
        <v>2125</v>
      </c>
      <c r="F551" s="183">
        <v>76932</v>
      </c>
      <c r="G551" s="184">
        <v>24.55</v>
      </c>
      <c r="H551" s="181">
        <v>30</v>
      </c>
      <c r="I551" s="181" t="s">
        <v>292</v>
      </c>
      <c r="J551" s="191">
        <v>26.79</v>
      </c>
      <c r="K551" s="191">
        <v>29.99</v>
      </c>
      <c r="L551" s="199" t="s">
        <v>1050</v>
      </c>
      <c r="M551" s="211" t="s">
        <v>1674</v>
      </c>
      <c r="N551" s="185" t="s">
        <v>396</v>
      </c>
      <c r="O551" s="185" t="s">
        <v>309</v>
      </c>
      <c r="P551" s="185" t="s">
        <v>445</v>
      </c>
      <c r="Q551" s="185"/>
      <c r="R551" s="185" t="s">
        <v>381</v>
      </c>
      <c r="S551" s="185" t="s">
        <v>295</v>
      </c>
      <c r="T551" s="217" t="s">
        <v>379</v>
      </c>
    </row>
    <row r="552" spans="1:20" outlineLevel="1">
      <c r="A552" s="199" t="s">
        <v>259</v>
      </c>
      <c r="B552" s="181" t="s">
        <v>1575</v>
      </c>
      <c r="C552" s="190">
        <v>43699</v>
      </c>
      <c r="D552" s="199" t="s">
        <v>2124</v>
      </c>
      <c r="E552" s="182" t="s">
        <v>2126</v>
      </c>
      <c r="F552" s="183">
        <v>76932</v>
      </c>
      <c r="G552" s="184">
        <v>40.92</v>
      </c>
      <c r="H552" s="181">
        <v>50</v>
      </c>
      <c r="I552" s="181" t="s">
        <v>292</v>
      </c>
      <c r="J552" s="191">
        <v>44.65</v>
      </c>
      <c r="K552" s="191">
        <v>50</v>
      </c>
      <c r="L552" s="199" t="s">
        <v>610</v>
      </c>
      <c r="M552" s="211" t="s">
        <v>1620</v>
      </c>
      <c r="N552" s="185" t="s">
        <v>396</v>
      </c>
      <c r="O552" s="185" t="s">
        <v>309</v>
      </c>
      <c r="P552" s="185" t="s">
        <v>445</v>
      </c>
      <c r="Q552" s="185"/>
      <c r="R552" s="185" t="s">
        <v>381</v>
      </c>
      <c r="S552" s="185" t="s">
        <v>295</v>
      </c>
      <c r="T552" s="217" t="s">
        <v>379</v>
      </c>
    </row>
    <row r="553" spans="1:20" outlineLevel="1">
      <c r="A553" s="199" t="s">
        <v>259</v>
      </c>
      <c r="B553" s="181" t="s">
        <v>1575</v>
      </c>
      <c r="C553" s="190">
        <v>43699</v>
      </c>
      <c r="D553" s="199" t="s">
        <v>2124</v>
      </c>
      <c r="E553" s="182" t="s">
        <v>2127</v>
      </c>
      <c r="F553" s="183">
        <v>76932</v>
      </c>
      <c r="G553" s="184">
        <v>14.32</v>
      </c>
      <c r="H553" s="181">
        <v>17.5</v>
      </c>
      <c r="I553" s="181" t="s">
        <v>292</v>
      </c>
      <c r="J553" s="191">
        <v>15.63</v>
      </c>
      <c r="K553" s="191">
        <v>17.5</v>
      </c>
      <c r="L553" s="199" t="s">
        <v>615</v>
      </c>
      <c r="M553" s="211" t="s">
        <v>1676</v>
      </c>
      <c r="N553" s="185" t="s">
        <v>396</v>
      </c>
      <c r="O553" s="185" t="s">
        <v>309</v>
      </c>
      <c r="P553" s="185" t="s">
        <v>445</v>
      </c>
      <c r="Q553" s="185"/>
      <c r="R553" s="185" t="s">
        <v>381</v>
      </c>
      <c r="S553" s="185" t="s">
        <v>295</v>
      </c>
      <c r="T553" s="217" t="s">
        <v>379</v>
      </c>
    </row>
    <row r="554" spans="1:20" outlineLevel="1">
      <c r="A554" s="199" t="s">
        <v>259</v>
      </c>
      <c r="B554" s="181" t="s">
        <v>1575</v>
      </c>
      <c r="C554" s="190">
        <v>43706</v>
      </c>
      <c r="D554" s="199" t="s">
        <v>1842</v>
      </c>
      <c r="E554" s="182" t="s">
        <v>2128</v>
      </c>
      <c r="F554" s="183">
        <v>76927</v>
      </c>
      <c r="G554" s="184">
        <v>2.46</v>
      </c>
      <c r="H554" s="181">
        <v>3</v>
      </c>
      <c r="I554" s="181" t="s">
        <v>292</v>
      </c>
      <c r="J554" s="191">
        <v>2.68</v>
      </c>
      <c r="K554" s="191">
        <v>3.01</v>
      </c>
      <c r="L554" s="199" t="s">
        <v>1072</v>
      </c>
      <c r="M554" s="211" t="s">
        <v>2116</v>
      </c>
      <c r="N554" s="185" t="s">
        <v>400</v>
      </c>
      <c r="O554" s="185" t="s">
        <v>309</v>
      </c>
      <c r="P554" s="185"/>
      <c r="Q554" s="185"/>
      <c r="R554" s="185" t="s">
        <v>381</v>
      </c>
      <c r="S554" s="185" t="s">
        <v>295</v>
      </c>
      <c r="T554" s="217" t="s">
        <v>379</v>
      </c>
    </row>
    <row r="555" spans="1:20" outlineLevel="1">
      <c r="A555" s="199" t="s">
        <v>259</v>
      </c>
      <c r="B555" s="181" t="s">
        <v>1567</v>
      </c>
      <c r="C555" s="190">
        <v>43732</v>
      </c>
      <c r="D555" s="199" t="s">
        <v>2129</v>
      </c>
      <c r="E555" s="182" t="s">
        <v>2130</v>
      </c>
      <c r="F555" s="183">
        <v>77221</v>
      </c>
      <c r="G555" s="184">
        <v>211.11</v>
      </c>
      <c r="H555" s="181">
        <v>256.75</v>
      </c>
      <c r="I555" s="181" t="s">
        <v>292</v>
      </c>
      <c r="J555" s="191">
        <v>233.19</v>
      </c>
      <c r="K555" s="191">
        <v>256.75</v>
      </c>
      <c r="L555" s="199" t="s">
        <v>1050</v>
      </c>
      <c r="M555" s="211" t="s">
        <v>1674</v>
      </c>
      <c r="N555" s="185" t="s">
        <v>396</v>
      </c>
      <c r="O555" s="185" t="s">
        <v>309</v>
      </c>
      <c r="P555" s="185" t="s">
        <v>445</v>
      </c>
      <c r="Q555" s="185"/>
      <c r="R555" s="185" t="s">
        <v>381</v>
      </c>
      <c r="S555" s="185" t="s">
        <v>295</v>
      </c>
      <c r="T555" s="217" t="s">
        <v>379</v>
      </c>
    </row>
    <row r="556" spans="1:20" outlineLevel="1">
      <c r="A556" s="199" t="s">
        <v>259</v>
      </c>
      <c r="B556" s="181" t="s">
        <v>1567</v>
      </c>
      <c r="C556" s="190">
        <v>43714</v>
      </c>
      <c r="D556" s="199" t="s">
        <v>2026</v>
      </c>
      <c r="E556" s="182" t="s">
        <v>2131</v>
      </c>
      <c r="F556" s="183">
        <v>77220</v>
      </c>
      <c r="G556" s="184">
        <v>6.17</v>
      </c>
      <c r="H556" s="181">
        <v>7.5</v>
      </c>
      <c r="I556" s="181" t="s">
        <v>292</v>
      </c>
      <c r="J556" s="191">
        <v>6.81</v>
      </c>
      <c r="K556" s="191">
        <v>7.5</v>
      </c>
      <c r="L556" s="199" t="s">
        <v>1131</v>
      </c>
      <c r="M556" s="211" t="s">
        <v>2121</v>
      </c>
      <c r="N556" s="185" t="s">
        <v>400</v>
      </c>
      <c r="O556" s="185" t="s">
        <v>309</v>
      </c>
      <c r="P556" s="185"/>
      <c r="Q556" s="185"/>
      <c r="R556" s="185" t="s">
        <v>381</v>
      </c>
      <c r="S556" s="185" t="s">
        <v>295</v>
      </c>
      <c r="T556" s="217" t="s">
        <v>379</v>
      </c>
    </row>
    <row r="557" spans="1:20">
      <c r="A557" s="212" t="s">
        <v>378</v>
      </c>
      <c r="B557" s="212"/>
      <c r="C557" s="212"/>
      <c r="D557" s="212"/>
      <c r="E557" s="213"/>
      <c r="F557" s="214"/>
      <c r="G557" s="215">
        <f>SUM(G548:G556)</f>
        <v>577.88</v>
      </c>
      <c r="H557" s="216">
        <f>SUM(H548:H556)</f>
        <v>710.36</v>
      </c>
      <c r="I557" s="212"/>
      <c r="J557" s="216">
        <f>SUM(J548:J556)</f>
        <v>636.56999999999994</v>
      </c>
      <c r="K557" s="216">
        <f>SUM(K548:K556)</f>
        <v>710.36</v>
      </c>
      <c r="L557" s="212"/>
      <c r="M557" s="213"/>
      <c r="N557" s="212"/>
      <c r="O557" s="212"/>
      <c r="P557" s="212"/>
      <c r="Q557" s="212"/>
      <c r="R557" s="212"/>
      <c r="S557" s="212"/>
      <c r="T557" s="212"/>
    </row>
    <row r="558" spans="1:20" outlineLevel="1">
      <c r="A558" s="199" t="s">
        <v>260</v>
      </c>
      <c r="B558" s="181" t="s">
        <v>1566</v>
      </c>
      <c r="C558" s="190">
        <v>43662</v>
      </c>
      <c r="D558" s="199" t="s">
        <v>1778</v>
      </c>
      <c r="E558" s="182" t="s">
        <v>2132</v>
      </c>
      <c r="F558" s="183">
        <v>76665</v>
      </c>
      <c r="G558" s="184">
        <v>55.71</v>
      </c>
      <c r="H558" s="181">
        <v>70.75</v>
      </c>
      <c r="I558" s="181" t="s">
        <v>292</v>
      </c>
      <c r="J558" s="191">
        <v>62.3</v>
      </c>
      <c r="K558" s="191">
        <v>70.75</v>
      </c>
      <c r="L558" s="199" t="s">
        <v>1066</v>
      </c>
      <c r="M558" s="211" t="s">
        <v>1984</v>
      </c>
      <c r="N558" s="185" t="s">
        <v>396</v>
      </c>
      <c r="O558" s="185" t="s">
        <v>309</v>
      </c>
      <c r="P558" s="185" t="s">
        <v>445</v>
      </c>
      <c r="Q558" s="185"/>
      <c r="R558" s="185" t="s">
        <v>381</v>
      </c>
      <c r="S558" s="185" t="s">
        <v>295</v>
      </c>
      <c r="T558" s="217" t="s">
        <v>379</v>
      </c>
    </row>
    <row r="559" spans="1:20" outlineLevel="1">
      <c r="A559" s="199" t="s">
        <v>260</v>
      </c>
      <c r="B559" s="181" t="s">
        <v>1566</v>
      </c>
      <c r="C559" s="190">
        <v>43658</v>
      </c>
      <c r="D559" s="199" t="s">
        <v>2119</v>
      </c>
      <c r="E559" s="182" t="s">
        <v>2133</v>
      </c>
      <c r="F559" s="183">
        <v>76652</v>
      </c>
      <c r="G559" s="184">
        <v>4.72</v>
      </c>
      <c r="H559" s="181">
        <v>6</v>
      </c>
      <c r="I559" s="181" t="s">
        <v>292</v>
      </c>
      <c r="J559" s="191">
        <v>5.28</v>
      </c>
      <c r="K559" s="191">
        <v>5.99</v>
      </c>
      <c r="L559" s="199" t="s">
        <v>1072</v>
      </c>
      <c r="M559" s="211" t="s">
        <v>2116</v>
      </c>
      <c r="N559" s="185" t="s">
        <v>400</v>
      </c>
      <c r="O559" s="185" t="s">
        <v>309</v>
      </c>
      <c r="P559" s="185"/>
      <c r="Q559" s="185"/>
      <c r="R559" s="185" t="s">
        <v>381</v>
      </c>
      <c r="S559" s="185" t="s">
        <v>295</v>
      </c>
      <c r="T559" s="217" t="s">
        <v>379</v>
      </c>
    </row>
    <row r="560" spans="1:20" outlineLevel="1">
      <c r="A560" s="199" t="s">
        <v>260</v>
      </c>
      <c r="B560" s="181" t="s">
        <v>1575</v>
      </c>
      <c r="C560" s="190">
        <v>43690</v>
      </c>
      <c r="D560" s="199" t="s">
        <v>1576</v>
      </c>
      <c r="E560" s="182" t="s">
        <v>2134</v>
      </c>
      <c r="F560" s="183">
        <v>76932</v>
      </c>
      <c r="G560" s="184">
        <v>53.2</v>
      </c>
      <c r="H560" s="181">
        <v>65</v>
      </c>
      <c r="I560" s="181" t="s">
        <v>292</v>
      </c>
      <c r="J560" s="191">
        <v>58.05</v>
      </c>
      <c r="K560" s="191">
        <v>65</v>
      </c>
      <c r="L560" s="199" t="s">
        <v>1050</v>
      </c>
      <c r="M560" s="211" t="s">
        <v>1674</v>
      </c>
      <c r="N560" s="185" t="s">
        <v>396</v>
      </c>
      <c r="O560" s="185" t="s">
        <v>309</v>
      </c>
      <c r="P560" s="185" t="s">
        <v>469</v>
      </c>
      <c r="Q560" s="185"/>
      <c r="R560" s="185" t="s">
        <v>381</v>
      </c>
      <c r="S560" s="185" t="s">
        <v>295</v>
      </c>
      <c r="T560" s="217" t="s">
        <v>379</v>
      </c>
    </row>
    <row r="561" spans="1:20" outlineLevel="1" collapsed="1">
      <c r="A561" s="199" t="s">
        <v>260</v>
      </c>
      <c r="B561" s="181" t="s">
        <v>1575</v>
      </c>
      <c r="C561" s="190">
        <v>43706</v>
      </c>
      <c r="D561" s="199" t="s">
        <v>1842</v>
      </c>
      <c r="E561" s="182" t="s">
        <v>2135</v>
      </c>
      <c r="F561" s="183">
        <v>76927</v>
      </c>
      <c r="G561" s="184">
        <v>16.37</v>
      </c>
      <c r="H561" s="181">
        <v>20</v>
      </c>
      <c r="I561" s="181" t="s">
        <v>292</v>
      </c>
      <c r="J561" s="191">
        <v>17.86</v>
      </c>
      <c r="K561" s="191">
        <v>20</v>
      </c>
      <c r="L561" s="199" t="s">
        <v>1072</v>
      </c>
      <c r="M561" s="211" t="s">
        <v>2116</v>
      </c>
      <c r="N561" s="185" t="s">
        <v>400</v>
      </c>
      <c r="O561" s="185" t="s">
        <v>309</v>
      </c>
      <c r="P561" s="185"/>
      <c r="Q561" s="185"/>
      <c r="R561" s="185" t="s">
        <v>381</v>
      </c>
      <c r="S561" s="185" t="s">
        <v>295</v>
      </c>
      <c r="T561" s="217" t="s">
        <v>379</v>
      </c>
    </row>
    <row r="562" spans="1:20" outlineLevel="1">
      <c r="A562" s="199" t="s">
        <v>260</v>
      </c>
      <c r="B562" s="181" t="s">
        <v>1567</v>
      </c>
      <c r="C562" s="190">
        <v>43608</v>
      </c>
      <c r="D562" s="199" t="s">
        <v>2136</v>
      </c>
      <c r="E562" s="182" t="s">
        <v>2137</v>
      </c>
      <c r="F562" s="183">
        <v>77103</v>
      </c>
      <c r="G562" s="184">
        <v>-18.059999999999999</v>
      </c>
      <c r="H562" s="181">
        <v>-18.059999999999999</v>
      </c>
      <c r="I562" s="181" t="s">
        <v>293</v>
      </c>
      <c r="J562" s="191">
        <v>-19.95</v>
      </c>
      <c r="K562" s="191">
        <v>-21.96</v>
      </c>
      <c r="L562" s="199" t="s">
        <v>2138</v>
      </c>
      <c r="M562" s="211" t="s">
        <v>2139</v>
      </c>
      <c r="N562" s="185" t="s">
        <v>374</v>
      </c>
      <c r="O562" s="185" t="s">
        <v>309</v>
      </c>
      <c r="P562" s="185"/>
      <c r="Q562" s="185"/>
      <c r="R562" s="185" t="s">
        <v>381</v>
      </c>
      <c r="S562" s="185" t="s">
        <v>295</v>
      </c>
      <c r="T562" s="217" t="s">
        <v>379</v>
      </c>
    </row>
    <row r="563" spans="1:20" outlineLevel="1">
      <c r="A563" s="199" t="s">
        <v>260</v>
      </c>
      <c r="B563" s="181" t="s">
        <v>1567</v>
      </c>
      <c r="C563" s="190">
        <v>43698</v>
      </c>
      <c r="D563" s="199" t="s">
        <v>2140</v>
      </c>
      <c r="E563" s="182" t="s">
        <v>2141</v>
      </c>
      <c r="F563" s="183">
        <v>77106</v>
      </c>
      <c r="G563" s="184">
        <v>434.66</v>
      </c>
      <c r="H563" s="181">
        <v>434.66</v>
      </c>
      <c r="I563" s="181" t="s">
        <v>293</v>
      </c>
      <c r="J563" s="191">
        <v>480.12</v>
      </c>
      <c r="K563" s="191">
        <v>528.62</v>
      </c>
      <c r="L563" s="199" t="s">
        <v>2138</v>
      </c>
      <c r="M563" s="211" t="s">
        <v>2139</v>
      </c>
      <c r="N563" s="185" t="s">
        <v>374</v>
      </c>
      <c r="O563" s="185" t="s">
        <v>309</v>
      </c>
      <c r="P563" s="185"/>
      <c r="Q563" s="185"/>
      <c r="R563" s="185" t="s">
        <v>381</v>
      </c>
      <c r="S563" s="185" t="s">
        <v>295</v>
      </c>
      <c r="T563" s="217" t="s">
        <v>379</v>
      </c>
    </row>
    <row r="564" spans="1:20" outlineLevel="1">
      <c r="A564" s="199" t="s">
        <v>260</v>
      </c>
      <c r="B564" s="181" t="s">
        <v>1567</v>
      </c>
      <c r="C564" s="190">
        <v>43698</v>
      </c>
      <c r="D564" s="199" t="s">
        <v>2140</v>
      </c>
      <c r="E564" s="182" t="s">
        <v>2142</v>
      </c>
      <c r="F564" s="183">
        <v>77106</v>
      </c>
      <c r="G564" s="184">
        <v>441.45</v>
      </c>
      <c r="H564" s="181">
        <v>441.45</v>
      </c>
      <c r="I564" s="181" t="s">
        <v>293</v>
      </c>
      <c r="J564" s="191">
        <v>487.62</v>
      </c>
      <c r="K564" s="191">
        <v>536.88</v>
      </c>
      <c r="L564" s="199" t="s">
        <v>2138</v>
      </c>
      <c r="M564" s="211" t="s">
        <v>2139</v>
      </c>
      <c r="N564" s="185" t="s">
        <v>374</v>
      </c>
      <c r="O564" s="185" t="s">
        <v>309</v>
      </c>
      <c r="P564" s="185"/>
      <c r="Q564" s="185"/>
      <c r="R564" s="185" t="s">
        <v>381</v>
      </c>
      <c r="S564" s="185" t="s">
        <v>295</v>
      </c>
      <c r="T564" s="217" t="s">
        <v>379</v>
      </c>
    </row>
    <row r="565" spans="1:20">
      <c r="A565" s="212" t="s">
        <v>378</v>
      </c>
      <c r="B565" s="212"/>
      <c r="C565" s="212"/>
      <c r="D565" s="212"/>
      <c r="E565" s="213"/>
      <c r="F565" s="214"/>
      <c r="G565" s="215">
        <f>SUM(G558:G564)</f>
        <v>988.05</v>
      </c>
      <c r="H565" s="216">
        <f>SUM(H558:H564)</f>
        <v>1019.8</v>
      </c>
      <c r="I565" s="212"/>
      <c r="J565" s="216">
        <f>SUM(J558:J564)</f>
        <v>1091.28</v>
      </c>
      <c r="K565" s="216">
        <f>SUM(K558:K564)</f>
        <v>1205.28</v>
      </c>
      <c r="L565" s="212"/>
      <c r="M565" s="213"/>
      <c r="N565" s="212"/>
      <c r="O565" s="212"/>
      <c r="P565" s="212"/>
      <c r="Q565" s="212"/>
      <c r="R565" s="212"/>
      <c r="S565" s="212"/>
      <c r="T565" s="212"/>
    </row>
    <row r="566" spans="1:20" outlineLevel="1">
      <c r="A566" s="199" t="s">
        <v>261</v>
      </c>
      <c r="B566" s="181" t="s">
        <v>1566</v>
      </c>
      <c r="C566" s="190">
        <v>43665</v>
      </c>
      <c r="D566" s="199" t="s">
        <v>2143</v>
      </c>
      <c r="E566" s="182" t="s">
        <v>2144</v>
      </c>
      <c r="F566" s="183">
        <v>76665</v>
      </c>
      <c r="G566" s="184">
        <v>333.29</v>
      </c>
      <c r="H566" s="181">
        <v>423.26</v>
      </c>
      <c r="I566" s="181" t="s">
        <v>292</v>
      </c>
      <c r="J566" s="191">
        <v>372.7</v>
      </c>
      <c r="K566" s="191">
        <v>423.25</v>
      </c>
      <c r="L566" s="199" t="s">
        <v>601</v>
      </c>
      <c r="M566" s="211" t="s">
        <v>2145</v>
      </c>
      <c r="N566" s="185" t="s">
        <v>396</v>
      </c>
      <c r="O566" s="185" t="s">
        <v>309</v>
      </c>
      <c r="P566" s="185"/>
      <c r="Q566" s="185"/>
      <c r="R566" s="185" t="s">
        <v>381</v>
      </c>
      <c r="S566" s="185" t="s">
        <v>295</v>
      </c>
      <c r="T566" s="217" t="s">
        <v>379</v>
      </c>
    </row>
    <row r="567" spans="1:20" outlineLevel="1">
      <c r="A567" s="199" t="s">
        <v>261</v>
      </c>
      <c r="B567" s="181" t="s">
        <v>1575</v>
      </c>
      <c r="C567" s="190">
        <v>43685</v>
      </c>
      <c r="D567" s="199" t="s">
        <v>2146</v>
      </c>
      <c r="E567" s="182" t="s">
        <v>2147</v>
      </c>
      <c r="F567" s="183">
        <v>76932</v>
      </c>
      <c r="G567" s="184">
        <v>7.66</v>
      </c>
      <c r="H567" s="181">
        <v>9.36</v>
      </c>
      <c r="I567" s="181" t="s">
        <v>292</v>
      </c>
      <c r="J567" s="191">
        <v>8.36</v>
      </c>
      <c r="K567" s="191">
        <v>9.36</v>
      </c>
      <c r="L567" s="199" t="s">
        <v>595</v>
      </c>
      <c r="M567" s="211" t="s">
        <v>1679</v>
      </c>
      <c r="N567" s="185" t="s">
        <v>396</v>
      </c>
      <c r="O567" s="185" t="s">
        <v>309</v>
      </c>
      <c r="P567" s="185" t="s">
        <v>445</v>
      </c>
      <c r="Q567" s="185"/>
      <c r="R567" s="185" t="s">
        <v>381</v>
      </c>
      <c r="S567" s="185" t="s">
        <v>295</v>
      </c>
      <c r="T567" s="217" t="s">
        <v>379</v>
      </c>
    </row>
    <row r="568" spans="1:20" outlineLevel="1">
      <c r="A568" s="199" t="s">
        <v>261</v>
      </c>
      <c r="B568" s="181" t="s">
        <v>1575</v>
      </c>
      <c r="C568" s="190">
        <v>43685</v>
      </c>
      <c r="D568" s="199" t="s">
        <v>2146</v>
      </c>
      <c r="E568" s="182" t="s">
        <v>2148</v>
      </c>
      <c r="F568" s="183">
        <v>76932</v>
      </c>
      <c r="G568" s="184">
        <v>87.42</v>
      </c>
      <c r="H568" s="181">
        <v>106.81</v>
      </c>
      <c r="I568" s="181" t="s">
        <v>292</v>
      </c>
      <c r="J568" s="191">
        <v>95.38</v>
      </c>
      <c r="K568" s="191">
        <v>106.81</v>
      </c>
      <c r="L568" s="199" t="s">
        <v>601</v>
      </c>
      <c r="M568" s="211" t="s">
        <v>2145</v>
      </c>
      <c r="N568" s="185" t="s">
        <v>396</v>
      </c>
      <c r="O568" s="185" t="s">
        <v>309</v>
      </c>
      <c r="P568" s="185"/>
      <c r="Q568" s="185"/>
      <c r="R568" s="185" t="s">
        <v>381</v>
      </c>
      <c r="S568" s="185" t="s">
        <v>295</v>
      </c>
      <c r="T568" s="217" t="s">
        <v>379</v>
      </c>
    </row>
    <row r="569" spans="1:20" outlineLevel="1">
      <c r="A569" s="199" t="s">
        <v>261</v>
      </c>
      <c r="B569" s="181" t="s">
        <v>1575</v>
      </c>
      <c r="C569" s="190">
        <v>43700</v>
      </c>
      <c r="D569" s="199" t="s">
        <v>1677</v>
      </c>
      <c r="E569" s="182" t="s">
        <v>2149</v>
      </c>
      <c r="F569" s="183">
        <v>76927</v>
      </c>
      <c r="G569" s="184">
        <v>6.28</v>
      </c>
      <c r="H569" s="181">
        <v>7.67</v>
      </c>
      <c r="I569" s="181" t="s">
        <v>292</v>
      </c>
      <c r="J569" s="191">
        <v>6.85</v>
      </c>
      <c r="K569" s="191">
        <v>7.67</v>
      </c>
      <c r="L569" s="199" t="s">
        <v>601</v>
      </c>
      <c r="M569" s="211" t="s">
        <v>2145</v>
      </c>
      <c r="N569" s="185" t="s">
        <v>400</v>
      </c>
      <c r="O569" s="185" t="s">
        <v>309</v>
      </c>
      <c r="P569" s="185"/>
      <c r="Q569" s="185"/>
      <c r="R569" s="185" t="s">
        <v>381</v>
      </c>
      <c r="S569" s="185" t="s">
        <v>295</v>
      </c>
      <c r="T569" s="217" t="s">
        <v>379</v>
      </c>
    </row>
    <row r="570" spans="1:20" outlineLevel="1">
      <c r="A570" s="199" t="s">
        <v>261</v>
      </c>
      <c r="B570" s="181" t="s">
        <v>1567</v>
      </c>
      <c r="C570" s="190">
        <v>43720</v>
      </c>
      <c r="D570" s="199" t="s">
        <v>2150</v>
      </c>
      <c r="E570" s="182" t="s">
        <v>2151</v>
      </c>
      <c r="F570" s="183">
        <v>77221</v>
      </c>
      <c r="G570" s="184">
        <v>89.96</v>
      </c>
      <c r="H570" s="181">
        <v>109.41</v>
      </c>
      <c r="I570" s="181" t="s">
        <v>292</v>
      </c>
      <c r="J570" s="191">
        <v>99.37</v>
      </c>
      <c r="K570" s="191">
        <v>109.41</v>
      </c>
      <c r="L570" s="199" t="s">
        <v>601</v>
      </c>
      <c r="M570" s="211" t="s">
        <v>2145</v>
      </c>
      <c r="N570" s="185" t="s">
        <v>396</v>
      </c>
      <c r="O570" s="185" t="s">
        <v>309</v>
      </c>
      <c r="P570" s="185"/>
      <c r="Q570" s="185"/>
      <c r="R570" s="185" t="s">
        <v>381</v>
      </c>
      <c r="S570" s="185" t="s">
        <v>295</v>
      </c>
      <c r="T570" s="217" t="s">
        <v>379</v>
      </c>
    </row>
    <row r="571" spans="1:20">
      <c r="A571" s="212" t="s">
        <v>378</v>
      </c>
      <c r="B571" s="212"/>
      <c r="C571" s="212"/>
      <c r="D571" s="212"/>
      <c r="E571" s="213"/>
      <c r="F571" s="214"/>
      <c r="G571" s="215">
        <f>SUM(G566:G570)</f>
        <v>524.61</v>
      </c>
      <c r="H571" s="216">
        <f>SUM(H566:H570)</f>
        <v>656.51</v>
      </c>
      <c r="I571" s="212"/>
      <c r="J571" s="216">
        <f>SUM(J566:J570)</f>
        <v>582.66000000000008</v>
      </c>
      <c r="K571" s="216">
        <f>SUM(K566:K570)</f>
        <v>656.5</v>
      </c>
      <c r="L571" s="212"/>
      <c r="M571" s="213"/>
      <c r="N571" s="212"/>
      <c r="O571" s="212"/>
      <c r="P571" s="212"/>
      <c r="Q571" s="212"/>
      <c r="R571" s="212"/>
      <c r="S571" s="212"/>
      <c r="T571" s="212"/>
    </row>
    <row r="572" spans="1:20" outlineLevel="1">
      <c r="A572" s="199" t="s">
        <v>262</v>
      </c>
      <c r="B572" s="181" t="s">
        <v>1566</v>
      </c>
      <c r="C572" s="190">
        <v>43669</v>
      </c>
      <c r="D572" s="199" t="s">
        <v>2152</v>
      </c>
      <c r="E572" s="182" t="s">
        <v>2153</v>
      </c>
      <c r="F572" s="183">
        <v>76652</v>
      </c>
      <c r="G572" s="184">
        <v>494.56</v>
      </c>
      <c r="H572" s="181">
        <v>628.04999999999995</v>
      </c>
      <c r="I572" s="181" t="s">
        <v>292</v>
      </c>
      <c r="J572" s="191">
        <v>553.02</v>
      </c>
      <c r="K572" s="191">
        <v>628.05999999999995</v>
      </c>
      <c r="L572" s="199" t="s">
        <v>444</v>
      </c>
      <c r="M572" s="211" t="s">
        <v>2154</v>
      </c>
      <c r="N572" s="185" t="s">
        <v>400</v>
      </c>
      <c r="O572" s="185" t="s">
        <v>309</v>
      </c>
      <c r="P572" s="185"/>
      <c r="Q572" s="185"/>
      <c r="R572" s="185" t="s">
        <v>381</v>
      </c>
      <c r="S572" s="185" t="s">
        <v>295</v>
      </c>
      <c r="T572" s="217" t="s">
        <v>379</v>
      </c>
    </row>
    <row r="573" spans="1:20" outlineLevel="1">
      <c r="A573" s="199" t="s">
        <v>262</v>
      </c>
      <c r="B573" s="181" t="s">
        <v>1566</v>
      </c>
      <c r="C573" s="190">
        <v>43675</v>
      </c>
      <c r="D573" s="199" t="s">
        <v>2155</v>
      </c>
      <c r="E573" s="182" t="s">
        <v>2156</v>
      </c>
      <c r="F573" s="183">
        <v>76665</v>
      </c>
      <c r="G573" s="184">
        <v>713.43</v>
      </c>
      <c r="H573" s="181">
        <v>906</v>
      </c>
      <c r="I573" s="181" t="s">
        <v>292</v>
      </c>
      <c r="J573" s="191">
        <v>797.77</v>
      </c>
      <c r="K573" s="191">
        <v>906.01</v>
      </c>
      <c r="L573" s="199" t="s">
        <v>444</v>
      </c>
      <c r="M573" s="211" t="s">
        <v>2154</v>
      </c>
      <c r="N573" s="185" t="s">
        <v>396</v>
      </c>
      <c r="O573" s="185" t="s">
        <v>309</v>
      </c>
      <c r="P573" s="185"/>
      <c r="Q573" s="185"/>
      <c r="R573" s="185" t="s">
        <v>381</v>
      </c>
      <c r="S573" s="185" t="s">
        <v>295</v>
      </c>
      <c r="T573" s="217" t="s">
        <v>379</v>
      </c>
    </row>
    <row r="574" spans="1:20" outlineLevel="1">
      <c r="A574" s="199" t="s">
        <v>262</v>
      </c>
      <c r="B574" s="181" t="s">
        <v>1567</v>
      </c>
      <c r="C574" s="190">
        <v>43732</v>
      </c>
      <c r="D574" s="199" t="s">
        <v>2157</v>
      </c>
      <c r="E574" s="182" t="s">
        <v>2158</v>
      </c>
      <c r="F574" s="183">
        <v>77221</v>
      </c>
      <c r="G574" s="184">
        <v>277.92</v>
      </c>
      <c r="H574" s="181">
        <v>338</v>
      </c>
      <c r="I574" s="181" t="s">
        <v>292</v>
      </c>
      <c r="J574" s="191">
        <v>306.99</v>
      </c>
      <c r="K574" s="191">
        <v>338</v>
      </c>
      <c r="L574" s="199" t="s">
        <v>444</v>
      </c>
      <c r="M574" s="211" t="s">
        <v>2154</v>
      </c>
      <c r="N574" s="185" t="s">
        <v>396</v>
      </c>
      <c r="O574" s="185" t="s">
        <v>309</v>
      </c>
      <c r="P574" s="185"/>
      <c r="Q574" s="185"/>
      <c r="R574" s="185" t="s">
        <v>381</v>
      </c>
      <c r="S574" s="185" t="s">
        <v>295</v>
      </c>
      <c r="T574" s="217" t="s">
        <v>379</v>
      </c>
    </row>
    <row r="575" spans="1:20" outlineLevel="1">
      <c r="A575" s="199" t="s">
        <v>262</v>
      </c>
      <c r="B575" s="181" t="s">
        <v>1567</v>
      </c>
      <c r="C575" s="190">
        <v>43733</v>
      </c>
      <c r="D575" s="199" t="s">
        <v>2159</v>
      </c>
      <c r="E575" s="182" t="s">
        <v>2160</v>
      </c>
      <c r="F575" s="183">
        <v>77221</v>
      </c>
      <c r="G575" s="184">
        <v>74</v>
      </c>
      <c r="H575" s="181">
        <v>90</v>
      </c>
      <c r="I575" s="181" t="s">
        <v>292</v>
      </c>
      <c r="J575" s="191">
        <v>81.739999999999995</v>
      </c>
      <c r="K575" s="191">
        <v>90</v>
      </c>
      <c r="L575" s="199" t="s">
        <v>1084</v>
      </c>
      <c r="M575" s="211" t="s">
        <v>2161</v>
      </c>
      <c r="N575" s="185" t="s">
        <v>396</v>
      </c>
      <c r="O575" s="185" t="s">
        <v>309</v>
      </c>
      <c r="P575" s="185"/>
      <c r="Q575" s="185"/>
      <c r="R575" s="185" t="s">
        <v>381</v>
      </c>
      <c r="S575" s="185" t="s">
        <v>295</v>
      </c>
      <c r="T575" s="217" t="s">
        <v>379</v>
      </c>
    </row>
    <row r="576" spans="1:20" outlineLevel="1">
      <c r="A576" s="199" t="s">
        <v>262</v>
      </c>
      <c r="B576" s="181" t="s">
        <v>1567</v>
      </c>
      <c r="C576" s="190">
        <v>43733</v>
      </c>
      <c r="D576" s="199" t="s">
        <v>2159</v>
      </c>
      <c r="E576" s="182" t="s">
        <v>2160</v>
      </c>
      <c r="F576" s="183">
        <v>77221</v>
      </c>
      <c r="G576" s="184">
        <v>123.34</v>
      </c>
      <c r="H576" s="181">
        <v>150</v>
      </c>
      <c r="I576" s="181" t="s">
        <v>292</v>
      </c>
      <c r="J576" s="191">
        <v>136.24</v>
      </c>
      <c r="K576" s="191">
        <v>150</v>
      </c>
      <c r="L576" s="199" t="s">
        <v>1084</v>
      </c>
      <c r="M576" s="211" t="s">
        <v>2161</v>
      </c>
      <c r="N576" s="185" t="s">
        <v>396</v>
      </c>
      <c r="O576" s="185" t="s">
        <v>309</v>
      </c>
      <c r="P576" s="185"/>
      <c r="Q576" s="185"/>
      <c r="R576" s="185" t="s">
        <v>381</v>
      </c>
      <c r="S576" s="185" t="s">
        <v>295</v>
      </c>
      <c r="T576" s="217" t="s">
        <v>379</v>
      </c>
    </row>
    <row r="577" spans="1:20">
      <c r="A577" s="212" t="s">
        <v>378</v>
      </c>
      <c r="B577" s="212"/>
      <c r="C577" s="212"/>
      <c r="D577" s="212"/>
      <c r="E577" s="213"/>
      <c r="F577" s="214"/>
      <c r="G577" s="215">
        <f>SUM(G572:G576)</f>
        <v>1683.25</v>
      </c>
      <c r="H577" s="216">
        <f>SUM(H572:H576)</f>
        <v>2112.0500000000002</v>
      </c>
      <c r="I577" s="212"/>
      <c r="J577" s="216">
        <f>SUM(J572:J576)</f>
        <v>1875.76</v>
      </c>
      <c r="K577" s="216">
        <f>SUM(K572:K576)</f>
        <v>2112.0699999999997</v>
      </c>
      <c r="L577" s="212"/>
      <c r="M577" s="213"/>
      <c r="N577" s="212"/>
      <c r="O577" s="212"/>
      <c r="P577" s="212"/>
      <c r="Q577" s="212"/>
      <c r="R577" s="212"/>
      <c r="S577" s="212"/>
      <c r="T577" s="212"/>
    </row>
    <row r="578" spans="1:20" outlineLevel="1">
      <c r="A578" s="199" t="s">
        <v>264</v>
      </c>
      <c r="B578" s="181" t="s">
        <v>1566</v>
      </c>
      <c r="C578" s="190">
        <v>43665</v>
      </c>
      <c r="D578" s="199" t="s">
        <v>2162</v>
      </c>
      <c r="E578" s="182" t="s">
        <v>2163</v>
      </c>
      <c r="F578" s="183">
        <v>76665</v>
      </c>
      <c r="G578" s="184">
        <v>23.62</v>
      </c>
      <c r="H578" s="181">
        <v>30</v>
      </c>
      <c r="I578" s="181" t="s">
        <v>292</v>
      </c>
      <c r="J578" s="191">
        <v>26.42</v>
      </c>
      <c r="K578" s="191">
        <v>30</v>
      </c>
      <c r="L578" s="199" t="s">
        <v>604</v>
      </c>
      <c r="M578" s="211" t="s">
        <v>1725</v>
      </c>
      <c r="N578" s="185" t="s">
        <v>396</v>
      </c>
      <c r="O578" s="185" t="s">
        <v>309</v>
      </c>
      <c r="P578" s="185" t="s">
        <v>499</v>
      </c>
      <c r="Q578" s="185"/>
      <c r="R578" s="185" t="s">
        <v>381</v>
      </c>
      <c r="S578" s="185" t="s">
        <v>295</v>
      </c>
      <c r="T578" s="217" t="s">
        <v>379</v>
      </c>
    </row>
    <row r="579" spans="1:20" outlineLevel="1">
      <c r="A579" s="199" t="s">
        <v>264</v>
      </c>
      <c r="B579" s="181" t="s">
        <v>1566</v>
      </c>
      <c r="C579" s="190">
        <v>43665</v>
      </c>
      <c r="D579" s="199" t="s">
        <v>2162</v>
      </c>
      <c r="E579" s="182" t="s">
        <v>2164</v>
      </c>
      <c r="F579" s="183">
        <v>76665</v>
      </c>
      <c r="G579" s="184">
        <v>23.62</v>
      </c>
      <c r="H579" s="181">
        <v>30</v>
      </c>
      <c r="I579" s="181" t="s">
        <v>292</v>
      </c>
      <c r="J579" s="191">
        <v>26.42</v>
      </c>
      <c r="K579" s="191">
        <v>30</v>
      </c>
      <c r="L579" s="199" t="s">
        <v>604</v>
      </c>
      <c r="M579" s="211" t="s">
        <v>1725</v>
      </c>
      <c r="N579" s="185" t="s">
        <v>396</v>
      </c>
      <c r="O579" s="185" t="s">
        <v>309</v>
      </c>
      <c r="P579" s="185" t="s">
        <v>499</v>
      </c>
      <c r="Q579" s="185"/>
      <c r="R579" s="185" t="s">
        <v>381</v>
      </c>
      <c r="S579" s="185" t="s">
        <v>295</v>
      </c>
      <c r="T579" s="217" t="s">
        <v>379</v>
      </c>
    </row>
    <row r="580" spans="1:20" outlineLevel="1">
      <c r="A580" s="199" t="s">
        <v>264</v>
      </c>
      <c r="B580" s="181" t="s">
        <v>1566</v>
      </c>
      <c r="C580" s="190">
        <v>43677</v>
      </c>
      <c r="D580" s="199" t="s">
        <v>2165</v>
      </c>
      <c r="E580" s="182" t="s">
        <v>2166</v>
      </c>
      <c r="F580" s="183">
        <v>76652</v>
      </c>
      <c r="G580" s="184">
        <v>23.62</v>
      </c>
      <c r="H580" s="181">
        <v>30</v>
      </c>
      <c r="I580" s="181" t="s">
        <v>292</v>
      </c>
      <c r="J580" s="191">
        <v>26.42</v>
      </c>
      <c r="K580" s="191">
        <v>30</v>
      </c>
      <c r="L580" s="199" t="s">
        <v>604</v>
      </c>
      <c r="M580" s="211" t="s">
        <v>1725</v>
      </c>
      <c r="N580" s="185" t="s">
        <v>400</v>
      </c>
      <c r="O580" s="185" t="s">
        <v>309</v>
      </c>
      <c r="P580" s="185" t="s">
        <v>445</v>
      </c>
      <c r="Q580" s="185"/>
      <c r="R580" s="185" t="s">
        <v>381</v>
      </c>
      <c r="S580" s="185" t="s">
        <v>295</v>
      </c>
      <c r="T580" s="217" t="s">
        <v>379</v>
      </c>
    </row>
    <row r="581" spans="1:20" outlineLevel="1">
      <c r="A581" s="199" t="s">
        <v>264</v>
      </c>
      <c r="B581" s="181" t="s">
        <v>1566</v>
      </c>
      <c r="C581" s="190">
        <v>43677</v>
      </c>
      <c r="D581" s="199" t="s">
        <v>2165</v>
      </c>
      <c r="E581" s="182" t="s">
        <v>2167</v>
      </c>
      <c r="F581" s="183">
        <v>76652</v>
      </c>
      <c r="G581" s="184">
        <v>23.62</v>
      </c>
      <c r="H581" s="181">
        <v>30</v>
      </c>
      <c r="I581" s="181" t="s">
        <v>292</v>
      </c>
      <c r="J581" s="191">
        <v>26.42</v>
      </c>
      <c r="K581" s="191">
        <v>30</v>
      </c>
      <c r="L581" s="199" t="s">
        <v>604</v>
      </c>
      <c r="M581" s="211" t="s">
        <v>1725</v>
      </c>
      <c r="N581" s="185" t="s">
        <v>400</v>
      </c>
      <c r="O581" s="185" t="s">
        <v>309</v>
      </c>
      <c r="P581" s="185" t="s">
        <v>425</v>
      </c>
      <c r="Q581" s="185"/>
      <c r="R581" s="185" t="s">
        <v>381</v>
      </c>
      <c r="S581" s="185" t="s">
        <v>295</v>
      </c>
      <c r="T581" s="217" t="s">
        <v>379</v>
      </c>
    </row>
    <row r="582" spans="1:20" outlineLevel="1">
      <c r="A582" s="199" t="s">
        <v>264</v>
      </c>
      <c r="B582" s="181" t="s">
        <v>1566</v>
      </c>
      <c r="C582" s="190">
        <v>43664</v>
      </c>
      <c r="D582" s="199" t="s">
        <v>2168</v>
      </c>
      <c r="E582" s="182" t="s">
        <v>2169</v>
      </c>
      <c r="F582" s="183">
        <v>76665</v>
      </c>
      <c r="G582" s="184">
        <v>275.61</v>
      </c>
      <c r="H582" s="181">
        <v>350</v>
      </c>
      <c r="I582" s="181" t="s">
        <v>292</v>
      </c>
      <c r="J582" s="191">
        <v>308.19</v>
      </c>
      <c r="K582" s="191">
        <v>350.01</v>
      </c>
      <c r="L582" s="199" t="s">
        <v>610</v>
      </c>
      <c r="M582" s="211" t="s">
        <v>1620</v>
      </c>
      <c r="N582" s="185" t="s">
        <v>396</v>
      </c>
      <c r="O582" s="185" t="s">
        <v>309</v>
      </c>
      <c r="P582" s="185" t="s">
        <v>425</v>
      </c>
      <c r="Q582" s="185"/>
      <c r="R582" s="185" t="s">
        <v>381</v>
      </c>
      <c r="S582" s="185" t="s">
        <v>295</v>
      </c>
      <c r="T582" s="217" t="s">
        <v>379</v>
      </c>
    </row>
    <row r="583" spans="1:20" outlineLevel="1">
      <c r="A583" s="199" t="s">
        <v>264</v>
      </c>
      <c r="B583" s="181" t="s">
        <v>1566</v>
      </c>
      <c r="C583" s="190">
        <v>43649</v>
      </c>
      <c r="D583" s="199" t="s">
        <v>2119</v>
      </c>
      <c r="E583" s="182" t="s">
        <v>2170</v>
      </c>
      <c r="F583" s="183">
        <v>76652</v>
      </c>
      <c r="G583" s="184">
        <v>23.89</v>
      </c>
      <c r="H583" s="181">
        <v>30.34</v>
      </c>
      <c r="I583" s="181" t="s">
        <v>292</v>
      </c>
      <c r="J583" s="191">
        <v>26.72</v>
      </c>
      <c r="K583" s="191">
        <v>30.34</v>
      </c>
      <c r="L583" s="199" t="s">
        <v>615</v>
      </c>
      <c r="M583" s="211" t="s">
        <v>1676</v>
      </c>
      <c r="N583" s="185" t="s">
        <v>400</v>
      </c>
      <c r="O583" s="185" t="s">
        <v>309</v>
      </c>
      <c r="P583" s="185" t="s">
        <v>445</v>
      </c>
      <c r="Q583" s="185"/>
      <c r="R583" s="185" t="s">
        <v>381</v>
      </c>
      <c r="S583" s="185" t="s">
        <v>295</v>
      </c>
      <c r="T583" s="217" t="s">
        <v>379</v>
      </c>
    </row>
    <row r="584" spans="1:20" outlineLevel="1">
      <c r="A584" s="199" t="s">
        <v>264</v>
      </c>
      <c r="B584" s="181" t="s">
        <v>1566</v>
      </c>
      <c r="C584" s="190">
        <v>43656</v>
      </c>
      <c r="D584" s="199" t="s">
        <v>2119</v>
      </c>
      <c r="E584" s="182" t="s">
        <v>2171</v>
      </c>
      <c r="F584" s="183">
        <v>76652</v>
      </c>
      <c r="G584" s="184">
        <v>19.84</v>
      </c>
      <c r="H584" s="181">
        <v>25.2</v>
      </c>
      <c r="I584" s="181" t="s">
        <v>292</v>
      </c>
      <c r="J584" s="191">
        <v>22.19</v>
      </c>
      <c r="K584" s="191">
        <v>25.2</v>
      </c>
      <c r="L584" s="199" t="s">
        <v>615</v>
      </c>
      <c r="M584" s="211" t="s">
        <v>1676</v>
      </c>
      <c r="N584" s="185" t="s">
        <v>400</v>
      </c>
      <c r="O584" s="185" t="s">
        <v>309</v>
      </c>
      <c r="P584" s="185" t="s">
        <v>445</v>
      </c>
      <c r="Q584" s="185"/>
      <c r="R584" s="185" t="s">
        <v>381</v>
      </c>
      <c r="S584" s="185" t="s">
        <v>295</v>
      </c>
      <c r="T584" s="217" t="s">
        <v>379</v>
      </c>
    </row>
    <row r="585" spans="1:20" outlineLevel="1">
      <c r="A585" s="199" t="s">
        <v>264</v>
      </c>
      <c r="B585" s="181" t="s">
        <v>1566</v>
      </c>
      <c r="C585" s="190">
        <v>43662</v>
      </c>
      <c r="D585" s="199" t="s">
        <v>2172</v>
      </c>
      <c r="E585" s="182" t="s">
        <v>2173</v>
      </c>
      <c r="F585" s="183">
        <v>76652</v>
      </c>
      <c r="G585" s="184">
        <v>121.27</v>
      </c>
      <c r="H585" s="181">
        <v>154</v>
      </c>
      <c r="I585" s="181" t="s">
        <v>292</v>
      </c>
      <c r="J585" s="191">
        <v>135.6</v>
      </c>
      <c r="K585" s="191">
        <v>154</v>
      </c>
      <c r="L585" s="199" t="s">
        <v>615</v>
      </c>
      <c r="M585" s="211" t="s">
        <v>1676</v>
      </c>
      <c r="N585" s="185" t="s">
        <v>400</v>
      </c>
      <c r="O585" s="185" t="s">
        <v>309</v>
      </c>
      <c r="P585" s="185" t="s">
        <v>425</v>
      </c>
      <c r="Q585" s="185"/>
      <c r="R585" s="185" t="s">
        <v>381</v>
      </c>
      <c r="S585" s="185" t="s">
        <v>295</v>
      </c>
      <c r="T585" s="217" t="s">
        <v>379</v>
      </c>
    </row>
    <row r="586" spans="1:20" outlineLevel="1">
      <c r="A586" s="199" t="s">
        <v>264</v>
      </c>
      <c r="B586" s="181" t="s">
        <v>1575</v>
      </c>
      <c r="C586" s="190">
        <v>43696</v>
      </c>
      <c r="D586" s="199" t="s">
        <v>2174</v>
      </c>
      <c r="E586" s="182" t="s">
        <v>2175</v>
      </c>
      <c r="F586" s="183">
        <v>76932</v>
      </c>
      <c r="G586" s="184">
        <v>4.09</v>
      </c>
      <c r="H586" s="181">
        <v>5</v>
      </c>
      <c r="I586" s="181" t="s">
        <v>292</v>
      </c>
      <c r="J586" s="191">
        <v>4.47</v>
      </c>
      <c r="K586" s="191">
        <v>5</v>
      </c>
      <c r="L586" s="199" t="s">
        <v>604</v>
      </c>
      <c r="M586" s="211" t="s">
        <v>1725</v>
      </c>
      <c r="N586" s="185" t="s">
        <v>396</v>
      </c>
      <c r="O586" s="185" t="s">
        <v>309</v>
      </c>
      <c r="P586" s="185" t="s">
        <v>1726</v>
      </c>
      <c r="Q586" s="185"/>
      <c r="R586" s="185" t="s">
        <v>381</v>
      </c>
      <c r="S586" s="185" t="s">
        <v>295</v>
      </c>
      <c r="T586" s="217" t="s">
        <v>379</v>
      </c>
    </row>
    <row r="587" spans="1:20" outlineLevel="1" collapsed="1">
      <c r="A587" s="199" t="s">
        <v>264</v>
      </c>
      <c r="B587" s="181" t="s">
        <v>1575</v>
      </c>
      <c r="C587" s="190">
        <v>43699</v>
      </c>
      <c r="D587" s="199" t="s">
        <v>2176</v>
      </c>
      <c r="E587" s="182" t="s">
        <v>2177</v>
      </c>
      <c r="F587" s="183">
        <v>76932</v>
      </c>
      <c r="G587" s="184">
        <v>216.89</v>
      </c>
      <c r="H587" s="181">
        <v>265</v>
      </c>
      <c r="I587" s="181" t="s">
        <v>292</v>
      </c>
      <c r="J587" s="191">
        <v>236.65</v>
      </c>
      <c r="K587" s="191">
        <v>264.99</v>
      </c>
      <c r="L587" s="199" t="s">
        <v>615</v>
      </c>
      <c r="M587" s="211" t="s">
        <v>1676</v>
      </c>
      <c r="N587" s="185" t="s">
        <v>396</v>
      </c>
      <c r="O587" s="185" t="s">
        <v>309</v>
      </c>
      <c r="P587" s="185" t="s">
        <v>397</v>
      </c>
      <c r="Q587" s="185"/>
      <c r="R587" s="185" t="s">
        <v>381</v>
      </c>
      <c r="S587" s="185" t="s">
        <v>295</v>
      </c>
      <c r="T587" s="217" t="s">
        <v>379</v>
      </c>
    </row>
    <row r="588" spans="1:20" outlineLevel="1">
      <c r="A588" s="199" t="s">
        <v>264</v>
      </c>
      <c r="B588" s="181" t="s">
        <v>1575</v>
      </c>
      <c r="C588" s="190">
        <v>43693</v>
      </c>
      <c r="D588" s="199" t="s">
        <v>1576</v>
      </c>
      <c r="E588" s="182" t="s">
        <v>2178</v>
      </c>
      <c r="F588" s="183">
        <v>76932</v>
      </c>
      <c r="G588" s="184">
        <v>8.18</v>
      </c>
      <c r="H588" s="181">
        <v>10</v>
      </c>
      <c r="I588" s="181" t="s">
        <v>292</v>
      </c>
      <c r="J588" s="191">
        <v>8.93</v>
      </c>
      <c r="K588" s="191">
        <v>9.99</v>
      </c>
      <c r="L588" s="199" t="s">
        <v>590</v>
      </c>
      <c r="M588" s="211" t="s">
        <v>2179</v>
      </c>
      <c r="N588" s="185" t="s">
        <v>396</v>
      </c>
      <c r="O588" s="185" t="s">
        <v>309</v>
      </c>
      <c r="P588" s="185"/>
      <c r="Q588" s="185"/>
      <c r="R588" s="185" t="s">
        <v>381</v>
      </c>
      <c r="S588" s="185" t="s">
        <v>295</v>
      </c>
      <c r="T588" s="217" t="s">
        <v>379</v>
      </c>
    </row>
    <row r="589" spans="1:20" outlineLevel="1">
      <c r="A589" s="199" t="s">
        <v>264</v>
      </c>
      <c r="B589" s="181" t="s">
        <v>1575</v>
      </c>
      <c r="C589" s="190">
        <v>43691</v>
      </c>
      <c r="D589" s="199" t="s">
        <v>2180</v>
      </c>
      <c r="E589" s="182" t="s">
        <v>2181</v>
      </c>
      <c r="F589" s="183">
        <v>76932</v>
      </c>
      <c r="G589" s="184">
        <v>196.43</v>
      </c>
      <c r="H589" s="181">
        <v>240</v>
      </c>
      <c r="I589" s="181" t="s">
        <v>292</v>
      </c>
      <c r="J589" s="191">
        <v>214.32</v>
      </c>
      <c r="K589" s="191">
        <v>240</v>
      </c>
      <c r="L589" s="199" t="s">
        <v>1034</v>
      </c>
      <c r="M589" s="211" t="s">
        <v>1572</v>
      </c>
      <c r="N589" s="185" t="s">
        <v>396</v>
      </c>
      <c r="O589" s="185" t="s">
        <v>309</v>
      </c>
      <c r="P589" s="185"/>
      <c r="Q589" s="185"/>
      <c r="R589" s="185" t="s">
        <v>381</v>
      </c>
      <c r="S589" s="185" t="s">
        <v>295</v>
      </c>
      <c r="T589" s="217" t="s">
        <v>379</v>
      </c>
    </row>
    <row r="590" spans="1:20" outlineLevel="1">
      <c r="A590" s="199" t="s">
        <v>264</v>
      </c>
      <c r="B590" s="181" t="s">
        <v>1575</v>
      </c>
      <c r="C590" s="190">
        <v>43707</v>
      </c>
      <c r="D590" s="199" t="s">
        <v>1792</v>
      </c>
      <c r="E590" s="182" t="s">
        <v>2182</v>
      </c>
      <c r="F590" s="183">
        <v>76932</v>
      </c>
      <c r="G590" s="184">
        <v>98.22</v>
      </c>
      <c r="H590" s="181">
        <v>120</v>
      </c>
      <c r="I590" s="181" t="s">
        <v>292</v>
      </c>
      <c r="J590" s="191">
        <v>107.16</v>
      </c>
      <c r="K590" s="191">
        <v>120</v>
      </c>
      <c r="L590" s="199" t="s">
        <v>1034</v>
      </c>
      <c r="M590" s="211" t="s">
        <v>1572</v>
      </c>
      <c r="N590" s="185" t="s">
        <v>396</v>
      </c>
      <c r="O590" s="185" t="s">
        <v>309</v>
      </c>
      <c r="P590" s="185"/>
      <c r="Q590" s="185"/>
      <c r="R590" s="185" t="s">
        <v>381</v>
      </c>
      <c r="S590" s="185" t="s">
        <v>295</v>
      </c>
      <c r="T590" s="217" t="s">
        <v>379</v>
      </c>
    </row>
    <row r="591" spans="1:20" outlineLevel="1">
      <c r="A591" s="199" t="s">
        <v>264</v>
      </c>
      <c r="B591" s="181" t="s">
        <v>1567</v>
      </c>
      <c r="C591" s="190">
        <v>43714</v>
      </c>
      <c r="D591" s="199" t="s">
        <v>2183</v>
      </c>
      <c r="E591" s="182" t="s">
        <v>2184</v>
      </c>
      <c r="F591" s="183">
        <v>77221</v>
      </c>
      <c r="G591" s="184">
        <v>8.2200000000000006</v>
      </c>
      <c r="H591" s="181">
        <v>10</v>
      </c>
      <c r="I591" s="181" t="s">
        <v>292</v>
      </c>
      <c r="J591" s="191">
        <v>9.08</v>
      </c>
      <c r="K591" s="191">
        <v>10</v>
      </c>
      <c r="L591" s="199" t="s">
        <v>604</v>
      </c>
      <c r="M591" s="211" t="s">
        <v>1725</v>
      </c>
      <c r="N591" s="185" t="s">
        <v>396</v>
      </c>
      <c r="O591" s="185" t="s">
        <v>309</v>
      </c>
      <c r="P591" s="185" t="s">
        <v>628</v>
      </c>
      <c r="Q591" s="185"/>
      <c r="R591" s="185" t="s">
        <v>381</v>
      </c>
      <c r="S591" s="185" t="s">
        <v>295</v>
      </c>
      <c r="T591" s="217" t="s">
        <v>379</v>
      </c>
    </row>
    <row r="592" spans="1:20" outlineLevel="1">
      <c r="A592" s="199" t="s">
        <v>264</v>
      </c>
      <c r="B592" s="181" t="s">
        <v>1567</v>
      </c>
      <c r="C592" s="190">
        <v>43721</v>
      </c>
      <c r="D592" s="199" t="s">
        <v>2185</v>
      </c>
      <c r="E592" s="182" t="s">
        <v>2186</v>
      </c>
      <c r="F592" s="183">
        <v>77221</v>
      </c>
      <c r="G592" s="184">
        <v>49.33</v>
      </c>
      <c r="H592" s="181">
        <v>60</v>
      </c>
      <c r="I592" s="181" t="s">
        <v>292</v>
      </c>
      <c r="J592" s="191">
        <v>54.49</v>
      </c>
      <c r="K592" s="191">
        <v>59.99</v>
      </c>
      <c r="L592" s="199" t="s">
        <v>716</v>
      </c>
      <c r="M592" s="211" t="s">
        <v>1629</v>
      </c>
      <c r="N592" s="185" t="s">
        <v>396</v>
      </c>
      <c r="O592" s="185" t="s">
        <v>309</v>
      </c>
      <c r="P592" s="185"/>
      <c r="Q592" s="185"/>
      <c r="R592" s="185" t="s">
        <v>381</v>
      </c>
      <c r="S592" s="185" t="s">
        <v>295</v>
      </c>
      <c r="T592" s="217" t="s">
        <v>379</v>
      </c>
    </row>
    <row r="593" spans="1:20" outlineLevel="1">
      <c r="A593" s="199" t="s">
        <v>264</v>
      </c>
      <c r="B593" s="181" t="s">
        <v>1567</v>
      </c>
      <c r="C593" s="190">
        <v>43721</v>
      </c>
      <c r="D593" s="199" t="s">
        <v>2185</v>
      </c>
      <c r="E593" s="182" t="s">
        <v>2187</v>
      </c>
      <c r="F593" s="183">
        <v>77221</v>
      </c>
      <c r="G593" s="184">
        <v>98.67</v>
      </c>
      <c r="H593" s="181">
        <v>120</v>
      </c>
      <c r="I593" s="181" t="s">
        <v>292</v>
      </c>
      <c r="J593" s="191">
        <v>108.99</v>
      </c>
      <c r="K593" s="191">
        <v>120</v>
      </c>
      <c r="L593" s="199" t="s">
        <v>716</v>
      </c>
      <c r="M593" s="211" t="s">
        <v>1629</v>
      </c>
      <c r="N593" s="185" t="s">
        <v>396</v>
      </c>
      <c r="O593" s="185" t="s">
        <v>309</v>
      </c>
      <c r="P593" s="185"/>
      <c r="Q593" s="185"/>
      <c r="R593" s="185" t="s">
        <v>381</v>
      </c>
      <c r="S593" s="185" t="s">
        <v>295</v>
      </c>
      <c r="T593" s="217" t="s">
        <v>379</v>
      </c>
    </row>
    <row r="594" spans="1:20">
      <c r="A594" s="212" t="s">
        <v>378</v>
      </c>
      <c r="B594" s="212"/>
      <c r="C594" s="212"/>
      <c r="D594" s="212"/>
      <c r="E594" s="213"/>
      <c r="F594" s="214"/>
      <c r="G594" s="215">
        <f>SUM(G578:G593)</f>
        <v>1215.1200000000001</v>
      </c>
      <c r="H594" s="216">
        <f>SUM(H578:H593)</f>
        <v>1509.54</v>
      </c>
      <c r="I594" s="212"/>
      <c r="J594" s="216">
        <f>SUM(J578:J593)</f>
        <v>1342.47</v>
      </c>
      <c r="K594" s="216">
        <f>SUM(K578:K593)</f>
        <v>1509.52</v>
      </c>
      <c r="L594" s="212"/>
      <c r="M594" s="213"/>
      <c r="N594" s="212"/>
      <c r="O594" s="212"/>
      <c r="P594" s="212"/>
      <c r="Q594" s="212"/>
      <c r="R594" s="212"/>
      <c r="S594" s="212"/>
      <c r="T594" s="212"/>
    </row>
    <row r="595" spans="1:20" outlineLevel="1">
      <c r="A595" s="199" t="s">
        <v>265</v>
      </c>
      <c r="B595" s="181" t="s">
        <v>1566</v>
      </c>
      <c r="C595" s="190">
        <v>43656</v>
      </c>
      <c r="D595" s="199" t="s">
        <v>2188</v>
      </c>
      <c r="E595" s="182" t="s">
        <v>2189</v>
      </c>
      <c r="F595" s="183">
        <v>76652</v>
      </c>
      <c r="G595" s="184">
        <v>944.93</v>
      </c>
      <c r="H595" s="181">
        <v>1200</v>
      </c>
      <c r="I595" s="181" t="s">
        <v>292</v>
      </c>
      <c r="J595" s="191">
        <v>1056.6500000000001</v>
      </c>
      <c r="K595" s="191">
        <v>1199.99</v>
      </c>
      <c r="L595" s="199" t="s">
        <v>635</v>
      </c>
      <c r="M595" s="211" t="s">
        <v>2190</v>
      </c>
      <c r="N595" s="185" t="s">
        <v>400</v>
      </c>
      <c r="O595" s="185" t="s">
        <v>309</v>
      </c>
      <c r="P595" s="185"/>
      <c r="Q595" s="185"/>
      <c r="R595" s="185" t="s">
        <v>381</v>
      </c>
      <c r="S595" s="185" t="s">
        <v>295</v>
      </c>
      <c r="T595" s="217" t="s">
        <v>379</v>
      </c>
    </row>
    <row r="596" spans="1:20" outlineLevel="1">
      <c r="A596" s="199" t="s">
        <v>265</v>
      </c>
      <c r="B596" s="181" t="s">
        <v>1566</v>
      </c>
      <c r="C596" s="190">
        <v>43656</v>
      </c>
      <c r="D596" s="199" t="s">
        <v>2188</v>
      </c>
      <c r="E596" s="182" t="s">
        <v>2191</v>
      </c>
      <c r="F596" s="183">
        <v>76652</v>
      </c>
      <c r="G596" s="184">
        <v>708.7</v>
      </c>
      <c r="H596" s="181">
        <v>900</v>
      </c>
      <c r="I596" s="181" t="s">
        <v>292</v>
      </c>
      <c r="J596" s="191">
        <v>792.48</v>
      </c>
      <c r="K596" s="191">
        <v>900</v>
      </c>
      <c r="L596" s="199" t="s">
        <v>635</v>
      </c>
      <c r="M596" s="211" t="s">
        <v>2190</v>
      </c>
      <c r="N596" s="185" t="s">
        <v>400</v>
      </c>
      <c r="O596" s="185" t="s">
        <v>309</v>
      </c>
      <c r="P596" s="185"/>
      <c r="Q596" s="185"/>
      <c r="R596" s="185" t="s">
        <v>381</v>
      </c>
      <c r="S596" s="185" t="s">
        <v>295</v>
      </c>
      <c r="T596" s="217" t="s">
        <v>379</v>
      </c>
    </row>
    <row r="597" spans="1:20">
      <c r="A597" s="212" t="s">
        <v>378</v>
      </c>
      <c r="B597" s="212"/>
      <c r="C597" s="212"/>
      <c r="D597" s="212"/>
      <c r="E597" s="213"/>
      <c r="F597" s="214"/>
      <c r="G597" s="215">
        <f>SUM(G595:G596)</f>
        <v>1653.63</v>
      </c>
      <c r="H597" s="216">
        <f>SUM(H595:H596)</f>
        <v>2100</v>
      </c>
      <c r="I597" s="212"/>
      <c r="J597" s="216">
        <f>SUM(J595:J596)</f>
        <v>1849.13</v>
      </c>
      <c r="K597" s="216">
        <f>SUM(K595:K596)</f>
        <v>2099.9899999999998</v>
      </c>
      <c r="L597" s="212"/>
      <c r="M597" s="213"/>
      <c r="N597" s="212"/>
      <c r="O597" s="212"/>
      <c r="P597" s="212"/>
      <c r="Q597" s="212"/>
      <c r="R597" s="212"/>
      <c r="S597" s="212"/>
      <c r="T597" s="212"/>
    </row>
    <row r="598" spans="1:20" outlineLevel="1">
      <c r="A598" s="199" t="s">
        <v>267</v>
      </c>
      <c r="B598" s="181" t="s">
        <v>1566</v>
      </c>
      <c r="C598" s="190">
        <v>43669</v>
      </c>
      <c r="D598" s="199" t="s">
        <v>2192</v>
      </c>
      <c r="E598" s="182" t="s">
        <v>2193</v>
      </c>
      <c r="F598" s="183">
        <v>76652</v>
      </c>
      <c r="G598" s="184">
        <v>70.87</v>
      </c>
      <c r="H598" s="181">
        <v>90</v>
      </c>
      <c r="I598" s="181" t="s">
        <v>292</v>
      </c>
      <c r="J598" s="191">
        <v>79.25</v>
      </c>
      <c r="K598" s="191">
        <v>90</v>
      </c>
      <c r="L598" s="199" t="s">
        <v>718</v>
      </c>
      <c r="M598" s="211" t="s">
        <v>1691</v>
      </c>
      <c r="N598" s="185" t="s">
        <v>400</v>
      </c>
      <c r="O598" s="185" t="s">
        <v>309</v>
      </c>
      <c r="P598" s="185"/>
      <c r="Q598" s="185"/>
      <c r="R598" s="185" t="s">
        <v>381</v>
      </c>
      <c r="S598" s="185" t="s">
        <v>295</v>
      </c>
      <c r="T598" s="217" t="s">
        <v>379</v>
      </c>
    </row>
    <row r="599" spans="1:20" outlineLevel="1">
      <c r="A599" s="199" t="s">
        <v>267</v>
      </c>
      <c r="B599" s="181" t="s">
        <v>1566</v>
      </c>
      <c r="C599" s="190">
        <v>43670</v>
      </c>
      <c r="D599" s="199" t="s">
        <v>2194</v>
      </c>
      <c r="E599" s="182" t="s">
        <v>2193</v>
      </c>
      <c r="F599" s="183">
        <v>76652</v>
      </c>
      <c r="G599" s="184">
        <v>70.87</v>
      </c>
      <c r="H599" s="181">
        <v>90</v>
      </c>
      <c r="I599" s="181" t="s">
        <v>292</v>
      </c>
      <c r="J599" s="191">
        <v>79.25</v>
      </c>
      <c r="K599" s="191">
        <v>90</v>
      </c>
      <c r="L599" s="199" t="s">
        <v>718</v>
      </c>
      <c r="M599" s="211" t="s">
        <v>1691</v>
      </c>
      <c r="N599" s="185" t="s">
        <v>400</v>
      </c>
      <c r="O599" s="185" t="s">
        <v>309</v>
      </c>
      <c r="P599" s="185"/>
      <c r="Q599" s="185"/>
      <c r="R599" s="185" t="s">
        <v>381</v>
      </c>
      <c r="S599" s="185" t="s">
        <v>295</v>
      </c>
      <c r="T599" s="217" t="s">
        <v>379</v>
      </c>
    </row>
    <row r="600" spans="1:20" outlineLevel="1">
      <c r="A600" s="199" t="s">
        <v>267</v>
      </c>
      <c r="B600" s="181" t="s">
        <v>1575</v>
      </c>
      <c r="C600" s="190">
        <v>43699</v>
      </c>
      <c r="D600" s="199" t="s">
        <v>2195</v>
      </c>
      <c r="E600" s="182" t="s">
        <v>2196</v>
      </c>
      <c r="F600" s="183">
        <v>76927</v>
      </c>
      <c r="G600" s="184">
        <v>40.92</v>
      </c>
      <c r="H600" s="181">
        <v>50</v>
      </c>
      <c r="I600" s="181" t="s">
        <v>292</v>
      </c>
      <c r="J600" s="191">
        <v>44.65</v>
      </c>
      <c r="K600" s="191">
        <v>50</v>
      </c>
      <c r="L600" s="199" t="s">
        <v>640</v>
      </c>
      <c r="M600" s="211" t="s">
        <v>1580</v>
      </c>
      <c r="N600" s="185" t="s">
        <v>400</v>
      </c>
      <c r="O600" s="185" t="s">
        <v>309</v>
      </c>
      <c r="P600" s="185"/>
      <c r="Q600" s="185"/>
      <c r="R600" s="185" t="s">
        <v>381</v>
      </c>
      <c r="S600" s="185" t="s">
        <v>295</v>
      </c>
      <c r="T600" s="217" t="s">
        <v>379</v>
      </c>
    </row>
    <row r="601" spans="1:20" outlineLevel="1">
      <c r="A601" s="199" t="s">
        <v>267</v>
      </c>
      <c r="B601" s="181" t="s">
        <v>1575</v>
      </c>
      <c r="C601" s="190">
        <v>43679</v>
      </c>
      <c r="D601" s="199" t="s">
        <v>2197</v>
      </c>
      <c r="E601" s="182" t="s">
        <v>2198</v>
      </c>
      <c r="F601" s="183">
        <v>76927</v>
      </c>
      <c r="G601" s="184">
        <v>40.92</v>
      </c>
      <c r="H601" s="181">
        <v>50</v>
      </c>
      <c r="I601" s="181" t="s">
        <v>292</v>
      </c>
      <c r="J601" s="191">
        <v>44.65</v>
      </c>
      <c r="K601" s="191">
        <v>50</v>
      </c>
      <c r="L601" s="199" t="s">
        <v>640</v>
      </c>
      <c r="M601" s="211" t="s">
        <v>1580</v>
      </c>
      <c r="N601" s="185" t="s">
        <v>400</v>
      </c>
      <c r="O601" s="185" t="s">
        <v>309</v>
      </c>
      <c r="P601" s="185"/>
      <c r="Q601" s="185"/>
      <c r="R601" s="185" t="s">
        <v>381</v>
      </c>
      <c r="S601" s="185" t="s">
        <v>295</v>
      </c>
      <c r="T601" s="217" t="s">
        <v>379</v>
      </c>
    </row>
    <row r="602" spans="1:20" outlineLevel="1">
      <c r="A602" s="199" t="s">
        <v>267</v>
      </c>
      <c r="B602" s="181" t="s">
        <v>1575</v>
      </c>
      <c r="C602" s="190">
        <v>43627</v>
      </c>
      <c r="D602" s="199" t="s">
        <v>2199</v>
      </c>
      <c r="E602" s="182" t="s">
        <v>2200</v>
      </c>
      <c r="F602" s="183">
        <v>76986</v>
      </c>
      <c r="G602" s="184">
        <v>208.67</v>
      </c>
      <c r="H602" s="181">
        <v>208.67</v>
      </c>
      <c r="I602" s="181" t="s">
        <v>293</v>
      </c>
      <c r="J602" s="191">
        <v>227.67</v>
      </c>
      <c r="K602" s="191">
        <v>254.95</v>
      </c>
      <c r="L602" s="199" t="s">
        <v>635</v>
      </c>
      <c r="M602" s="211" t="s">
        <v>2190</v>
      </c>
      <c r="N602" s="185" t="s">
        <v>374</v>
      </c>
      <c r="O602" s="185" t="s">
        <v>309</v>
      </c>
      <c r="P602" s="185"/>
      <c r="Q602" s="185"/>
      <c r="R602" s="185" t="s">
        <v>381</v>
      </c>
      <c r="S602" s="185" t="s">
        <v>295</v>
      </c>
      <c r="T602" s="217" t="s">
        <v>379</v>
      </c>
    </row>
    <row r="603" spans="1:20" outlineLevel="1">
      <c r="A603" s="199" t="s">
        <v>267</v>
      </c>
      <c r="B603" s="181" t="s">
        <v>1567</v>
      </c>
      <c r="C603" s="190">
        <v>43731</v>
      </c>
      <c r="D603" s="199" t="s">
        <v>2201</v>
      </c>
      <c r="E603" s="182" t="s">
        <v>2202</v>
      </c>
      <c r="F603" s="183">
        <v>77220</v>
      </c>
      <c r="G603" s="184">
        <v>41.11</v>
      </c>
      <c r="H603" s="181">
        <v>50</v>
      </c>
      <c r="I603" s="181" t="s">
        <v>292</v>
      </c>
      <c r="J603" s="191">
        <v>45.41</v>
      </c>
      <c r="K603" s="191">
        <v>50</v>
      </c>
      <c r="L603" s="199" t="s">
        <v>640</v>
      </c>
      <c r="M603" s="211" t="s">
        <v>1580</v>
      </c>
      <c r="N603" s="185" t="s">
        <v>400</v>
      </c>
      <c r="O603" s="185" t="s">
        <v>309</v>
      </c>
      <c r="P603" s="185"/>
      <c r="Q603" s="185"/>
      <c r="R603" s="185" t="s">
        <v>381</v>
      </c>
      <c r="S603" s="185" t="s">
        <v>295</v>
      </c>
      <c r="T603" s="217" t="s">
        <v>379</v>
      </c>
    </row>
    <row r="604" spans="1:20" outlineLevel="1">
      <c r="A604" s="199" t="s">
        <v>267</v>
      </c>
      <c r="B604" s="181" t="s">
        <v>1567</v>
      </c>
      <c r="C604" s="190">
        <v>43738</v>
      </c>
      <c r="D604" s="199" t="s">
        <v>2203</v>
      </c>
      <c r="E604" s="182" t="s">
        <v>2204</v>
      </c>
      <c r="F604" s="183">
        <v>77220</v>
      </c>
      <c r="G604" s="184">
        <v>51.8</v>
      </c>
      <c r="H604" s="181">
        <v>63</v>
      </c>
      <c r="I604" s="181" t="s">
        <v>292</v>
      </c>
      <c r="J604" s="191">
        <v>57.22</v>
      </c>
      <c r="K604" s="191">
        <v>63</v>
      </c>
      <c r="L604" s="199" t="s">
        <v>640</v>
      </c>
      <c r="M604" s="211" t="s">
        <v>1580</v>
      </c>
      <c r="N604" s="185" t="s">
        <v>400</v>
      </c>
      <c r="O604" s="185" t="s">
        <v>309</v>
      </c>
      <c r="P604" s="185"/>
      <c r="Q604" s="185"/>
      <c r="R604" s="185" t="s">
        <v>381</v>
      </c>
      <c r="S604" s="185" t="s">
        <v>295</v>
      </c>
      <c r="T604" s="217" t="s">
        <v>379</v>
      </c>
    </row>
    <row r="605" spans="1:20" outlineLevel="1">
      <c r="A605" s="199" t="s">
        <v>267</v>
      </c>
      <c r="B605" s="181" t="s">
        <v>1567</v>
      </c>
      <c r="C605" s="190">
        <v>43738</v>
      </c>
      <c r="D605" s="199" t="s">
        <v>2205</v>
      </c>
      <c r="E605" s="182" t="s">
        <v>2206</v>
      </c>
      <c r="F605" s="183">
        <v>77220</v>
      </c>
      <c r="G605" s="184">
        <v>36.840000000000003</v>
      </c>
      <c r="H605" s="181">
        <v>44.8</v>
      </c>
      <c r="I605" s="181" t="s">
        <v>292</v>
      </c>
      <c r="J605" s="191">
        <v>40.69</v>
      </c>
      <c r="K605" s="191">
        <v>44.8</v>
      </c>
      <c r="L605" s="199" t="s">
        <v>2207</v>
      </c>
      <c r="M605" s="211" t="s">
        <v>2208</v>
      </c>
      <c r="N605" s="185" t="s">
        <v>400</v>
      </c>
      <c r="O605" s="185" t="s">
        <v>309</v>
      </c>
      <c r="P605" s="185"/>
      <c r="Q605" s="185"/>
      <c r="R605" s="185" t="s">
        <v>381</v>
      </c>
      <c r="S605" s="185" t="s">
        <v>295</v>
      </c>
      <c r="T605" s="217" t="s">
        <v>379</v>
      </c>
    </row>
    <row r="606" spans="1:20" outlineLevel="1">
      <c r="A606" s="199" t="s">
        <v>267</v>
      </c>
      <c r="B606" s="181" t="s">
        <v>1567</v>
      </c>
      <c r="C606" s="190">
        <v>43738</v>
      </c>
      <c r="D606" s="199" t="s">
        <v>2209</v>
      </c>
      <c r="E606" s="182" t="s">
        <v>2210</v>
      </c>
      <c r="F606" s="183">
        <v>77220</v>
      </c>
      <c r="G606" s="184">
        <v>49.33</v>
      </c>
      <c r="H606" s="181">
        <v>60</v>
      </c>
      <c r="I606" s="181" t="s">
        <v>292</v>
      </c>
      <c r="J606" s="191">
        <v>54.49</v>
      </c>
      <c r="K606" s="191">
        <v>59.99</v>
      </c>
      <c r="L606" s="199" t="s">
        <v>2207</v>
      </c>
      <c r="M606" s="211" t="s">
        <v>2208</v>
      </c>
      <c r="N606" s="185" t="s">
        <v>400</v>
      </c>
      <c r="O606" s="185" t="s">
        <v>309</v>
      </c>
      <c r="P606" s="185"/>
      <c r="Q606" s="185"/>
      <c r="R606" s="185" t="s">
        <v>381</v>
      </c>
      <c r="S606" s="185" t="s">
        <v>295</v>
      </c>
      <c r="T606" s="217" t="s">
        <v>379</v>
      </c>
    </row>
    <row r="607" spans="1:20">
      <c r="A607" s="212" t="s">
        <v>378</v>
      </c>
      <c r="B607" s="212"/>
      <c r="C607" s="212"/>
      <c r="D607" s="212"/>
      <c r="E607" s="213"/>
      <c r="F607" s="214"/>
      <c r="G607" s="215">
        <f>SUM(G598:G606)</f>
        <v>611.33000000000004</v>
      </c>
      <c r="H607" s="216">
        <f>SUM(H598:H606)</f>
        <v>706.46999999999991</v>
      </c>
      <c r="I607" s="212"/>
      <c r="J607" s="216">
        <f>SUM(J598:J606)</f>
        <v>673.28</v>
      </c>
      <c r="K607" s="216">
        <f>SUM(K598:K606)</f>
        <v>752.74</v>
      </c>
      <c r="L607" s="212"/>
      <c r="M607" s="213"/>
      <c r="N607" s="212"/>
      <c r="O607" s="212"/>
      <c r="P607" s="212"/>
      <c r="Q607" s="212"/>
      <c r="R607" s="212"/>
      <c r="S607" s="212"/>
      <c r="T607" s="212"/>
    </row>
    <row r="608" spans="1:20" outlineLevel="1">
      <c r="A608" s="199" t="s">
        <v>268</v>
      </c>
      <c r="B608" s="181" t="s">
        <v>1566</v>
      </c>
      <c r="C608" s="190">
        <v>43655</v>
      </c>
      <c r="D608" s="199" t="s">
        <v>2211</v>
      </c>
      <c r="E608" s="182" t="s">
        <v>2212</v>
      </c>
      <c r="F608" s="183">
        <v>76665</v>
      </c>
      <c r="G608" s="184">
        <v>-220.48</v>
      </c>
      <c r="H608" s="181">
        <v>-280</v>
      </c>
      <c r="I608" s="181" t="s">
        <v>292</v>
      </c>
      <c r="J608" s="191">
        <v>-246.55</v>
      </c>
      <c r="K608" s="191">
        <v>-279.99</v>
      </c>
      <c r="L608" s="199" t="s">
        <v>649</v>
      </c>
      <c r="M608" s="211" t="s">
        <v>2213</v>
      </c>
      <c r="N608" s="185" t="s">
        <v>396</v>
      </c>
      <c r="O608" s="185" t="s">
        <v>309</v>
      </c>
      <c r="P608" s="185"/>
      <c r="Q608" s="185"/>
      <c r="R608" s="185" t="s">
        <v>381</v>
      </c>
      <c r="S608" s="185" t="s">
        <v>295</v>
      </c>
      <c r="T608" s="217" t="s">
        <v>379</v>
      </c>
    </row>
    <row r="609" spans="1:20" outlineLevel="1">
      <c r="A609" s="199" t="s">
        <v>268</v>
      </c>
      <c r="B609" s="181" t="s">
        <v>1566</v>
      </c>
      <c r="C609" s="190">
        <v>43656</v>
      </c>
      <c r="D609" s="199" t="s">
        <v>2214</v>
      </c>
      <c r="E609" s="182" t="s">
        <v>2215</v>
      </c>
      <c r="F609" s="183">
        <v>76652</v>
      </c>
      <c r="G609" s="184">
        <v>425.22</v>
      </c>
      <c r="H609" s="181">
        <v>540</v>
      </c>
      <c r="I609" s="181" t="s">
        <v>292</v>
      </c>
      <c r="J609" s="191">
        <v>475.49</v>
      </c>
      <c r="K609" s="191">
        <v>540</v>
      </c>
      <c r="L609" s="199" t="s">
        <v>649</v>
      </c>
      <c r="M609" s="211" t="s">
        <v>2213</v>
      </c>
      <c r="N609" s="185" t="s">
        <v>400</v>
      </c>
      <c r="O609" s="185" t="s">
        <v>309</v>
      </c>
      <c r="P609" s="185"/>
      <c r="Q609" s="185"/>
      <c r="R609" s="185" t="s">
        <v>381</v>
      </c>
      <c r="S609" s="185" t="s">
        <v>295</v>
      </c>
      <c r="T609" s="217" t="s">
        <v>379</v>
      </c>
    </row>
    <row r="610" spans="1:20" outlineLevel="1">
      <c r="A610" s="199" t="s">
        <v>268</v>
      </c>
      <c r="B610" s="181" t="s">
        <v>1566</v>
      </c>
      <c r="C610" s="190">
        <v>43656</v>
      </c>
      <c r="D610" s="199" t="s">
        <v>2216</v>
      </c>
      <c r="E610" s="182" t="s">
        <v>2217</v>
      </c>
      <c r="F610" s="183">
        <v>76665</v>
      </c>
      <c r="G610" s="184">
        <v>1511.9</v>
      </c>
      <c r="H610" s="181">
        <v>1920</v>
      </c>
      <c r="I610" s="181" t="s">
        <v>292</v>
      </c>
      <c r="J610" s="191">
        <v>1690.63</v>
      </c>
      <c r="K610" s="191">
        <v>1920.01</v>
      </c>
      <c r="L610" s="199" t="s">
        <v>649</v>
      </c>
      <c r="M610" s="211" t="s">
        <v>2213</v>
      </c>
      <c r="N610" s="185" t="s">
        <v>396</v>
      </c>
      <c r="O610" s="185" t="s">
        <v>309</v>
      </c>
      <c r="P610" s="185"/>
      <c r="Q610" s="185"/>
      <c r="R610" s="185" t="s">
        <v>381</v>
      </c>
      <c r="S610" s="185" t="s">
        <v>295</v>
      </c>
      <c r="T610" s="217" t="s">
        <v>379</v>
      </c>
    </row>
    <row r="611" spans="1:20" outlineLevel="1">
      <c r="A611" s="199" t="s">
        <v>268</v>
      </c>
      <c r="B611" s="181" t="s">
        <v>1566</v>
      </c>
      <c r="C611" s="190">
        <v>43672</v>
      </c>
      <c r="D611" s="199" t="s">
        <v>2218</v>
      </c>
      <c r="E611" s="182" t="s">
        <v>2219</v>
      </c>
      <c r="F611" s="183">
        <v>76665</v>
      </c>
      <c r="G611" s="184">
        <v>377.97</v>
      </c>
      <c r="H611" s="181">
        <v>480</v>
      </c>
      <c r="I611" s="181" t="s">
        <v>292</v>
      </c>
      <c r="J611" s="191">
        <v>422.66</v>
      </c>
      <c r="K611" s="191">
        <v>480</v>
      </c>
      <c r="L611" s="199" t="s">
        <v>649</v>
      </c>
      <c r="M611" s="211" t="s">
        <v>2213</v>
      </c>
      <c r="N611" s="185" t="s">
        <v>396</v>
      </c>
      <c r="O611" s="185" t="s">
        <v>309</v>
      </c>
      <c r="P611" s="185"/>
      <c r="Q611" s="185"/>
      <c r="R611" s="185" t="s">
        <v>381</v>
      </c>
      <c r="S611" s="185" t="s">
        <v>295</v>
      </c>
      <c r="T611" s="217" t="s">
        <v>379</v>
      </c>
    </row>
    <row r="612" spans="1:20">
      <c r="A612" s="212" t="s">
        <v>378</v>
      </c>
      <c r="B612" s="212"/>
      <c r="C612" s="212"/>
      <c r="D612" s="212"/>
      <c r="E612" s="213"/>
      <c r="F612" s="214"/>
      <c r="G612" s="215">
        <f>SUM(G608:G611)</f>
        <v>2094.61</v>
      </c>
      <c r="H612" s="216">
        <f>SUM(H608:H611)</f>
        <v>2660</v>
      </c>
      <c r="I612" s="212"/>
      <c r="J612" s="216">
        <f>SUM(J608:J611)</f>
        <v>2342.23</v>
      </c>
      <c r="K612" s="216">
        <f>SUM(K608:K611)</f>
        <v>2660.02</v>
      </c>
      <c r="L612" s="212"/>
      <c r="M612" s="213"/>
      <c r="N612" s="212"/>
      <c r="O612" s="212"/>
      <c r="P612" s="212"/>
      <c r="Q612" s="212"/>
      <c r="R612" s="212"/>
      <c r="S612" s="212"/>
      <c r="T612" s="212"/>
    </row>
    <row r="613" spans="1:20" outlineLevel="1">
      <c r="A613" s="199" t="s">
        <v>269</v>
      </c>
      <c r="B613" s="181" t="s">
        <v>1566</v>
      </c>
      <c r="C613" s="190">
        <v>43658</v>
      </c>
      <c r="D613" s="199" t="s">
        <v>2220</v>
      </c>
      <c r="E613" s="182" t="s">
        <v>2221</v>
      </c>
      <c r="F613" s="183">
        <v>76665</v>
      </c>
      <c r="G613" s="184">
        <v>11.6</v>
      </c>
      <c r="H613" s="181">
        <v>14.73</v>
      </c>
      <c r="I613" s="181" t="s">
        <v>292</v>
      </c>
      <c r="J613" s="191">
        <v>12.97</v>
      </c>
      <c r="K613" s="191">
        <v>14.73</v>
      </c>
      <c r="L613" s="199" t="s">
        <v>640</v>
      </c>
      <c r="M613" s="211" t="s">
        <v>1580</v>
      </c>
      <c r="N613" s="185" t="s">
        <v>396</v>
      </c>
      <c r="O613" s="185" t="s">
        <v>309</v>
      </c>
      <c r="P613" s="185"/>
      <c r="Q613" s="185"/>
      <c r="R613" s="185" t="s">
        <v>381</v>
      </c>
      <c r="S613" s="185" t="s">
        <v>295</v>
      </c>
      <c r="T613" s="217" t="s">
        <v>379</v>
      </c>
    </row>
    <row r="614" spans="1:20" outlineLevel="1">
      <c r="A614" s="199" t="s">
        <v>269</v>
      </c>
      <c r="B614" s="181" t="s">
        <v>1566</v>
      </c>
      <c r="C614" s="190">
        <v>43658</v>
      </c>
      <c r="D614" s="199" t="s">
        <v>2222</v>
      </c>
      <c r="E614" s="182" t="s">
        <v>2223</v>
      </c>
      <c r="F614" s="183">
        <v>76665</v>
      </c>
      <c r="G614" s="184">
        <v>14.05</v>
      </c>
      <c r="H614" s="181">
        <v>17.84</v>
      </c>
      <c r="I614" s="181" t="s">
        <v>292</v>
      </c>
      <c r="J614" s="191">
        <v>15.71</v>
      </c>
      <c r="K614" s="191">
        <v>17.84</v>
      </c>
      <c r="L614" s="199" t="s">
        <v>640</v>
      </c>
      <c r="M614" s="211" t="s">
        <v>1580</v>
      </c>
      <c r="N614" s="185" t="s">
        <v>396</v>
      </c>
      <c r="O614" s="185" t="s">
        <v>309</v>
      </c>
      <c r="P614" s="185"/>
      <c r="Q614" s="185"/>
      <c r="R614" s="185" t="s">
        <v>381</v>
      </c>
      <c r="S614" s="185" t="s">
        <v>295</v>
      </c>
      <c r="T614" s="217" t="s">
        <v>379</v>
      </c>
    </row>
    <row r="615" spans="1:20" outlineLevel="1">
      <c r="A615" s="199" t="s">
        <v>269</v>
      </c>
      <c r="B615" s="181" t="s">
        <v>1566</v>
      </c>
      <c r="C615" s="190">
        <v>43663</v>
      </c>
      <c r="D615" s="199" t="s">
        <v>2224</v>
      </c>
      <c r="E615" s="182" t="s">
        <v>2225</v>
      </c>
      <c r="F615" s="183">
        <v>76665</v>
      </c>
      <c r="G615" s="184">
        <v>8.0299999999999994</v>
      </c>
      <c r="H615" s="181">
        <v>10.199999999999999</v>
      </c>
      <c r="I615" s="181" t="s">
        <v>292</v>
      </c>
      <c r="J615" s="191">
        <v>8.98</v>
      </c>
      <c r="K615" s="191">
        <v>10.199999999999999</v>
      </c>
      <c r="L615" s="199" t="s">
        <v>651</v>
      </c>
      <c r="M615" s="211" t="s">
        <v>2226</v>
      </c>
      <c r="N615" s="185" t="s">
        <v>396</v>
      </c>
      <c r="O615" s="185" t="s">
        <v>309</v>
      </c>
      <c r="P615" s="185"/>
      <c r="Q615" s="185"/>
      <c r="R615" s="185" t="s">
        <v>381</v>
      </c>
      <c r="S615" s="185" t="s">
        <v>295</v>
      </c>
      <c r="T615" s="217" t="s">
        <v>379</v>
      </c>
    </row>
    <row r="616" spans="1:20" outlineLevel="1">
      <c r="A616" s="199" t="s">
        <v>269</v>
      </c>
      <c r="B616" s="181" t="s">
        <v>1566</v>
      </c>
      <c r="C616" s="190">
        <v>43663</v>
      </c>
      <c r="D616" s="199" t="s">
        <v>2224</v>
      </c>
      <c r="E616" s="182" t="s">
        <v>2227</v>
      </c>
      <c r="F616" s="183">
        <v>76665</v>
      </c>
      <c r="G616" s="184">
        <v>11.81</v>
      </c>
      <c r="H616" s="181">
        <v>15</v>
      </c>
      <c r="I616" s="181" t="s">
        <v>292</v>
      </c>
      <c r="J616" s="191">
        <v>13.21</v>
      </c>
      <c r="K616" s="191">
        <v>15</v>
      </c>
      <c r="L616" s="199" t="s">
        <v>653</v>
      </c>
      <c r="M616" s="211" t="s">
        <v>2228</v>
      </c>
      <c r="N616" s="185" t="s">
        <v>396</v>
      </c>
      <c r="O616" s="185" t="s">
        <v>309</v>
      </c>
      <c r="P616" s="185"/>
      <c r="Q616" s="185"/>
      <c r="R616" s="185" t="s">
        <v>381</v>
      </c>
      <c r="S616" s="185" t="s">
        <v>295</v>
      </c>
      <c r="T616" s="217" t="s">
        <v>379</v>
      </c>
    </row>
    <row r="617" spans="1:20" outlineLevel="1">
      <c r="A617" s="199" t="s">
        <v>269</v>
      </c>
      <c r="B617" s="181" t="s">
        <v>1566</v>
      </c>
      <c r="C617" s="190">
        <v>43672</v>
      </c>
      <c r="D617" s="199" t="s">
        <v>1721</v>
      </c>
      <c r="E617" s="182" t="s">
        <v>2229</v>
      </c>
      <c r="F617" s="183">
        <v>76665</v>
      </c>
      <c r="G617" s="184">
        <v>4.72</v>
      </c>
      <c r="H617" s="181">
        <v>6</v>
      </c>
      <c r="I617" s="181" t="s">
        <v>292</v>
      </c>
      <c r="J617" s="191">
        <v>5.28</v>
      </c>
      <c r="K617" s="191">
        <v>5.99</v>
      </c>
      <c r="L617" s="199" t="s">
        <v>655</v>
      </c>
      <c r="M617" s="211" t="s">
        <v>2230</v>
      </c>
      <c r="N617" s="185" t="s">
        <v>396</v>
      </c>
      <c r="O617" s="185" t="s">
        <v>309</v>
      </c>
      <c r="P617" s="185"/>
      <c r="Q617" s="185"/>
      <c r="R617" s="185" t="s">
        <v>381</v>
      </c>
      <c r="S617" s="185" t="s">
        <v>295</v>
      </c>
      <c r="T617" s="217" t="s">
        <v>379</v>
      </c>
    </row>
    <row r="618" spans="1:20" outlineLevel="1">
      <c r="A618" s="199" t="s">
        <v>269</v>
      </c>
      <c r="B618" s="181" t="s">
        <v>1566</v>
      </c>
      <c r="C618" s="190">
        <v>43663</v>
      </c>
      <c r="D618" s="199" t="s">
        <v>2224</v>
      </c>
      <c r="E618" s="182" t="s">
        <v>2231</v>
      </c>
      <c r="F618" s="183">
        <v>76665</v>
      </c>
      <c r="G618" s="184">
        <v>35.340000000000003</v>
      </c>
      <c r="H618" s="181">
        <v>44.88</v>
      </c>
      <c r="I618" s="181" t="s">
        <v>292</v>
      </c>
      <c r="J618" s="191">
        <v>39.520000000000003</v>
      </c>
      <c r="K618" s="191">
        <v>44.88</v>
      </c>
      <c r="L618" s="199" t="s">
        <v>659</v>
      </c>
      <c r="M618" s="211" t="s">
        <v>2232</v>
      </c>
      <c r="N618" s="185" t="s">
        <v>396</v>
      </c>
      <c r="O618" s="185" t="s">
        <v>309</v>
      </c>
      <c r="P618" s="185"/>
      <c r="Q618" s="185"/>
      <c r="R618" s="185" t="s">
        <v>381</v>
      </c>
      <c r="S618" s="185" t="s">
        <v>295</v>
      </c>
      <c r="T618" s="217" t="s">
        <v>379</v>
      </c>
    </row>
    <row r="619" spans="1:20" outlineLevel="1">
      <c r="A619" s="199" t="s">
        <v>269</v>
      </c>
      <c r="B619" s="181" t="s">
        <v>1575</v>
      </c>
      <c r="C619" s="190">
        <v>43682</v>
      </c>
      <c r="D619" s="199" t="s">
        <v>2233</v>
      </c>
      <c r="E619" s="182" t="s">
        <v>2234</v>
      </c>
      <c r="F619" s="183">
        <v>76932</v>
      </c>
      <c r="G619" s="184">
        <v>58.97</v>
      </c>
      <c r="H619" s="181">
        <v>72</v>
      </c>
      <c r="I619" s="181" t="s">
        <v>292</v>
      </c>
      <c r="J619" s="191">
        <v>64.3</v>
      </c>
      <c r="K619" s="191">
        <v>72</v>
      </c>
      <c r="L619" s="199" t="s">
        <v>640</v>
      </c>
      <c r="M619" s="211" t="s">
        <v>1580</v>
      </c>
      <c r="N619" s="185" t="s">
        <v>396</v>
      </c>
      <c r="O619" s="185" t="s">
        <v>309</v>
      </c>
      <c r="P619" s="185"/>
      <c r="Q619" s="185"/>
      <c r="R619" s="185" t="s">
        <v>381</v>
      </c>
      <c r="S619" s="185" t="s">
        <v>295</v>
      </c>
      <c r="T619" s="217" t="s">
        <v>379</v>
      </c>
    </row>
    <row r="620" spans="1:20" outlineLevel="1">
      <c r="A620" s="199" t="s">
        <v>269</v>
      </c>
      <c r="B620" s="181" t="s">
        <v>1575</v>
      </c>
      <c r="C620" s="190">
        <v>43690</v>
      </c>
      <c r="D620" s="199" t="s">
        <v>1576</v>
      </c>
      <c r="E620" s="182" t="s">
        <v>2235</v>
      </c>
      <c r="F620" s="183">
        <v>76932</v>
      </c>
      <c r="G620" s="184">
        <v>7.37</v>
      </c>
      <c r="H620" s="181">
        <v>9</v>
      </c>
      <c r="I620" s="181" t="s">
        <v>292</v>
      </c>
      <c r="J620" s="191">
        <v>8.0399999999999991</v>
      </c>
      <c r="K620" s="191">
        <v>9</v>
      </c>
      <c r="L620" s="199" t="s">
        <v>640</v>
      </c>
      <c r="M620" s="211" t="s">
        <v>1580</v>
      </c>
      <c r="N620" s="185" t="s">
        <v>396</v>
      </c>
      <c r="O620" s="185" t="s">
        <v>309</v>
      </c>
      <c r="P620" s="185"/>
      <c r="Q620" s="185"/>
      <c r="R620" s="185" t="s">
        <v>381</v>
      </c>
      <c r="S620" s="185" t="s">
        <v>295</v>
      </c>
      <c r="T620" s="217" t="s">
        <v>379</v>
      </c>
    </row>
    <row r="621" spans="1:20" outlineLevel="1">
      <c r="A621" s="199" t="s">
        <v>269</v>
      </c>
      <c r="B621" s="181" t="s">
        <v>1575</v>
      </c>
      <c r="C621" s="190">
        <v>43707</v>
      </c>
      <c r="D621" s="199" t="s">
        <v>2236</v>
      </c>
      <c r="E621" s="182" t="s">
        <v>2237</v>
      </c>
      <c r="F621" s="183">
        <v>76932</v>
      </c>
      <c r="G621" s="184">
        <v>58.93</v>
      </c>
      <c r="H621" s="181">
        <v>72</v>
      </c>
      <c r="I621" s="181" t="s">
        <v>292</v>
      </c>
      <c r="J621" s="191">
        <v>64.3</v>
      </c>
      <c r="K621" s="191">
        <v>72</v>
      </c>
      <c r="L621" s="199" t="s">
        <v>640</v>
      </c>
      <c r="M621" s="211" t="s">
        <v>1580</v>
      </c>
      <c r="N621" s="185" t="s">
        <v>396</v>
      </c>
      <c r="O621" s="185" t="s">
        <v>309</v>
      </c>
      <c r="P621" s="185"/>
      <c r="Q621" s="185"/>
      <c r="R621" s="185" t="s">
        <v>381</v>
      </c>
      <c r="S621" s="185" t="s">
        <v>295</v>
      </c>
      <c r="T621" s="217" t="s">
        <v>379</v>
      </c>
    </row>
    <row r="622" spans="1:20" outlineLevel="1">
      <c r="A622" s="199" t="s">
        <v>269</v>
      </c>
      <c r="B622" s="181" t="s">
        <v>1575</v>
      </c>
      <c r="C622" s="190">
        <v>43689</v>
      </c>
      <c r="D622" s="199" t="s">
        <v>1576</v>
      </c>
      <c r="E622" s="182" t="s">
        <v>2238</v>
      </c>
      <c r="F622" s="183">
        <v>76932</v>
      </c>
      <c r="G622" s="184">
        <v>22.92</v>
      </c>
      <c r="H622" s="181">
        <v>28</v>
      </c>
      <c r="I622" s="181" t="s">
        <v>292</v>
      </c>
      <c r="J622" s="191">
        <v>25</v>
      </c>
      <c r="K622" s="191">
        <v>28</v>
      </c>
      <c r="L622" s="199" t="s">
        <v>653</v>
      </c>
      <c r="M622" s="211" t="s">
        <v>2228</v>
      </c>
      <c r="N622" s="185" t="s">
        <v>396</v>
      </c>
      <c r="O622" s="185" t="s">
        <v>309</v>
      </c>
      <c r="P622" s="185"/>
      <c r="Q622" s="185"/>
      <c r="R622" s="185" t="s">
        <v>381</v>
      </c>
      <c r="S622" s="185" t="s">
        <v>295</v>
      </c>
      <c r="T622" s="217" t="s">
        <v>379</v>
      </c>
    </row>
    <row r="623" spans="1:20" outlineLevel="1">
      <c r="A623" s="199" t="s">
        <v>269</v>
      </c>
      <c r="B623" s="181" t="s">
        <v>1567</v>
      </c>
      <c r="C623" s="190">
        <v>43720</v>
      </c>
      <c r="D623" s="199" t="s">
        <v>1581</v>
      </c>
      <c r="E623" s="182" t="s">
        <v>2239</v>
      </c>
      <c r="F623" s="183">
        <v>77221</v>
      </c>
      <c r="G623" s="184">
        <v>1.61</v>
      </c>
      <c r="H623" s="181">
        <v>1.96</v>
      </c>
      <c r="I623" s="181" t="s">
        <v>292</v>
      </c>
      <c r="J623" s="191">
        <v>1.78</v>
      </c>
      <c r="K623" s="191">
        <v>1.96</v>
      </c>
      <c r="L623" s="199" t="s">
        <v>640</v>
      </c>
      <c r="M623" s="211" t="s">
        <v>1580</v>
      </c>
      <c r="N623" s="185" t="s">
        <v>396</v>
      </c>
      <c r="O623" s="185" t="s">
        <v>309</v>
      </c>
      <c r="P623" s="185"/>
      <c r="Q623" s="185"/>
      <c r="R623" s="185" t="s">
        <v>381</v>
      </c>
      <c r="S623" s="185" t="s">
        <v>295</v>
      </c>
      <c r="T623" s="217" t="s">
        <v>379</v>
      </c>
    </row>
    <row r="624" spans="1:20" outlineLevel="1">
      <c r="A624" s="199" t="s">
        <v>269</v>
      </c>
      <c r="B624" s="181" t="s">
        <v>1567</v>
      </c>
      <c r="C624" s="190">
        <v>43720</v>
      </c>
      <c r="D624" s="199" t="s">
        <v>1581</v>
      </c>
      <c r="E624" s="182" t="s">
        <v>2240</v>
      </c>
      <c r="F624" s="183">
        <v>77221</v>
      </c>
      <c r="G624" s="184">
        <v>11.68</v>
      </c>
      <c r="H624" s="181">
        <v>14.2</v>
      </c>
      <c r="I624" s="181" t="s">
        <v>292</v>
      </c>
      <c r="J624" s="191">
        <v>12.9</v>
      </c>
      <c r="K624" s="191">
        <v>14.2</v>
      </c>
      <c r="L624" s="199" t="s">
        <v>640</v>
      </c>
      <c r="M624" s="211" t="s">
        <v>1580</v>
      </c>
      <c r="N624" s="185" t="s">
        <v>396</v>
      </c>
      <c r="O624" s="185" t="s">
        <v>309</v>
      </c>
      <c r="P624" s="185"/>
      <c r="Q624" s="185"/>
      <c r="R624" s="185" t="s">
        <v>381</v>
      </c>
      <c r="S624" s="185" t="s">
        <v>295</v>
      </c>
      <c r="T624" s="217" t="s">
        <v>379</v>
      </c>
    </row>
    <row r="625" spans="1:20" outlineLevel="1">
      <c r="A625" s="199" t="s">
        <v>269</v>
      </c>
      <c r="B625" s="181" t="s">
        <v>1567</v>
      </c>
      <c r="C625" s="190">
        <v>43720</v>
      </c>
      <c r="D625" s="199" t="s">
        <v>1583</v>
      </c>
      <c r="E625" s="182" t="s">
        <v>2241</v>
      </c>
      <c r="F625" s="183">
        <v>77221</v>
      </c>
      <c r="G625" s="184">
        <v>14.66</v>
      </c>
      <c r="H625" s="181">
        <v>17.829999999999998</v>
      </c>
      <c r="I625" s="181" t="s">
        <v>292</v>
      </c>
      <c r="J625" s="191">
        <v>16.190000000000001</v>
      </c>
      <c r="K625" s="191">
        <v>17.829999999999998</v>
      </c>
      <c r="L625" s="199" t="s">
        <v>640</v>
      </c>
      <c r="M625" s="211" t="s">
        <v>1580</v>
      </c>
      <c r="N625" s="185" t="s">
        <v>396</v>
      </c>
      <c r="O625" s="185" t="s">
        <v>309</v>
      </c>
      <c r="P625" s="185"/>
      <c r="Q625" s="185"/>
      <c r="R625" s="185" t="s">
        <v>381</v>
      </c>
      <c r="S625" s="185" t="s">
        <v>295</v>
      </c>
      <c r="T625" s="217" t="s">
        <v>379</v>
      </c>
    </row>
    <row r="626" spans="1:20" outlineLevel="1">
      <c r="A626" s="199" t="s">
        <v>269</v>
      </c>
      <c r="B626" s="181" t="s">
        <v>1567</v>
      </c>
      <c r="C626" s="190">
        <v>43720</v>
      </c>
      <c r="D626" s="199" t="s">
        <v>1583</v>
      </c>
      <c r="E626" s="182" t="s">
        <v>2242</v>
      </c>
      <c r="F626" s="183">
        <v>77221</v>
      </c>
      <c r="G626" s="184">
        <v>1.61</v>
      </c>
      <c r="H626" s="181">
        <v>1.96</v>
      </c>
      <c r="I626" s="181" t="s">
        <v>292</v>
      </c>
      <c r="J626" s="191">
        <v>1.78</v>
      </c>
      <c r="K626" s="191">
        <v>1.96</v>
      </c>
      <c r="L626" s="199" t="s">
        <v>640</v>
      </c>
      <c r="M626" s="211" t="s">
        <v>1580</v>
      </c>
      <c r="N626" s="185" t="s">
        <v>396</v>
      </c>
      <c r="O626" s="185" t="s">
        <v>309</v>
      </c>
      <c r="P626" s="185"/>
      <c r="Q626" s="185"/>
      <c r="R626" s="185" t="s">
        <v>381</v>
      </c>
      <c r="S626" s="185" t="s">
        <v>295</v>
      </c>
      <c r="T626" s="217" t="s">
        <v>379</v>
      </c>
    </row>
    <row r="627" spans="1:20" outlineLevel="1">
      <c r="A627" s="199" t="s">
        <v>269</v>
      </c>
      <c r="B627" s="181" t="s">
        <v>1567</v>
      </c>
      <c r="C627" s="190">
        <v>43726</v>
      </c>
      <c r="D627" s="199" t="s">
        <v>2068</v>
      </c>
      <c r="E627" s="182" t="s">
        <v>2243</v>
      </c>
      <c r="F627" s="183">
        <v>77221</v>
      </c>
      <c r="G627" s="184">
        <v>5.18</v>
      </c>
      <c r="H627" s="181">
        <v>6.3</v>
      </c>
      <c r="I627" s="181" t="s">
        <v>292</v>
      </c>
      <c r="J627" s="191">
        <v>5.72</v>
      </c>
      <c r="K627" s="191">
        <v>6.3</v>
      </c>
      <c r="L627" s="199" t="s">
        <v>651</v>
      </c>
      <c r="M627" s="211" t="s">
        <v>2226</v>
      </c>
      <c r="N627" s="185" t="s">
        <v>396</v>
      </c>
      <c r="O627" s="185" t="s">
        <v>309</v>
      </c>
      <c r="P627" s="185"/>
      <c r="Q627" s="185"/>
      <c r="R627" s="185" t="s">
        <v>381</v>
      </c>
      <c r="S627" s="185" t="s">
        <v>295</v>
      </c>
      <c r="T627" s="217" t="s">
        <v>379</v>
      </c>
    </row>
    <row r="628" spans="1:20" outlineLevel="1">
      <c r="A628" s="199" t="s">
        <v>269</v>
      </c>
      <c r="B628" s="181" t="s">
        <v>1567</v>
      </c>
      <c r="C628" s="190">
        <v>43726</v>
      </c>
      <c r="D628" s="199" t="s">
        <v>2068</v>
      </c>
      <c r="E628" s="182" t="s">
        <v>2244</v>
      </c>
      <c r="F628" s="183">
        <v>77221</v>
      </c>
      <c r="G628" s="184">
        <v>14.97</v>
      </c>
      <c r="H628" s="181">
        <v>18.21</v>
      </c>
      <c r="I628" s="181" t="s">
        <v>292</v>
      </c>
      <c r="J628" s="191">
        <v>16.54</v>
      </c>
      <c r="K628" s="191">
        <v>18.21</v>
      </c>
      <c r="L628" s="199" t="s">
        <v>653</v>
      </c>
      <c r="M628" s="211" t="s">
        <v>2228</v>
      </c>
      <c r="N628" s="185" t="s">
        <v>396</v>
      </c>
      <c r="O628" s="185" t="s">
        <v>309</v>
      </c>
      <c r="P628" s="185"/>
      <c r="Q628" s="185"/>
      <c r="R628" s="185" t="s">
        <v>381</v>
      </c>
      <c r="S628" s="185" t="s">
        <v>295</v>
      </c>
      <c r="T628" s="217" t="s">
        <v>379</v>
      </c>
    </row>
    <row r="629" spans="1:20" outlineLevel="1">
      <c r="A629" s="199" t="s">
        <v>269</v>
      </c>
      <c r="B629" s="181" t="s">
        <v>1567</v>
      </c>
      <c r="C629" s="190">
        <v>43732</v>
      </c>
      <c r="D629" s="199" t="s">
        <v>2245</v>
      </c>
      <c r="E629" s="182" t="s">
        <v>2246</v>
      </c>
      <c r="F629" s="183">
        <v>77221</v>
      </c>
      <c r="G629" s="184">
        <v>106.89</v>
      </c>
      <c r="H629" s="181">
        <v>130</v>
      </c>
      <c r="I629" s="181" t="s">
        <v>292</v>
      </c>
      <c r="J629" s="191">
        <v>118.07</v>
      </c>
      <c r="K629" s="191">
        <v>130</v>
      </c>
      <c r="L629" s="199" t="s">
        <v>2247</v>
      </c>
      <c r="M629" s="211" t="s">
        <v>2248</v>
      </c>
      <c r="N629" s="185" t="s">
        <v>396</v>
      </c>
      <c r="O629" s="185" t="s">
        <v>309</v>
      </c>
      <c r="P629" s="185"/>
      <c r="Q629" s="185"/>
      <c r="R629" s="185" t="s">
        <v>381</v>
      </c>
      <c r="S629" s="185" t="s">
        <v>295</v>
      </c>
      <c r="T629" s="217" t="s">
        <v>379</v>
      </c>
    </row>
    <row r="630" spans="1:20">
      <c r="A630" s="212" t="s">
        <v>378</v>
      </c>
      <c r="B630" s="212"/>
      <c r="C630" s="212"/>
      <c r="D630" s="212"/>
      <c r="E630" s="213"/>
      <c r="F630" s="214"/>
      <c r="G630" s="215">
        <f>SUM(G613:G629)</f>
        <v>390.34000000000009</v>
      </c>
      <c r="H630" s="216">
        <f>SUM(H613:H629)</f>
        <v>480.1099999999999</v>
      </c>
      <c r="I630" s="212"/>
      <c r="J630" s="216">
        <f>SUM(J613:J629)</f>
        <v>430.28999999999996</v>
      </c>
      <c r="K630" s="216">
        <f>SUM(K613:K629)</f>
        <v>480.09999999999991</v>
      </c>
      <c r="L630" s="212"/>
      <c r="M630" s="213"/>
      <c r="N630" s="212"/>
      <c r="O630" s="212"/>
      <c r="P630" s="212"/>
      <c r="Q630" s="212"/>
      <c r="R630" s="212"/>
      <c r="S630" s="212"/>
      <c r="T630" s="212"/>
    </row>
    <row r="631" spans="1:20" outlineLevel="1">
      <c r="A631" s="199" t="s">
        <v>270</v>
      </c>
      <c r="B631" s="181" t="s">
        <v>1566</v>
      </c>
      <c r="C631" s="190">
        <v>43665</v>
      </c>
      <c r="D631" s="199" t="s">
        <v>2249</v>
      </c>
      <c r="E631" s="182" t="s">
        <v>2250</v>
      </c>
      <c r="F631" s="183">
        <v>76665</v>
      </c>
      <c r="G631" s="184">
        <v>20.079999999999998</v>
      </c>
      <c r="H631" s="181">
        <v>25.5</v>
      </c>
      <c r="I631" s="181" t="s">
        <v>292</v>
      </c>
      <c r="J631" s="191">
        <v>22.45</v>
      </c>
      <c r="K631" s="191">
        <v>25.5</v>
      </c>
      <c r="L631" s="199" t="s">
        <v>595</v>
      </c>
      <c r="M631" s="211" t="s">
        <v>1679</v>
      </c>
      <c r="N631" s="185" t="s">
        <v>396</v>
      </c>
      <c r="O631" s="185" t="s">
        <v>309</v>
      </c>
      <c r="P631" s="185" t="s">
        <v>445</v>
      </c>
      <c r="Q631" s="185"/>
      <c r="R631" s="185" t="s">
        <v>381</v>
      </c>
      <c r="S631" s="185" t="s">
        <v>295</v>
      </c>
      <c r="T631" s="217" t="s">
        <v>379</v>
      </c>
    </row>
    <row r="632" spans="1:20" outlineLevel="1">
      <c r="A632" s="199" t="s">
        <v>270</v>
      </c>
      <c r="B632" s="181" t="s">
        <v>1566</v>
      </c>
      <c r="C632" s="190">
        <v>43665</v>
      </c>
      <c r="D632" s="199" t="s">
        <v>2249</v>
      </c>
      <c r="E632" s="182" t="s">
        <v>2251</v>
      </c>
      <c r="F632" s="183">
        <v>76665</v>
      </c>
      <c r="G632" s="184">
        <v>23.62</v>
      </c>
      <c r="H632" s="181">
        <v>30</v>
      </c>
      <c r="I632" s="181" t="s">
        <v>292</v>
      </c>
      <c r="J632" s="191">
        <v>26.42</v>
      </c>
      <c r="K632" s="191">
        <v>30</v>
      </c>
      <c r="L632" s="199" t="s">
        <v>1072</v>
      </c>
      <c r="M632" s="211" t="s">
        <v>2116</v>
      </c>
      <c r="N632" s="185" t="s">
        <v>396</v>
      </c>
      <c r="O632" s="185" t="s">
        <v>309</v>
      </c>
      <c r="P632" s="185"/>
      <c r="Q632" s="185"/>
      <c r="R632" s="185" t="s">
        <v>381</v>
      </c>
      <c r="S632" s="185" t="s">
        <v>295</v>
      </c>
      <c r="T632" s="217" t="s">
        <v>379</v>
      </c>
    </row>
    <row r="633" spans="1:20" outlineLevel="1">
      <c r="A633" s="199" t="s">
        <v>270</v>
      </c>
      <c r="B633" s="181" t="s">
        <v>1575</v>
      </c>
      <c r="C633" s="190">
        <v>43696</v>
      </c>
      <c r="D633" s="199" t="s">
        <v>2252</v>
      </c>
      <c r="E633" s="182" t="s">
        <v>2253</v>
      </c>
      <c r="F633" s="183">
        <v>76932</v>
      </c>
      <c r="G633" s="184">
        <v>104.35</v>
      </c>
      <c r="H633" s="181">
        <v>127.5</v>
      </c>
      <c r="I633" s="181" t="s">
        <v>292</v>
      </c>
      <c r="J633" s="191">
        <v>113.86</v>
      </c>
      <c r="K633" s="191">
        <v>127.49</v>
      </c>
      <c r="L633" s="199" t="s">
        <v>595</v>
      </c>
      <c r="M633" s="211" t="s">
        <v>1679</v>
      </c>
      <c r="N633" s="185" t="s">
        <v>396</v>
      </c>
      <c r="O633" s="185" t="s">
        <v>309</v>
      </c>
      <c r="P633" s="185" t="s">
        <v>445</v>
      </c>
      <c r="Q633" s="185"/>
      <c r="R633" s="185" t="s">
        <v>381</v>
      </c>
      <c r="S633" s="185" t="s">
        <v>295</v>
      </c>
      <c r="T633" s="217" t="s">
        <v>379</v>
      </c>
    </row>
    <row r="634" spans="1:20">
      <c r="A634" s="212" t="s">
        <v>378</v>
      </c>
      <c r="B634" s="212"/>
      <c r="C634" s="212"/>
      <c r="D634" s="212"/>
      <c r="E634" s="213"/>
      <c r="F634" s="214"/>
      <c r="G634" s="215">
        <f>SUM(G631:G633)</f>
        <v>148.05000000000001</v>
      </c>
      <c r="H634" s="216">
        <f>SUM(H631:H633)</f>
        <v>183</v>
      </c>
      <c r="I634" s="212"/>
      <c r="J634" s="216">
        <f>SUM(J631:J633)</f>
        <v>162.73000000000002</v>
      </c>
      <c r="K634" s="216">
        <f>SUM(K631:K633)</f>
        <v>182.99</v>
      </c>
      <c r="L634" s="212"/>
      <c r="M634" s="213"/>
      <c r="N634" s="212"/>
      <c r="O634" s="212"/>
      <c r="P634" s="212"/>
      <c r="Q634" s="212"/>
      <c r="R634" s="212"/>
      <c r="S634" s="212"/>
      <c r="T634" s="212"/>
    </row>
    <row r="635" spans="1:20" outlineLevel="1">
      <c r="A635" s="199" t="s">
        <v>271</v>
      </c>
      <c r="B635" s="181" t="s">
        <v>1566</v>
      </c>
      <c r="C635" s="190">
        <v>43655</v>
      </c>
      <c r="D635" s="199" t="s">
        <v>1778</v>
      </c>
      <c r="E635" s="182" t="s">
        <v>2254</v>
      </c>
      <c r="F635" s="183">
        <v>76665</v>
      </c>
      <c r="G635" s="184">
        <v>3.54</v>
      </c>
      <c r="H635" s="181">
        <v>4.5</v>
      </c>
      <c r="I635" s="181" t="s">
        <v>292</v>
      </c>
      <c r="J635" s="191">
        <v>3.96</v>
      </c>
      <c r="K635" s="191">
        <v>4.5</v>
      </c>
      <c r="L635" s="199" t="s">
        <v>637</v>
      </c>
      <c r="M635" s="211" t="s">
        <v>2255</v>
      </c>
      <c r="N635" s="185" t="s">
        <v>396</v>
      </c>
      <c r="O635" s="185" t="s">
        <v>309</v>
      </c>
      <c r="P635" s="185"/>
      <c r="Q635" s="185"/>
      <c r="R635" s="185" t="s">
        <v>381</v>
      </c>
      <c r="S635" s="185" t="s">
        <v>295</v>
      </c>
      <c r="T635" s="217" t="s">
        <v>379</v>
      </c>
    </row>
    <row r="636" spans="1:20" outlineLevel="1">
      <c r="A636" s="199" t="s">
        <v>271</v>
      </c>
      <c r="B636" s="181" t="s">
        <v>1566</v>
      </c>
      <c r="C636" s="190">
        <v>43655</v>
      </c>
      <c r="D636" s="199" t="s">
        <v>1778</v>
      </c>
      <c r="E636" s="182" t="s">
        <v>2256</v>
      </c>
      <c r="F636" s="183">
        <v>76665</v>
      </c>
      <c r="G636" s="184">
        <v>6.3</v>
      </c>
      <c r="H636" s="181">
        <v>8</v>
      </c>
      <c r="I636" s="181" t="s">
        <v>292</v>
      </c>
      <c r="J636" s="191">
        <v>7.04</v>
      </c>
      <c r="K636" s="191">
        <v>8</v>
      </c>
      <c r="L636" s="199" t="s">
        <v>637</v>
      </c>
      <c r="M636" s="211" t="s">
        <v>2255</v>
      </c>
      <c r="N636" s="185" t="s">
        <v>396</v>
      </c>
      <c r="O636" s="185" t="s">
        <v>309</v>
      </c>
      <c r="P636" s="185"/>
      <c r="Q636" s="185"/>
      <c r="R636" s="185" t="s">
        <v>381</v>
      </c>
      <c r="S636" s="185" t="s">
        <v>295</v>
      </c>
      <c r="T636" s="217" t="s">
        <v>379</v>
      </c>
    </row>
    <row r="637" spans="1:20" outlineLevel="1">
      <c r="A637" s="199" t="s">
        <v>271</v>
      </c>
      <c r="B637" s="181" t="s">
        <v>1566</v>
      </c>
      <c r="C637" s="190">
        <v>43662</v>
      </c>
      <c r="D637" s="199" t="s">
        <v>2224</v>
      </c>
      <c r="E637" s="182" t="s">
        <v>2257</v>
      </c>
      <c r="F637" s="183">
        <v>76665</v>
      </c>
      <c r="G637" s="184">
        <v>2.83</v>
      </c>
      <c r="H637" s="181">
        <v>3.6</v>
      </c>
      <c r="I637" s="181" t="s">
        <v>292</v>
      </c>
      <c r="J637" s="191">
        <v>3.17</v>
      </c>
      <c r="K637" s="191">
        <v>3.59</v>
      </c>
      <c r="L637" s="199" t="s">
        <v>637</v>
      </c>
      <c r="M637" s="211" t="s">
        <v>2255</v>
      </c>
      <c r="N637" s="185" t="s">
        <v>396</v>
      </c>
      <c r="O637" s="185" t="s">
        <v>309</v>
      </c>
      <c r="P637" s="185"/>
      <c r="Q637" s="185"/>
      <c r="R637" s="185" t="s">
        <v>381</v>
      </c>
      <c r="S637" s="185" t="s">
        <v>295</v>
      </c>
      <c r="T637" s="217" t="s">
        <v>379</v>
      </c>
    </row>
    <row r="638" spans="1:20" outlineLevel="1">
      <c r="A638" s="199" t="s">
        <v>271</v>
      </c>
      <c r="B638" s="181" t="s">
        <v>1566</v>
      </c>
      <c r="C638" s="190">
        <v>43663</v>
      </c>
      <c r="D638" s="199" t="s">
        <v>2224</v>
      </c>
      <c r="E638" s="182" t="s">
        <v>2258</v>
      </c>
      <c r="F638" s="183">
        <v>76665</v>
      </c>
      <c r="G638" s="184">
        <v>20.79</v>
      </c>
      <c r="H638" s="181">
        <v>26.4</v>
      </c>
      <c r="I638" s="181" t="s">
        <v>292</v>
      </c>
      <c r="J638" s="191">
        <v>23.25</v>
      </c>
      <c r="K638" s="191">
        <v>26.4</v>
      </c>
      <c r="L638" s="199" t="s">
        <v>637</v>
      </c>
      <c r="M638" s="211" t="s">
        <v>2255</v>
      </c>
      <c r="N638" s="185" t="s">
        <v>396</v>
      </c>
      <c r="O638" s="185" t="s">
        <v>309</v>
      </c>
      <c r="P638" s="185"/>
      <c r="Q638" s="185"/>
      <c r="R638" s="185" t="s">
        <v>381</v>
      </c>
      <c r="S638" s="185" t="s">
        <v>295</v>
      </c>
      <c r="T638" s="217" t="s">
        <v>379</v>
      </c>
    </row>
    <row r="639" spans="1:20" outlineLevel="1">
      <c r="A639" s="199" t="s">
        <v>271</v>
      </c>
      <c r="B639" s="181" t="s">
        <v>1566</v>
      </c>
      <c r="C639" s="190">
        <v>43664</v>
      </c>
      <c r="D639" s="199" t="s">
        <v>2224</v>
      </c>
      <c r="E639" s="182" t="s">
        <v>2259</v>
      </c>
      <c r="F639" s="183">
        <v>76665</v>
      </c>
      <c r="G639" s="184">
        <v>3.15</v>
      </c>
      <c r="H639" s="181">
        <v>4</v>
      </c>
      <c r="I639" s="181" t="s">
        <v>292</v>
      </c>
      <c r="J639" s="191">
        <v>3.52</v>
      </c>
      <c r="K639" s="191">
        <v>4</v>
      </c>
      <c r="L639" s="199" t="s">
        <v>637</v>
      </c>
      <c r="M639" s="211" t="s">
        <v>2255</v>
      </c>
      <c r="N639" s="185" t="s">
        <v>396</v>
      </c>
      <c r="O639" s="185" t="s">
        <v>309</v>
      </c>
      <c r="P639" s="185"/>
      <c r="Q639" s="185"/>
      <c r="R639" s="185" t="s">
        <v>381</v>
      </c>
      <c r="S639" s="185" t="s">
        <v>295</v>
      </c>
      <c r="T639" s="217" t="s">
        <v>379</v>
      </c>
    </row>
    <row r="640" spans="1:20" outlineLevel="1">
      <c r="A640" s="199" t="s">
        <v>271</v>
      </c>
      <c r="B640" s="181" t="s">
        <v>1566</v>
      </c>
      <c r="C640" s="190">
        <v>43669</v>
      </c>
      <c r="D640" s="199" t="s">
        <v>2260</v>
      </c>
      <c r="E640" s="182" t="s">
        <v>2261</v>
      </c>
      <c r="F640" s="183">
        <v>76665</v>
      </c>
      <c r="G640" s="184">
        <v>18.11</v>
      </c>
      <c r="H640" s="181">
        <v>23</v>
      </c>
      <c r="I640" s="181" t="s">
        <v>292</v>
      </c>
      <c r="J640" s="191">
        <v>20.25</v>
      </c>
      <c r="K640" s="191">
        <v>23</v>
      </c>
      <c r="L640" s="199" t="s">
        <v>637</v>
      </c>
      <c r="M640" s="211" t="s">
        <v>2255</v>
      </c>
      <c r="N640" s="185" t="s">
        <v>396</v>
      </c>
      <c r="O640" s="185" t="s">
        <v>309</v>
      </c>
      <c r="P640" s="185"/>
      <c r="Q640" s="185"/>
      <c r="R640" s="185" t="s">
        <v>381</v>
      </c>
      <c r="S640" s="185" t="s">
        <v>295</v>
      </c>
      <c r="T640" s="217" t="s">
        <v>379</v>
      </c>
    </row>
    <row r="641" spans="1:20" outlineLevel="1">
      <c r="A641" s="199" t="s">
        <v>271</v>
      </c>
      <c r="B641" s="181" t="s">
        <v>1566</v>
      </c>
      <c r="C641" s="190">
        <v>43670</v>
      </c>
      <c r="D641" s="199" t="s">
        <v>2260</v>
      </c>
      <c r="E641" s="182" t="s">
        <v>2262</v>
      </c>
      <c r="F641" s="183">
        <v>76665</v>
      </c>
      <c r="G641" s="184">
        <v>157.49</v>
      </c>
      <c r="H641" s="181">
        <v>200</v>
      </c>
      <c r="I641" s="181" t="s">
        <v>292</v>
      </c>
      <c r="J641" s="191">
        <v>176.11</v>
      </c>
      <c r="K641" s="191">
        <v>200</v>
      </c>
      <c r="L641" s="199" t="s">
        <v>637</v>
      </c>
      <c r="M641" s="211" t="s">
        <v>2255</v>
      </c>
      <c r="N641" s="185" t="s">
        <v>396</v>
      </c>
      <c r="O641" s="185" t="s">
        <v>309</v>
      </c>
      <c r="P641" s="185"/>
      <c r="Q641" s="185"/>
      <c r="R641" s="185" t="s">
        <v>381</v>
      </c>
      <c r="S641" s="185" t="s">
        <v>295</v>
      </c>
      <c r="T641" s="217" t="s">
        <v>379</v>
      </c>
    </row>
    <row r="642" spans="1:20" outlineLevel="1">
      <c r="A642" s="199" t="s">
        <v>271</v>
      </c>
      <c r="B642" s="181" t="s">
        <v>1566</v>
      </c>
      <c r="C642" s="190">
        <v>43677</v>
      </c>
      <c r="D642" s="199" t="s">
        <v>1721</v>
      </c>
      <c r="E642" s="182" t="s">
        <v>2263</v>
      </c>
      <c r="F642" s="183">
        <v>76665</v>
      </c>
      <c r="G642" s="184">
        <v>3.15</v>
      </c>
      <c r="H642" s="181">
        <v>4</v>
      </c>
      <c r="I642" s="181" t="s">
        <v>292</v>
      </c>
      <c r="J642" s="191">
        <v>3.52</v>
      </c>
      <c r="K642" s="191">
        <v>4</v>
      </c>
      <c r="L642" s="199" t="s">
        <v>637</v>
      </c>
      <c r="M642" s="211" t="s">
        <v>2255</v>
      </c>
      <c r="N642" s="185" t="s">
        <v>396</v>
      </c>
      <c r="O642" s="185" t="s">
        <v>309</v>
      </c>
      <c r="P642" s="185"/>
      <c r="Q642" s="185"/>
      <c r="R642" s="185" t="s">
        <v>381</v>
      </c>
      <c r="S642" s="185" t="s">
        <v>295</v>
      </c>
      <c r="T642" s="217" t="s">
        <v>379</v>
      </c>
    </row>
    <row r="643" spans="1:20" outlineLevel="1">
      <c r="A643" s="199" t="s">
        <v>271</v>
      </c>
      <c r="B643" s="181" t="s">
        <v>1575</v>
      </c>
      <c r="C643" s="190">
        <v>43685</v>
      </c>
      <c r="D643" s="199" t="s">
        <v>1576</v>
      </c>
      <c r="E643" s="182" t="s">
        <v>2264</v>
      </c>
      <c r="F643" s="183">
        <v>76932</v>
      </c>
      <c r="G643" s="184">
        <v>6.55</v>
      </c>
      <c r="H643" s="181">
        <v>8</v>
      </c>
      <c r="I643" s="181" t="s">
        <v>292</v>
      </c>
      <c r="J643" s="191">
        <v>7.14</v>
      </c>
      <c r="K643" s="191">
        <v>8</v>
      </c>
      <c r="L643" s="199" t="s">
        <v>637</v>
      </c>
      <c r="M643" s="211" t="s">
        <v>2255</v>
      </c>
      <c r="N643" s="185" t="s">
        <v>396</v>
      </c>
      <c r="O643" s="185" t="s">
        <v>309</v>
      </c>
      <c r="P643" s="185"/>
      <c r="Q643" s="185"/>
      <c r="R643" s="185" t="s">
        <v>381</v>
      </c>
      <c r="S643" s="185" t="s">
        <v>295</v>
      </c>
      <c r="T643" s="217" t="s">
        <v>379</v>
      </c>
    </row>
    <row r="644" spans="1:20" outlineLevel="1">
      <c r="A644" s="199" t="s">
        <v>271</v>
      </c>
      <c r="B644" s="181" t="s">
        <v>1575</v>
      </c>
      <c r="C644" s="190">
        <v>43689</v>
      </c>
      <c r="D644" s="199" t="s">
        <v>1576</v>
      </c>
      <c r="E644" s="182" t="s">
        <v>2265</v>
      </c>
      <c r="F644" s="183">
        <v>76932</v>
      </c>
      <c r="G644" s="184">
        <v>10.39</v>
      </c>
      <c r="H644" s="181">
        <v>12.7</v>
      </c>
      <c r="I644" s="181" t="s">
        <v>292</v>
      </c>
      <c r="J644" s="191">
        <v>11.34</v>
      </c>
      <c r="K644" s="191">
        <v>12.69</v>
      </c>
      <c r="L644" s="199" t="s">
        <v>637</v>
      </c>
      <c r="M644" s="211" t="s">
        <v>2255</v>
      </c>
      <c r="N644" s="185" t="s">
        <v>396</v>
      </c>
      <c r="O644" s="185" t="s">
        <v>309</v>
      </c>
      <c r="P644" s="185"/>
      <c r="Q644" s="185"/>
      <c r="R644" s="185" t="s">
        <v>381</v>
      </c>
      <c r="S644" s="185" t="s">
        <v>295</v>
      </c>
      <c r="T644" s="217" t="s">
        <v>379</v>
      </c>
    </row>
    <row r="645" spans="1:20" outlineLevel="1">
      <c r="A645" s="199" t="s">
        <v>271</v>
      </c>
      <c r="B645" s="181" t="s">
        <v>1575</v>
      </c>
      <c r="C645" s="190">
        <v>43697</v>
      </c>
      <c r="D645" s="199" t="s">
        <v>2266</v>
      </c>
      <c r="E645" s="182" t="s">
        <v>2267</v>
      </c>
      <c r="F645" s="183">
        <v>76932</v>
      </c>
      <c r="G645" s="184">
        <v>35.6</v>
      </c>
      <c r="H645" s="181">
        <v>43.5</v>
      </c>
      <c r="I645" s="181" t="s">
        <v>292</v>
      </c>
      <c r="J645" s="191">
        <v>38.85</v>
      </c>
      <c r="K645" s="191">
        <v>43.5</v>
      </c>
      <c r="L645" s="199" t="s">
        <v>637</v>
      </c>
      <c r="M645" s="211" t="s">
        <v>2255</v>
      </c>
      <c r="N645" s="185" t="s">
        <v>396</v>
      </c>
      <c r="O645" s="185" t="s">
        <v>309</v>
      </c>
      <c r="P645" s="185"/>
      <c r="Q645" s="185"/>
      <c r="R645" s="185" t="s">
        <v>381</v>
      </c>
      <c r="S645" s="185" t="s">
        <v>295</v>
      </c>
      <c r="T645" s="217" t="s">
        <v>379</v>
      </c>
    </row>
    <row r="646" spans="1:20" outlineLevel="1">
      <c r="A646" s="199" t="s">
        <v>271</v>
      </c>
      <c r="B646" s="181" t="s">
        <v>1575</v>
      </c>
      <c r="C646" s="190">
        <v>43697</v>
      </c>
      <c r="D646" s="199" t="s">
        <v>2174</v>
      </c>
      <c r="E646" s="182" t="s">
        <v>2268</v>
      </c>
      <c r="F646" s="183">
        <v>76932</v>
      </c>
      <c r="G646" s="184">
        <v>6.55</v>
      </c>
      <c r="H646" s="181">
        <v>8</v>
      </c>
      <c r="I646" s="181" t="s">
        <v>292</v>
      </c>
      <c r="J646" s="191">
        <v>7.14</v>
      </c>
      <c r="K646" s="191">
        <v>8</v>
      </c>
      <c r="L646" s="199" t="s">
        <v>637</v>
      </c>
      <c r="M646" s="211" t="s">
        <v>2255</v>
      </c>
      <c r="N646" s="185" t="s">
        <v>396</v>
      </c>
      <c r="O646" s="185" t="s">
        <v>309</v>
      </c>
      <c r="P646" s="185"/>
      <c r="Q646" s="185"/>
      <c r="R646" s="185" t="s">
        <v>381</v>
      </c>
      <c r="S646" s="185" t="s">
        <v>295</v>
      </c>
      <c r="T646" s="217" t="s">
        <v>379</v>
      </c>
    </row>
    <row r="647" spans="1:20" outlineLevel="1">
      <c r="A647" s="199" t="s">
        <v>271</v>
      </c>
      <c r="B647" s="181" t="s">
        <v>1575</v>
      </c>
      <c r="C647" s="190">
        <v>43700</v>
      </c>
      <c r="D647" s="199" t="s">
        <v>2174</v>
      </c>
      <c r="E647" s="182" t="s">
        <v>2269</v>
      </c>
      <c r="F647" s="183">
        <v>76932</v>
      </c>
      <c r="G647" s="184">
        <v>16.37</v>
      </c>
      <c r="H647" s="181">
        <v>20</v>
      </c>
      <c r="I647" s="181" t="s">
        <v>292</v>
      </c>
      <c r="J647" s="191">
        <v>17.86</v>
      </c>
      <c r="K647" s="191">
        <v>20</v>
      </c>
      <c r="L647" s="199" t="s">
        <v>637</v>
      </c>
      <c r="M647" s="211" t="s">
        <v>2255</v>
      </c>
      <c r="N647" s="185" t="s">
        <v>396</v>
      </c>
      <c r="O647" s="185" t="s">
        <v>309</v>
      </c>
      <c r="P647" s="185"/>
      <c r="Q647" s="185"/>
      <c r="R647" s="185" t="s">
        <v>381</v>
      </c>
      <c r="S647" s="185" t="s">
        <v>295</v>
      </c>
      <c r="T647" s="217" t="s">
        <v>379</v>
      </c>
    </row>
    <row r="648" spans="1:20" outlineLevel="1">
      <c r="A648" s="199" t="s">
        <v>271</v>
      </c>
      <c r="B648" s="181" t="s">
        <v>1575</v>
      </c>
      <c r="C648" s="190">
        <v>43707</v>
      </c>
      <c r="D648" s="199" t="s">
        <v>1792</v>
      </c>
      <c r="E648" s="182" t="s">
        <v>2270</v>
      </c>
      <c r="F648" s="183">
        <v>76932</v>
      </c>
      <c r="G648" s="184">
        <v>3.27</v>
      </c>
      <c r="H648" s="181">
        <v>4</v>
      </c>
      <c r="I648" s="181" t="s">
        <v>292</v>
      </c>
      <c r="J648" s="191">
        <v>3.57</v>
      </c>
      <c r="K648" s="191">
        <v>4</v>
      </c>
      <c r="L648" s="199" t="s">
        <v>1204</v>
      </c>
      <c r="M648" s="211" t="s">
        <v>1827</v>
      </c>
      <c r="N648" s="185" t="s">
        <v>396</v>
      </c>
      <c r="O648" s="185" t="s">
        <v>309</v>
      </c>
      <c r="P648" s="185"/>
      <c r="Q648" s="185"/>
      <c r="R648" s="185" t="s">
        <v>381</v>
      </c>
      <c r="S648" s="185" t="s">
        <v>295</v>
      </c>
      <c r="T648" s="217" t="s">
        <v>379</v>
      </c>
    </row>
    <row r="649" spans="1:20" outlineLevel="1">
      <c r="A649" s="199" t="s">
        <v>271</v>
      </c>
      <c r="B649" s="181" t="s">
        <v>1567</v>
      </c>
      <c r="C649" s="190">
        <v>43712</v>
      </c>
      <c r="D649" s="199" t="s">
        <v>2183</v>
      </c>
      <c r="E649" s="182" t="s">
        <v>2271</v>
      </c>
      <c r="F649" s="183">
        <v>77221</v>
      </c>
      <c r="G649" s="184">
        <v>6.17</v>
      </c>
      <c r="H649" s="181">
        <v>7.5</v>
      </c>
      <c r="I649" s="181" t="s">
        <v>292</v>
      </c>
      <c r="J649" s="191">
        <v>6.81</v>
      </c>
      <c r="K649" s="191">
        <v>7.5</v>
      </c>
      <c r="L649" s="199" t="s">
        <v>637</v>
      </c>
      <c r="M649" s="211" t="s">
        <v>2255</v>
      </c>
      <c r="N649" s="185" t="s">
        <v>396</v>
      </c>
      <c r="O649" s="185" t="s">
        <v>309</v>
      </c>
      <c r="P649" s="185"/>
      <c r="Q649" s="185"/>
      <c r="R649" s="185" t="s">
        <v>381</v>
      </c>
      <c r="S649" s="185" t="s">
        <v>295</v>
      </c>
      <c r="T649" s="217" t="s">
        <v>379</v>
      </c>
    </row>
    <row r="650" spans="1:20" outlineLevel="1">
      <c r="A650" s="199" t="s">
        <v>271</v>
      </c>
      <c r="B650" s="181" t="s">
        <v>1567</v>
      </c>
      <c r="C650" s="190">
        <v>43724</v>
      </c>
      <c r="D650" s="199" t="s">
        <v>2272</v>
      </c>
      <c r="E650" s="182" t="s">
        <v>2271</v>
      </c>
      <c r="F650" s="183">
        <v>77221</v>
      </c>
      <c r="G650" s="184">
        <v>6.17</v>
      </c>
      <c r="H650" s="181">
        <v>7.5</v>
      </c>
      <c r="I650" s="181" t="s">
        <v>292</v>
      </c>
      <c r="J650" s="191">
        <v>6.81</v>
      </c>
      <c r="K650" s="191">
        <v>7.5</v>
      </c>
      <c r="L650" s="199" t="s">
        <v>637</v>
      </c>
      <c r="M650" s="211" t="s">
        <v>2255</v>
      </c>
      <c r="N650" s="185" t="s">
        <v>396</v>
      </c>
      <c r="O650" s="185" t="s">
        <v>309</v>
      </c>
      <c r="P650" s="185"/>
      <c r="Q650" s="185"/>
      <c r="R650" s="185" t="s">
        <v>381</v>
      </c>
      <c r="S650" s="185" t="s">
        <v>295</v>
      </c>
      <c r="T650" s="217" t="s">
        <v>379</v>
      </c>
    </row>
    <row r="651" spans="1:20" outlineLevel="1">
      <c r="A651" s="199" t="s">
        <v>271</v>
      </c>
      <c r="B651" s="181" t="s">
        <v>1567</v>
      </c>
      <c r="C651" s="190">
        <v>43732</v>
      </c>
      <c r="D651" s="199" t="s">
        <v>2273</v>
      </c>
      <c r="E651" s="182" t="s">
        <v>2274</v>
      </c>
      <c r="F651" s="183">
        <v>77221</v>
      </c>
      <c r="G651" s="184">
        <v>80.91</v>
      </c>
      <c r="H651" s="181">
        <v>98.4</v>
      </c>
      <c r="I651" s="181" t="s">
        <v>292</v>
      </c>
      <c r="J651" s="191">
        <v>89.37</v>
      </c>
      <c r="K651" s="191">
        <v>98.4</v>
      </c>
      <c r="L651" s="199" t="s">
        <v>637</v>
      </c>
      <c r="M651" s="211" t="s">
        <v>2255</v>
      </c>
      <c r="N651" s="185" t="s">
        <v>396</v>
      </c>
      <c r="O651" s="185" t="s">
        <v>309</v>
      </c>
      <c r="P651" s="185"/>
      <c r="Q651" s="185"/>
      <c r="R651" s="185" t="s">
        <v>381</v>
      </c>
      <c r="S651" s="185" t="s">
        <v>295</v>
      </c>
      <c r="T651" s="217" t="s">
        <v>379</v>
      </c>
    </row>
    <row r="652" spans="1:20" outlineLevel="1">
      <c r="A652" s="199" t="s">
        <v>271</v>
      </c>
      <c r="B652" s="181" t="s">
        <v>1567</v>
      </c>
      <c r="C652" s="190">
        <v>43732</v>
      </c>
      <c r="D652" s="199" t="s">
        <v>2275</v>
      </c>
      <c r="E652" s="182" t="s">
        <v>2276</v>
      </c>
      <c r="F652" s="183">
        <v>77221</v>
      </c>
      <c r="G652" s="184">
        <v>13.16</v>
      </c>
      <c r="H652" s="181">
        <v>16</v>
      </c>
      <c r="I652" s="181" t="s">
        <v>292</v>
      </c>
      <c r="J652" s="191">
        <v>14.53</v>
      </c>
      <c r="K652" s="191">
        <v>16</v>
      </c>
      <c r="L652" s="199" t="s">
        <v>637</v>
      </c>
      <c r="M652" s="211" t="s">
        <v>2255</v>
      </c>
      <c r="N652" s="185" t="s">
        <v>396</v>
      </c>
      <c r="O652" s="185" t="s">
        <v>309</v>
      </c>
      <c r="P652" s="185"/>
      <c r="Q652" s="185"/>
      <c r="R652" s="185" t="s">
        <v>381</v>
      </c>
      <c r="S652" s="185" t="s">
        <v>295</v>
      </c>
      <c r="T652" s="217" t="s">
        <v>379</v>
      </c>
    </row>
    <row r="653" spans="1:20" outlineLevel="1">
      <c r="A653" s="199" t="s">
        <v>271</v>
      </c>
      <c r="B653" s="181" t="s">
        <v>1567</v>
      </c>
      <c r="C653" s="190">
        <v>43733</v>
      </c>
      <c r="D653" s="199" t="s">
        <v>2277</v>
      </c>
      <c r="E653" s="182" t="s">
        <v>2278</v>
      </c>
      <c r="F653" s="183">
        <v>77221</v>
      </c>
      <c r="G653" s="184">
        <v>246.67</v>
      </c>
      <c r="H653" s="181">
        <v>300</v>
      </c>
      <c r="I653" s="181" t="s">
        <v>292</v>
      </c>
      <c r="J653" s="191">
        <v>272.47000000000003</v>
      </c>
      <c r="K653" s="191">
        <v>299.99</v>
      </c>
      <c r="L653" s="199" t="s">
        <v>637</v>
      </c>
      <c r="M653" s="211" t="s">
        <v>2255</v>
      </c>
      <c r="N653" s="185" t="s">
        <v>396</v>
      </c>
      <c r="O653" s="185" t="s">
        <v>309</v>
      </c>
      <c r="P653" s="185"/>
      <c r="Q653" s="185"/>
      <c r="R653" s="185" t="s">
        <v>381</v>
      </c>
      <c r="S653" s="185" t="s">
        <v>295</v>
      </c>
      <c r="T653" s="217" t="s">
        <v>379</v>
      </c>
    </row>
    <row r="654" spans="1:20" outlineLevel="1">
      <c r="A654" s="199" t="s">
        <v>271</v>
      </c>
      <c r="B654" s="181" t="s">
        <v>1567</v>
      </c>
      <c r="C654" s="190">
        <v>43733</v>
      </c>
      <c r="D654" s="199" t="s">
        <v>2279</v>
      </c>
      <c r="E654" s="182" t="s">
        <v>2280</v>
      </c>
      <c r="F654" s="183">
        <v>77221</v>
      </c>
      <c r="G654" s="184">
        <v>74</v>
      </c>
      <c r="H654" s="181">
        <v>90</v>
      </c>
      <c r="I654" s="181" t="s">
        <v>292</v>
      </c>
      <c r="J654" s="191">
        <v>81.739999999999995</v>
      </c>
      <c r="K654" s="191">
        <v>90</v>
      </c>
      <c r="L654" s="199" t="s">
        <v>637</v>
      </c>
      <c r="M654" s="211" t="s">
        <v>2255</v>
      </c>
      <c r="N654" s="185" t="s">
        <v>396</v>
      </c>
      <c r="O654" s="185" t="s">
        <v>309</v>
      </c>
      <c r="P654" s="185"/>
      <c r="Q654" s="185"/>
      <c r="R654" s="185" t="s">
        <v>381</v>
      </c>
      <c r="S654" s="185" t="s">
        <v>295</v>
      </c>
      <c r="T654" s="217" t="s">
        <v>379</v>
      </c>
    </row>
    <row r="655" spans="1:20" outlineLevel="1">
      <c r="A655" s="199" t="s">
        <v>271</v>
      </c>
      <c r="B655" s="181" t="s">
        <v>1567</v>
      </c>
      <c r="C655" s="190">
        <v>43733</v>
      </c>
      <c r="D655" s="199" t="s">
        <v>2279</v>
      </c>
      <c r="E655" s="182" t="s">
        <v>2281</v>
      </c>
      <c r="F655" s="183">
        <v>77221</v>
      </c>
      <c r="G655" s="184">
        <v>411.12</v>
      </c>
      <c r="H655" s="181">
        <v>500</v>
      </c>
      <c r="I655" s="181" t="s">
        <v>292</v>
      </c>
      <c r="J655" s="191">
        <v>454.12</v>
      </c>
      <c r="K655" s="191">
        <v>500</v>
      </c>
      <c r="L655" s="199" t="s">
        <v>2282</v>
      </c>
      <c r="M655" s="211" t="s">
        <v>2283</v>
      </c>
      <c r="N655" s="185" t="s">
        <v>396</v>
      </c>
      <c r="O655" s="185" t="s">
        <v>309</v>
      </c>
      <c r="P655" s="185"/>
      <c r="Q655" s="185"/>
      <c r="R655" s="185" t="s">
        <v>381</v>
      </c>
      <c r="S655" s="185" t="s">
        <v>295</v>
      </c>
      <c r="T655" s="217" t="s">
        <v>379</v>
      </c>
    </row>
    <row r="656" spans="1:20">
      <c r="A656" s="212" t="s">
        <v>378</v>
      </c>
      <c r="B656" s="212"/>
      <c r="C656" s="212"/>
      <c r="D656" s="212"/>
      <c r="E656" s="213"/>
      <c r="F656" s="214"/>
      <c r="G656" s="215">
        <f>SUM(G635:G655)</f>
        <v>1132.29</v>
      </c>
      <c r="H656" s="216">
        <f>SUM(H635:H655)</f>
        <v>1389.1</v>
      </c>
      <c r="I656" s="212"/>
      <c r="J656" s="216">
        <f>SUM(J635:J655)</f>
        <v>1252.5700000000002</v>
      </c>
      <c r="K656" s="216">
        <f>SUM(K635:K655)</f>
        <v>1389.0700000000002</v>
      </c>
      <c r="L656" s="212"/>
      <c r="M656" s="213"/>
      <c r="N656" s="212"/>
      <c r="O656" s="212"/>
      <c r="P656" s="212"/>
      <c r="Q656" s="212"/>
      <c r="R656" s="212"/>
      <c r="S656" s="212"/>
      <c r="T656" s="212"/>
    </row>
    <row r="657" spans="1:20" outlineLevel="1">
      <c r="A657" s="199" t="s">
        <v>272</v>
      </c>
      <c r="B657" s="181" t="s">
        <v>1566</v>
      </c>
      <c r="C657" s="190">
        <v>43657</v>
      </c>
      <c r="D657" s="199" t="s">
        <v>2284</v>
      </c>
      <c r="E657" s="182" t="s">
        <v>2285</v>
      </c>
      <c r="F657" s="183">
        <v>76652</v>
      </c>
      <c r="G657" s="184">
        <v>47.25</v>
      </c>
      <c r="H657" s="181">
        <v>60</v>
      </c>
      <c r="I657" s="181" t="s">
        <v>292</v>
      </c>
      <c r="J657" s="191">
        <v>52.83</v>
      </c>
      <c r="K657" s="191">
        <v>60</v>
      </c>
      <c r="L657" s="199" t="s">
        <v>1207</v>
      </c>
      <c r="M657" s="211" t="s">
        <v>2286</v>
      </c>
      <c r="N657" s="185" t="s">
        <v>400</v>
      </c>
      <c r="O657" s="185" t="s">
        <v>309</v>
      </c>
      <c r="P657" s="185"/>
      <c r="Q657" s="185"/>
      <c r="R657" s="185" t="s">
        <v>381</v>
      </c>
      <c r="S657" s="185" t="s">
        <v>295</v>
      </c>
      <c r="T657" s="217" t="s">
        <v>379</v>
      </c>
    </row>
    <row r="658" spans="1:20" outlineLevel="1">
      <c r="A658" s="199" t="s">
        <v>272</v>
      </c>
      <c r="B658" s="181" t="s">
        <v>1566</v>
      </c>
      <c r="C658" s="190">
        <v>43657</v>
      </c>
      <c r="D658" s="199" t="s">
        <v>2284</v>
      </c>
      <c r="E658" s="182" t="s">
        <v>2287</v>
      </c>
      <c r="F658" s="183">
        <v>76652</v>
      </c>
      <c r="G658" s="184">
        <v>39.369999999999997</v>
      </c>
      <c r="H658" s="181">
        <v>50</v>
      </c>
      <c r="I658" s="181" t="s">
        <v>292</v>
      </c>
      <c r="J658" s="191">
        <v>44.03</v>
      </c>
      <c r="K658" s="191">
        <v>50</v>
      </c>
      <c r="L658" s="199" t="s">
        <v>1207</v>
      </c>
      <c r="M658" s="211" t="s">
        <v>2286</v>
      </c>
      <c r="N658" s="185" t="s">
        <v>400</v>
      </c>
      <c r="O658" s="185" t="s">
        <v>309</v>
      </c>
      <c r="P658" s="185"/>
      <c r="Q658" s="185"/>
      <c r="R658" s="185" t="s">
        <v>381</v>
      </c>
      <c r="S658" s="185" t="s">
        <v>295</v>
      </c>
      <c r="T658" s="217" t="s">
        <v>379</v>
      </c>
    </row>
    <row r="659" spans="1:20" outlineLevel="1">
      <c r="A659" s="199" t="s">
        <v>272</v>
      </c>
      <c r="B659" s="181" t="s">
        <v>1566</v>
      </c>
      <c r="C659" s="190">
        <v>43657</v>
      </c>
      <c r="D659" s="199" t="s">
        <v>2284</v>
      </c>
      <c r="E659" s="182" t="s">
        <v>2288</v>
      </c>
      <c r="F659" s="183">
        <v>76652</v>
      </c>
      <c r="G659" s="184">
        <v>23.62</v>
      </c>
      <c r="H659" s="181">
        <v>30</v>
      </c>
      <c r="I659" s="181" t="s">
        <v>292</v>
      </c>
      <c r="J659" s="191">
        <v>26.42</v>
      </c>
      <c r="K659" s="191">
        <v>30</v>
      </c>
      <c r="L659" s="199" t="s">
        <v>1207</v>
      </c>
      <c r="M659" s="211" t="s">
        <v>2286</v>
      </c>
      <c r="N659" s="185" t="s">
        <v>400</v>
      </c>
      <c r="O659" s="185" t="s">
        <v>309</v>
      </c>
      <c r="P659" s="185"/>
      <c r="Q659" s="185"/>
      <c r="R659" s="185" t="s">
        <v>381</v>
      </c>
      <c r="S659" s="185" t="s">
        <v>295</v>
      </c>
      <c r="T659" s="217" t="s">
        <v>379</v>
      </c>
    </row>
    <row r="660" spans="1:20" outlineLevel="1">
      <c r="A660" s="199" t="s">
        <v>272</v>
      </c>
      <c r="B660" s="181" t="s">
        <v>1566</v>
      </c>
      <c r="C660" s="190">
        <v>43657</v>
      </c>
      <c r="D660" s="199" t="s">
        <v>2284</v>
      </c>
      <c r="E660" s="182" t="s">
        <v>2289</v>
      </c>
      <c r="F660" s="183">
        <v>76652</v>
      </c>
      <c r="G660" s="184">
        <v>23.62</v>
      </c>
      <c r="H660" s="181">
        <v>30</v>
      </c>
      <c r="I660" s="181" t="s">
        <v>292</v>
      </c>
      <c r="J660" s="191">
        <v>26.42</v>
      </c>
      <c r="K660" s="191">
        <v>30</v>
      </c>
      <c r="L660" s="199" t="s">
        <v>1207</v>
      </c>
      <c r="M660" s="211" t="s">
        <v>2286</v>
      </c>
      <c r="N660" s="185" t="s">
        <v>400</v>
      </c>
      <c r="O660" s="185" t="s">
        <v>309</v>
      </c>
      <c r="P660" s="185"/>
      <c r="Q660" s="185"/>
      <c r="R660" s="185" t="s">
        <v>381</v>
      </c>
      <c r="S660" s="185" t="s">
        <v>295</v>
      </c>
      <c r="T660" s="217" t="s">
        <v>379</v>
      </c>
    </row>
    <row r="661" spans="1:20" outlineLevel="1">
      <c r="A661" s="199" t="s">
        <v>272</v>
      </c>
      <c r="B661" s="181" t="s">
        <v>1566</v>
      </c>
      <c r="C661" s="190">
        <v>43657</v>
      </c>
      <c r="D661" s="199" t="s">
        <v>2284</v>
      </c>
      <c r="E661" s="182" t="s">
        <v>2290</v>
      </c>
      <c r="F661" s="183">
        <v>76652</v>
      </c>
      <c r="G661" s="184">
        <v>3.69</v>
      </c>
      <c r="H661" s="181">
        <v>4.68</v>
      </c>
      <c r="I661" s="181" t="s">
        <v>292</v>
      </c>
      <c r="J661" s="191">
        <v>4.12</v>
      </c>
      <c r="K661" s="191">
        <v>4.6900000000000004</v>
      </c>
      <c r="L661" s="199" t="s">
        <v>1207</v>
      </c>
      <c r="M661" s="211" t="s">
        <v>2286</v>
      </c>
      <c r="N661" s="185" t="s">
        <v>400</v>
      </c>
      <c r="O661" s="185" t="s">
        <v>309</v>
      </c>
      <c r="P661" s="185"/>
      <c r="Q661" s="185"/>
      <c r="R661" s="185" t="s">
        <v>381</v>
      </c>
      <c r="S661" s="185" t="s">
        <v>295</v>
      </c>
      <c r="T661" s="217" t="s">
        <v>379</v>
      </c>
    </row>
    <row r="662" spans="1:20" outlineLevel="1">
      <c r="A662" s="199" t="s">
        <v>272</v>
      </c>
      <c r="B662" s="181" t="s">
        <v>1566</v>
      </c>
      <c r="C662" s="190">
        <v>43657</v>
      </c>
      <c r="D662" s="199" t="s">
        <v>2284</v>
      </c>
      <c r="E662" s="182" t="s">
        <v>2291</v>
      </c>
      <c r="F662" s="183">
        <v>76652</v>
      </c>
      <c r="G662" s="184">
        <v>9.5500000000000007</v>
      </c>
      <c r="H662" s="181">
        <v>12.13</v>
      </c>
      <c r="I662" s="181" t="s">
        <v>292</v>
      </c>
      <c r="J662" s="191">
        <v>10.68</v>
      </c>
      <c r="K662" s="191">
        <v>12.13</v>
      </c>
      <c r="L662" s="199" t="s">
        <v>1207</v>
      </c>
      <c r="M662" s="211" t="s">
        <v>2286</v>
      </c>
      <c r="N662" s="185" t="s">
        <v>400</v>
      </c>
      <c r="O662" s="185" t="s">
        <v>309</v>
      </c>
      <c r="P662" s="185"/>
      <c r="Q662" s="185"/>
      <c r="R662" s="185" t="s">
        <v>381</v>
      </c>
      <c r="S662" s="185" t="s">
        <v>295</v>
      </c>
      <c r="T662" s="217" t="s">
        <v>379</v>
      </c>
    </row>
    <row r="663" spans="1:20" outlineLevel="1">
      <c r="A663" s="199" t="s">
        <v>272</v>
      </c>
      <c r="B663" s="181" t="s">
        <v>1566</v>
      </c>
      <c r="C663" s="190">
        <v>43657</v>
      </c>
      <c r="D663" s="199" t="s">
        <v>2284</v>
      </c>
      <c r="E663" s="182" t="s">
        <v>2292</v>
      </c>
      <c r="F663" s="183">
        <v>76652</v>
      </c>
      <c r="G663" s="184">
        <v>5.73</v>
      </c>
      <c r="H663" s="181">
        <v>7.28</v>
      </c>
      <c r="I663" s="181" t="s">
        <v>292</v>
      </c>
      <c r="J663" s="191">
        <v>6.41</v>
      </c>
      <c r="K663" s="191">
        <v>7.28</v>
      </c>
      <c r="L663" s="199" t="s">
        <v>1207</v>
      </c>
      <c r="M663" s="211" t="s">
        <v>2286</v>
      </c>
      <c r="N663" s="185" t="s">
        <v>400</v>
      </c>
      <c r="O663" s="185" t="s">
        <v>309</v>
      </c>
      <c r="P663" s="185"/>
      <c r="Q663" s="185"/>
      <c r="R663" s="185" t="s">
        <v>381</v>
      </c>
      <c r="S663" s="185" t="s">
        <v>295</v>
      </c>
      <c r="T663" s="217" t="s">
        <v>379</v>
      </c>
    </row>
    <row r="664" spans="1:20" outlineLevel="1">
      <c r="A664" s="199" t="s">
        <v>272</v>
      </c>
      <c r="B664" s="181" t="s">
        <v>1566</v>
      </c>
      <c r="C664" s="190">
        <v>43657</v>
      </c>
      <c r="D664" s="199" t="s">
        <v>2284</v>
      </c>
      <c r="E664" s="182" t="s">
        <v>2293</v>
      </c>
      <c r="F664" s="183">
        <v>76652</v>
      </c>
      <c r="G664" s="184">
        <v>3.76</v>
      </c>
      <c r="H664" s="181">
        <v>4.7699999999999996</v>
      </c>
      <c r="I664" s="181" t="s">
        <v>292</v>
      </c>
      <c r="J664" s="191">
        <v>4.2</v>
      </c>
      <c r="K664" s="191">
        <v>4.7699999999999996</v>
      </c>
      <c r="L664" s="199" t="s">
        <v>1207</v>
      </c>
      <c r="M664" s="211" t="s">
        <v>2286</v>
      </c>
      <c r="N664" s="185" t="s">
        <v>400</v>
      </c>
      <c r="O664" s="185" t="s">
        <v>309</v>
      </c>
      <c r="P664" s="185"/>
      <c r="Q664" s="185"/>
      <c r="R664" s="185" t="s">
        <v>381</v>
      </c>
      <c r="S664" s="185" t="s">
        <v>295</v>
      </c>
      <c r="T664" s="217" t="s">
        <v>379</v>
      </c>
    </row>
    <row r="665" spans="1:20" outlineLevel="1">
      <c r="A665" s="199" t="s">
        <v>272</v>
      </c>
      <c r="B665" s="181" t="s">
        <v>1566</v>
      </c>
      <c r="C665" s="190">
        <v>43669</v>
      </c>
      <c r="D665" s="199" t="s">
        <v>2260</v>
      </c>
      <c r="E665" s="182" t="s">
        <v>1212</v>
      </c>
      <c r="F665" s="183">
        <v>76665</v>
      </c>
      <c r="G665" s="184">
        <v>7.87</v>
      </c>
      <c r="H665" s="181">
        <v>10</v>
      </c>
      <c r="I665" s="181" t="s">
        <v>292</v>
      </c>
      <c r="J665" s="191">
        <v>8.81</v>
      </c>
      <c r="K665" s="191">
        <v>9.99</v>
      </c>
      <c r="L665" s="199" t="s">
        <v>1207</v>
      </c>
      <c r="M665" s="211" t="s">
        <v>2286</v>
      </c>
      <c r="N665" s="185" t="s">
        <v>396</v>
      </c>
      <c r="O665" s="185" t="s">
        <v>309</v>
      </c>
      <c r="P665" s="185"/>
      <c r="Q665" s="185"/>
      <c r="R665" s="185" t="s">
        <v>381</v>
      </c>
      <c r="S665" s="185" t="s">
        <v>295</v>
      </c>
      <c r="T665" s="217" t="s">
        <v>379</v>
      </c>
    </row>
    <row r="666" spans="1:20" outlineLevel="1">
      <c r="A666" s="199" t="s">
        <v>272</v>
      </c>
      <c r="B666" s="181" t="s">
        <v>1566</v>
      </c>
      <c r="C666" s="190">
        <v>43664</v>
      </c>
      <c r="D666" s="199" t="s">
        <v>2294</v>
      </c>
      <c r="E666" s="182" t="s">
        <v>2295</v>
      </c>
      <c r="F666" s="183">
        <v>76652</v>
      </c>
      <c r="G666" s="184">
        <v>71.44</v>
      </c>
      <c r="H666" s="181">
        <v>90.72</v>
      </c>
      <c r="I666" s="181" t="s">
        <v>292</v>
      </c>
      <c r="J666" s="191">
        <v>79.88</v>
      </c>
      <c r="K666" s="191">
        <v>90.72</v>
      </c>
      <c r="L666" s="199" t="s">
        <v>683</v>
      </c>
      <c r="M666" s="211" t="s">
        <v>2296</v>
      </c>
      <c r="N666" s="185" t="s">
        <v>400</v>
      </c>
      <c r="O666" s="185" t="s">
        <v>309</v>
      </c>
      <c r="P666" s="185"/>
      <c r="Q666" s="185"/>
      <c r="R666" s="185" t="s">
        <v>381</v>
      </c>
      <c r="S666" s="185" t="s">
        <v>295</v>
      </c>
      <c r="T666" s="217" t="s">
        <v>379</v>
      </c>
    </row>
    <row r="667" spans="1:20" outlineLevel="1">
      <c r="A667" s="199" t="s">
        <v>272</v>
      </c>
      <c r="B667" s="181" t="s">
        <v>1566</v>
      </c>
      <c r="C667" s="190">
        <v>43665</v>
      </c>
      <c r="D667" s="199" t="s">
        <v>2297</v>
      </c>
      <c r="E667" s="182" t="s">
        <v>2298</v>
      </c>
      <c r="F667" s="183">
        <v>76665</v>
      </c>
      <c r="G667" s="184">
        <v>157.49</v>
      </c>
      <c r="H667" s="181">
        <v>200</v>
      </c>
      <c r="I667" s="181" t="s">
        <v>292</v>
      </c>
      <c r="J667" s="191">
        <v>176.11</v>
      </c>
      <c r="K667" s="191">
        <v>200</v>
      </c>
      <c r="L667" s="199" t="s">
        <v>683</v>
      </c>
      <c r="M667" s="211" t="s">
        <v>2296</v>
      </c>
      <c r="N667" s="185" t="s">
        <v>396</v>
      </c>
      <c r="O667" s="185" t="s">
        <v>309</v>
      </c>
      <c r="P667" s="185"/>
      <c r="Q667" s="185"/>
      <c r="R667" s="185" t="s">
        <v>381</v>
      </c>
      <c r="S667" s="185" t="s">
        <v>295</v>
      </c>
      <c r="T667" s="217" t="s">
        <v>379</v>
      </c>
    </row>
    <row r="668" spans="1:20" outlineLevel="1">
      <c r="A668" s="199" t="s">
        <v>272</v>
      </c>
      <c r="B668" s="181" t="s">
        <v>1575</v>
      </c>
      <c r="C668" s="190">
        <v>43697</v>
      </c>
      <c r="D668" s="199" t="s">
        <v>2174</v>
      </c>
      <c r="E668" s="182" t="s">
        <v>2299</v>
      </c>
      <c r="F668" s="183">
        <v>76932</v>
      </c>
      <c r="G668" s="184">
        <v>16.57</v>
      </c>
      <c r="H668" s="181">
        <v>20.239999999999998</v>
      </c>
      <c r="I668" s="181" t="s">
        <v>292</v>
      </c>
      <c r="J668" s="191">
        <v>18.07</v>
      </c>
      <c r="K668" s="191">
        <v>20.25</v>
      </c>
      <c r="L668" s="199" t="s">
        <v>1207</v>
      </c>
      <c r="M668" s="211" t="s">
        <v>2286</v>
      </c>
      <c r="N668" s="185" t="s">
        <v>396</v>
      </c>
      <c r="O668" s="185" t="s">
        <v>309</v>
      </c>
      <c r="P668" s="185"/>
      <c r="Q668" s="185"/>
      <c r="R668" s="185" t="s">
        <v>381</v>
      </c>
      <c r="S668" s="185" t="s">
        <v>295</v>
      </c>
      <c r="T668" s="217" t="s">
        <v>379</v>
      </c>
    </row>
    <row r="669" spans="1:20" outlineLevel="1">
      <c r="A669" s="199" t="s">
        <v>272</v>
      </c>
      <c r="B669" s="181" t="s">
        <v>1575</v>
      </c>
      <c r="C669" s="190">
        <v>43700</v>
      </c>
      <c r="D669" s="199" t="s">
        <v>2174</v>
      </c>
      <c r="E669" s="182" t="s">
        <v>1390</v>
      </c>
      <c r="F669" s="183">
        <v>76932</v>
      </c>
      <c r="G669" s="184">
        <v>8.18</v>
      </c>
      <c r="H669" s="181">
        <v>10</v>
      </c>
      <c r="I669" s="181" t="s">
        <v>292</v>
      </c>
      <c r="J669" s="191">
        <v>8.93</v>
      </c>
      <c r="K669" s="191">
        <v>9.99</v>
      </c>
      <c r="L669" s="199" t="s">
        <v>1207</v>
      </c>
      <c r="M669" s="211" t="s">
        <v>2286</v>
      </c>
      <c r="N669" s="185" t="s">
        <v>396</v>
      </c>
      <c r="O669" s="185" t="s">
        <v>309</v>
      </c>
      <c r="P669" s="185"/>
      <c r="Q669" s="185"/>
      <c r="R669" s="185" t="s">
        <v>381</v>
      </c>
      <c r="S669" s="185" t="s">
        <v>295</v>
      </c>
      <c r="T669" s="217" t="s">
        <v>379</v>
      </c>
    </row>
    <row r="670" spans="1:20" outlineLevel="1">
      <c r="A670" s="199" t="s">
        <v>272</v>
      </c>
      <c r="B670" s="181" t="s">
        <v>1575</v>
      </c>
      <c r="C670" s="190">
        <v>43692</v>
      </c>
      <c r="D670" s="199" t="s">
        <v>2300</v>
      </c>
      <c r="E670" s="182" t="s">
        <v>2301</v>
      </c>
      <c r="F670" s="183">
        <v>76932</v>
      </c>
      <c r="G670" s="184">
        <v>147.32</v>
      </c>
      <c r="H670" s="181">
        <v>180</v>
      </c>
      <c r="I670" s="181" t="s">
        <v>292</v>
      </c>
      <c r="J670" s="191">
        <v>160.74</v>
      </c>
      <c r="K670" s="191">
        <v>179.99</v>
      </c>
      <c r="L670" s="199" t="s">
        <v>683</v>
      </c>
      <c r="M670" s="211" t="s">
        <v>2296</v>
      </c>
      <c r="N670" s="185" t="s">
        <v>396</v>
      </c>
      <c r="O670" s="185" t="s">
        <v>309</v>
      </c>
      <c r="P670" s="185"/>
      <c r="Q670" s="185"/>
      <c r="R670" s="185" t="s">
        <v>381</v>
      </c>
      <c r="S670" s="185" t="s">
        <v>295</v>
      </c>
      <c r="T670" s="217" t="s">
        <v>379</v>
      </c>
    </row>
    <row r="671" spans="1:20" outlineLevel="1">
      <c r="A671" s="199" t="s">
        <v>272</v>
      </c>
      <c r="B671" s="181" t="s">
        <v>1567</v>
      </c>
      <c r="C671" s="190">
        <v>43727</v>
      </c>
      <c r="D671" s="199" t="s">
        <v>2302</v>
      </c>
      <c r="E671" s="182" t="s">
        <v>2303</v>
      </c>
      <c r="F671" s="183">
        <v>77220</v>
      </c>
      <c r="G671" s="184">
        <v>236.73</v>
      </c>
      <c r="H671" s="181">
        <v>287.89999999999998</v>
      </c>
      <c r="I671" s="181" t="s">
        <v>292</v>
      </c>
      <c r="J671" s="191">
        <v>261.48</v>
      </c>
      <c r="K671" s="191">
        <v>287.91000000000003</v>
      </c>
      <c r="L671" s="199" t="s">
        <v>1207</v>
      </c>
      <c r="M671" s="211" t="s">
        <v>2286</v>
      </c>
      <c r="N671" s="185" t="s">
        <v>400</v>
      </c>
      <c r="O671" s="185" t="s">
        <v>309</v>
      </c>
      <c r="P671" s="185"/>
      <c r="Q671" s="185"/>
      <c r="R671" s="185" t="s">
        <v>381</v>
      </c>
      <c r="S671" s="185" t="s">
        <v>295</v>
      </c>
      <c r="T671" s="217" t="s">
        <v>379</v>
      </c>
    </row>
    <row r="672" spans="1:20" outlineLevel="1">
      <c r="A672" s="199" t="s">
        <v>272</v>
      </c>
      <c r="B672" s="181" t="s">
        <v>1567</v>
      </c>
      <c r="C672" s="190">
        <v>43732</v>
      </c>
      <c r="D672" s="199" t="s">
        <v>2304</v>
      </c>
      <c r="E672" s="182" t="s">
        <v>2305</v>
      </c>
      <c r="F672" s="183">
        <v>77221</v>
      </c>
      <c r="G672" s="184">
        <v>123.34</v>
      </c>
      <c r="H672" s="181">
        <v>150</v>
      </c>
      <c r="I672" s="181" t="s">
        <v>292</v>
      </c>
      <c r="J672" s="191">
        <v>136.24</v>
      </c>
      <c r="K672" s="191">
        <v>150</v>
      </c>
      <c r="L672" s="199" t="s">
        <v>683</v>
      </c>
      <c r="M672" s="211" t="s">
        <v>2296</v>
      </c>
      <c r="N672" s="185" t="s">
        <v>396</v>
      </c>
      <c r="O672" s="185" t="s">
        <v>309</v>
      </c>
      <c r="P672" s="185"/>
      <c r="Q672" s="185"/>
      <c r="R672" s="185" t="s">
        <v>381</v>
      </c>
      <c r="S672" s="185" t="s">
        <v>295</v>
      </c>
      <c r="T672" s="217" t="s">
        <v>379</v>
      </c>
    </row>
    <row r="673" spans="1:20" outlineLevel="1">
      <c r="A673" s="199" t="s">
        <v>272</v>
      </c>
      <c r="B673" s="181" t="s">
        <v>1567</v>
      </c>
      <c r="C673" s="190">
        <v>43736</v>
      </c>
      <c r="D673" s="199" t="s">
        <v>2275</v>
      </c>
      <c r="E673" s="182" t="s">
        <v>2306</v>
      </c>
      <c r="F673" s="183">
        <v>77221</v>
      </c>
      <c r="G673" s="184">
        <v>5.59</v>
      </c>
      <c r="H673" s="181">
        <v>6.8</v>
      </c>
      <c r="I673" s="181" t="s">
        <v>292</v>
      </c>
      <c r="J673" s="191">
        <v>6.18</v>
      </c>
      <c r="K673" s="191">
        <v>6.8</v>
      </c>
      <c r="L673" s="199" t="s">
        <v>683</v>
      </c>
      <c r="M673" s="211" t="s">
        <v>2296</v>
      </c>
      <c r="N673" s="185" t="s">
        <v>396</v>
      </c>
      <c r="O673" s="185" t="s">
        <v>309</v>
      </c>
      <c r="P673" s="185"/>
      <c r="Q673" s="185"/>
      <c r="R673" s="185" t="s">
        <v>381</v>
      </c>
      <c r="S673" s="185" t="s">
        <v>295</v>
      </c>
      <c r="T673" s="217" t="s">
        <v>379</v>
      </c>
    </row>
    <row r="674" spans="1:20">
      <c r="A674" s="212" t="s">
        <v>378</v>
      </c>
      <c r="B674" s="212"/>
      <c r="C674" s="212"/>
      <c r="D674" s="212"/>
      <c r="E674" s="213"/>
      <c r="F674" s="214"/>
      <c r="G674" s="215">
        <f>SUM(G657:G673)</f>
        <v>931.12000000000012</v>
      </c>
      <c r="H674" s="216">
        <f>SUM(H657:H673)</f>
        <v>1154.52</v>
      </c>
      <c r="I674" s="212"/>
      <c r="J674" s="216">
        <f>SUM(J657:J673)</f>
        <v>1031.55</v>
      </c>
      <c r="K674" s="216">
        <f>SUM(K657:K673)</f>
        <v>1154.52</v>
      </c>
      <c r="L674" s="212"/>
      <c r="M674" s="213"/>
      <c r="N674" s="212"/>
      <c r="O674" s="212"/>
      <c r="P674" s="212"/>
      <c r="Q674" s="212"/>
      <c r="R674" s="212"/>
      <c r="S674" s="212"/>
      <c r="T674" s="212"/>
    </row>
    <row r="675" spans="1:20" outlineLevel="1">
      <c r="A675" s="199" t="s">
        <v>273</v>
      </c>
      <c r="B675" s="181" t="s">
        <v>1566</v>
      </c>
      <c r="C675" s="190">
        <v>43677</v>
      </c>
      <c r="D675" s="199" t="s">
        <v>2307</v>
      </c>
      <c r="E675" s="182" t="s">
        <v>2308</v>
      </c>
      <c r="F675" s="183">
        <v>76652</v>
      </c>
      <c r="G675" s="184">
        <v>19.18</v>
      </c>
      <c r="H675" s="181">
        <v>24.36</v>
      </c>
      <c r="I675" s="181" t="s">
        <v>292</v>
      </c>
      <c r="J675" s="191">
        <v>21.45</v>
      </c>
      <c r="K675" s="191">
        <v>24.36</v>
      </c>
      <c r="L675" s="199" t="s">
        <v>380</v>
      </c>
      <c r="M675" s="211" t="s">
        <v>1693</v>
      </c>
      <c r="N675" s="185" t="s">
        <v>400</v>
      </c>
      <c r="O675" s="185" t="s">
        <v>309</v>
      </c>
      <c r="P675" s="185"/>
      <c r="Q675" s="185"/>
      <c r="R675" s="185" t="s">
        <v>381</v>
      </c>
      <c r="S675" s="185" t="s">
        <v>295</v>
      </c>
      <c r="T675" s="217" t="s">
        <v>379</v>
      </c>
    </row>
    <row r="676" spans="1:20" outlineLevel="1">
      <c r="A676" s="199" t="s">
        <v>273</v>
      </c>
      <c r="B676" s="181" t="s">
        <v>1566</v>
      </c>
      <c r="C676" s="190">
        <v>43677</v>
      </c>
      <c r="D676" s="199" t="s">
        <v>2307</v>
      </c>
      <c r="E676" s="182" t="s">
        <v>2308</v>
      </c>
      <c r="F676" s="183">
        <v>76652</v>
      </c>
      <c r="G676" s="184">
        <v>9.56</v>
      </c>
      <c r="H676" s="181">
        <v>12.14</v>
      </c>
      <c r="I676" s="181" t="s">
        <v>292</v>
      </c>
      <c r="J676" s="191">
        <v>10.69</v>
      </c>
      <c r="K676" s="191">
        <v>12.14</v>
      </c>
      <c r="L676" s="199" t="s">
        <v>380</v>
      </c>
      <c r="M676" s="211" t="s">
        <v>1693</v>
      </c>
      <c r="N676" s="185" t="s">
        <v>400</v>
      </c>
      <c r="O676" s="185" t="s">
        <v>309</v>
      </c>
      <c r="P676" s="185"/>
      <c r="Q676" s="185"/>
      <c r="R676" s="185" t="s">
        <v>381</v>
      </c>
      <c r="S676" s="185" t="s">
        <v>295</v>
      </c>
      <c r="T676" s="217" t="s">
        <v>379</v>
      </c>
    </row>
    <row r="677" spans="1:20" outlineLevel="1">
      <c r="A677" s="199" t="s">
        <v>273</v>
      </c>
      <c r="B677" s="181" t="s">
        <v>1566</v>
      </c>
      <c r="C677" s="190">
        <v>43677</v>
      </c>
      <c r="D677" s="199" t="s">
        <v>2307</v>
      </c>
      <c r="E677" s="182" t="s">
        <v>2308</v>
      </c>
      <c r="F677" s="183">
        <v>76652</v>
      </c>
      <c r="G677" s="184">
        <v>1.62</v>
      </c>
      <c r="H677" s="181">
        <v>2.06</v>
      </c>
      <c r="I677" s="181" t="s">
        <v>292</v>
      </c>
      <c r="J677" s="191">
        <v>1.81</v>
      </c>
      <c r="K677" s="191">
        <v>2.06</v>
      </c>
      <c r="L677" s="199" t="s">
        <v>380</v>
      </c>
      <c r="M677" s="211" t="s">
        <v>1693</v>
      </c>
      <c r="N677" s="185" t="s">
        <v>400</v>
      </c>
      <c r="O677" s="185" t="s">
        <v>309</v>
      </c>
      <c r="P677" s="185"/>
      <c r="Q677" s="185"/>
      <c r="R677" s="185" t="s">
        <v>381</v>
      </c>
      <c r="S677" s="185" t="s">
        <v>295</v>
      </c>
      <c r="T677" s="217" t="s">
        <v>379</v>
      </c>
    </row>
    <row r="678" spans="1:20" outlineLevel="1">
      <c r="A678" s="199" t="s">
        <v>273</v>
      </c>
      <c r="B678" s="181" t="s">
        <v>1566</v>
      </c>
      <c r="C678" s="190">
        <v>43677</v>
      </c>
      <c r="D678" s="199" t="s">
        <v>2307</v>
      </c>
      <c r="E678" s="182" t="s">
        <v>2308</v>
      </c>
      <c r="F678" s="183">
        <v>76652</v>
      </c>
      <c r="G678" s="184">
        <v>3.52</v>
      </c>
      <c r="H678" s="181">
        <v>4.47</v>
      </c>
      <c r="I678" s="181" t="s">
        <v>292</v>
      </c>
      <c r="J678" s="191">
        <v>3.94</v>
      </c>
      <c r="K678" s="191">
        <v>4.47</v>
      </c>
      <c r="L678" s="199" t="s">
        <v>380</v>
      </c>
      <c r="M678" s="211" t="s">
        <v>1693</v>
      </c>
      <c r="N678" s="185" t="s">
        <v>400</v>
      </c>
      <c r="O678" s="185" t="s">
        <v>309</v>
      </c>
      <c r="P678" s="185"/>
      <c r="Q678" s="185"/>
      <c r="R678" s="185" t="s">
        <v>381</v>
      </c>
      <c r="S678" s="185" t="s">
        <v>295</v>
      </c>
      <c r="T678" s="217" t="s">
        <v>379</v>
      </c>
    </row>
    <row r="679" spans="1:20" outlineLevel="1">
      <c r="A679" s="199" t="s">
        <v>273</v>
      </c>
      <c r="B679" s="181" t="s">
        <v>1566</v>
      </c>
      <c r="C679" s="190">
        <v>43677</v>
      </c>
      <c r="D679" s="199" t="s">
        <v>2307</v>
      </c>
      <c r="E679" s="182" t="s">
        <v>2308</v>
      </c>
      <c r="F679" s="183">
        <v>76652</v>
      </c>
      <c r="G679" s="184">
        <v>2.06</v>
      </c>
      <c r="H679" s="181">
        <v>2.61</v>
      </c>
      <c r="I679" s="181" t="s">
        <v>292</v>
      </c>
      <c r="J679" s="191">
        <v>2.2999999999999998</v>
      </c>
      <c r="K679" s="191">
        <v>2.62</v>
      </c>
      <c r="L679" s="199" t="s">
        <v>380</v>
      </c>
      <c r="M679" s="211" t="s">
        <v>1693</v>
      </c>
      <c r="N679" s="185" t="s">
        <v>400</v>
      </c>
      <c r="O679" s="185" t="s">
        <v>309</v>
      </c>
      <c r="P679" s="185"/>
      <c r="Q679" s="185"/>
      <c r="R679" s="185" t="s">
        <v>381</v>
      </c>
      <c r="S679" s="185" t="s">
        <v>295</v>
      </c>
      <c r="T679" s="217" t="s">
        <v>379</v>
      </c>
    </row>
    <row r="680" spans="1:20" outlineLevel="1">
      <c r="A680" s="199" t="s">
        <v>273</v>
      </c>
      <c r="B680" s="181" t="s">
        <v>1566</v>
      </c>
      <c r="C680" s="190">
        <v>43677</v>
      </c>
      <c r="D680" s="199" t="s">
        <v>2307</v>
      </c>
      <c r="E680" s="182" t="s">
        <v>2308</v>
      </c>
      <c r="F680" s="183">
        <v>76652</v>
      </c>
      <c r="G680" s="184">
        <v>2.06</v>
      </c>
      <c r="H680" s="181">
        <v>2.61</v>
      </c>
      <c r="I680" s="181" t="s">
        <v>292</v>
      </c>
      <c r="J680" s="191">
        <v>2.2999999999999998</v>
      </c>
      <c r="K680" s="191">
        <v>2.62</v>
      </c>
      <c r="L680" s="199" t="s">
        <v>380</v>
      </c>
      <c r="M680" s="211" t="s">
        <v>1693</v>
      </c>
      <c r="N680" s="185" t="s">
        <v>400</v>
      </c>
      <c r="O680" s="185" t="s">
        <v>309</v>
      </c>
      <c r="P680" s="185"/>
      <c r="Q680" s="185"/>
      <c r="R680" s="185" t="s">
        <v>381</v>
      </c>
      <c r="S680" s="185" t="s">
        <v>295</v>
      </c>
      <c r="T680" s="217" t="s">
        <v>379</v>
      </c>
    </row>
    <row r="681" spans="1:20" outlineLevel="1">
      <c r="A681" s="199" t="s">
        <v>273</v>
      </c>
      <c r="B681" s="181" t="s">
        <v>1566</v>
      </c>
      <c r="C681" s="190">
        <v>43677</v>
      </c>
      <c r="D681" s="199" t="s">
        <v>2307</v>
      </c>
      <c r="E681" s="182" t="s">
        <v>2308</v>
      </c>
      <c r="F681" s="183">
        <v>76652</v>
      </c>
      <c r="G681" s="184">
        <v>9.34</v>
      </c>
      <c r="H681" s="181">
        <v>11.86</v>
      </c>
      <c r="I681" s="181" t="s">
        <v>292</v>
      </c>
      <c r="J681" s="191">
        <v>10.44</v>
      </c>
      <c r="K681" s="191">
        <v>11.86</v>
      </c>
      <c r="L681" s="199" t="s">
        <v>380</v>
      </c>
      <c r="M681" s="211" t="s">
        <v>1693</v>
      </c>
      <c r="N681" s="185" t="s">
        <v>400</v>
      </c>
      <c r="O681" s="185" t="s">
        <v>309</v>
      </c>
      <c r="P681" s="185"/>
      <c r="Q681" s="185"/>
      <c r="R681" s="185" t="s">
        <v>381</v>
      </c>
      <c r="S681" s="185" t="s">
        <v>295</v>
      </c>
      <c r="T681" s="217" t="s">
        <v>379</v>
      </c>
    </row>
    <row r="682" spans="1:20" outlineLevel="1">
      <c r="A682" s="199" t="s">
        <v>273</v>
      </c>
      <c r="B682" s="181" t="s">
        <v>1566</v>
      </c>
      <c r="C682" s="190">
        <v>43677</v>
      </c>
      <c r="D682" s="199" t="s">
        <v>2307</v>
      </c>
      <c r="E682" s="182" t="s">
        <v>2308</v>
      </c>
      <c r="F682" s="183">
        <v>76652</v>
      </c>
      <c r="G682" s="184">
        <v>1.52</v>
      </c>
      <c r="H682" s="181">
        <v>1.93</v>
      </c>
      <c r="I682" s="181" t="s">
        <v>292</v>
      </c>
      <c r="J682" s="191">
        <v>1.7</v>
      </c>
      <c r="K682" s="191">
        <v>1.93</v>
      </c>
      <c r="L682" s="199" t="s">
        <v>380</v>
      </c>
      <c r="M682" s="211" t="s">
        <v>1693</v>
      </c>
      <c r="N682" s="185" t="s">
        <v>400</v>
      </c>
      <c r="O682" s="185" t="s">
        <v>309</v>
      </c>
      <c r="P682" s="185"/>
      <c r="Q682" s="185"/>
      <c r="R682" s="185" t="s">
        <v>381</v>
      </c>
      <c r="S682" s="185" t="s">
        <v>295</v>
      </c>
      <c r="T682" s="217" t="s">
        <v>379</v>
      </c>
    </row>
    <row r="683" spans="1:20" outlineLevel="1">
      <c r="A683" s="199" t="s">
        <v>273</v>
      </c>
      <c r="B683" s="181" t="s">
        <v>1566</v>
      </c>
      <c r="C683" s="190">
        <v>43677</v>
      </c>
      <c r="D683" s="199" t="s">
        <v>2307</v>
      </c>
      <c r="E683" s="182" t="s">
        <v>2309</v>
      </c>
      <c r="F683" s="183">
        <v>76652</v>
      </c>
      <c r="G683" s="184">
        <v>45.52</v>
      </c>
      <c r="H683" s="181">
        <v>57.81</v>
      </c>
      <c r="I683" s="181" t="s">
        <v>292</v>
      </c>
      <c r="J683" s="191">
        <v>50.9</v>
      </c>
      <c r="K683" s="191">
        <v>57.81</v>
      </c>
      <c r="L683" s="199" t="s">
        <v>380</v>
      </c>
      <c r="M683" s="211" t="s">
        <v>1693</v>
      </c>
      <c r="N683" s="185" t="s">
        <v>400</v>
      </c>
      <c r="O683" s="185" t="s">
        <v>309</v>
      </c>
      <c r="P683" s="185"/>
      <c r="Q683" s="185"/>
      <c r="R683" s="185" t="s">
        <v>381</v>
      </c>
      <c r="S683" s="185" t="s">
        <v>295</v>
      </c>
      <c r="T683" s="217" t="s">
        <v>379</v>
      </c>
    </row>
    <row r="684" spans="1:20" outlineLevel="1">
      <c r="A684" s="199" t="s">
        <v>273</v>
      </c>
      <c r="B684" s="181" t="s">
        <v>1566</v>
      </c>
      <c r="C684" s="190">
        <v>43677</v>
      </c>
      <c r="D684" s="199" t="s">
        <v>2307</v>
      </c>
      <c r="E684" s="182" t="s">
        <v>2310</v>
      </c>
      <c r="F684" s="183">
        <v>76652</v>
      </c>
      <c r="G684" s="184">
        <v>7.28</v>
      </c>
      <c r="H684" s="181">
        <v>9.24</v>
      </c>
      <c r="I684" s="181" t="s">
        <v>292</v>
      </c>
      <c r="J684" s="191">
        <v>8.14</v>
      </c>
      <c r="K684" s="191">
        <v>9.25</v>
      </c>
      <c r="L684" s="199" t="s">
        <v>380</v>
      </c>
      <c r="M684" s="211" t="s">
        <v>1693</v>
      </c>
      <c r="N684" s="185" t="s">
        <v>400</v>
      </c>
      <c r="O684" s="185" t="s">
        <v>309</v>
      </c>
      <c r="P684" s="185"/>
      <c r="Q684" s="185"/>
      <c r="R684" s="185" t="s">
        <v>381</v>
      </c>
      <c r="S684" s="185" t="s">
        <v>295</v>
      </c>
      <c r="T684" s="217" t="s">
        <v>379</v>
      </c>
    </row>
    <row r="685" spans="1:20" outlineLevel="1">
      <c r="A685" s="199" t="s">
        <v>273</v>
      </c>
      <c r="B685" s="181" t="s">
        <v>1566</v>
      </c>
      <c r="C685" s="190">
        <v>43677</v>
      </c>
      <c r="D685" s="199" t="s">
        <v>2307</v>
      </c>
      <c r="E685" s="182" t="s">
        <v>2308</v>
      </c>
      <c r="F685" s="183">
        <v>76652</v>
      </c>
      <c r="G685" s="184">
        <v>7.5</v>
      </c>
      <c r="H685" s="181">
        <v>9.52</v>
      </c>
      <c r="I685" s="181" t="s">
        <v>292</v>
      </c>
      <c r="J685" s="191">
        <v>8.3800000000000008</v>
      </c>
      <c r="K685" s="191">
        <v>9.52</v>
      </c>
      <c r="L685" s="199" t="s">
        <v>380</v>
      </c>
      <c r="M685" s="211" t="s">
        <v>1693</v>
      </c>
      <c r="N685" s="185" t="s">
        <v>400</v>
      </c>
      <c r="O685" s="185" t="s">
        <v>309</v>
      </c>
      <c r="P685" s="185"/>
      <c r="Q685" s="185"/>
      <c r="R685" s="185" t="s">
        <v>381</v>
      </c>
      <c r="S685" s="185" t="s">
        <v>295</v>
      </c>
      <c r="T685" s="217" t="s">
        <v>379</v>
      </c>
    </row>
    <row r="686" spans="1:20" outlineLevel="1">
      <c r="A686" s="199" t="s">
        <v>273</v>
      </c>
      <c r="B686" s="181" t="s">
        <v>1566</v>
      </c>
      <c r="C686" s="190">
        <v>43677</v>
      </c>
      <c r="D686" s="199" t="s">
        <v>2311</v>
      </c>
      <c r="E686" s="182" t="s">
        <v>1264</v>
      </c>
      <c r="F686" s="183">
        <v>76665</v>
      </c>
      <c r="G686" s="184">
        <v>4.57</v>
      </c>
      <c r="H686" s="181">
        <v>5.8</v>
      </c>
      <c r="I686" s="181" t="s">
        <v>292</v>
      </c>
      <c r="J686" s="191">
        <v>5.1100000000000003</v>
      </c>
      <c r="K686" s="191">
        <v>5.8</v>
      </c>
      <c r="L686" s="199" t="s">
        <v>380</v>
      </c>
      <c r="M686" s="211" t="s">
        <v>1693</v>
      </c>
      <c r="N686" s="185" t="s">
        <v>396</v>
      </c>
      <c r="O686" s="185" t="s">
        <v>309</v>
      </c>
      <c r="P686" s="185"/>
      <c r="Q686" s="185"/>
      <c r="R686" s="185" t="s">
        <v>381</v>
      </c>
      <c r="S686" s="185" t="s">
        <v>295</v>
      </c>
      <c r="T686" s="217" t="s">
        <v>379</v>
      </c>
    </row>
    <row r="687" spans="1:20" outlineLevel="1">
      <c r="A687" s="199" t="s">
        <v>273</v>
      </c>
      <c r="B687" s="181" t="s">
        <v>1566</v>
      </c>
      <c r="C687" s="190">
        <v>43677</v>
      </c>
      <c r="D687" s="199" t="s">
        <v>2311</v>
      </c>
      <c r="E687" s="182" t="s">
        <v>2312</v>
      </c>
      <c r="F687" s="183">
        <v>76665</v>
      </c>
      <c r="G687" s="184">
        <v>110.05</v>
      </c>
      <c r="H687" s="181">
        <v>139.76</v>
      </c>
      <c r="I687" s="181" t="s">
        <v>292</v>
      </c>
      <c r="J687" s="191">
        <v>123.06</v>
      </c>
      <c r="K687" s="191">
        <v>139.76</v>
      </c>
      <c r="L687" s="199" t="s">
        <v>380</v>
      </c>
      <c r="M687" s="211" t="s">
        <v>1693</v>
      </c>
      <c r="N687" s="185" t="s">
        <v>396</v>
      </c>
      <c r="O687" s="185" t="s">
        <v>309</v>
      </c>
      <c r="P687" s="185"/>
      <c r="Q687" s="185"/>
      <c r="R687" s="185" t="s">
        <v>381</v>
      </c>
      <c r="S687" s="185" t="s">
        <v>295</v>
      </c>
      <c r="T687" s="217" t="s">
        <v>379</v>
      </c>
    </row>
    <row r="688" spans="1:20" outlineLevel="1">
      <c r="A688" s="199" t="s">
        <v>273</v>
      </c>
      <c r="B688" s="181" t="s">
        <v>1566</v>
      </c>
      <c r="C688" s="190">
        <v>43677</v>
      </c>
      <c r="D688" s="199" t="s">
        <v>2311</v>
      </c>
      <c r="E688" s="182" t="s">
        <v>2313</v>
      </c>
      <c r="F688" s="183">
        <v>76665</v>
      </c>
      <c r="G688" s="184">
        <v>9.14</v>
      </c>
      <c r="H688" s="181">
        <v>11.61</v>
      </c>
      <c r="I688" s="181" t="s">
        <v>292</v>
      </c>
      <c r="J688" s="191">
        <v>10.220000000000001</v>
      </c>
      <c r="K688" s="191">
        <v>11.61</v>
      </c>
      <c r="L688" s="199" t="s">
        <v>380</v>
      </c>
      <c r="M688" s="211" t="s">
        <v>1693</v>
      </c>
      <c r="N688" s="185" t="s">
        <v>396</v>
      </c>
      <c r="O688" s="185" t="s">
        <v>309</v>
      </c>
      <c r="P688" s="185"/>
      <c r="Q688" s="185"/>
      <c r="R688" s="185" t="s">
        <v>381</v>
      </c>
      <c r="S688" s="185" t="s">
        <v>295</v>
      </c>
      <c r="T688" s="217" t="s">
        <v>379</v>
      </c>
    </row>
    <row r="689" spans="1:20" outlineLevel="1">
      <c r="A689" s="199" t="s">
        <v>273</v>
      </c>
      <c r="B689" s="181" t="s">
        <v>1566</v>
      </c>
      <c r="C689" s="190">
        <v>43677</v>
      </c>
      <c r="D689" s="199" t="s">
        <v>2311</v>
      </c>
      <c r="E689" s="182" t="s">
        <v>2314</v>
      </c>
      <c r="F689" s="183">
        <v>76665</v>
      </c>
      <c r="G689" s="184">
        <v>41.47</v>
      </c>
      <c r="H689" s="181">
        <v>52.67</v>
      </c>
      <c r="I689" s="181" t="s">
        <v>292</v>
      </c>
      <c r="J689" s="191">
        <v>46.38</v>
      </c>
      <c r="K689" s="191">
        <v>52.66</v>
      </c>
      <c r="L689" s="199" t="s">
        <v>380</v>
      </c>
      <c r="M689" s="211" t="s">
        <v>1693</v>
      </c>
      <c r="N689" s="185" t="s">
        <v>396</v>
      </c>
      <c r="O689" s="185" t="s">
        <v>309</v>
      </c>
      <c r="P689" s="185"/>
      <c r="Q689" s="185"/>
      <c r="R689" s="185" t="s">
        <v>381</v>
      </c>
      <c r="S689" s="185" t="s">
        <v>295</v>
      </c>
      <c r="T689" s="217" t="s">
        <v>379</v>
      </c>
    </row>
    <row r="690" spans="1:20" outlineLevel="1">
      <c r="A690" s="199" t="s">
        <v>273</v>
      </c>
      <c r="B690" s="181" t="s">
        <v>1566</v>
      </c>
      <c r="C690" s="190">
        <v>43677</v>
      </c>
      <c r="D690" s="199" t="s">
        <v>2311</v>
      </c>
      <c r="E690" s="182" t="s">
        <v>2314</v>
      </c>
      <c r="F690" s="183">
        <v>76665</v>
      </c>
      <c r="G690" s="184">
        <v>39.369999999999997</v>
      </c>
      <c r="H690" s="181">
        <v>50</v>
      </c>
      <c r="I690" s="181" t="s">
        <v>292</v>
      </c>
      <c r="J690" s="191">
        <v>44.03</v>
      </c>
      <c r="K690" s="191">
        <v>50</v>
      </c>
      <c r="L690" s="199" t="s">
        <v>380</v>
      </c>
      <c r="M690" s="211" t="s">
        <v>1693</v>
      </c>
      <c r="N690" s="185" t="s">
        <v>396</v>
      </c>
      <c r="O690" s="185" t="s">
        <v>309</v>
      </c>
      <c r="P690" s="185"/>
      <c r="Q690" s="185"/>
      <c r="R690" s="185" t="s">
        <v>381</v>
      </c>
      <c r="S690" s="185" t="s">
        <v>295</v>
      </c>
      <c r="T690" s="217" t="s">
        <v>379</v>
      </c>
    </row>
    <row r="691" spans="1:20" outlineLevel="1">
      <c r="A691" s="199" t="s">
        <v>273</v>
      </c>
      <c r="B691" s="181" t="s">
        <v>1566</v>
      </c>
      <c r="C691" s="190">
        <v>43677</v>
      </c>
      <c r="D691" s="199" t="s">
        <v>2311</v>
      </c>
      <c r="E691" s="182" t="s">
        <v>2313</v>
      </c>
      <c r="F691" s="183">
        <v>76665</v>
      </c>
      <c r="G691" s="184">
        <v>119.37</v>
      </c>
      <c r="H691" s="181">
        <v>151.59</v>
      </c>
      <c r="I691" s="181" t="s">
        <v>292</v>
      </c>
      <c r="J691" s="191">
        <v>133.47999999999999</v>
      </c>
      <c r="K691" s="191">
        <v>151.59</v>
      </c>
      <c r="L691" s="199" t="s">
        <v>380</v>
      </c>
      <c r="M691" s="211" t="s">
        <v>1693</v>
      </c>
      <c r="N691" s="185" t="s">
        <v>396</v>
      </c>
      <c r="O691" s="185" t="s">
        <v>309</v>
      </c>
      <c r="P691" s="185"/>
      <c r="Q691" s="185"/>
      <c r="R691" s="185" t="s">
        <v>381</v>
      </c>
      <c r="S691" s="185" t="s">
        <v>295</v>
      </c>
      <c r="T691" s="217" t="s">
        <v>379</v>
      </c>
    </row>
    <row r="692" spans="1:20" outlineLevel="1">
      <c r="A692" s="199" t="s">
        <v>273</v>
      </c>
      <c r="B692" s="181" t="s">
        <v>1566</v>
      </c>
      <c r="C692" s="190">
        <v>43677</v>
      </c>
      <c r="D692" s="199" t="s">
        <v>2311</v>
      </c>
      <c r="E692" s="182" t="s">
        <v>2313</v>
      </c>
      <c r="F692" s="183">
        <v>76665</v>
      </c>
      <c r="G692" s="184">
        <v>22.17</v>
      </c>
      <c r="H692" s="181">
        <v>28.16</v>
      </c>
      <c r="I692" s="181" t="s">
        <v>292</v>
      </c>
      <c r="J692" s="191">
        <v>24.8</v>
      </c>
      <c r="K692" s="191">
        <v>28.15</v>
      </c>
      <c r="L692" s="199" t="s">
        <v>380</v>
      </c>
      <c r="M692" s="211" t="s">
        <v>1693</v>
      </c>
      <c r="N692" s="185" t="s">
        <v>396</v>
      </c>
      <c r="O692" s="185" t="s">
        <v>309</v>
      </c>
      <c r="P692" s="185"/>
      <c r="Q692" s="185"/>
      <c r="R692" s="185" t="s">
        <v>381</v>
      </c>
      <c r="S692" s="185" t="s">
        <v>295</v>
      </c>
      <c r="T692" s="217" t="s">
        <v>379</v>
      </c>
    </row>
    <row r="693" spans="1:20" outlineLevel="1">
      <c r="A693" s="199" t="s">
        <v>273</v>
      </c>
      <c r="B693" s="181" t="s">
        <v>1566</v>
      </c>
      <c r="C693" s="190">
        <v>43677</v>
      </c>
      <c r="D693" s="199" t="s">
        <v>2311</v>
      </c>
      <c r="E693" s="182" t="s">
        <v>2313</v>
      </c>
      <c r="F693" s="183">
        <v>76665</v>
      </c>
      <c r="G693" s="184">
        <v>27.75</v>
      </c>
      <c r="H693" s="181">
        <v>35.24</v>
      </c>
      <c r="I693" s="181" t="s">
        <v>292</v>
      </c>
      <c r="J693" s="191">
        <v>31.03</v>
      </c>
      <c r="K693" s="191">
        <v>35.24</v>
      </c>
      <c r="L693" s="199" t="s">
        <v>380</v>
      </c>
      <c r="M693" s="211" t="s">
        <v>1693</v>
      </c>
      <c r="N693" s="185" t="s">
        <v>396</v>
      </c>
      <c r="O693" s="185" t="s">
        <v>309</v>
      </c>
      <c r="P693" s="185"/>
      <c r="Q693" s="185"/>
      <c r="R693" s="185" t="s">
        <v>381</v>
      </c>
      <c r="S693" s="185" t="s">
        <v>295</v>
      </c>
      <c r="T693" s="217" t="s">
        <v>379</v>
      </c>
    </row>
    <row r="694" spans="1:20" outlineLevel="1">
      <c r="A694" s="199" t="s">
        <v>273</v>
      </c>
      <c r="B694" s="181" t="s">
        <v>1566</v>
      </c>
      <c r="C694" s="190">
        <v>43677</v>
      </c>
      <c r="D694" s="199" t="s">
        <v>2311</v>
      </c>
      <c r="E694" s="182" t="s">
        <v>2315</v>
      </c>
      <c r="F694" s="183">
        <v>76665</v>
      </c>
      <c r="G694" s="184">
        <v>1.95</v>
      </c>
      <c r="H694" s="181">
        <v>2.48</v>
      </c>
      <c r="I694" s="181" t="s">
        <v>292</v>
      </c>
      <c r="J694" s="191">
        <v>2.1800000000000002</v>
      </c>
      <c r="K694" s="191">
        <v>2.48</v>
      </c>
      <c r="L694" s="199" t="s">
        <v>380</v>
      </c>
      <c r="M694" s="211" t="s">
        <v>1693</v>
      </c>
      <c r="N694" s="185" t="s">
        <v>396</v>
      </c>
      <c r="O694" s="185" t="s">
        <v>309</v>
      </c>
      <c r="P694" s="185"/>
      <c r="Q694" s="185"/>
      <c r="R694" s="185" t="s">
        <v>381</v>
      </c>
      <c r="S694" s="185" t="s">
        <v>295</v>
      </c>
      <c r="T694" s="217" t="s">
        <v>379</v>
      </c>
    </row>
    <row r="695" spans="1:20" outlineLevel="1">
      <c r="A695" s="199" t="s">
        <v>273</v>
      </c>
      <c r="B695" s="181" t="s">
        <v>1566</v>
      </c>
      <c r="C695" s="190">
        <v>43677</v>
      </c>
      <c r="D695" s="199" t="s">
        <v>2311</v>
      </c>
      <c r="E695" s="182" t="s">
        <v>2316</v>
      </c>
      <c r="F695" s="183">
        <v>76665</v>
      </c>
      <c r="G695" s="184">
        <v>12.22</v>
      </c>
      <c r="H695" s="181">
        <v>15.52</v>
      </c>
      <c r="I695" s="181" t="s">
        <v>292</v>
      </c>
      <c r="J695" s="191">
        <v>13.67</v>
      </c>
      <c r="K695" s="191">
        <v>15.52</v>
      </c>
      <c r="L695" s="199" t="s">
        <v>380</v>
      </c>
      <c r="M695" s="211" t="s">
        <v>1693</v>
      </c>
      <c r="N695" s="185" t="s">
        <v>396</v>
      </c>
      <c r="O695" s="185" t="s">
        <v>309</v>
      </c>
      <c r="P695" s="185"/>
      <c r="Q695" s="185"/>
      <c r="R695" s="185" t="s">
        <v>381</v>
      </c>
      <c r="S695" s="185" t="s">
        <v>295</v>
      </c>
      <c r="T695" s="217" t="s">
        <v>379</v>
      </c>
    </row>
    <row r="696" spans="1:20" outlineLevel="1">
      <c r="A696" s="199" t="s">
        <v>273</v>
      </c>
      <c r="B696" s="181" t="s">
        <v>1575</v>
      </c>
      <c r="C696" s="190">
        <v>43707</v>
      </c>
      <c r="D696" s="199" t="s">
        <v>2317</v>
      </c>
      <c r="E696" s="182" t="s">
        <v>1264</v>
      </c>
      <c r="F696" s="183">
        <v>76932</v>
      </c>
      <c r="G696" s="184">
        <v>4.75</v>
      </c>
      <c r="H696" s="181">
        <v>5.8</v>
      </c>
      <c r="I696" s="181" t="s">
        <v>292</v>
      </c>
      <c r="J696" s="191">
        <v>5.18</v>
      </c>
      <c r="K696" s="191">
        <v>5.8</v>
      </c>
      <c r="L696" s="199" t="s">
        <v>380</v>
      </c>
      <c r="M696" s="211" t="s">
        <v>1693</v>
      </c>
      <c r="N696" s="185" t="s">
        <v>396</v>
      </c>
      <c r="O696" s="185" t="s">
        <v>309</v>
      </c>
      <c r="P696" s="185"/>
      <c r="Q696" s="185"/>
      <c r="R696" s="185" t="s">
        <v>381</v>
      </c>
      <c r="S696" s="185" t="s">
        <v>295</v>
      </c>
      <c r="T696" s="217" t="s">
        <v>379</v>
      </c>
    </row>
    <row r="697" spans="1:20" outlineLevel="1">
      <c r="A697" s="199" t="s">
        <v>273</v>
      </c>
      <c r="B697" s="181" t="s">
        <v>1575</v>
      </c>
      <c r="C697" s="190">
        <v>43707</v>
      </c>
      <c r="D697" s="199" t="s">
        <v>2317</v>
      </c>
      <c r="E697" s="182" t="s">
        <v>2318</v>
      </c>
      <c r="F697" s="183">
        <v>76932</v>
      </c>
      <c r="G697" s="184">
        <v>5.34</v>
      </c>
      <c r="H697" s="181">
        <v>6.52</v>
      </c>
      <c r="I697" s="181" t="s">
        <v>292</v>
      </c>
      <c r="J697" s="191">
        <v>5.82</v>
      </c>
      <c r="K697" s="191">
        <v>6.52</v>
      </c>
      <c r="L697" s="199" t="s">
        <v>380</v>
      </c>
      <c r="M697" s="211" t="s">
        <v>1693</v>
      </c>
      <c r="N697" s="185" t="s">
        <v>396</v>
      </c>
      <c r="O697" s="185" t="s">
        <v>309</v>
      </c>
      <c r="P697" s="185"/>
      <c r="Q697" s="185"/>
      <c r="R697" s="185" t="s">
        <v>381</v>
      </c>
      <c r="S697" s="185" t="s">
        <v>295</v>
      </c>
      <c r="T697" s="217" t="s">
        <v>379</v>
      </c>
    </row>
    <row r="698" spans="1:20" outlineLevel="1">
      <c r="A698" s="199" t="s">
        <v>273</v>
      </c>
      <c r="B698" s="181" t="s">
        <v>1575</v>
      </c>
      <c r="C698" s="190">
        <v>43707</v>
      </c>
      <c r="D698" s="199" t="s">
        <v>2317</v>
      </c>
      <c r="E698" s="182" t="s">
        <v>2319</v>
      </c>
      <c r="F698" s="183">
        <v>76932</v>
      </c>
      <c r="G698" s="184">
        <v>33.130000000000003</v>
      </c>
      <c r="H698" s="181">
        <v>40.479999999999997</v>
      </c>
      <c r="I698" s="181" t="s">
        <v>292</v>
      </c>
      <c r="J698" s="191">
        <v>36.15</v>
      </c>
      <c r="K698" s="191">
        <v>40.479999999999997</v>
      </c>
      <c r="L698" s="199" t="s">
        <v>380</v>
      </c>
      <c r="M698" s="211" t="s">
        <v>1693</v>
      </c>
      <c r="N698" s="185" t="s">
        <v>396</v>
      </c>
      <c r="O698" s="185" t="s">
        <v>309</v>
      </c>
      <c r="P698" s="185"/>
      <c r="Q698" s="185"/>
      <c r="R698" s="185" t="s">
        <v>381</v>
      </c>
      <c r="S698" s="185" t="s">
        <v>295</v>
      </c>
      <c r="T698" s="217" t="s">
        <v>379</v>
      </c>
    </row>
    <row r="699" spans="1:20" outlineLevel="1">
      <c r="A699" s="199" t="s">
        <v>273</v>
      </c>
      <c r="B699" s="181" t="s">
        <v>1575</v>
      </c>
      <c r="C699" s="190">
        <v>43707</v>
      </c>
      <c r="D699" s="199" t="s">
        <v>2317</v>
      </c>
      <c r="E699" s="182" t="s">
        <v>2319</v>
      </c>
      <c r="F699" s="183">
        <v>76932</v>
      </c>
      <c r="G699" s="184">
        <v>19</v>
      </c>
      <c r="H699" s="181">
        <v>23.22</v>
      </c>
      <c r="I699" s="181" t="s">
        <v>292</v>
      </c>
      <c r="J699" s="191">
        <v>20.74</v>
      </c>
      <c r="K699" s="191">
        <v>23.21</v>
      </c>
      <c r="L699" s="199" t="s">
        <v>380</v>
      </c>
      <c r="M699" s="211" t="s">
        <v>1693</v>
      </c>
      <c r="N699" s="185" t="s">
        <v>396</v>
      </c>
      <c r="O699" s="185" t="s">
        <v>309</v>
      </c>
      <c r="P699" s="185"/>
      <c r="Q699" s="185"/>
      <c r="R699" s="185" t="s">
        <v>381</v>
      </c>
      <c r="S699" s="185" t="s">
        <v>295</v>
      </c>
      <c r="T699" s="217" t="s">
        <v>379</v>
      </c>
    </row>
    <row r="700" spans="1:20" outlineLevel="1">
      <c r="A700" s="199" t="s">
        <v>273</v>
      </c>
      <c r="B700" s="181" t="s">
        <v>1575</v>
      </c>
      <c r="C700" s="190">
        <v>43707</v>
      </c>
      <c r="D700" s="199" t="s">
        <v>2317</v>
      </c>
      <c r="E700" s="182" t="s">
        <v>2319</v>
      </c>
      <c r="F700" s="183">
        <v>76932</v>
      </c>
      <c r="G700" s="184">
        <v>4.41</v>
      </c>
      <c r="H700" s="181">
        <v>5.39</v>
      </c>
      <c r="I700" s="181" t="s">
        <v>292</v>
      </c>
      <c r="J700" s="191">
        <v>4.8099999999999996</v>
      </c>
      <c r="K700" s="191">
        <v>5.39</v>
      </c>
      <c r="L700" s="199" t="s">
        <v>380</v>
      </c>
      <c r="M700" s="211" t="s">
        <v>1693</v>
      </c>
      <c r="N700" s="185" t="s">
        <v>396</v>
      </c>
      <c r="O700" s="185" t="s">
        <v>309</v>
      </c>
      <c r="P700" s="185"/>
      <c r="Q700" s="185"/>
      <c r="R700" s="185" t="s">
        <v>381</v>
      </c>
      <c r="S700" s="185" t="s">
        <v>295</v>
      </c>
      <c r="T700" s="217" t="s">
        <v>379</v>
      </c>
    </row>
    <row r="701" spans="1:20" outlineLevel="1">
      <c r="A701" s="199" t="s">
        <v>273</v>
      </c>
      <c r="B701" s="181" t="s">
        <v>1575</v>
      </c>
      <c r="C701" s="190">
        <v>43707</v>
      </c>
      <c r="D701" s="199" t="s">
        <v>2317</v>
      </c>
      <c r="E701" s="182" t="s">
        <v>2320</v>
      </c>
      <c r="F701" s="183">
        <v>76932</v>
      </c>
      <c r="G701" s="184">
        <v>0.56999999999999995</v>
      </c>
      <c r="H701" s="181">
        <v>0.7</v>
      </c>
      <c r="I701" s="181" t="s">
        <v>292</v>
      </c>
      <c r="J701" s="191">
        <v>0.63</v>
      </c>
      <c r="K701" s="191">
        <v>0.7</v>
      </c>
      <c r="L701" s="199" t="s">
        <v>380</v>
      </c>
      <c r="M701" s="211" t="s">
        <v>1693</v>
      </c>
      <c r="N701" s="185" t="s">
        <v>396</v>
      </c>
      <c r="O701" s="185" t="s">
        <v>309</v>
      </c>
      <c r="P701" s="185"/>
      <c r="Q701" s="185"/>
      <c r="R701" s="185" t="s">
        <v>381</v>
      </c>
      <c r="S701" s="185" t="s">
        <v>295</v>
      </c>
      <c r="T701" s="217" t="s">
        <v>379</v>
      </c>
    </row>
    <row r="702" spans="1:20" outlineLevel="1">
      <c r="A702" s="199" t="s">
        <v>273</v>
      </c>
      <c r="B702" s="181" t="s">
        <v>1575</v>
      </c>
      <c r="C702" s="190">
        <v>43707</v>
      </c>
      <c r="D702" s="199" t="s">
        <v>2317</v>
      </c>
      <c r="E702" s="182" t="s">
        <v>2320</v>
      </c>
      <c r="F702" s="183">
        <v>76932</v>
      </c>
      <c r="G702" s="184">
        <v>5.91</v>
      </c>
      <c r="H702" s="181">
        <v>7.22</v>
      </c>
      <c r="I702" s="181" t="s">
        <v>292</v>
      </c>
      <c r="J702" s="191">
        <v>6.45</v>
      </c>
      <c r="K702" s="191">
        <v>7.22</v>
      </c>
      <c r="L702" s="199" t="s">
        <v>380</v>
      </c>
      <c r="M702" s="211" t="s">
        <v>1693</v>
      </c>
      <c r="N702" s="185" t="s">
        <v>396</v>
      </c>
      <c r="O702" s="185" t="s">
        <v>309</v>
      </c>
      <c r="P702" s="185"/>
      <c r="Q702" s="185"/>
      <c r="R702" s="185" t="s">
        <v>381</v>
      </c>
      <c r="S702" s="185" t="s">
        <v>295</v>
      </c>
      <c r="T702" s="217" t="s">
        <v>379</v>
      </c>
    </row>
    <row r="703" spans="1:20" outlineLevel="1">
      <c r="A703" s="199" t="s">
        <v>273</v>
      </c>
      <c r="B703" s="181" t="s">
        <v>1575</v>
      </c>
      <c r="C703" s="190">
        <v>43707</v>
      </c>
      <c r="D703" s="199" t="s">
        <v>2317</v>
      </c>
      <c r="E703" s="182" t="s">
        <v>2320</v>
      </c>
      <c r="F703" s="183">
        <v>76932</v>
      </c>
      <c r="G703" s="184">
        <v>0.94</v>
      </c>
      <c r="H703" s="181">
        <v>1.1499999999999999</v>
      </c>
      <c r="I703" s="181" t="s">
        <v>292</v>
      </c>
      <c r="J703" s="191">
        <v>1.03</v>
      </c>
      <c r="K703" s="191">
        <v>1.1499999999999999</v>
      </c>
      <c r="L703" s="199" t="s">
        <v>380</v>
      </c>
      <c r="M703" s="211" t="s">
        <v>1693</v>
      </c>
      <c r="N703" s="185" t="s">
        <v>396</v>
      </c>
      <c r="O703" s="185" t="s">
        <v>309</v>
      </c>
      <c r="P703" s="185"/>
      <c r="Q703" s="185"/>
      <c r="R703" s="185" t="s">
        <v>381</v>
      </c>
      <c r="S703" s="185" t="s">
        <v>295</v>
      </c>
      <c r="T703" s="217" t="s">
        <v>379</v>
      </c>
    </row>
    <row r="704" spans="1:20" outlineLevel="1">
      <c r="A704" s="199" t="s">
        <v>273</v>
      </c>
      <c r="B704" s="181" t="s">
        <v>1575</v>
      </c>
      <c r="C704" s="190">
        <v>43707</v>
      </c>
      <c r="D704" s="199" t="s">
        <v>2317</v>
      </c>
      <c r="E704" s="182" t="s">
        <v>2320</v>
      </c>
      <c r="F704" s="183">
        <v>76932</v>
      </c>
      <c r="G704" s="184">
        <v>6.1</v>
      </c>
      <c r="H704" s="181">
        <v>7.45</v>
      </c>
      <c r="I704" s="181" t="s">
        <v>292</v>
      </c>
      <c r="J704" s="191">
        <v>6.65</v>
      </c>
      <c r="K704" s="191">
        <v>7.45</v>
      </c>
      <c r="L704" s="199" t="s">
        <v>380</v>
      </c>
      <c r="M704" s="211" t="s">
        <v>1693</v>
      </c>
      <c r="N704" s="185" t="s">
        <v>396</v>
      </c>
      <c r="O704" s="185" t="s">
        <v>309</v>
      </c>
      <c r="P704" s="185"/>
      <c r="Q704" s="185"/>
      <c r="R704" s="185" t="s">
        <v>381</v>
      </c>
      <c r="S704" s="185" t="s">
        <v>295</v>
      </c>
      <c r="T704" s="217" t="s">
        <v>379</v>
      </c>
    </row>
    <row r="705" spans="1:20" outlineLevel="1">
      <c r="A705" s="199" t="s">
        <v>273</v>
      </c>
      <c r="B705" s="181" t="s">
        <v>1575</v>
      </c>
      <c r="C705" s="190">
        <v>43707</v>
      </c>
      <c r="D705" s="199" t="s">
        <v>2317</v>
      </c>
      <c r="E705" s="182" t="s">
        <v>2319</v>
      </c>
      <c r="F705" s="183">
        <v>76932</v>
      </c>
      <c r="G705" s="184">
        <v>50.19</v>
      </c>
      <c r="H705" s="181">
        <v>61.32</v>
      </c>
      <c r="I705" s="181" t="s">
        <v>292</v>
      </c>
      <c r="J705" s="191">
        <v>54.76</v>
      </c>
      <c r="K705" s="191">
        <v>61.32</v>
      </c>
      <c r="L705" s="199" t="s">
        <v>380</v>
      </c>
      <c r="M705" s="211" t="s">
        <v>1693</v>
      </c>
      <c r="N705" s="185" t="s">
        <v>396</v>
      </c>
      <c r="O705" s="185" t="s">
        <v>309</v>
      </c>
      <c r="P705" s="185"/>
      <c r="Q705" s="185"/>
      <c r="R705" s="185" t="s">
        <v>381</v>
      </c>
      <c r="S705" s="185" t="s">
        <v>295</v>
      </c>
      <c r="T705" s="217" t="s">
        <v>379</v>
      </c>
    </row>
    <row r="706" spans="1:20" outlineLevel="1">
      <c r="A706" s="199" t="s">
        <v>273</v>
      </c>
      <c r="B706" s="181" t="s">
        <v>1575</v>
      </c>
      <c r="C706" s="190">
        <v>43707</v>
      </c>
      <c r="D706" s="199" t="s">
        <v>2317</v>
      </c>
      <c r="E706" s="182" t="s">
        <v>2320</v>
      </c>
      <c r="F706" s="183">
        <v>76932</v>
      </c>
      <c r="G706" s="184">
        <v>2.2799999999999998</v>
      </c>
      <c r="H706" s="181">
        <v>2.78</v>
      </c>
      <c r="I706" s="181" t="s">
        <v>292</v>
      </c>
      <c r="J706" s="191">
        <v>2.48</v>
      </c>
      <c r="K706" s="191">
        <v>2.79</v>
      </c>
      <c r="L706" s="199" t="s">
        <v>380</v>
      </c>
      <c r="M706" s="211" t="s">
        <v>1693</v>
      </c>
      <c r="N706" s="185" t="s">
        <v>396</v>
      </c>
      <c r="O706" s="185" t="s">
        <v>309</v>
      </c>
      <c r="P706" s="185"/>
      <c r="Q706" s="185"/>
      <c r="R706" s="185" t="s">
        <v>381</v>
      </c>
      <c r="S706" s="185" t="s">
        <v>295</v>
      </c>
      <c r="T706" s="217" t="s">
        <v>379</v>
      </c>
    </row>
    <row r="707" spans="1:20" outlineLevel="1">
      <c r="A707" s="199" t="s">
        <v>273</v>
      </c>
      <c r="B707" s="181" t="s">
        <v>1575</v>
      </c>
      <c r="C707" s="190">
        <v>43707</v>
      </c>
      <c r="D707" s="199" t="s">
        <v>2317</v>
      </c>
      <c r="E707" s="182" t="s">
        <v>2320</v>
      </c>
      <c r="F707" s="183">
        <v>76932</v>
      </c>
      <c r="G707" s="184">
        <v>1.42</v>
      </c>
      <c r="H707" s="181">
        <v>1.74</v>
      </c>
      <c r="I707" s="181" t="s">
        <v>292</v>
      </c>
      <c r="J707" s="191">
        <v>1.55</v>
      </c>
      <c r="K707" s="191">
        <v>1.73</v>
      </c>
      <c r="L707" s="199" t="s">
        <v>380</v>
      </c>
      <c r="M707" s="211" t="s">
        <v>1693</v>
      </c>
      <c r="N707" s="185" t="s">
        <v>396</v>
      </c>
      <c r="O707" s="185" t="s">
        <v>309</v>
      </c>
      <c r="P707" s="185"/>
      <c r="Q707" s="185"/>
      <c r="R707" s="185" t="s">
        <v>381</v>
      </c>
      <c r="S707" s="185" t="s">
        <v>295</v>
      </c>
      <c r="T707" s="217" t="s">
        <v>379</v>
      </c>
    </row>
    <row r="708" spans="1:20" outlineLevel="1">
      <c r="A708" s="199" t="s">
        <v>273</v>
      </c>
      <c r="B708" s="181" t="s">
        <v>1575</v>
      </c>
      <c r="C708" s="190">
        <v>43707</v>
      </c>
      <c r="D708" s="199" t="s">
        <v>2317</v>
      </c>
      <c r="E708" s="182" t="s">
        <v>2320</v>
      </c>
      <c r="F708" s="183">
        <v>76932</v>
      </c>
      <c r="G708" s="184">
        <v>50.91</v>
      </c>
      <c r="H708" s="181">
        <v>62.2</v>
      </c>
      <c r="I708" s="181" t="s">
        <v>292</v>
      </c>
      <c r="J708" s="191">
        <v>55.55</v>
      </c>
      <c r="K708" s="191">
        <v>62.2</v>
      </c>
      <c r="L708" s="199" t="s">
        <v>380</v>
      </c>
      <c r="M708" s="211" t="s">
        <v>1693</v>
      </c>
      <c r="N708" s="185" t="s">
        <v>396</v>
      </c>
      <c r="O708" s="185" t="s">
        <v>309</v>
      </c>
      <c r="P708" s="185"/>
      <c r="Q708" s="185"/>
      <c r="R708" s="185" t="s">
        <v>381</v>
      </c>
      <c r="S708" s="185" t="s">
        <v>295</v>
      </c>
      <c r="T708" s="217" t="s">
        <v>379</v>
      </c>
    </row>
    <row r="709" spans="1:20" outlineLevel="1">
      <c r="A709" s="199" t="s">
        <v>273</v>
      </c>
      <c r="B709" s="181" t="s">
        <v>1575</v>
      </c>
      <c r="C709" s="190">
        <v>43707</v>
      </c>
      <c r="D709" s="199" t="s">
        <v>2317</v>
      </c>
      <c r="E709" s="182" t="s">
        <v>2319</v>
      </c>
      <c r="F709" s="183">
        <v>76932</v>
      </c>
      <c r="G709" s="184">
        <v>38.97</v>
      </c>
      <c r="H709" s="181">
        <v>47.61</v>
      </c>
      <c r="I709" s="181" t="s">
        <v>292</v>
      </c>
      <c r="J709" s="191">
        <v>42.52</v>
      </c>
      <c r="K709" s="191">
        <v>47.61</v>
      </c>
      <c r="L709" s="199" t="s">
        <v>380</v>
      </c>
      <c r="M709" s="211" t="s">
        <v>1693</v>
      </c>
      <c r="N709" s="185" t="s">
        <v>396</v>
      </c>
      <c r="O709" s="185" t="s">
        <v>309</v>
      </c>
      <c r="P709" s="185"/>
      <c r="Q709" s="185"/>
      <c r="R709" s="185" t="s">
        <v>381</v>
      </c>
      <c r="S709" s="185" t="s">
        <v>295</v>
      </c>
      <c r="T709" s="217" t="s">
        <v>379</v>
      </c>
    </row>
    <row r="710" spans="1:20" outlineLevel="1">
      <c r="A710" s="199" t="s">
        <v>273</v>
      </c>
      <c r="B710" s="181" t="s">
        <v>1575</v>
      </c>
      <c r="C710" s="190">
        <v>43707</v>
      </c>
      <c r="D710" s="199" t="s">
        <v>2317</v>
      </c>
      <c r="E710" s="182" t="s">
        <v>2320</v>
      </c>
      <c r="F710" s="183">
        <v>76932</v>
      </c>
      <c r="G710" s="184">
        <v>4.13</v>
      </c>
      <c r="H710" s="181">
        <v>5.04</v>
      </c>
      <c r="I710" s="181" t="s">
        <v>292</v>
      </c>
      <c r="J710" s="191">
        <v>4.5</v>
      </c>
      <c r="K710" s="191">
        <v>5.05</v>
      </c>
      <c r="L710" s="199" t="s">
        <v>380</v>
      </c>
      <c r="M710" s="211" t="s">
        <v>1693</v>
      </c>
      <c r="N710" s="185" t="s">
        <v>396</v>
      </c>
      <c r="O710" s="185" t="s">
        <v>309</v>
      </c>
      <c r="P710" s="185"/>
      <c r="Q710" s="185"/>
      <c r="R710" s="185" t="s">
        <v>381</v>
      </c>
      <c r="S710" s="185" t="s">
        <v>295</v>
      </c>
      <c r="T710" s="217" t="s">
        <v>379</v>
      </c>
    </row>
    <row r="711" spans="1:20" outlineLevel="1">
      <c r="A711" s="199" t="s">
        <v>273</v>
      </c>
      <c r="B711" s="181" t="s">
        <v>1575</v>
      </c>
      <c r="C711" s="190">
        <v>43707</v>
      </c>
      <c r="D711" s="199" t="s">
        <v>2317</v>
      </c>
      <c r="E711" s="182" t="s">
        <v>2320</v>
      </c>
      <c r="F711" s="183">
        <v>76932</v>
      </c>
      <c r="G711" s="184">
        <v>27.67</v>
      </c>
      <c r="H711" s="181">
        <v>33.81</v>
      </c>
      <c r="I711" s="181" t="s">
        <v>292</v>
      </c>
      <c r="J711" s="191">
        <v>30.19</v>
      </c>
      <c r="K711" s="191">
        <v>33.81</v>
      </c>
      <c r="L711" s="199" t="s">
        <v>380</v>
      </c>
      <c r="M711" s="211" t="s">
        <v>1693</v>
      </c>
      <c r="N711" s="185" t="s">
        <v>396</v>
      </c>
      <c r="O711" s="185" t="s">
        <v>309</v>
      </c>
      <c r="P711" s="185"/>
      <c r="Q711" s="185"/>
      <c r="R711" s="185" t="s">
        <v>381</v>
      </c>
      <c r="S711" s="185" t="s">
        <v>295</v>
      </c>
      <c r="T711" s="217" t="s">
        <v>379</v>
      </c>
    </row>
    <row r="712" spans="1:20" outlineLevel="1">
      <c r="A712" s="199" t="s">
        <v>273</v>
      </c>
      <c r="B712" s="181" t="s">
        <v>1575</v>
      </c>
      <c r="C712" s="190">
        <v>43707</v>
      </c>
      <c r="D712" s="199" t="s">
        <v>2317</v>
      </c>
      <c r="E712" s="182" t="s">
        <v>2320</v>
      </c>
      <c r="F712" s="183">
        <v>76932</v>
      </c>
      <c r="G712" s="184">
        <v>3.85</v>
      </c>
      <c r="H712" s="181">
        <v>4.7</v>
      </c>
      <c r="I712" s="181" t="s">
        <v>292</v>
      </c>
      <c r="J712" s="191">
        <v>4.2</v>
      </c>
      <c r="K712" s="191">
        <v>4.7</v>
      </c>
      <c r="L712" s="199" t="s">
        <v>380</v>
      </c>
      <c r="M712" s="211" t="s">
        <v>1693</v>
      </c>
      <c r="N712" s="185" t="s">
        <v>396</v>
      </c>
      <c r="O712" s="185" t="s">
        <v>309</v>
      </c>
      <c r="P712" s="185"/>
      <c r="Q712" s="185"/>
      <c r="R712" s="185" t="s">
        <v>381</v>
      </c>
      <c r="S712" s="185" t="s">
        <v>295</v>
      </c>
      <c r="T712" s="217" t="s">
        <v>379</v>
      </c>
    </row>
    <row r="713" spans="1:20" outlineLevel="1">
      <c r="A713" s="199" t="s">
        <v>273</v>
      </c>
      <c r="B713" s="181" t="s">
        <v>1575</v>
      </c>
      <c r="C713" s="190">
        <v>43708</v>
      </c>
      <c r="D713" s="199" t="s">
        <v>2321</v>
      </c>
      <c r="E713" s="182" t="s">
        <v>2322</v>
      </c>
      <c r="F713" s="183">
        <v>76927</v>
      </c>
      <c r="G713" s="184">
        <v>47.39</v>
      </c>
      <c r="H713" s="181">
        <v>57.9</v>
      </c>
      <c r="I713" s="181" t="s">
        <v>292</v>
      </c>
      <c r="J713" s="191">
        <v>51.71</v>
      </c>
      <c r="K713" s="191">
        <v>57.9</v>
      </c>
      <c r="L713" s="199" t="s">
        <v>380</v>
      </c>
      <c r="M713" s="211" t="s">
        <v>1693</v>
      </c>
      <c r="N713" s="185" t="s">
        <v>400</v>
      </c>
      <c r="O713" s="185" t="s">
        <v>309</v>
      </c>
      <c r="P713" s="185"/>
      <c r="Q713" s="185"/>
      <c r="R713" s="185" t="s">
        <v>381</v>
      </c>
      <c r="S713" s="185" t="s">
        <v>295</v>
      </c>
      <c r="T713" s="217" t="s">
        <v>379</v>
      </c>
    </row>
    <row r="714" spans="1:20" outlineLevel="1">
      <c r="A714" s="199" t="s">
        <v>273</v>
      </c>
      <c r="B714" s="181" t="s">
        <v>1575</v>
      </c>
      <c r="C714" s="190">
        <v>43708</v>
      </c>
      <c r="D714" s="199" t="s">
        <v>2321</v>
      </c>
      <c r="E714" s="182" t="s">
        <v>2323</v>
      </c>
      <c r="F714" s="183">
        <v>76927</v>
      </c>
      <c r="G714" s="184">
        <v>7.59</v>
      </c>
      <c r="H714" s="181">
        <v>9.27</v>
      </c>
      <c r="I714" s="181" t="s">
        <v>292</v>
      </c>
      <c r="J714" s="191">
        <v>8.2799999999999994</v>
      </c>
      <c r="K714" s="191">
        <v>9.27</v>
      </c>
      <c r="L714" s="199" t="s">
        <v>380</v>
      </c>
      <c r="M714" s="211" t="s">
        <v>1693</v>
      </c>
      <c r="N714" s="185" t="s">
        <v>400</v>
      </c>
      <c r="O714" s="185" t="s">
        <v>309</v>
      </c>
      <c r="P714" s="185"/>
      <c r="Q714" s="185"/>
      <c r="R714" s="185" t="s">
        <v>381</v>
      </c>
      <c r="S714" s="185" t="s">
        <v>295</v>
      </c>
      <c r="T714" s="217" t="s">
        <v>379</v>
      </c>
    </row>
    <row r="715" spans="1:20" outlineLevel="1">
      <c r="A715" s="199" t="s">
        <v>273</v>
      </c>
      <c r="B715" s="181" t="s">
        <v>1575</v>
      </c>
      <c r="C715" s="190">
        <v>43708</v>
      </c>
      <c r="D715" s="199" t="s">
        <v>2321</v>
      </c>
      <c r="E715" s="182" t="s">
        <v>2324</v>
      </c>
      <c r="F715" s="183">
        <v>76927</v>
      </c>
      <c r="G715" s="184">
        <v>3.8</v>
      </c>
      <c r="H715" s="181">
        <v>4.6399999999999997</v>
      </c>
      <c r="I715" s="181" t="s">
        <v>292</v>
      </c>
      <c r="J715" s="191">
        <v>4.1399999999999997</v>
      </c>
      <c r="K715" s="191">
        <v>4.6399999999999997</v>
      </c>
      <c r="L715" s="199" t="s">
        <v>380</v>
      </c>
      <c r="M715" s="211" t="s">
        <v>1693</v>
      </c>
      <c r="N715" s="185" t="s">
        <v>400</v>
      </c>
      <c r="O715" s="185" t="s">
        <v>309</v>
      </c>
      <c r="P715" s="185"/>
      <c r="Q715" s="185"/>
      <c r="R715" s="185" t="s">
        <v>381</v>
      </c>
      <c r="S715" s="185" t="s">
        <v>295</v>
      </c>
      <c r="T715" s="217" t="s">
        <v>379</v>
      </c>
    </row>
    <row r="716" spans="1:20" outlineLevel="1">
      <c r="A716" s="199" t="s">
        <v>273</v>
      </c>
      <c r="B716" s="181" t="s">
        <v>1575</v>
      </c>
      <c r="C716" s="190">
        <v>43708</v>
      </c>
      <c r="D716" s="199" t="s">
        <v>2321</v>
      </c>
      <c r="E716" s="182" t="s">
        <v>2324</v>
      </c>
      <c r="F716" s="183">
        <v>76927</v>
      </c>
      <c r="G716" s="184">
        <v>10.23</v>
      </c>
      <c r="H716" s="181">
        <v>12.5</v>
      </c>
      <c r="I716" s="181" t="s">
        <v>292</v>
      </c>
      <c r="J716" s="191">
        <v>11.16</v>
      </c>
      <c r="K716" s="191">
        <v>12.5</v>
      </c>
      <c r="L716" s="199" t="s">
        <v>380</v>
      </c>
      <c r="M716" s="211" t="s">
        <v>1693</v>
      </c>
      <c r="N716" s="185" t="s">
        <v>400</v>
      </c>
      <c r="O716" s="185" t="s">
        <v>309</v>
      </c>
      <c r="P716" s="185"/>
      <c r="Q716" s="185"/>
      <c r="R716" s="185" t="s">
        <v>381</v>
      </c>
      <c r="S716" s="185" t="s">
        <v>295</v>
      </c>
      <c r="T716" s="217" t="s">
        <v>379</v>
      </c>
    </row>
    <row r="717" spans="1:20" outlineLevel="1">
      <c r="A717" s="199" t="s">
        <v>273</v>
      </c>
      <c r="B717" s="181" t="s">
        <v>1575</v>
      </c>
      <c r="C717" s="190">
        <v>43708</v>
      </c>
      <c r="D717" s="199" t="s">
        <v>2321</v>
      </c>
      <c r="E717" s="182" t="s">
        <v>2308</v>
      </c>
      <c r="F717" s="183">
        <v>76927</v>
      </c>
      <c r="G717" s="184">
        <v>1.19</v>
      </c>
      <c r="H717" s="181">
        <v>1.45</v>
      </c>
      <c r="I717" s="181" t="s">
        <v>292</v>
      </c>
      <c r="J717" s="191">
        <v>1.29</v>
      </c>
      <c r="K717" s="191">
        <v>1.45</v>
      </c>
      <c r="L717" s="199" t="s">
        <v>380</v>
      </c>
      <c r="M717" s="211" t="s">
        <v>1693</v>
      </c>
      <c r="N717" s="185" t="s">
        <v>400</v>
      </c>
      <c r="O717" s="185" t="s">
        <v>309</v>
      </c>
      <c r="P717" s="185"/>
      <c r="Q717" s="185"/>
      <c r="R717" s="185" t="s">
        <v>381</v>
      </c>
      <c r="S717" s="185" t="s">
        <v>295</v>
      </c>
      <c r="T717" s="217" t="s">
        <v>379</v>
      </c>
    </row>
    <row r="718" spans="1:20" outlineLevel="1">
      <c r="A718" s="199" t="s">
        <v>273</v>
      </c>
      <c r="B718" s="181" t="s">
        <v>1575</v>
      </c>
      <c r="C718" s="190">
        <v>43708</v>
      </c>
      <c r="D718" s="199" t="s">
        <v>2321</v>
      </c>
      <c r="E718" s="182" t="s">
        <v>2308</v>
      </c>
      <c r="F718" s="183">
        <v>76927</v>
      </c>
      <c r="G718" s="184">
        <v>1.37</v>
      </c>
      <c r="H718" s="181">
        <v>1.67</v>
      </c>
      <c r="I718" s="181" t="s">
        <v>292</v>
      </c>
      <c r="J718" s="191">
        <v>1.49</v>
      </c>
      <c r="K718" s="191">
        <v>1.67</v>
      </c>
      <c r="L718" s="199" t="s">
        <v>380</v>
      </c>
      <c r="M718" s="211" t="s">
        <v>1693</v>
      </c>
      <c r="N718" s="185" t="s">
        <v>400</v>
      </c>
      <c r="O718" s="185" t="s">
        <v>309</v>
      </c>
      <c r="P718" s="185"/>
      <c r="Q718" s="185"/>
      <c r="R718" s="185" t="s">
        <v>381</v>
      </c>
      <c r="S718" s="185" t="s">
        <v>295</v>
      </c>
      <c r="T718" s="217" t="s">
        <v>379</v>
      </c>
    </row>
    <row r="719" spans="1:20" outlineLevel="1">
      <c r="A719" s="199" t="s">
        <v>273</v>
      </c>
      <c r="B719" s="181" t="s">
        <v>1567</v>
      </c>
      <c r="C719" s="190">
        <v>43734</v>
      </c>
      <c r="D719" s="199" t="s">
        <v>2325</v>
      </c>
      <c r="E719" s="182" t="s">
        <v>949</v>
      </c>
      <c r="F719" s="183">
        <v>77249</v>
      </c>
      <c r="G719" s="184">
        <v>4.0999999999999996</v>
      </c>
      <c r="H719" s="181">
        <v>4.0999999999999996</v>
      </c>
      <c r="I719" s="181" t="s">
        <v>293</v>
      </c>
      <c r="J719" s="191">
        <v>4.53</v>
      </c>
      <c r="K719" s="191">
        <v>4.99</v>
      </c>
      <c r="L719" s="199" t="s">
        <v>380</v>
      </c>
      <c r="M719" s="211" t="s">
        <v>1693</v>
      </c>
      <c r="N719" s="185" t="s">
        <v>374</v>
      </c>
      <c r="O719" s="185" t="s">
        <v>309</v>
      </c>
      <c r="P719" s="185"/>
      <c r="Q719" s="185"/>
      <c r="R719" s="185" t="s">
        <v>381</v>
      </c>
      <c r="S719" s="185" t="s">
        <v>295</v>
      </c>
      <c r="T719" s="217" t="s">
        <v>379</v>
      </c>
    </row>
    <row r="720" spans="1:20" outlineLevel="1">
      <c r="A720" s="199" t="s">
        <v>273</v>
      </c>
      <c r="B720" s="181" t="s">
        <v>1567</v>
      </c>
      <c r="C720" s="190">
        <v>43734</v>
      </c>
      <c r="D720" s="199" t="s">
        <v>2325</v>
      </c>
      <c r="E720" s="182" t="s">
        <v>2326</v>
      </c>
      <c r="F720" s="183">
        <v>77249</v>
      </c>
      <c r="G720" s="184">
        <v>4.0999999999999996</v>
      </c>
      <c r="H720" s="181">
        <v>4.0999999999999996</v>
      </c>
      <c r="I720" s="181" t="s">
        <v>293</v>
      </c>
      <c r="J720" s="191">
        <v>4.53</v>
      </c>
      <c r="K720" s="191">
        <v>4.99</v>
      </c>
      <c r="L720" s="199" t="s">
        <v>380</v>
      </c>
      <c r="M720" s="211" t="s">
        <v>1693</v>
      </c>
      <c r="N720" s="185" t="s">
        <v>374</v>
      </c>
      <c r="O720" s="185" t="s">
        <v>309</v>
      </c>
      <c r="P720" s="185"/>
      <c r="Q720" s="185"/>
      <c r="R720" s="185" t="s">
        <v>381</v>
      </c>
      <c r="S720" s="185" t="s">
        <v>295</v>
      </c>
      <c r="T720" s="217" t="s">
        <v>379</v>
      </c>
    </row>
    <row r="721" spans="1:20" outlineLevel="1">
      <c r="A721" s="199" t="s">
        <v>273</v>
      </c>
      <c r="B721" s="181" t="s">
        <v>1567</v>
      </c>
      <c r="C721" s="190">
        <v>43734</v>
      </c>
      <c r="D721" s="199" t="s">
        <v>2325</v>
      </c>
      <c r="E721" s="182" t="s">
        <v>950</v>
      </c>
      <c r="F721" s="183">
        <v>77249</v>
      </c>
      <c r="G721" s="184">
        <v>4.0999999999999996</v>
      </c>
      <c r="H721" s="181">
        <v>4.0999999999999996</v>
      </c>
      <c r="I721" s="181" t="s">
        <v>293</v>
      </c>
      <c r="J721" s="191">
        <v>4.53</v>
      </c>
      <c r="K721" s="191">
        <v>4.99</v>
      </c>
      <c r="L721" s="199" t="s">
        <v>380</v>
      </c>
      <c r="M721" s="211" t="s">
        <v>1693</v>
      </c>
      <c r="N721" s="185" t="s">
        <v>374</v>
      </c>
      <c r="O721" s="185" t="s">
        <v>309</v>
      </c>
      <c r="P721" s="185"/>
      <c r="Q721" s="185"/>
      <c r="R721" s="185" t="s">
        <v>381</v>
      </c>
      <c r="S721" s="185" t="s">
        <v>295</v>
      </c>
      <c r="T721" s="217" t="s">
        <v>379</v>
      </c>
    </row>
    <row r="722" spans="1:20" outlineLevel="1">
      <c r="A722" s="199" t="s">
        <v>273</v>
      </c>
      <c r="B722" s="181" t="s">
        <v>1567</v>
      </c>
      <c r="C722" s="190">
        <v>43738</v>
      </c>
      <c r="D722" s="199" t="s">
        <v>2327</v>
      </c>
      <c r="E722" s="182" t="s">
        <v>2328</v>
      </c>
      <c r="F722" s="183">
        <v>77220</v>
      </c>
      <c r="G722" s="184">
        <v>7.8</v>
      </c>
      <c r="H722" s="181">
        <v>9.49</v>
      </c>
      <c r="I722" s="181" t="s">
        <v>292</v>
      </c>
      <c r="J722" s="191">
        <v>8.6199999999999992</v>
      </c>
      <c r="K722" s="191">
        <v>9.49</v>
      </c>
      <c r="L722" s="199" t="s">
        <v>380</v>
      </c>
      <c r="M722" s="211" t="s">
        <v>1693</v>
      </c>
      <c r="N722" s="185" t="s">
        <v>400</v>
      </c>
      <c r="O722" s="185" t="s">
        <v>309</v>
      </c>
      <c r="P722" s="185"/>
      <c r="Q722" s="185"/>
      <c r="R722" s="185" t="s">
        <v>381</v>
      </c>
      <c r="S722" s="185" t="s">
        <v>295</v>
      </c>
      <c r="T722" s="217" t="s">
        <v>379</v>
      </c>
    </row>
    <row r="723" spans="1:20" outlineLevel="1">
      <c r="A723" s="199" t="s">
        <v>273</v>
      </c>
      <c r="B723" s="181" t="s">
        <v>1567</v>
      </c>
      <c r="C723" s="190">
        <v>43738</v>
      </c>
      <c r="D723" s="199" t="s">
        <v>2327</v>
      </c>
      <c r="E723" s="182" t="s">
        <v>2329</v>
      </c>
      <c r="F723" s="183">
        <v>77220</v>
      </c>
      <c r="G723" s="184">
        <v>1.27</v>
      </c>
      <c r="H723" s="181">
        <v>1.54</v>
      </c>
      <c r="I723" s="181" t="s">
        <v>292</v>
      </c>
      <c r="J723" s="191">
        <v>1.4</v>
      </c>
      <c r="K723" s="191">
        <v>1.54</v>
      </c>
      <c r="L723" s="199" t="s">
        <v>380</v>
      </c>
      <c r="M723" s="211" t="s">
        <v>1693</v>
      </c>
      <c r="N723" s="185" t="s">
        <v>400</v>
      </c>
      <c r="O723" s="185" t="s">
        <v>309</v>
      </c>
      <c r="P723" s="185"/>
      <c r="Q723" s="185"/>
      <c r="R723" s="185" t="s">
        <v>381</v>
      </c>
      <c r="S723" s="185" t="s">
        <v>295</v>
      </c>
      <c r="T723" s="217" t="s">
        <v>379</v>
      </c>
    </row>
    <row r="724" spans="1:20" outlineLevel="1">
      <c r="A724" s="199" t="s">
        <v>273</v>
      </c>
      <c r="B724" s="181" t="s">
        <v>1567</v>
      </c>
      <c r="C724" s="190">
        <v>43738</v>
      </c>
      <c r="D724" s="199" t="s">
        <v>2327</v>
      </c>
      <c r="E724" s="182" t="s">
        <v>2330</v>
      </c>
      <c r="F724" s="183">
        <v>77220</v>
      </c>
      <c r="G724" s="184">
        <v>43.29</v>
      </c>
      <c r="H724" s="181">
        <v>52.65</v>
      </c>
      <c r="I724" s="181" t="s">
        <v>292</v>
      </c>
      <c r="J724" s="191">
        <v>47.82</v>
      </c>
      <c r="K724" s="191">
        <v>52.65</v>
      </c>
      <c r="L724" s="199" t="s">
        <v>380</v>
      </c>
      <c r="M724" s="211" t="s">
        <v>1693</v>
      </c>
      <c r="N724" s="185" t="s">
        <v>400</v>
      </c>
      <c r="O724" s="185" t="s">
        <v>309</v>
      </c>
      <c r="P724" s="185"/>
      <c r="Q724" s="185"/>
      <c r="R724" s="185" t="s">
        <v>381</v>
      </c>
      <c r="S724" s="185" t="s">
        <v>295</v>
      </c>
      <c r="T724" s="217" t="s">
        <v>379</v>
      </c>
    </row>
    <row r="725" spans="1:20" outlineLevel="1">
      <c r="A725" s="199" t="s">
        <v>273</v>
      </c>
      <c r="B725" s="181" t="s">
        <v>1567</v>
      </c>
      <c r="C725" s="190">
        <v>43738</v>
      </c>
      <c r="D725" s="199" t="s">
        <v>2327</v>
      </c>
      <c r="E725" s="182" t="s">
        <v>2331</v>
      </c>
      <c r="F725" s="183">
        <v>77220</v>
      </c>
      <c r="G725" s="184">
        <v>6.94</v>
      </c>
      <c r="H725" s="181">
        <v>8.44</v>
      </c>
      <c r="I725" s="181" t="s">
        <v>292</v>
      </c>
      <c r="J725" s="191">
        <v>7.67</v>
      </c>
      <c r="K725" s="191">
        <v>8.44</v>
      </c>
      <c r="L725" s="199" t="s">
        <v>380</v>
      </c>
      <c r="M725" s="211" t="s">
        <v>1693</v>
      </c>
      <c r="N725" s="185" t="s">
        <v>400</v>
      </c>
      <c r="O725" s="185" t="s">
        <v>309</v>
      </c>
      <c r="P725" s="185"/>
      <c r="Q725" s="185"/>
      <c r="R725" s="185" t="s">
        <v>381</v>
      </c>
      <c r="S725" s="185" t="s">
        <v>295</v>
      </c>
      <c r="T725" s="217" t="s">
        <v>379</v>
      </c>
    </row>
    <row r="726" spans="1:20" outlineLevel="1">
      <c r="A726" s="199" t="s">
        <v>273</v>
      </c>
      <c r="B726" s="181" t="s">
        <v>1567</v>
      </c>
      <c r="C726" s="190">
        <v>43738</v>
      </c>
      <c r="D726" s="199" t="s">
        <v>2332</v>
      </c>
      <c r="E726" s="182" t="s">
        <v>2333</v>
      </c>
      <c r="F726" s="183">
        <v>77221</v>
      </c>
      <c r="G726" s="184">
        <v>8.2200000000000006</v>
      </c>
      <c r="H726" s="181">
        <v>10</v>
      </c>
      <c r="I726" s="181" t="s">
        <v>292</v>
      </c>
      <c r="J726" s="191">
        <v>9.08</v>
      </c>
      <c r="K726" s="191">
        <v>10</v>
      </c>
      <c r="L726" s="199" t="s">
        <v>380</v>
      </c>
      <c r="M726" s="211" t="s">
        <v>1693</v>
      </c>
      <c r="N726" s="185" t="s">
        <v>396</v>
      </c>
      <c r="O726" s="185" t="s">
        <v>309</v>
      </c>
      <c r="P726" s="185"/>
      <c r="Q726" s="185"/>
      <c r="R726" s="185" t="s">
        <v>381</v>
      </c>
      <c r="S726" s="185" t="s">
        <v>295</v>
      </c>
      <c r="T726" s="217" t="s">
        <v>379</v>
      </c>
    </row>
    <row r="727" spans="1:20" outlineLevel="1">
      <c r="A727" s="199" t="s">
        <v>273</v>
      </c>
      <c r="B727" s="181" t="s">
        <v>1567</v>
      </c>
      <c r="C727" s="190">
        <v>43738</v>
      </c>
      <c r="D727" s="199" t="s">
        <v>2332</v>
      </c>
      <c r="E727" s="182" t="s">
        <v>2334</v>
      </c>
      <c r="F727" s="183">
        <v>77221</v>
      </c>
      <c r="G727" s="184">
        <v>4.21</v>
      </c>
      <c r="H727" s="181">
        <v>5.12</v>
      </c>
      <c r="I727" s="181" t="s">
        <v>292</v>
      </c>
      <c r="J727" s="191">
        <v>4.6500000000000004</v>
      </c>
      <c r="K727" s="191">
        <v>5.12</v>
      </c>
      <c r="L727" s="199" t="s">
        <v>380</v>
      </c>
      <c r="M727" s="211" t="s">
        <v>1693</v>
      </c>
      <c r="N727" s="185" t="s">
        <v>396</v>
      </c>
      <c r="O727" s="185" t="s">
        <v>309</v>
      </c>
      <c r="P727" s="185"/>
      <c r="Q727" s="185"/>
      <c r="R727" s="185" t="s">
        <v>381</v>
      </c>
      <c r="S727" s="185" t="s">
        <v>295</v>
      </c>
      <c r="T727" s="217" t="s">
        <v>379</v>
      </c>
    </row>
    <row r="728" spans="1:20" outlineLevel="1">
      <c r="A728" s="199" t="s">
        <v>273</v>
      </c>
      <c r="B728" s="181" t="s">
        <v>1567</v>
      </c>
      <c r="C728" s="190">
        <v>43738</v>
      </c>
      <c r="D728" s="199" t="s">
        <v>2332</v>
      </c>
      <c r="E728" s="182" t="s">
        <v>2334</v>
      </c>
      <c r="F728" s="183">
        <v>77221</v>
      </c>
      <c r="G728" s="184">
        <v>0.38</v>
      </c>
      <c r="H728" s="181">
        <v>0.46</v>
      </c>
      <c r="I728" s="181" t="s">
        <v>292</v>
      </c>
      <c r="J728" s="191">
        <v>0.42</v>
      </c>
      <c r="K728" s="191">
        <v>0.46</v>
      </c>
      <c r="L728" s="199" t="s">
        <v>380</v>
      </c>
      <c r="M728" s="211" t="s">
        <v>1693</v>
      </c>
      <c r="N728" s="185" t="s">
        <v>396</v>
      </c>
      <c r="O728" s="185" t="s">
        <v>309</v>
      </c>
      <c r="P728" s="185"/>
      <c r="Q728" s="185"/>
      <c r="R728" s="185" t="s">
        <v>381</v>
      </c>
      <c r="S728" s="185" t="s">
        <v>295</v>
      </c>
      <c r="T728" s="217" t="s">
        <v>379</v>
      </c>
    </row>
    <row r="729" spans="1:20" outlineLevel="1">
      <c r="A729" s="199" t="s">
        <v>273</v>
      </c>
      <c r="B729" s="181" t="s">
        <v>1567</v>
      </c>
      <c r="C729" s="190">
        <v>43738</v>
      </c>
      <c r="D729" s="199" t="s">
        <v>2332</v>
      </c>
      <c r="E729" s="182" t="s">
        <v>2334</v>
      </c>
      <c r="F729" s="183">
        <v>77221</v>
      </c>
      <c r="G729" s="184">
        <v>3.63</v>
      </c>
      <c r="H729" s="181">
        <v>4.42</v>
      </c>
      <c r="I729" s="181" t="s">
        <v>292</v>
      </c>
      <c r="J729" s="191">
        <v>4.01</v>
      </c>
      <c r="K729" s="191">
        <v>4.41</v>
      </c>
      <c r="L729" s="199" t="s">
        <v>380</v>
      </c>
      <c r="M729" s="211" t="s">
        <v>1693</v>
      </c>
      <c r="N729" s="185" t="s">
        <v>396</v>
      </c>
      <c r="O729" s="185" t="s">
        <v>309</v>
      </c>
      <c r="P729" s="185"/>
      <c r="Q729" s="185"/>
      <c r="R729" s="185" t="s">
        <v>381</v>
      </c>
      <c r="S729" s="185" t="s">
        <v>295</v>
      </c>
      <c r="T729" s="217" t="s">
        <v>379</v>
      </c>
    </row>
    <row r="730" spans="1:20" outlineLevel="1">
      <c r="A730" s="199" t="s">
        <v>273</v>
      </c>
      <c r="B730" s="181" t="s">
        <v>1567</v>
      </c>
      <c r="C730" s="190">
        <v>43738</v>
      </c>
      <c r="D730" s="199" t="s">
        <v>2332</v>
      </c>
      <c r="E730" s="182" t="s">
        <v>1264</v>
      </c>
      <c r="F730" s="183">
        <v>77221</v>
      </c>
      <c r="G730" s="184">
        <v>4.7699999999999996</v>
      </c>
      <c r="H730" s="181">
        <v>5.8</v>
      </c>
      <c r="I730" s="181" t="s">
        <v>292</v>
      </c>
      <c r="J730" s="191">
        <v>5.27</v>
      </c>
      <c r="K730" s="191">
        <v>5.8</v>
      </c>
      <c r="L730" s="199" t="s">
        <v>380</v>
      </c>
      <c r="M730" s="211" t="s">
        <v>1693</v>
      </c>
      <c r="N730" s="185" t="s">
        <v>396</v>
      </c>
      <c r="O730" s="185" t="s">
        <v>309</v>
      </c>
      <c r="P730" s="185"/>
      <c r="Q730" s="185"/>
      <c r="R730" s="185" t="s">
        <v>381</v>
      </c>
      <c r="S730" s="185" t="s">
        <v>295</v>
      </c>
      <c r="T730" s="217" t="s">
        <v>379</v>
      </c>
    </row>
    <row r="731" spans="1:20" outlineLevel="1">
      <c r="A731" s="199" t="s">
        <v>273</v>
      </c>
      <c r="B731" s="181" t="s">
        <v>1567</v>
      </c>
      <c r="C731" s="190">
        <v>43738</v>
      </c>
      <c r="D731" s="199" t="s">
        <v>2332</v>
      </c>
      <c r="E731" s="182" t="s">
        <v>2335</v>
      </c>
      <c r="F731" s="183">
        <v>77221</v>
      </c>
      <c r="G731" s="184">
        <v>0.86</v>
      </c>
      <c r="H731" s="181">
        <v>1.04</v>
      </c>
      <c r="I731" s="181" t="s">
        <v>292</v>
      </c>
      <c r="J731" s="191">
        <v>0.95</v>
      </c>
      <c r="K731" s="191">
        <v>1.05</v>
      </c>
      <c r="L731" s="199" t="s">
        <v>380</v>
      </c>
      <c r="M731" s="211" t="s">
        <v>1693</v>
      </c>
      <c r="N731" s="185" t="s">
        <v>396</v>
      </c>
      <c r="O731" s="185" t="s">
        <v>309</v>
      </c>
      <c r="P731" s="185"/>
      <c r="Q731" s="185"/>
      <c r="R731" s="185" t="s">
        <v>381</v>
      </c>
      <c r="S731" s="185" t="s">
        <v>295</v>
      </c>
      <c r="T731" s="217" t="s">
        <v>379</v>
      </c>
    </row>
    <row r="732" spans="1:20" outlineLevel="1">
      <c r="A732" s="199" t="s">
        <v>273</v>
      </c>
      <c r="B732" s="181" t="s">
        <v>1567</v>
      </c>
      <c r="C732" s="190">
        <v>43738</v>
      </c>
      <c r="D732" s="199" t="s">
        <v>2332</v>
      </c>
      <c r="E732" s="182" t="s">
        <v>2335</v>
      </c>
      <c r="F732" s="183">
        <v>77221</v>
      </c>
      <c r="G732" s="184">
        <v>3.96</v>
      </c>
      <c r="H732" s="181">
        <v>4.82</v>
      </c>
      <c r="I732" s="181" t="s">
        <v>292</v>
      </c>
      <c r="J732" s="191">
        <v>4.38</v>
      </c>
      <c r="K732" s="191">
        <v>4.82</v>
      </c>
      <c r="L732" s="199" t="s">
        <v>380</v>
      </c>
      <c r="M732" s="211" t="s">
        <v>1693</v>
      </c>
      <c r="N732" s="185" t="s">
        <v>396</v>
      </c>
      <c r="O732" s="185" t="s">
        <v>309</v>
      </c>
      <c r="P732" s="185"/>
      <c r="Q732" s="185"/>
      <c r="R732" s="185" t="s">
        <v>381</v>
      </c>
      <c r="S732" s="185" t="s">
        <v>295</v>
      </c>
      <c r="T732" s="217" t="s">
        <v>379</v>
      </c>
    </row>
    <row r="733" spans="1:20" outlineLevel="1">
      <c r="A733" s="199" t="s">
        <v>273</v>
      </c>
      <c r="B733" s="181" t="s">
        <v>1567</v>
      </c>
      <c r="C733" s="190">
        <v>43738</v>
      </c>
      <c r="D733" s="199" t="s">
        <v>2332</v>
      </c>
      <c r="E733" s="182" t="s">
        <v>2334</v>
      </c>
      <c r="F733" s="183">
        <v>77221</v>
      </c>
      <c r="G733" s="184">
        <v>3.86</v>
      </c>
      <c r="H733" s="181">
        <v>4.7</v>
      </c>
      <c r="I733" s="181" t="s">
        <v>292</v>
      </c>
      <c r="J733" s="191">
        <v>4.2699999999999996</v>
      </c>
      <c r="K733" s="191">
        <v>4.6900000000000004</v>
      </c>
      <c r="L733" s="199" t="s">
        <v>380</v>
      </c>
      <c r="M733" s="211" t="s">
        <v>1693</v>
      </c>
      <c r="N733" s="185" t="s">
        <v>396</v>
      </c>
      <c r="O733" s="185" t="s">
        <v>309</v>
      </c>
      <c r="P733" s="185"/>
      <c r="Q733" s="185"/>
      <c r="R733" s="185" t="s">
        <v>381</v>
      </c>
      <c r="S733" s="185" t="s">
        <v>295</v>
      </c>
      <c r="T733" s="217" t="s">
        <v>379</v>
      </c>
    </row>
    <row r="734" spans="1:20" outlineLevel="1">
      <c r="A734" s="199" t="s">
        <v>273</v>
      </c>
      <c r="B734" s="181" t="s">
        <v>1567</v>
      </c>
      <c r="C734" s="190">
        <v>43738</v>
      </c>
      <c r="D734" s="199" t="s">
        <v>2332</v>
      </c>
      <c r="E734" s="182" t="s">
        <v>2334</v>
      </c>
      <c r="F734" s="183">
        <v>77221</v>
      </c>
      <c r="G734" s="184">
        <v>1.43</v>
      </c>
      <c r="H734" s="181">
        <v>1.74</v>
      </c>
      <c r="I734" s="181" t="s">
        <v>292</v>
      </c>
      <c r="J734" s="191">
        <v>1.58</v>
      </c>
      <c r="K734" s="191">
        <v>1.74</v>
      </c>
      <c r="L734" s="199" t="s">
        <v>380</v>
      </c>
      <c r="M734" s="211" t="s">
        <v>1693</v>
      </c>
      <c r="N734" s="185" t="s">
        <v>396</v>
      </c>
      <c r="O734" s="185" t="s">
        <v>309</v>
      </c>
      <c r="P734" s="185"/>
      <c r="Q734" s="185"/>
      <c r="R734" s="185" t="s">
        <v>381</v>
      </c>
      <c r="S734" s="185" t="s">
        <v>295</v>
      </c>
      <c r="T734" s="217" t="s">
        <v>379</v>
      </c>
    </row>
    <row r="735" spans="1:20" outlineLevel="1">
      <c r="A735" s="199" t="s">
        <v>273</v>
      </c>
      <c r="B735" s="181" t="s">
        <v>1567</v>
      </c>
      <c r="C735" s="190">
        <v>43738</v>
      </c>
      <c r="D735" s="199" t="s">
        <v>2332</v>
      </c>
      <c r="E735" s="182" t="s">
        <v>2319</v>
      </c>
      <c r="F735" s="183">
        <v>77221</v>
      </c>
      <c r="G735" s="184">
        <v>40.619999999999997</v>
      </c>
      <c r="H735" s="181">
        <v>49.4</v>
      </c>
      <c r="I735" s="181" t="s">
        <v>292</v>
      </c>
      <c r="J735" s="191">
        <v>44.87</v>
      </c>
      <c r="K735" s="191">
        <v>49.4</v>
      </c>
      <c r="L735" s="199" t="s">
        <v>380</v>
      </c>
      <c r="M735" s="211" t="s">
        <v>1693</v>
      </c>
      <c r="N735" s="185" t="s">
        <v>396</v>
      </c>
      <c r="O735" s="185" t="s">
        <v>309</v>
      </c>
      <c r="P735" s="185"/>
      <c r="Q735" s="185"/>
      <c r="R735" s="185" t="s">
        <v>381</v>
      </c>
      <c r="S735" s="185" t="s">
        <v>295</v>
      </c>
      <c r="T735" s="217" t="s">
        <v>379</v>
      </c>
    </row>
    <row r="736" spans="1:20" outlineLevel="1">
      <c r="A736" s="199" t="s">
        <v>273</v>
      </c>
      <c r="B736" s="181" t="s">
        <v>1567</v>
      </c>
      <c r="C736" s="190">
        <v>43738</v>
      </c>
      <c r="D736" s="199" t="s">
        <v>2332</v>
      </c>
      <c r="E736" s="182" t="s">
        <v>2319</v>
      </c>
      <c r="F736" s="183">
        <v>77221</v>
      </c>
      <c r="G736" s="184">
        <v>9.5500000000000007</v>
      </c>
      <c r="H736" s="181">
        <v>11.61</v>
      </c>
      <c r="I736" s="181" t="s">
        <v>292</v>
      </c>
      <c r="J736" s="191">
        <v>10.54</v>
      </c>
      <c r="K736" s="191">
        <v>11.61</v>
      </c>
      <c r="L736" s="199" t="s">
        <v>380</v>
      </c>
      <c r="M736" s="211" t="s">
        <v>1693</v>
      </c>
      <c r="N736" s="185" t="s">
        <v>396</v>
      </c>
      <c r="O736" s="185" t="s">
        <v>309</v>
      </c>
      <c r="P736" s="185"/>
      <c r="Q736" s="185"/>
      <c r="R736" s="185" t="s">
        <v>381</v>
      </c>
      <c r="S736" s="185" t="s">
        <v>295</v>
      </c>
      <c r="T736" s="217" t="s">
        <v>379</v>
      </c>
    </row>
    <row r="737" spans="1:20" outlineLevel="1">
      <c r="A737" s="199" t="s">
        <v>273</v>
      </c>
      <c r="B737" s="181" t="s">
        <v>1567</v>
      </c>
      <c r="C737" s="190">
        <v>43738</v>
      </c>
      <c r="D737" s="199" t="s">
        <v>2332</v>
      </c>
      <c r="E737" s="182" t="s">
        <v>2336</v>
      </c>
      <c r="F737" s="183">
        <v>77221</v>
      </c>
      <c r="G737" s="184">
        <v>33.28</v>
      </c>
      <c r="H737" s="181">
        <v>40.479999999999997</v>
      </c>
      <c r="I737" s="181" t="s">
        <v>292</v>
      </c>
      <c r="J737" s="191">
        <v>36.770000000000003</v>
      </c>
      <c r="K737" s="191">
        <v>40.47</v>
      </c>
      <c r="L737" s="199" t="s">
        <v>380</v>
      </c>
      <c r="M737" s="211" t="s">
        <v>1693</v>
      </c>
      <c r="N737" s="185" t="s">
        <v>396</v>
      </c>
      <c r="O737" s="185" t="s">
        <v>309</v>
      </c>
      <c r="P737" s="185"/>
      <c r="Q737" s="185"/>
      <c r="R737" s="185" t="s">
        <v>381</v>
      </c>
      <c r="S737" s="185" t="s">
        <v>295</v>
      </c>
      <c r="T737" s="217" t="s">
        <v>379</v>
      </c>
    </row>
    <row r="738" spans="1:20" outlineLevel="1">
      <c r="A738" s="199" t="s">
        <v>273</v>
      </c>
      <c r="B738" s="181" t="s">
        <v>1567</v>
      </c>
      <c r="C738" s="190">
        <v>43738</v>
      </c>
      <c r="D738" s="199" t="s">
        <v>2332</v>
      </c>
      <c r="E738" s="182" t="s">
        <v>2334</v>
      </c>
      <c r="F738" s="183">
        <v>77221</v>
      </c>
      <c r="G738" s="184">
        <v>1.53</v>
      </c>
      <c r="H738" s="181">
        <v>1.86</v>
      </c>
      <c r="I738" s="181" t="s">
        <v>292</v>
      </c>
      <c r="J738" s="191">
        <v>1.69</v>
      </c>
      <c r="K738" s="191">
        <v>1.86</v>
      </c>
      <c r="L738" s="199" t="s">
        <v>380</v>
      </c>
      <c r="M738" s="211" t="s">
        <v>1693</v>
      </c>
      <c r="N738" s="185" t="s">
        <v>396</v>
      </c>
      <c r="O738" s="185" t="s">
        <v>309</v>
      </c>
      <c r="P738" s="185"/>
      <c r="Q738" s="185"/>
      <c r="R738" s="185" t="s">
        <v>381</v>
      </c>
      <c r="S738" s="185" t="s">
        <v>295</v>
      </c>
      <c r="T738" s="217" t="s">
        <v>379</v>
      </c>
    </row>
    <row r="739" spans="1:20" outlineLevel="1">
      <c r="A739" s="199" t="s">
        <v>273</v>
      </c>
      <c r="B739" s="181" t="s">
        <v>1567</v>
      </c>
      <c r="C739" s="190">
        <v>43738</v>
      </c>
      <c r="D739" s="199" t="s">
        <v>2332</v>
      </c>
      <c r="E739" s="182" t="s">
        <v>2334</v>
      </c>
      <c r="F739" s="183">
        <v>77221</v>
      </c>
      <c r="G739" s="184">
        <v>6.48</v>
      </c>
      <c r="H739" s="181">
        <v>7.88</v>
      </c>
      <c r="I739" s="181" t="s">
        <v>292</v>
      </c>
      <c r="J739" s="191">
        <v>7.16</v>
      </c>
      <c r="K739" s="191">
        <v>7.88</v>
      </c>
      <c r="L739" s="199" t="s">
        <v>380</v>
      </c>
      <c r="M739" s="211" t="s">
        <v>1693</v>
      </c>
      <c r="N739" s="185" t="s">
        <v>396</v>
      </c>
      <c r="O739" s="185" t="s">
        <v>309</v>
      </c>
      <c r="P739" s="185"/>
      <c r="Q739" s="185"/>
      <c r="R739" s="185" t="s">
        <v>381</v>
      </c>
      <c r="S739" s="185" t="s">
        <v>295</v>
      </c>
      <c r="T739" s="217" t="s">
        <v>379</v>
      </c>
    </row>
    <row r="740" spans="1:20" outlineLevel="1">
      <c r="A740" s="199" t="s">
        <v>273</v>
      </c>
      <c r="B740" s="181" t="s">
        <v>1567</v>
      </c>
      <c r="C740" s="190">
        <v>43738</v>
      </c>
      <c r="D740" s="199" t="s">
        <v>2332</v>
      </c>
      <c r="E740" s="182" t="s">
        <v>2334</v>
      </c>
      <c r="F740" s="183">
        <v>77221</v>
      </c>
      <c r="G740" s="184">
        <v>4.7</v>
      </c>
      <c r="H740" s="181">
        <v>5.71</v>
      </c>
      <c r="I740" s="181" t="s">
        <v>292</v>
      </c>
      <c r="J740" s="191">
        <v>5.19</v>
      </c>
      <c r="K740" s="191">
        <v>5.72</v>
      </c>
      <c r="L740" s="199" t="s">
        <v>380</v>
      </c>
      <c r="M740" s="211" t="s">
        <v>1693</v>
      </c>
      <c r="N740" s="185" t="s">
        <v>396</v>
      </c>
      <c r="O740" s="185" t="s">
        <v>309</v>
      </c>
      <c r="P740" s="185"/>
      <c r="Q740" s="185"/>
      <c r="R740" s="185" t="s">
        <v>381</v>
      </c>
      <c r="S740" s="185" t="s">
        <v>295</v>
      </c>
      <c r="T740" s="217" t="s">
        <v>379</v>
      </c>
    </row>
    <row r="741" spans="1:20" outlineLevel="1">
      <c r="A741" s="199" t="s">
        <v>273</v>
      </c>
      <c r="B741" s="181" t="s">
        <v>1567</v>
      </c>
      <c r="C741" s="190">
        <v>43738</v>
      </c>
      <c r="D741" s="199" t="s">
        <v>2332</v>
      </c>
      <c r="E741" s="182" t="s">
        <v>2334</v>
      </c>
      <c r="F741" s="183">
        <v>77221</v>
      </c>
      <c r="G741" s="184">
        <v>4.3899999999999997</v>
      </c>
      <c r="H741" s="181">
        <v>5.34</v>
      </c>
      <c r="I741" s="181" t="s">
        <v>292</v>
      </c>
      <c r="J741" s="191">
        <v>4.8499999999999996</v>
      </c>
      <c r="K741" s="191">
        <v>5.34</v>
      </c>
      <c r="L741" s="199" t="s">
        <v>380</v>
      </c>
      <c r="M741" s="211" t="s">
        <v>1693</v>
      </c>
      <c r="N741" s="185" t="s">
        <v>396</v>
      </c>
      <c r="O741" s="185" t="s">
        <v>309</v>
      </c>
      <c r="P741" s="185"/>
      <c r="Q741" s="185"/>
      <c r="R741" s="185" t="s">
        <v>381</v>
      </c>
      <c r="S741" s="185" t="s">
        <v>295</v>
      </c>
      <c r="T741" s="217" t="s">
        <v>379</v>
      </c>
    </row>
    <row r="742" spans="1:20" outlineLevel="1">
      <c r="A742" s="199" t="s">
        <v>273</v>
      </c>
      <c r="B742" s="181" t="s">
        <v>1567</v>
      </c>
      <c r="C742" s="190">
        <v>43738</v>
      </c>
      <c r="D742" s="199" t="s">
        <v>2332</v>
      </c>
      <c r="E742" s="182" t="s">
        <v>2334</v>
      </c>
      <c r="F742" s="183">
        <v>77221</v>
      </c>
      <c r="G742" s="184">
        <v>3.91</v>
      </c>
      <c r="H742" s="181">
        <v>4.76</v>
      </c>
      <c r="I742" s="181" t="s">
        <v>292</v>
      </c>
      <c r="J742" s="191">
        <v>4.32</v>
      </c>
      <c r="K742" s="191">
        <v>4.76</v>
      </c>
      <c r="L742" s="199" t="s">
        <v>380</v>
      </c>
      <c r="M742" s="211" t="s">
        <v>1693</v>
      </c>
      <c r="N742" s="185" t="s">
        <v>396</v>
      </c>
      <c r="O742" s="185" t="s">
        <v>309</v>
      </c>
      <c r="P742" s="185"/>
      <c r="Q742" s="185"/>
      <c r="R742" s="185" t="s">
        <v>381</v>
      </c>
      <c r="S742" s="185" t="s">
        <v>295</v>
      </c>
      <c r="T742" s="217" t="s">
        <v>379</v>
      </c>
    </row>
    <row r="743" spans="1:20" outlineLevel="1">
      <c r="A743" s="199" t="s">
        <v>273</v>
      </c>
      <c r="B743" s="181" t="s">
        <v>1567</v>
      </c>
      <c r="C743" s="190">
        <v>43738</v>
      </c>
      <c r="D743" s="199" t="s">
        <v>2332</v>
      </c>
      <c r="E743" s="182" t="s">
        <v>2334</v>
      </c>
      <c r="F743" s="183">
        <v>77221</v>
      </c>
      <c r="G743" s="184">
        <v>4.1100000000000003</v>
      </c>
      <c r="H743" s="181">
        <v>5</v>
      </c>
      <c r="I743" s="181" t="s">
        <v>292</v>
      </c>
      <c r="J743" s="191">
        <v>4.54</v>
      </c>
      <c r="K743" s="191">
        <v>5</v>
      </c>
      <c r="L743" s="199" t="s">
        <v>380</v>
      </c>
      <c r="M743" s="211" t="s">
        <v>1693</v>
      </c>
      <c r="N743" s="185" t="s">
        <v>396</v>
      </c>
      <c r="O743" s="185" t="s">
        <v>309</v>
      </c>
      <c r="P743" s="185"/>
      <c r="Q743" s="185"/>
      <c r="R743" s="185" t="s">
        <v>381</v>
      </c>
      <c r="S743" s="185" t="s">
        <v>295</v>
      </c>
      <c r="T743" s="217" t="s">
        <v>379</v>
      </c>
    </row>
    <row r="744" spans="1:20" outlineLevel="1">
      <c r="A744" s="199" t="s">
        <v>273</v>
      </c>
      <c r="B744" s="181" t="s">
        <v>1567</v>
      </c>
      <c r="C744" s="190">
        <v>43738</v>
      </c>
      <c r="D744" s="199" t="s">
        <v>2332</v>
      </c>
      <c r="E744" s="182" t="s">
        <v>2334</v>
      </c>
      <c r="F744" s="183">
        <v>77221</v>
      </c>
      <c r="G744" s="184">
        <v>4.41</v>
      </c>
      <c r="H744" s="181">
        <v>5.36</v>
      </c>
      <c r="I744" s="181" t="s">
        <v>292</v>
      </c>
      <c r="J744" s="191">
        <v>4.87</v>
      </c>
      <c r="K744" s="191">
        <v>5.36</v>
      </c>
      <c r="L744" s="199" t="s">
        <v>380</v>
      </c>
      <c r="M744" s="211" t="s">
        <v>1693</v>
      </c>
      <c r="N744" s="185" t="s">
        <v>396</v>
      </c>
      <c r="O744" s="185" t="s">
        <v>309</v>
      </c>
      <c r="P744" s="185"/>
      <c r="Q744" s="185"/>
      <c r="R744" s="185" t="s">
        <v>381</v>
      </c>
      <c r="S744" s="185" t="s">
        <v>295</v>
      </c>
      <c r="T744" s="217" t="s">
        <v>379</v>
      </c>
    </row>
    <row r="745" spans="1:20" outlineLevel="1">
      <c r="A745" s="199" t="s">
        <v>273</v>
      </c>
      <c r="B745" s="181" t="s">
        <v>1567</v>
      </c>
      <c r="C745" s="190">
        <v>43738</v>
      </c>
      <c r="D745" s="199" t="s">
        <v>2332</v>
      </c>
      <c r="E745" s="182" t="s">
        <v>2334</v>
      </c>
      <c r="F745" s="183">
        <v>77221</v>
      </c>
      <c r="G745" s="184">
        <v>2.48</v>
      </c>
      <c r="H745" s="181">
        <v>3.02</v>
      </c>
      <c r="I745" s="181" t="s">
        <v>292</v>
      </c>
      <c r="J745" s="191">
        <v>2.74</v>
      </c>
      <c r="K745" s="191">
        <v>3.02</v>
      </c>
      <c r="L745" s="199" t="s">
        <v>380</v>
      </c>
      <c r="M745" s="211" t="s">
        <v>1693</v>
      </c>
      <c r="N745" s="185" t="s">
        <v>396</v>
      </c>
      <c r="O745" s="185" t="s">
        <v>309</v>
      </c>
      <c r="P745" s="185"/>
      <c r="Q745" s="185"/>
      <c r="R745" s="185" t="s">
        <v>381</v>
      </c>
      <c r="S745" s="185" t="s">
        <v>295</v>
      </c>
      <c r="T745" s="217" t="s">
        <v>379</v>
      </c>
    </row>
    <row r="746" spans="1:20" outlineLevel="1">
      <c r="A746" s="199" t="s">
        <v>273</v>
      </c>
      <c r="B746" s="181" t="s">
        <v>1567</v>
      </c>
      <c r="C746" s="190">
        <v>43738</v>
      </c>
      <c r="D746" s="199" t="s">
        <v>2332</v>
      </c>
      <c r="E746" s="182" t="s">
        <v>2334</v>
      </c>
      <c r="F746" s="183">
        <v>77221</v>
      </c>
      <c r="G746" s="184">
        <v>0.98</v>
      </c>
      <c r="H746" s="181">
        <v>1.19</v>
      </c>
      <c r="I746" s="181" t="s">
        <v>292</v>
      </c>
      <c r="J746" s="191">
        <v>1.08</v>
      </c>
      <c r="K746" s="191">
        <v>1.19</v>
      </c>
      <c r="L746" s="199" t="s">
        <v>380</v>
      </c>
      <c r="M746" s="211" t="s">
        <v>1693</v>
      </c>
      <c r="N746" s="185" t="s">
        <v>396</v>
      </c>
      <c r="O746" s="185" t="s">
        <v>309</v>
      </c>
      <c r="P746" s="185"/>
      <c r="Q746" s="185"/>
      <c r="R746" s="185" t="s">
        <v>381</v>
      </c>
      <c r="S746" s="185" t="s">
        <v>295</v>
      </c>
      <c r="T746" s="217" t="s">
        <v>379</v>
      </c>
    </row>
    <row r="747" spans="1:20" outlineLevel="1">
      <c r="A747" s="199" t="s">
        <v>273</v>
      </c>
      <c r="B747" s="181" t="s">
        <v>1567</v>
      </c>
      <c r="C747" s="190">
        <v>43738</v>
      </c>
      <c r="D747" s="199" t="s">
        <v>2332</v>
      </c>
      <c r="E747" s="182" t="s">
        <v>2334</v>
      </c>
      <c r="F747" s="183">
        <v>77221</v>
      </c>
      <c r="G747" s="184">
        <v>9.16</v>
      </c>
      <c r="H747" s="181">
        <v>11.14</v>
      </c>
      <c r="I747" s="181" t="s">
        <v>292</v>
      </c>
      <c r="J747" s="191">
        <v>10.119999999999999</v>
      </c>
      <c r="K747" s="191">
        <v>11.14</v>
      </c>
      <c r="L747" s="199" t="s">
        <v>380</v>
      </c>
      <c r="M747" s="211" t="s">
        <v>1693</v>
      </c>
      <c r="N747" s="185" t="s">
        <v>396</v>
      </c>
      <c r="O747" s="185" t="s">
        <v>309</v>
      </c>
      <c r="P747" s="185"/>
      <c r="Q747" s="185"/>
      <c r="R747" s="185" t="s">
        <v>381</v>
      </c>
      <c r="S747" s="185" t="s">
        <v>295</v>
      </c>
      <c r="T747" s="217" t="s">
        <v>379</v>
      </c>
    </row>
    <row r="748" spans="1:20" outlineLevel="1">
      <c r="A748" s="199" t="s">
        <v>273</v>
      </c>
      <c r="B748" s="181" t="s">
        <v>1567</v>
      </c>
      <c r="C748" s="190">
        <v>43738</v>
      </c>
      <c r="D748" s="199" t="s">
        <v>2332</v>
      </c>
      <c r="E748" s="182" t="s">
        <v>2337</v>
      </c>
      <c r="F748" s="183">
        <v>77221</v>
      </c>
      <c r="G748" s="184">
        <v>28.8</v>
      </c>
      <c r="H748" s="181">
        <v>35.03</v>
      </c>
      <c r="I748" s="181" t="s">
        <v>292</v>
      </c>
      <c r="J748" s="191">
        <v>31.82</v>
      </c>
      <c r="K748" s="191">
        <v>35.03</v>
      </c>
      <c r="L748" s="199" t="s">
        <v>380</v>
      </c>
      <c r="M748" s="211" t="s">
        <v>1693</v>
      </c>
      <c r="N748" s="185" t="s">
        <v>396</v>
      </c>
      <c r="O748" s="185" t="s">
        <v>309</v>
      </c>
      <c r="P748" s="185"/>
      <c r="Q748" s="185"/>
      <c r="R748" s="185" t="s">
        <v>381</v>
      </c>
      <c r="S748" s="185" t="s">
        <v>295</v>
      </c>
      <c r="T748" s="217" t="s">
        <v>379</v>
      </c>
    </row>
    <row r="749" spans="1:20" outlineLevel="1">
      <c r="A749" s="199" t="s">
        <v>273</v>
      </c>
      <c r="B749" s="181" t="s">
        <v>1567</v>
      </c>
      <c r="C749" s="190">
        <v>43738</v>
      </c>
      <c r="D749" s="199" t="s">
        <v>2332</v>
      </c>
      <c r="E749" s="182" t="s">
        <v>2338</v>
      </c>
      <c r="F749" s="183">
        <v>77221</v>
      </c>
      <c r="G749" s="184">
        <v>66.66</v>
      </c>
      <c r="H749" s="181">
        <v>81.069999999999993</v>
      </c>
      <c r="I749" s="181" t="s">
        <v>292</v>
      </c>
      <c r="J749" s="191">
        <v>73.63</v>
      </c>
      <c r="K749" s="191">
        <v>81.069999999999993</v>
      </c>
      <c r="L749" s="199" t="s">
        <v>380</v>
      </c>
      <c r="M749" s="211" t="s">
        <v>1693</v>
      </c>
      <c r="N749" s="185" t="s">
        <v>396</v>
      </c>
      <c r="O749" s="185" t="s">
        <v>309</v>
      </c>
      <c r="P749" s="185"/>
      <c r="Q749" s="185"/>
      <c r="R749" s="185" t="s">
        <v>381</v>
      </c>
      <c r="S749" s="185" t="s">
        <v>295</v>
      </c>
      <c r="T749" s="217" t="s">
        <v>379</v>
      </c>
    </row>
    <row r="750" spans="1:20">
      <c r="A750" s="212" t="s">
        <v>378</v>
      </c>
      <c r="B750" s="212"/>
      <c r="C750" s="212"/>
      <c r="D750" s="212"/>
      <c r="E750" s="213"/>
      <c r="F750" s="214"/>
      <c r="G750" s="215">
        <f>SUM(G675:G749)</f>
        <v>1152.3400000000004</v>
      </c>
      <c r="H750" s="216">
        <f>SUM(H675:H749)</f>
        <v>1427.37</v>
      </c>
      <c r="I750" s="212"/>
      <c r="J750" s="216">
        <f>SUM(J675:J749)</f>
        <v>1275.1899999999991</v>
      </c>
      <c r="K750" s="216">
        <f>SUM(K675:K749)</f>
        <v>1430.0400000000002</v>
      </c>
      <c r="L750" s="212"/>
      <c r="M750" s="213"/>
      <c r="N750" s="212"/>
      <c r="O750" s="212"/>
      <c r="P750" s="212"/>
      <c r="Q750" s="212"/>
      <c r="R750" s="212"/>
      <c r="S750" s="212"/>
      <c r="T750" s="212"/>
    </row>
    <row r="751" spans="1:20" outlineLevel="1">
      <c r="A751" s="199" t="s">
        <v>274</v>
      </c>
      <c r="B751" s="181" t="s">
        <v>1567</v>
      </c>
      <c r="C751" s="190">
        <v>43714</v>
      </c>
      <c r="D751" s="199" t="s">
        <v>2183</v>
      </c>
      <c r="E751" s="182" t="s">
        <v>2339</v>
      </c>
      <c r="F751" s="183">
        <v>77221</v>
      </c>
      <c r="G751" s="184">
        <v>40.29</v>
      </c>
      <c r="H751" s="181">
        <v>49</v>
      </c>
      <c r="I751" s="181" t="s">
        <v>292</v>
      </c>
      <c r="J751" s="191">
        <v>44.5</v>
      </c>
      <c r="K751" s="191">
        <v>49</v>
      </c>
      <c r="L751" s="199" t="s">
        <v>718</v>
      </c>
      <c r="M751" s="211" t="s">
        <v>1691</v>
      </c>
      <c r="N751" s="185" t="s">
        <v>396</v>
      </c>
      <c r="O751" s="185" t="s">
        <v>309</v>
      </c>
      <c r="P751" s="185"/>
      <c r="Q751" s="185"/>
      <c r="R751" s="185" t="s">
        <v>381</v>
      </c>
      <c r="S751" s="185" t="s">
        <v>295</v>
      </c>
      <c r="T751" s="217" t="s">
        <v>379</v>
      </c>
    </row>
    <row r="752" spans="1:20" outlineLevel="1">
      <c r="A752" s="199" t="s">
        <v>274</v>
      </c>
      <c r="B752" s="181" t="s">
        <v>1567</v>
      </c>
      <c r="C752" s="190">
        <v>43566</v>
      </c>
      <c r="D752" s="199" t="s">
        <v>1607</v>
      </c>
      <c r="E752" s="182" t="s">
        <v>2340</v>
      </c>
      <c r="F752" s="183">
        <v>77196</v>
      </c>
      <c r="G752" s="184">
        <v>542.29999999999995</v>
      </c>
      <c r="H752" s="181">
        <v>719.96</v>
      </c>
      <c r="I752" s="181" t="s">
        <v>292</v>
      </c>
      <c r="J752" s="191">
        <v>653.9</v>
      </c>
      <c r="K752" s="191">
        <v>719.96</v>
      </c>
      <c r="L752" s="199" t="s">
        <v>1271</v>
      </c>
      <c r="M752" s="211" t="s">
        <v>2341</v>
      </c>
      <c r="N752" s="185" t="s">
        <v>396</v>
      </c>
      <c r="O752" s="185" t="s">
        <v>309</v>
      </c>
      <c r="P752" s="185"/>
      <c r="Q752" s="185" t="s">
        <v>740</v>
      </c>
      <c r="R752" s="185" t="s">
        <v>381</v>
      </c>
      <c r="S752" s="185" t="s">
        <v>295</v>
      </c>
      <c r="T752" s="217" t="s">
        <v>379</v>
      </c>
    </row>
    <row r="753" spans="1:20" outlineLevel="1">
      <c r="A753" s="199" t="s">
        <v>274</v>
      </c>
      <c r="B753" s="181" t="s">
        <v>1567</v>
      </c>
      <c r="C753" s="190">
        <v>43655</v>
      </c>
      <c r="D753" s="199" t="s">
        <v>1607</v>
      </c>
      <c r="E753" s="182" t="s">
        <v>2342</v>
      </c>
      <c r="F753" s="183">
        <v>77196</v>
      </c>
      <c r="G753" s="184">
        <v>13.3</v>
      </c>
      <c r="H753" s="181">
        <v>17.66</v>
      </c>
      <c r="I753" s="181" t="s">
        <v>292</v>
      </c>
      <c r="J753" s="191">
        <v>16.04</v>
      </c>
      <c r="K753" s="191">
        <v>17.66</v>
      </c>
      <c r="L753" s="199" t="s">
        <v>1271</v>
      </c>
      <c r="M753" s="211" t="s">
        <v>2341</v>
      </c>
      <c r="N753" s="185" t="s">
        <v>396</v>
      </c>
      <c r="O753" s="185" t="s">
        <v>309</v>
      </c>
      <c r="P753" s="185"/>
      <c r="Q753" s="185" t="s">
        <v>740</v>
      </c>
      <c r="R753" s="185" t="s">
        <v>381</v>
      </c>
      <c r="S753" s="185" t="s">
        <v>295</v>
      </c>
      <c r="T753" s="217" t="s">
        <v>379</v>
      </c>
    </row>
    <row r="754" spans="1:20" outlineLevel="1">
      <c r="A754" s="199" t="s">
        <v>274</v>
      </c>
      <c r="B754" s="181" t="s">
        <v>1567</v>
      </c>
      <c r="C754" s="190">
        <v>43676</v>
      </c>
      <c r="D754" s="199" t="s">
        <v>1607</v>
      </c>
      <c r="E754" s="182" t="s">
        <v>2343</v>
      </c>
      <c r="F754" s="183">
        <v>77196</v>
      </c>
      <c r="G754" s="184">
        <v>564.91999999999996</v>
      </c>
      <c r="H754" s="181">
        <v>750</v>
      </c>
      <c r="I754" s="181" t="s">
        <v>292</v>
      </c>
      <c r="J754" s="191">
        <v>681.19</v>
      </c>
      <c r="K754" s="191">
        <v>750</v>
      </c>
      <c r="L754" s="199" t="s">
        <v>1271</v>
      </c>
      <c r="M754" s="211" t="s">
        <v>2341</v>
      </c>
      <c r="N754" s="185" t="s">
        <v>396</v>
      </c>
      <c r="O754" s="185" t="s">
        <v>309</v>
      </c>
      <c r="P754" s="185"/>
      <c r="Q754" s="185" t="s">
        <v>740</v>
      </c>
      <c r="R754" s="185" t="s">
        <v>381</v>
      </c>
      <c r="S754" s="185" t="s">
        <v>295</v>
      </c>
      <c r="T754" s="217" t="s">
        <v>379</v>
      </c>
    </row>
    <row r="755" spans="1:20" outlineLevel="1">
      <c r="A755" s="199" t="s">
        <v>274</v>
      </c>
      <c r="B755" s="181" t="s">
        <v>1567</v>
      </c>
      <c r="C755" s="190">
        <v>43676</v>
      </c>
      <c r="D755" s="199" t="s">
        <v>1607</v>
      </c>
      <c r="E755" s="182" t="s">
        <v>2344</v>
      </c>
      <c r="F755" s="183">
        <v>77196</v>
      </c>
      <c r="G755" s="184">
        <v>101.69</v>
      </c>
      <c r="H755" s="181">
        <v>135</v>
      </c>
      <c r="I755" s="181" t="s">
        <v>292</v>
      </c>
      <c r="J755" s="191">
        <v>122.61</v>
      </c>
      <c r="K755" s="191">
        <v>135</v>
      </c>
      <c r="L755" s="199" t="s">
        <v>1271</v>
      </c>
      <c r="M755" s="211" t="s">
        <v>2341</v>
      </c>
      <c r="N755" s="185" t="s">
        <v>396</v>
      </c>
      <c r="O755" s="185" t="s">
        <v>309</v>
      </c>
      <c r="P755" s="185"/>
      <c r="Q755" s="185" t="s">
        <v>740</v>
      </c>
      <c r="R755" s="185" t="s">
        <v>381</v>
      </c>
      <c r="S755" s="185" t="s">
        <v>295</v>
      </c>
      <c r="T755" s="217" t="s">
        <v>379</v>
      </c>
    </row>
    <row r="756" spans="1:20" outlineLevel="1">
      <c r="A756" s="199" t="s">
        <v>274</v>
      </c>
      <c r="B756" s="181" t="s">
        <v>1567</v>
      </c>
      <c r="C756" s="190">
        <v>43676</v>
      </c>
      <c r="D756" s="199" t="s">
        <v>1607</v>
      </c>
      <c r="E756" s="182" t="s">
        <v>2345</v>
      </c>
      <c r="F756" s="183">
        <v>77196</v>
      </c>
      <c r="G756" s="184">
        <v>225.97</v>
      </c>
      <c r="H756" s="181">
        <v>300</v>
      </c>
      <c r="I756" s="181" t="s">
        <v>292</v>
      </c>
      <c r="J756" s="191">
        <v>272.47000000000003</v>
      </c>
      <c r="K756" s="191">
        <v>300</v>
      </c>
      <c r="L756" s="199" t="s">
        <v>1271</v>
      </c>
      <c r="M756" s="211" t="s">
        <v>2341</v>
      </c>
      <c r="N756" s="185" t="s">
        <v>396</v>
      </c>
      <c r="O756" s="185" t="s">
        <v>309</v>
      </c>
      <c r="P756" s="185"/>
      <c r="Q756" s="185" t="s">
        <v>740</v>
      </c>
      <c r="R756" s="185" t="s">
        <v>381</v>
      </c>
      <c r="S756" s="185" t="s">
        <v>295</v>
      </c>
      <c r="T756" s="217" t="s">
        <v>379</v>
      </c>
    </row>
    <row r="757" spans="1:20" outlineLevel="1">
      <c r="A757" s="199" t="s">
        <v>274</v>
      </c>
      <c r="B757" s="181" t="s">
        <v>1567</v>
      </c>
      <c r="C757" s="190">
        <v>43676</v>
      </c>
      <c r="D757" s="199" t="s">
        <v>1607</v>
      </c>
      <c r="E757" s="182" t="s">
        <v>2346</v>
      </c>
      <c r="F757" s="183">
        <v>77196</v>
      </c>
      <c r="G757" s="184">
        <v>225.97</v>
      </c>
      <c r="H757" s="181">
        <v>300</v>
      </c>
      <c r="I757" s="181" t="s">
        <v>292</v>
      </c>
      <c r="J757" s="191">
        <v>272.47000000000003</v>
      </c>
      <c r="K757" s="191">
        <v>300</v>
      </c>
      <c r="L757" s="199" t="s">
        <v>1271</v>
      </c>
      <c r="M757" s="211" t="s">
        <v>2341</v>
      </c>
      <c r="N757" s="185" t="s">
        <v>396</v>
      </c>
      <c r="O757" s="185" t="s">
        <v>309</v>
      </c>
      <c r="P757" s="185"/>
      <c r="Q757" s="185" t="s">
        <v>740</v>
      </c>
      <c r="R757" s="185" t="s">
        <v>381</v>
      </c>
      <c r="S757" s="185" t="s">
        <v>295</v>
      </c>
      <c r="T757" s="217" t="s">
        <v>379</v>
      </c>
    </row>
    <row r="758" spans="1:20" outlineLevel="1">
      <c r="A758" s="199" t="s">
        <v>274</v>
      </c>
      <c r="B758" s="181" t="s">
        <v>1567</v>
      </c>
      <c r="C758" s="190">
        <v>43676</v>
      </c>
      <c r="D758" s="199" t="s">
        <v>1607</v>
      </c>
      <c r="E758" s="182" t="s">
        <v>2347</v>
      </c>
      <c r="F758" s="183">
        <v>77196</v>
      </c>
      <c r="G758" s="184">
        <v>225.97</v>
      </c>
      <c r="H758" s="181">
        <v>300</v>
      </c>
      <c r="I758" s="181" t="s">
        <v>292</v>
      </c>
      <c r="J758" s="191">
        <v>272.47000000000003</v>
      </c>
      <c r="K758" s="191">
        <v>300</v>
      </c>
      <c r="L758" s="199" t="s">
        <v>1271</v>
      </c>
      <c r="M758" s="211" t="s">
        <v>2341</v>
      </c>
      <c r="N758" s="185" t="s">
        <v>396</v>
      </c>
      <c r="O758" s="185" t="s">
        <v>309</v>
      </c>
      <c r="P758" s="185"/>
      <c r="Q758" s="185" t="s">
        <v>740</v>
      </c>
      <c r="R758" s="185" t="s">
        <v>381</v>
      </c>
      <c r="S758" s="185" t="s">
        <v>295</v>
      </c>
      <c r="T758" s="217" t="s">
        <v>379</v>
      </c>
    </row>
    <row r="759" spans="1:20" outlineLevel="1">
      <c r="A759" s="199" t="s">
        <v>274</v>
      </c>
      <c r="B759" s="181" t="s">
        <v>1567</v>
      </c>
      <c r="C759" s="190">
        <v>43676</v>
      </c>
      <c r="D759" s="199" t="s">
        <v>1607</v>
      </c>
      <c r="E759" s="182" t="s">
        <v>2348</v>
      </c>
      <c r="F759" s="183">
        <v>77196</v>
      </c>
      <c r="G759" s="184">
        <v>225.97</v>
      </c>
      <c r="H759" s="181">
        <v>300</v>
      </c>
      <c r="I759" s="181" t="s">
        <v>292</v>
      </c>
      <c r="J759" s="191">
        <v>272.47000000000003</v>
      </c>
      <c r="K759" s="191">
        <v>300</v>
      </c>
      <c r="L759" s="199" t="s">
        <v>1271</v>
      </c>
      <c r="M759" s="211" t="s">
        <v>2341</v>
      </c>
      <c r="N759" s="185" t="s">
        <v>396</v>
      </c>
      <c r="O759" s="185" t="s">
        <v>309</v>
      </c>
      <c r="P759" s="185"/>
      <c r="Q759" s="185" t="s">
        <v>740</v>
      </c>
      <c r="R759" s="185" t="s">
        <v>381</v>
      </c>
      <c r="S759" s="185" t="s">
        <v>295</v>
      </c>
      <c r="T759" s="217" t="s">
        <v>379</v>
      </c>
    </row>
    <row r="760" spans="1:20" outlineLevel="1">
      <c r="A760" s="199" t="s">
        <v>274</v>
      </c>
      <c r="B760" s="181" t="s">
        <v>1567</v>
      </c>
      <c r="C760" s="190">
        <v>43676</v>
      </c>
      <c r="D760" s="199" t="s">
        <v>1607</v>
      </c>
      <c r="E760" s="182" t="s">
        <v>2349</v>
      </c>
      <c r="F760" s="183">
        <v>77196</v>
      </c>
      <c r="G760" s="184">
        <v>338.95</v>
      </c>
      <c r="H760" s="181">
        <v>450</v>
      </c>
      <c r="I760" s="181" t="s">
        <v>292</v>
      </c>
      <c r="J760" s="191">
        <v>408.71</v>
      </c>
      <c r="K760" s="191">
        <v>450</v>
      </c>
      <c r="L760" s="199" t="s">
        <v>1271</v>
      </c>
      <c r="M760" s="211" t="s">
        <v>2341</v>
      </c>
      <c r="N760" s="185" t="s">
        <v>396</v>
      </c>
      <c r="O760" s="185" t="s">
        <v>309</v>
      </c>
      <c r="P760" s="185"/>
      <c r="Q760" s="185" t="s">
        <v>740</v>
      </c>
      <c r="R760" s="185" t="s">
        <v>381</v>
      </c>
      <c r="S760" s="185" t="s">
        <v>295</v>
      </c>
      <c r="T760" s="217" t="s">
        <v>379</v>
      </c>
    </row>
    <row r="761" spans="1:20" outlineLevel="1">
      <c r="A761" s="199" t="s">
        <v>274</v>
      </c>
      <c r="B761" s="181" t="s">
        <v>1567</v>
      </c>
      <c r="C761" s="190">
        <v>43676</v>
      </c>
      <c r="D761" s="199" t="s">
        <v>1607</v>
      </c>
      <c r="E761" s="182" t="s">
        <v>2350</v>
      </c>
      <c r="F761" s="183">
        <v>77196</v>
      </c>
      <c r="G761" s="184">
        <v>60.26</v>
      </c>
      <c r="H761" s="181">
        <v>80</v>
      </c>
      <c r="I761" s="181" t="s">
        <v>292</v>
      </c>
      <c r="J761" s="191">
        <v>72.66</v>
      </c>
      <c r="K761" s="191">
        <v>80</v>
      </c>
      <c r="L761" s="199" t="s">
        <v>1271</v>
      </c>
      <c r="M761" s="211" t="s">
        <v>2341</v>
      </c>
      <c r="N761" s="185" t="s">
        <v>396</v>
      </c>
      <c r="O761" s="185" t="s">
        <v>309</v>
      </c>
      <c r="P761" s="185"/>
      <c r="Q761" s="185" t="s">
        <v>740</v>
      </c>
      <c r="R761" s="185" t="s">
        <v>381</v>
      </c>
      <c r="S761" s="185" t="s">
        <v>295</v>
      </c>
      <c r="T761" s="217" t="s">
        <v>379</v>
      </c>
    </row>
    <row r="762" spans="1:20" outlineLevel="1">
      <c r="A762" s="199" t="s">
        <v>274</v>
      </c>
      <c r="B762" s="181" t="s">
        <v>1567</v>
      </c>
      <c r="C762" s="190">
        <v>43676</v>
      </c>
      <c r="D762" s="199" t="s">
        <v>1607</v>
      </c>
      <c r="E762" s="182" t="s">
        <v>2351</v>
      </c>
      <c r="F762" s="183">
        <v>77196</v>
      </c>
      <c r="G762" s="184">
        <v>60.26</v>
      </c>
      <c r="H762" s="181">
        <v>80</v>
      </c>
      <c r="I762" s="181" t="s">
        <v>292</v>
      </c>
      <c r="J762" s="191">
        <v>72.66</v>
      </c>
      <c r="K762" s="191">
        <v>80</v>
      </c>
      <c r="L762" s="199" t="s">
        <v>1271</v>
      </c>
      <c r="M762" s="211" t="s">
        <v>2341</v>
      </c>
      <c r="N762" s="185" t="s">
        <v>396</v>
      </c>
      <c r="O762" s="185" t="s">
        <v>309</v>
      </c>
      <c r="P762" s="185"/>
      <c r="Q762" s="185" t="s">
        <v>740</v>
      </c>
      <c r="R762" s="185" t="s">
        <v>381</v>
      </c>
      <c r="S762" s="185" t="s">
        <v>295</v>
      </c>
      <c r="T762" s="217" t="s">
        <v>379</v>
      </c>
    </row>
    <row r="763" spans="1:20" outlineLevel="1">
      <c r="A763" s="199" t="s">
        <v>274</v>
      </c>
      <c r="B763" s="181" t="s">
        <v>1567</v>
      </c>
      <c r="C763" s="190">
        <v>43676</v>
      </c>
      <c r="D763" s="199" t="s">
        <v>1607</v>
      </c>
      <c r="E763" s="182" t="s">
        <v>2352</v>
      </c>
      <c r="F763" s="183">
        <v>77196</v>
      </c>
      <c r="G763" s="184">
        <v>7.53</v>
      </c>
      <c r="H763" s="181">
        <v>10</v>
      </c>
      <c r="I763" s="181" t="s">
        <v>292</v>
      </c>
      <c r="J763" s="191">
        <v>9.08</v>
      </c>
      <c r="K763" s="191">
        <v>10</v>
      </c>
      <c r="L763" s="199" t="s">
        <v>1271</v>
      </c>
      <c r="M763" s="211" t="s">
        <v>2341</v>
      </c>
      <c r="N763" s="185" t="s">
        <v>396</v>
      </c>
      <c r="O763" s="185" t="s">
        <v>309</v>
      </c>
      <c r="P763" s="185"/>
      <c r="Q763" s="185" t="s">
        <v>740</v>
      </c>
      <c r="R763" s="185" t="s">
        <v>381</v>
      </c>
      <c r="S763" s="185" t="s">
        <v>295</v>
      </c>
      <c r="T763" s="217" t="s">
        <v>379</v>
      </c>
    </row>
    <row r="764" spans="1:20" outlineLevel="1">
      <c r="A764" s="199" t="s">
        <v>274</v>
      </c>
      <c r="B764" s="181" t="s">
        <v>1567</v>
      </c>
      <c r="C764" s="190">
        <v>43676</v>
      </c>
      <c r="D764" s="199" t="s">
        <v>1607</v>
      </c>
      <c r="E764" s="182" t="s">
        <v>2353</v>
      </c>
      <c r="F764" s="183">
        <v>77196</v>
      </c>
      <c r="G764" s="184">
        <v>7.53</v>
      </c>
      <c r="H764" s="181">
        <v>10</v>
      </c>
      <c r="I764" s="181" t="s">
        <v>292</v>
      </c>
      <c r="J764" s="191">
        <v>9.08</v>
      </c>
      <c r="K764" s="191">
        <v>10</v>
      </c>
      <c r="L764" s="199" t="s">
        <v>1271</v>
      </c>
      <c r="M764" s="211" t="s">
        <v>2341</v>
      </c>
      <c r="N764" s="185" t="s">
        <v>396</v>
      </c>
      <c r="O764" s="185" t="s">
        <v>309</v>
      </c>
      <c r="P764" s="185"/>
      <c r="Q764" s="185" t="s">
        <v>740</v>
      </c>
      <c r="R764" s="185" t="s">
        <v>381</v>
      </c>
      <c r="S764" s="185" t="s">
        <v>295</v>
      </c>
      <c r="T764" s="217" t="s">
        <v>379</v>
      </c>
    </row>
    <row r="765" spans="1:20" outlineLevel="1">
      <c r="A765" s="199" t="s">
        <v>274</v>
      </c>
      <c r="B765" s="181" t="s">
        <v>1567</v>
      </c>
      <c r="C765" s="190">
        <v>43685</v>
      </c>
      <c r="D765" s="199" t="s">
        <v>1607</v>
      </c>
      <c r="E765" s="182" t="s">
        <v>2354</v>
      </c>
      <c r="F765" s="183">
        <v>77196</v>
      </c>
      <c r="G765" s="184">
        <v>13.35</v>
      </c>
      <c r="H765" s="181">
        <v>17.66</v>
      </c>
      <c r="I765" s="181" t="s">
        <v>292</v>
      </c>
      <c r="J765" s="191">
        <v>16.04</v>
      </c>
      <c r="K765" s="191">
        <v>17.66</v>
      </c>
      <c r="L765" s="199" t="s">
        <v>1271</v>
      </c>
      <c r="M765" s="211" t="s">
        <v>2341</v>
      </c>
      <c r="N765" s="185" t="s">
        <v>396</v>
      </c>
      <c r="O765" s="185" t="s">
        <v>309</v>
      </c>
      <c r="P765" s="185"/>
      <c r="Q765" s="185" t="s">
        <v>740</v>
      </c>
      <c r="R765" s="185" t="s">
        <v>381</v>
      </c>
      <c r="S765" s="185" t="s">
        <v>295</v>
      </c>
      <c r="T765" s="217" t="s">
        <v>379</v>
      </c>
    </row>
    <row r="766" spans="1:20" outlineLevel="1">
      <c r="A766" s="199" t="s">
        <v>274</v>
      </c>
      <c r="B766" s="181" t="s">
        <v>1567</v>
      </c>
      <c r="C766" s="190">
        <v>43706</v>
      </c>
      <c r="D766" s="199" t="s">
        <v>1607</v>
      </c>
      <c r="E766" s="182" t="s">
        <v>2355</v>
      </c>
      <c r="F766" s="183">
        <v>77196</v>
      </c>
      <c r="G766" s="184">
        <v>564.91999999999996</v>
      </c>
      <c r="H766" s="181">
        <v>750</v>
      </c>
      <c r="I766" s="181" t="s">
        <v>292</v>
      </c>
      <c r="J766" s="191">
        <v>681.19</v>
      </c>
      <c r="K766" s="191">
        <v>750</v>
      </c>
      <c r="L766" s="199" t="s">
        <v>1271</v>
      </c>
      <c r="M766" s="211" t="s">
        <v>2341</v>
      </c>
      <c r="N766" s="185" t="s">
        <v>396</v>
      </c>
      <c r="O766" s="185" t="s">
        <v>309</v>
      </c>
      <c r="P766" s="185"/>
      <c r="Q766" s="185" t="s">
        <v>740</v>
      </c>
      <c r="R766" s="185" t="s">
        <v>381</v>
      </c>
      <c r="S766" s="185" t="s">
        <v>295</v>
      </c>
      <c r="T766" s="217" t="s">
        <v>379</v>
      </c>
    </row>
    <row r="767" spans="1:20" outlineLevel="1">
      <c r="A767" s="199" t="s">
        <v>274</v>
      </c>
      <c r="B767" s="181" t="s">
        <v>1567</v>
      </c>
      <c r="C767" s="190">
        <v>43706</v>
      </c>
      <c r="D767" s="199" t="s">
        <v>1607</v>
      </c>
      <c r="E767" s="182" t="s">
        <v>2356</v>
      </c>
      <c r="F767" s="183">
        <v>77196</v>
      </c>
      <c r="G767" s="184">
        <v>101.69</v>
      </c>
      <c r="H767" s="181">
        <v>135</v>
      </c>
      <c r="I767" s="181" t="s">
        <v>292</v>
      </c>
      <c r="J767" s="191">
        <v>122.61</v>
      </c>
      <c r="K767" s="191">
        <v>135</v>
      </c>
      <c r="L767" s="199" t="s">
        <v>1271</v>
      </c>
      <c r="M767" s="211" t="s">
        <v>2341</v>
      </c>
      <c r="N767" s="185" t="s">
        <v>396</v>
      </c>
      <c r="O767" s="185" t="s">
        <v>309</v>
      </c>
      <c r="P767" s="185"/>
      <c r="Q767" s="185" t="s">
        <v>740</v>
      </c>
      <c r="R767" s="185" t="s">
        <v>381</v>
      </c>
      <c r="S767" s="185" t="s">
        <v>295</v>
      </c>
      <c r="T767" s="217" t="s">
        <v>379</v>
      </c>
    </row>
    <row r="768" spans="1:20" outlineLevel="1">
      <c r="A768" s="199" t="s">
        <v>274</v>
      </c>
      <c r="B768" s="181" t="s">
        <v>1567</v>
      </c>
      <c r="C768" s="190">
        <v>43706</v>
      </c>
      <c r="D768" s="199" t="s">
        <v>1607</v>
      </c>
      <c r="E768" s="182" t="s">
        <v>2357</v>
      </c>
      <c r="F768" s="183">
        <v>77196</v>
      </c>
      <c r="G768" s="184">
        <v>225.97</v>
      </c>
      <c r="H768" s="181">
        <v>300</v>
      </c>
      <c r="I768" s="181" t="s">
        <v>292</v>
      </c>
      <c r="J768" s="191">
        <v>272.47000000000003</v>
      </c>
      <c r="K768" s="191">
        <v>300</v>
      </c>
      <c r="L768" s="199" t="s">
        <v>1271</v>
      </c>
      <c r="M768" s="211" t="s">
        <v>2341</v>
      </c>
      <c r="N768" s="185" t="s">
        <v>396</v>
      </c>
      <c r="O768" s="185" t="s">
        <v>309</v>
      </c>
      <c r="P768" s="185"/>
      <c r="Q768" s="185" t="s">
        <v>740</v>
      </c>
      <c r="R768" s="185" t="s">
        <v>381</v>
      </c>
      <c r="S768" s="185" t="s">
        <v>295</v>
      </c>
      <c r="T768" s="217" t="s">
        <v>379</v>
      </c>
    </row>
    <row r="769" spans="1:20" outlineLevel="1">
      <c r="A769" s="199" t="s">
        <v>274</v>
      </c>
      <c r="B769" s="181" t="s">
        <v>1567</v>
      </c>
      <c r="C769" s="190">
        <v>43706</v>
      </c>
      <c r="D769" s="199" t="s">
        <v>1607</v>
      </c>
      <c r="E769" s="182" t="s">
        <v>2358</v>
      </c>
      <c r="F769" s="183">
        <v>77196</v>
      </c>
      <c r="G769" s="184">
        <v>225.97</v>
      </c>
      <c r="H769" s="181">
        <v>300</v>
      </c>
      <c r="I769" s="181" t="s">
        <v>292</v>
      </c>
      <c r="J769" s="191">
        <v>272.47000000000003</v>
      </c>
      <c r="K769" s="191">
        <v>300</v>
      </c>
      <c r="L769" s="199" t="s">
        <v>1271</v>
      </c>
      <c r="M769" s="211" t="s">
        <v>2341</v>
      </c>
      <c r="N769" s="185" t="s">
        <v>396</v>
      </c>
      <c r="O769" s="185" t="s">
        <v>309</v>
      </c>
      <c r="P769" s="185"/>
      <c r="Q769" s="185" t="s">
        <v>740</v>
      </c>
      <c r="R769" s="185" t="s">
        <v>381</v>
      </c>
      <c r="S769" s="185" t="s">
        <v>295</v>
      </c>
      <c r="T769" s="217" t="s">
        <v>379</v>
      </c>
    </row>
    <row r="770" spans="1:20" outlineLevel="1">
      <c r="A770" s="199" t="s">
        <v>274</v>
      </c>
      <c r="B770" s="181" t="s">
        <v>1567</v>
      </c>
      <c r="C770" s="190">
        <v>43706</v>
      </c>
      <c r="D770" s="199" t="s">
        <v>1607</v>
      </c>
      <c r="E770" s="182" t="s">
        <v>2359</v>
      </c>
      <c r="F770" s="183">
        <v>77196</v>
      </c>
      <c r="G770" s="184">
        <v>225.97</v>
      </c>
      <c r="H770" s="181">
        <v>300</v>
      </c>
      <c r="I770" s="181" t="s">
        <v>292</v>
      </c>
      <c r="J770" s="191">
        <v>272.47000000000003</v>
      </c>
      <c r="K770" s="191">
        <v>300</v>
      </c>
      <c r="L770" s="199" t="s">
        <v>1271</v>
      </c>
      <c r="M770" s="211" t="s">
        <v>2341</v>
      </c>
      <c r="N770" s="185" t="s">
        <v>396</v>
      </c>
      <c r="O770" s="185" t="s">
        <v>309</v>
      </c>
      <c r="P770" s="185"/>
      <c r="Q770" s="185" t="s">
        <v>740</v>
      </c>
      <c r="R770" s="185" t="s">
        <v>381</v>
      </c>
      <c r="S770" s="185" t="s">
        <v>295</v>
      </c>
      <c r="T770" s="217" t="s">
        <v>379</v>
      </c>
    </row>
    <row r="771" spans="1:20" outlineLevel="1">
      <c r="A771" s="199" t="s">
        <v>274</v>
      </c>
      <c r="B771" s="181" t="s">
        <v>1567</v>
      </c>
      <c r="C771" s="190">
        <v>43706</v>
      </c>
      <c r="D771" s="199" t="s">
        <v>1607</v>
      </c>
      <c r="E771" s="182" t="s">
        <v>2360</v>
      </c>
      <c r="F771" s="183">
        <v>77196</v>
      </c>
      <c r="G771" s="184">
        <v>225.97</v>
      </c>
      <c r="H771" s="181">
        <v>300</v>
      </c>
      <c r="I771" s="181" t="s">
        <v>292</v>
      </c>
      <c r="J771" s="191">
        <v>272.47000000000003</v>
      </c>
      <c r="K771" s="191">
        <v>300</v>
      </c>
      <c r="L771" s="199" t="s">
        <v>1271</v>
      </c>
      <c r="M771" s="211" t="s">
        <v>2341</v>
      </c>
      <c r="N771" s="185" t="s">
        <v>396</v>
      </c>
      <c r="O771" s="185" t="s">
        <v>309</v>
      </c>
      <c r="P771" s="185"/>
      <c r="Q771" s="185" t="s">
        <v>740</v>
      </c>
      <c r="R771" s="185" t="s">
        <v>381</v>
      </c>
      <c r="S771" s="185" t="s">
        <v>295</v>
      </c>
      <c r="T771" s="217" t="s">
        <v>379</v>
      </c>
    </row>
    <row r="772" spans="1:20" outlineLevel="1">
      <c r="A772" s="199" t="s">
        <v>274</v>
      </c>
      <c r="B772" s="181" t="s">
        <v>1567</v>
      </c>
      <c r="C772" s="190">
        <v>43706</v>
      </c>
      <c r="D772" s="199" t="s">
        <v>1607</v>
      </c>
      <c r="E772" s="182" t="s">
        <v>2361</v>
      </c>
      <c r="F772" s="183">
        <v>77196</v>
      </c>
      <c r="G772" s="184">
        <v>338.95</v>
      </c>
      <c r="H772" s="181">
        <v>450</v>
      </c>
      <c r="I772" s="181" t="s">
        <v>292</v>
      </c>
      <c r="J772" s="191">
        <v>408.71</v>
      </c>
      <c r="K772" s="191">
        <v>450</v>
      </c>
      <c r="L772" s="199" t="s">
        <v>1271</v>
      </c>
      <c r="M772" s="211" t="s">
        <v>2341</v>
      </c>
      <c r="N772" s="185" t="s">
        <v>396</v>
      </c>
      <c r="O772" s="185" t="s">
        <v>309</v>
      </c>
      <c r="P772" s="185"/>
      <c r="Q772" s="185" t="s">
        <v>740</v>
      </c>
      <c r="R772" s="185" t="s">
        <v>381</v>
      </c>
      <c r="S772" s="185" t="s">
        <v>295</v>
      </c>
      <c r="T772" s="217" t="s">
        <v>379</v>
      </c>
    </row>
    <row r="773" spans="1:20" outlineLevel="1">
      <c r="A773" s="199" t="s">
        <v>274</v>
      </c>
      <c r="B773" s="181" t="s">
        <v>1567</v>
      </c>
      <c r="C773" s="190">
        <v>43706</v>
      </c>
      <c r="D773" s="199" t="s">
        <v>1607</v>
      </c>
      <c r="E773" s="182" t="s">
        <v>2362</v>
      </c>
      <c r="F773" s="183">
        <v>77196</v>
      </c>
      <c r="G773" s="184">
        <v>60.26</v>
      </c>
      <c r="H773" s="181">
        <v>80</v>
      </c>
      <c r="I773" s="181" t="s">
        <v>292</v>
      </c>
      <c r="J773" s="191">
        <v>72.66</v>
      </c>
      <c r="K773" s="191">
        <v>80</v>
      </c>
      <c r="L773" s="199" t="s">
        <v>1271</v>
      </c>
      <c r="M773" s="211" t="s">
        <v>2341</v>
      </c>
      <c r="N773" s="185" t="s">
        <v>396</v>
      </c>
      <c r="O773" s="185" t="s">
        <v>309</v>
      </c>
      <c r="P773" s="185"/>
      <c r="Q773" s="185" t="s">
        <v>740</v>
      </c>
      <c r="R773" s="185" t="s">
        <v>381</v>
      </c>
      <c r="S773" s="185" t="s">
        <v>295</v>
      </c>
      <c r="T773" s="217" t="s">
        <v>379</v>
      </c>
    </row>
    <row r="774" spans="1:20" outlineLevel="1">
      <c r="A774" s="199" t="s">
        <v>274</v>
      </c>
      <c r="B774" s="181" t="s">
        <v>1567</v>
      </c>
      <c r="C774" s="190">
        <v>43706</v>
      </c>
      <c r="D774" s="199" t="s">
        <v>1607</v>
      </c>
      <c r="E774" s="182" t="s">
        <v>2363</v>
      </c>
      <c r="F774" s="183">
        <v>77196</v>
      </c>
      <c r="G774" s="184">
        <v>60.26</v>
      </c>
      <c r="H774" s="181">
        <v>80</v>
      </c>
      <c r="I774" s="181" t="s">
        <v>292</v>
      </c>
      <c r="J774" s="191">
        <v>72.66</v>
      </c>
      <c r="K774" s="191">
        <v>80</v>
      </c>
      <c r="L774" s="199" t="s">
        <v>1271</v>
      </c>
      <c r="M774" s="211" t="s">
        <v>2341</v>
      </c>
      <c r="N774" s="185" t="s">
        <v>396</v>
      </c>
      <c r="O774" s="185" t="s">
        <v>309</v>
      </c>
      <c r="P774" s="185"/>
      <c r="Q774" s="185" t="s">
        <v>740</v>
      </c>
      <c r="R774" s="185" t="s">
        <v>381</v>
      </c>
      <c r="S774" s="185" t="s">
        <v>295</v>
      </c>
      <c r="T774" s="217" t="s">
        <v>379</v>
      </c>
    </row>
    <row r="775" spans="1:20" outlineLevel="1">
      <c r="A775" s="199" t="s">
        <v>274</v>
      </c>
      <c r="B775" s="181" t="s">
        <v>1567</v>
      </c>
      <c r="C775" s="190">
        <v>43706</v>
      </c>
      <c r="D775" s="199" t="s">
        <v>1607</v>
      </c>
      <c r="E775" s="182" t="s">
        <v>2364</v>
      </c>
      <c r="F775" s="183">
        <v>77196</v>
      </c>
      <c r="G775" s="184">
        <v>7.53</v>
      </c>
      <c r="H775" s="181">
        <v>10</v>
      </c>
      <c r="I775" s="181" t="s">
        <v>292</v>
      </c>
      <c r="J775" s="191">
        <v>9.08</v>
      </c>
      <c r="K775" s="191">
        <v>10</v>
      </c>
      <c r="L775" s="199" t="s">
        <v>1271</v>
      </c>
      <c r="M775" s="211" t="s">
        <v>2341</v>
      </c>
      <c r="N775" s="185" t="s">
        <v>396</v>
      </c>
      <c r="O775" s="185" t="s">
        <v>309</v>
      </c>
      <c r="P775" s="185"/>
      <c r="Q775" s="185" t="s">
        <v>740</v>
      </c>
      <c r="R775" s="185" t="s">
        <v>381</v>
      </c>
      <c r="S775" s="185" t="s">
        <v>295</v>
      </c>
      <c r="T775" s="217" t="s">
        <v>379</v>
      </c>
    </row>
    <row r="776" spans="1:20" outlineLevel="1">
      <c r="A776" s="199" t="s">
        <v>274</v>
      </c>
      <c r="B776" s="181" t="s">
        <v>1567</v>
      </c>
      <c r="C776" s="190">
        <v>43706</v>
      </c>
      <c r="D776" s="199" t="s">
        <v>1607</v>
      </c>
      <c r="E776" s="182" t="s">
        <v>2365</v>
      </c>
      <c r="F776" s="183">
        <v>77196</v>
      </c>
      <c r="G776" s="184">
        <v>7.53</v>
      </c>
      <c r="H776" s="181">
        <v>10</v>
      </c>
      <c r="I776" s="181" t="s">
        <v>292</v>
      </c>
      <c r="J776" s="191">
        <v>9.08</v>
      </c>
      <c r="K776" s="191">
        <v>10</v>
      </c>
      <c r="L776" s="199" t="s">
        <v>1271</v>
      </c>
      <c r="M776" s="211" t="s">
        <v>2341</v>
      </c>
      <c r="N776" s="185" t="s">
        <v>396</v>
      </c>
      <c r="O776" s="185" t="s">
        <v>309</v>
      </c>
      <c r="P776" s="185"/>
      <c r="Q776" s="185" t="s">
        <v>740</v>
      </c>
      <c r="R776" s="185" t="s">
        <v>381</v>
      </c>
      <c r="S776" s="185" t="s">
        <v>295</v>
      </c>
      <c r="T776" s="217" t="s">
        <v>379</v>
      </c>
    </row>
    <row r="777" spans="1:20" outlineLevel="1">
      <c r="A777" s="199" t="s">
        <v>274</v>
      </c>
      <c r="B777" s="181" t="s">
        <v>1567</v>
      </c>
      <c r="C777" s="190">
        <v>43708</v>
      </c>
      <c r="D777" s="199" t="s">
        <v>1592</v>
      </c>
      <c r="E777" s="182" t="s">
        <v>2366</v>
      </c>
      <c r="F777" s="183">
        <v>77217</v>
      </c>
      <c r="G777" s="184">
        <v>190.57</v>
      </c>
      <c r="H777" s="181">
        <v>253</v>
      </c>
      <c r="I777" s="181" t="s">
        <v>292</v>
      </c>
      <c r="J777" s="191">
        <v>229.79</v>
      </c>
      <c r="K777" s="191">
        <v>253</v>
      </c>
      <c r="L777" s="199" t="s">
        <v>1271</v>
      </c>
      <c r="M777" s="211" t="s">
        <v>2341</v>
      </c>
      <c r="N777" s="185" t="s">
        <v>396</v>
      </c>
      <c r="O777" s="185" t="s">
        <v>309</v>
      </c>
      <c r="P777" s="185"/>
      <c r="Q777" s="185" t="s">
        <v>737</v>
      </c>
      <c r="R777" s="185" t="s">
        <v>381</v>
      </c>
      <c r="S777" s="185" t="s">
        <v>295</v>
      </c>
      <c r="T777" s="217" t="s">
        <v>379</v>
      </c>
    </row>
    <row r="778" spans="1:20" outlineLevel="1">
      <c r="A778" s="199" t="s">
        <v>274</v>
      </c>
      <c r="B778" s="181" t="s">
        <v>1567</v>
      </c>
      <c r="C778" s="190">
        <v>43708</v>
      </c>
      <c r="D778" s="199" t="s">
        <v>1592</v>
      </c>
      <c r="E778" s="182" t="s">
        <v>2367</v>
      </c>
      <c r="F778" s="183">
        <v>77217</v>
      </c>
      <c r="G778" s="184">
        <v>138.59</v>
      </c>
      <c r="H778" s="181">
        <v>184</v>
      </c>
      <c r="I778" s="181" t="s">
        <v>292</v>
      </c>
      <c r="J778" s="191">
        <v>167.12</v>
      </c>
      <c r="K778" s="191">
        <v>184</v>
      </c>
      <c r="L778" s="199" t="s">
        <v>1271</v>
      </c>
      <c r="M778" s="211" t="s">
        <v>2341</v>
      </c>
      <c r="N778" s="185" t="s">
        <v>396</v>
      </c>
      <c r="O778" s="185" t="s">
        <v>309</v>
      </c>
      <c r="P778" s="185"/>
      <c r="Q778" s="185" t="s">
        <v>737</v>
      </c>
      <c r="R778" s="185" t="s">
        <v>381</v>
      </c>
      <c r="S778" s="185" t="s">
        <v>295</v>
      </c>
      <c r="T778" s="217" t="s">
        <v>379</v>
      </c>
    </row>
    <row r="779" spans="1:20" outlineLevel="1">
      <c r="A779" s="199" t="s">
        <v>274</v>
      </c>
      <c r="B779" s="181" t="s">
        <v>1567</v>
      </c>
      <c r="C779" s="190">
        <v>43708</v>
      </c>
      <c r="D779" s="199" t="s">
        <v>1592</v>
      </c>
      <c r="E779" s="182" t="s">
        <v>2368</v>
      </c>
      <c r="F779" s="183">
        <v>77217</v>
      </c>
      <c r="G779" s="184">
        <v>121.27</v>
      </c>
      <c r="H779" s="181">
        <v>161</v>
      </c>
      <c r="I779" s="181" t="s">
        <v>292</v>
      </c>
      <c r="J779" s="191">
        <v>146.22999999999999</v>
      </c>
      <c r="K779" s="191">
        <v>161</v>
      </c>
      <c r="L779" s="199" t="s">
        <v>1271</v>
      </c>
      <c r="M779" s="211" t="s">
        <v>2341</v>
      </c>
      <c r="N779" s="185" t="s">
        <v>396</v>
      </c>
      <c r="O779" s="185" t="s">
        <v>309</v>
      </c>
      <c r="P779" s="185"/>
      <c r="Q779" s="185" t="s">
        <v>737</v>
      </c>
      <c r="R779" s="185" t="s">
        <v>381</v>
      </c>
      <c r="S779" s="185" t="s">
        <v>295</v>
      </c>
      <c r="T779" s="217" t="s">
        <v>379</v>
      </c>
    </row>
    <row r="780" spans="1:20" outlineLevel="1">
      <c r="A780" s="199" t="s">
        <v>274</v>
      </c>
      <c r="B780" s="181" t="s">
        <v>1567</v>
      </c>
      <c r="C780" s="190">
        <v>43708</v>
      </c>
      <c r="D780" s="199" t="s">
        <v>1592</v>
      </c>
      <c r="E780" s="182" t="s">
        <v>1368</v>
      </c>
      <c r="F780" s="183">
        <v>77217</v>
      </c>
      <c r="G780" s="184">
        <v>3.77</v>
      </c>
      <c r="H780" s="181">
        <v>5</v>
      </c>
      <c r="I780" s="181" t="s">
        <v>292</v>
      </c>
      <c r="J780" s="191">
        <v>4.54</v>
      </c>
      <c r="K780" s="191">
        <v>5</v>
      </c>
      <c r="L780" s="199" t="s">
        <v>1271</v>
      </c>
      <c r="M780" s="211" t="s">
        <v>2341</v>
      </c>
      <c r="N780" s="185" t="s">
        <v>396</v>
      </c>
      <c r="O780" s="185" t="s">
        <v>309</v>
      </c>
      <c r="P780" s="185"/>
      <c r="Q780" s="185" t="s">
        <v>737</v>
      </c>
      <c r="R780" s="185" t="s">
        <v>381</v>
      </c>
      <c r="S780" s="185" t="s">
        <v>295</v>
      </c>
      <c r="T780" s="217" t="s">
        <v>379</v>
      </c>
    </row>
    <row r="781" spans="1:20" outlineLevel="1">
      <c r="A781" s="199" t="s">
        <v>274</v>
      </c>
      <c r="B781" s="181" t="s">
        <v>1567</v>
      </c>
      <c r="C781" s="190">
        <v>43708</v>
      </c>
      <c r="D781" s="199" t="s">
        <v>1592</v>
      </c>
      <c r="E781" s="182" t="s">
        <v>1306</v>
      </c>
      <c r="F781" s="183">
        <v>77217</v>
      </c>
      <c r="G781" s="184">
        <v>0.64</v>
      </c>
      <c r="H781" s="181">
        <v>0.8</v>
      </c>
      <c r="I781" s="181" t="s">
        <v>292</v>
      </c>
      <c r="J781" s="191">
        <v>0.73</v>
      </c>
      <c r="K781" s="191">
        <v>0.8</v>
      </c>
      <c r="L781" s="199" t="s">
        <v>1271</v>
      </c>
      <c r="M781" s="211" t="s">
        <v>2341</v>
      </c>
      <c r="N781" s="185" t="s">
        <v>396</v>
      </c>
      <c r="O781" s="185" t="s">
        <v>309</v>
      </c>
      <c r="P781" s="185"/>
      <c r="Q781" s="185" t="s">
        <v>737</v>
      </c>
      <c r="R781" s="185" t="s">
        <v>381</v>
      </c>
      <c r="S781" s="185" t="s">
        <v>295</v>
      </c>
      <c r="T781" s="217" t="s">
        <v>379</v>
      </c>
    </row>
    <row r="782" spans="1:20" outlineLevel="1">
      <c r="A782" s="199" t="s">
        <v>274</v>
      </c>
      <c r="B782" s="181" t="s">
        <v>1567</v>
      </c>
      <c r="C782" s="190">
        <v>43708</v>
      </c>
      <c r="D782" s="199" t="s">
        <v>1592</v>
      </c>
      <c r="E782" s="182" t="s">
        <v>2369</v>
      </c>
      <c r="F782" s="183">
        <v>77217</v>
      </c>
      <c r="G782" s="184">
        <v>190.57</v>
      </c>
      <c r="H782" s="181">
        <v>253</v>
      </c>
      <c r="I782" s="181" t="s">
        <v>292</v>
      </c>
      <c r="J782" s="191">
        <v>229.79</v>
      </c>
      <c r="K782" s="191">
        <v>253</v>
      </c>
      <c r="L782" s="199" t="s">
        <v>1271</v>
      </c>
      <c r="M782" s="211" t="s">
        <v>2341</v>
      </c>
      <c r="N782" s="185" t="s">
        <v>396</v>
      </c>
      <c r="O782" s="185" t="s">
        <v>309</v>
      </c>
      <c r="P782" s="185"/>
      <c r="Q782" s="185" t="s">
        <v>737</v>
      </c>
      <c r="R782" s="185" t="s">
        <v>381</v>
      </c>
      <c r="S782" s="185" t="s">
        <v>295</v>
      </c>
      <c r="T782" s="217" t="s">
        <v>379</v>
      </c>
    </row>
    <row r="783" spans="1:20" outlineLevel="1">
      <c r="A783" s="199" t="s">
        <v>274</v>
      </c>
      <c r="B783" s="181" t="s">
        <v>1567</v>
      </c>
      <c r="C783" s="190">
        <v>43708</v>
      </c>
      <c r="D783" s="199" t="s">
        <v>1592</v>
      </c>
      <c r="E783" s="182" t="s">
        <v>2370</v>
      </c>
      <c r="F783" s="183">
        <v>77217</v>
      </c>
      <c r="G783" s="184">
        <v>138.59</v>
      </c>
      <c r="H783" s="181">
        <v>184</v>
      </c>
      <c r="I783" s="181" t="s">
        <v>292</v>
      </c>
      <c r="J783" s="191">
        <v>167.12</v>
      </c>
      <c r="K783" s="191">
        <v>184</v>
      </c>
      <c r="L783" s="199" t="s">
        <v>1271</v>
      </c>
      <c r="M783" s="211" t="s">
        <v>2341</v>
      </c>
      <c r="N783" s="185" t="s">
        <v>396</v>
      </c>
      <c r="O783" s="185" t="s">
        <v>309</v>
      </c>
      <c r="P783" s="185"/>
      <c r="Q783" s="185" t="s">
        <v>737</v>
      </c>
      <c r="R783" s="185" t="s">
        <v>381</v>
      </c>
      <c r="S783" s="185" t="s">
        <v>295</v>
      </c>
      <c r="T783" s="217" t="s">
        <v>379</v>
      </c>
    </row>
    <row r="784" spans="1:20" outlineLevel="1">
      <c r="A784" s="199" t="s">
        <v>274</v>
      </c>
      <c r="B784" s="181" t="s">
        <v>1567</v>
      </c>
      <c r="C784" s="190">
        <v>43708</v>
      </c>
      <c r="D784" s="199" t="s">
        <v>1592</v>
      </c>
      <c r="E784" s="182" t="s">
        <v>2371</v>
      </c>
      <c r="F784" s="183">
        <v>77217</v>
      </c>
      <c r="G784" s="184">
        <v>121.27</v>
      </c>
      <c r="H784" s="181">
        <v>161</v>
      </c>
      <c r="I784" s="181" t="s">
        <v>292</v>
      </c>
      <c r="J784" s="191">
        <v>146.22999999999999</v>
      </c>
      <c r="K784" s="191">
        <v>161</v>
      </c>
      <c r="L784" s="199" t="s">
        <v>1271</v>
      </c>
      <c r="M784" s="211" t="s">
        <v>2341</v>
      </c>
      <c r="N784" s="185" t="s">
        <v>396</v>
      </c>
      <c r="O784" s="185" t="s">
        <v>309</v>
      </c>
      <c r="P784" s="185"/>
      <c r="Q784" s="185" t="s">
        <v>737</v>
      </c>
      <c r="R784" s="185" t="s">
        <v>381</v>
      </c>
      <c r="S784" s="185" t="s">
        <v>295</v>
      </c>
      <c r="T784" s="217" t="s">
        <v>379</v>
      </c>
    </row>
    <row r="785" spans="1:20" outlineLevel="1">
      <c r="A785" s="199" t="s">
        <v>274</v>
      </c>
      <c r="B785" s="181" t="s">
        <v>1567</v>
      </c>
      <c r="C785" s="190">
        <v>43708</v>
      </c>
      <c r="D785" s="199" t="s">
        <v>1592</v>
      </c>
      <c r="E785" s="182" t="s">
        <v>2372</v>
      </c>
      <c r="F785" s="183">
        <v>77217</v>
      </c>
      <c r="G785" s="184">
        <v>1.51</v>
      </c>
      <c r="H785" s="181">
        <v>2</v>
      </c>
      <c r="I785" s="181" t="s">
        <v>292</v>
      </c>
      <c r="J785" s="191">
        <v>1.82</v>
      </c>
      <c r="K785" s="191">
        <v>2</v>
      </c>
      <c r="L785" s="199" t="s">
        <v>1271</v>
      </c>
      <c r="M785" s="211" t="s">
        <v>2341</v>
      </c>
      <c r="N785" s="185" t="s">
        <v>396</v>
      </c>
      <c r="O785" s="185" t="s">
        <v>309</v>
      </c>
      <c r="P785" s="185"/>
      <c r="Q785" s="185" t="s">
        <v>737</v>
      </c>
      <c r="R785" s="185" t="s">
        <v>381</v>
      </c>
      <c r="S785" s="185" t="s">
        <v>295</v>
      </c>
      <c r="T785" s="217" t="s">
        <v>379</v>
      </c>
    </row>
    <row r="786" spans="1:20" outlineLevel="1">
      <c r="A786" s="199" t="s">
        <v>274</v>
      </c>
      <c r="B786" s="181" t="s">
        <v>1567</v>
      </c>
      <c r="C786" s="190">
        <v>43708</v>
      </c>
      <c r="D786" s="199" t="s">
        <v>1592</v>
      </c>
      <c r="E786" s="182" t="s">
        <v>2373</v>
      </c>
      <c r="F786" s="183">
        <v>77217</v>
      </c>
      <c r="G786" s="184">
        <v>0.24</v>
      </c>
      <c r="H786" s="181">
        <v>0.32</v>
      </c>
      <c r="I786" s="181" t="s">
        <v>292</v>
      </c>
      <c r="J786" s="191">
        <v>0.28999999999999998</v>
      </c>
      <c r="K786" s="191">
        <v>0.32</v>
      </c>
      <c r="L786" s="199" t="s">
        <v>1271</v>
      </c>
      <c r="M786" s="211" t="s">
        <v>2341</v>
      </c>
      <c r="N786" s="185" t="s">
        <v>396</v>
      </c>
      <c r="O786" s="185" t="s">
        <v>309</v>
      </c>
      <c r="P786" s="185"/>
      <c r="Q786" s="185" t="s">
        <v>737</v>
      </c>
      <c r="R786" s="185" t="s">
        <v>381</v>
      </c>
      <c r="S786" s="185" t="s">
        <v>295</v>
      </c>
      <c r="T786" s="217" t="s">
        <v>379</v>
      </c>
    </row>
    <row r="787" spans="1:20" outlineLevel="1">
      <c r="A787" s="199" t="s">
        <v>274</v>
      </c>
      <c r="B787" s="181" t="s">
        <v>1567</v>
      </c>
      <c r="C787" s="190">
        <v>43708</v>
      </c>
      <c r="D787" s="199" t="s">
        <v>1592</v>
      </c>
      <c r="E787" s="182" t="s">
        <v>1368</v>
      </c>
      <c r="F787" s="183">
        <v>77217</v>
      </c>
      <c r="G787" s="184">
        <v>3.77</v>
      </c>
      <c r="H787" s="181">
        <v>5</v>
      </c>
      <c r="I787" s="181" t="s">
        <v>292</v>
      </c>
      <c r="J787" s="191">
        <v>4.54</v>
      </c>
      <c r="K787" s="191">
        <v>5</v>
      </c>
      <c r="L787" s="199" t="s">
        <v>1271</v>
      </c>
      <c r="M787" s="211" t="s">
        <v>2341</v>
      </c>
      <c r="N787" s="185" t="s">
        <v>396</v>
      </c>
      <c r="O787" s="185" t="s">
        <v>309</v>
      </c>
      <c r="P787" s="185"/>
      <c r="Q787" s="185" t="s">
        <v>737</v>
      </c>
      <c r="R787" s="185" t="s">
        <v>381</v>
      </c>
      <c r="S787" s="185" t="s">
        <v>295</v>
      </c>
      <c r="T787" s="217" t="s">
        <v>379</v>
      </c>
    </row>
    <row r="788" spans="1:20" outlineLevel="1">
      <c r="A788" s="199" t="s">
        <v>274</v>
      </c>
      <c r="B788" s="181" t="s">
        <v>1567</v>
      </c>
      <c r="C788" s="190">
        <v>43708</v>
      </c>
      <c r="D788" s="199" t="s">
        <v>1592</v>
      </c>
      <c r="E788" s="182" t="s">
        <v>1306</v>
      </c>
      <c r="F788" s="183">
        <v>77217</v>
      </c>
      <c r="G788" s="184">
        <v>0.6</v>
      </c>
      <c r="H788" s="181">
        <v>0.8</v>
      </c>
      <c r="I788" s="181" t="s">
        <v>292</v>
      </c>
      <c r="J788" s="191">
        <v>0.73</v>
      </c>
      <c r="K788" s="191">
        <v>0.8</v>
      </c>
      <c r="L788" s="199" t="s">
        <v>1271</v>
      </c>
      <c r="M788" s="211" t="s">
        <v>2341</v>
      </c>
      <c r="N788" s="185" t="s">
        <v>396</v>
      </c>
      <c r="O788" s="185" t="s">
        <v>309</v>
      </c>
      <c r="P788" s="185"/>
      <c r="Q788" s="185" t="s">
        <v>737</v>
      </c>
      <c r="R788" s="185" t="s">
        <v>381</v>
      </c>
      <c r="S788" s="185" t="s">
        <v>295</v>
      </c>
      <c r="T788" s="217" t="s">
        <v>379</v>
      </c>
    </row>
    <row r="789" spans="1:20" outlineLevel="1">
      <c r="A789" s="199" t="s">
        <v>274</v>
      </c>
      <c r="B789" s="181" t="s">
        <v>1567</v>
      </c>
      <c r="C789" s="190">
        <v>43708</v>
      </c>
      <c r="D789" s="199" t="s">
        <v>1592</v>
      </c>
      <c r="E789" s="182" t="s">
        <v>2374</v>
      </c>
      <c r="F789" s="183">
        <v>77217</v>
      </c>
      <c r="G789" s="184">
        <v>36.909999999999997</v>
      </c>
      <c r="H789" s="181">
        <v>49</v>
      </c>
      <c r="I789" s="181" t="s">
        <v>292</v>
      </c>
      <c r="J789" s="191">
        <v>44.5</v>
      </c>
      <c r="K789" s="191">
        <v>49</v>
      </c>
      <c r="L789" s="199" t="s">
        <v>1271</v>
      </c>
      <c r="M789" s="211" t="s">
        <v>2341</v>
      </c>
      <c r="N789" s="185" t="s">
        <v>396</v>
      </c>
      <c r="O789" s="185" t="s">
        <v>309</v>
      </c>
      <c r="P789" s="185"/>
      <c r="Q789" s="185" t="s">
        <v>737</v>
      </c>
      <c r="R789" s="185" t="s">
        <v>381</v>
      </c>
      <c r="S789" s="185" t="s">
        <v>295</v>
      </c>
      <c r="T789" s="217" t="s">
        <v>379</v>
      </c>
    </row>
    <row r="790" spans="1:20" outlineLevel="1">
      <c r="A790" s="199" t="s">
        <v>274</v>
      </c>
      <c r="B790" s="181" t="s">
        <v>1567</v>
      </c>
      <c r="C790" s="190">
        <v>43708</v>
      </c>
      <c r="D790" s="199" t="s">
        <v>1592</v>
      </c>
      <c r="E790" s="182" t="s">
        <v>2375</v>
      </c>
      <c r="F790" s="183">
        <v>77217</v>
      </c>
      <c r="G790" s="184">
        <v>222.2</v>
      </c>
      <c r="H790" s="181">
        <v>295</v>
      </c>
      <c r="I790" s="181" t="s">
        <v>292</v>
      </c>
      <c r="J790" s="191">
        <v>267.93</v>
      </c>
      <c r="K790" s="191">
        <v>295</v>
      </c>
      <c r="L790" s="199" t="s">
        <v>1271</v>
      </c>
      <c r="M790" s="211" t="s">
        <v>2341</v>
      </c>
      <c r="N790" s="185" t="s">
        <v>396</v>
      </c>
      <c r="O790" s="185" t="s">
        <v>309</v>
      </c>
      <c r="P790" s="185"/>
      <c r="Q790" s="185" t="s">
        <v>737</v>
      </c>
      <c r="R790" s="185" t="s">
        <v>381</v>
      </c>
      <c r="S790" s="185" t="s">
        <v>295</v>
      </c>
      <c r="T790" s="217" t="s">
        <v>379</v>
      </c>
    </row>
    <row r="791" spans="1:20" outlineLevel="1">
      <c r="A791" s="199" t="s">
        <v>274</v>
      </c>
      <c r="B791" s="181" t="s">
        <v>1567</v>
      </c>
      <c r="C791" s="190">
        <v>43708</v>
      </c>
      <c r="D791" s="199" t="s">
        <v>1592</v>
      </c>
      <c r="E791" s="182" t="s">
        <v>2376</v>
      </c>
      <c r="F791" s="183">
        <v>77217</v>
      </c>
      <c r="G791" s="184">
        <v>141.61000000000001</v>
      </c>
      <c r="H791" s="181">
        <v>188</v>
      </c>
      <c r="I791" s="181" t="s">
        <v>292</v>
      </c>
      <c r="J791" s="191">
        <v>170.75</v>
      </c>
      <c r="K791" s="191">
        <v>188</v>
      </c>
      <c r="L791" s="199" t="s">
        <v>1271</v>
      </c>
      <c r="M791" s="211" t="s">
        <v>2341</v>
      </c>
      <c r="N791" s="185" t="s">
        <v>396</v>
      </c>
      <c r="O791" s="185" t="s">
        <v>309</v>
      </c>
      <c r="P791" s="185"/>
      <c r="Q791" s="185" t="s">
        <v>737</v>
      </c>
      <c r="R791" s="185" t="s">
        <v>381</v>
      </c>
      <c r="S791" s="185" t="s">
        <v>295</v>
      </c>
      <c r="T791" s="217" t="s">
        <v>379</v>
      </c>
    </row>
    <row r="792" spans="1:20" outlineLevel="1">
      <c r="A792" s="199" t="s">
        <v>274</v>
      </c>
      <c r="B792" s="181" t="s">
        <v>1567</v>
      </c>
      <c r="C792" s="190">
        <v>43708</v>
      </c>
      <c r="D792" s="199" t="s">
        <v>1592</v>
      </c>
      <c r="E792" s="182" t="s">
        <v>2377</v>
      </c>
      <c r="F792" s="183">
        <v>77217</v>
      </c>
      <c r="G792" s="184">
        <v>75.319999999999993</v>
      </c>
      <c r="H792" s="181">
        <v>100</v>
      </c>
      <c r="I792" s="181" t="s">
        <v>292</v>
      </c>
      <c r="J792" s="191">
        <v>90.82</v>
      </c>
      <c r="K792" s="191">
        <v>100</v>
      </c>
      <c r="L792" s="199" t="s">
        <v>1271</v>
      </c>
      <c r="M792" s="211" t="s">
        <v>2341</v>
      </c>
      <c r="N792" s="185" t="s">
        <v>396</v>
      </c>
      <c r="O792" s="185" t="s">
        <v>309</v>
      </c>
      <c r="P792" s="185"/>
      <c r="Q792" s="185" t="s">
        <v>737</v>
      </c>
      <c r="R792" s="185" t="s">
        <v>381</v>
      </c>
      <c r="S792" s="185" t="s">
        <v>295</v>
      </c>
      <c r="T792" s="217" t="s">
        <v>379</v>
      </c>
    </row>
    <row r="793" spans="1:20" outlineLevel="1">
      <c r="A793" s="199" t="s">
        <v>274</v>
      </c>
      <c r="B793" s="181" t="s">
        <v>1567</v>
      </c>
      <c r="C793" s="190">
        <v>43708</v>
      </c>
      <c r="D793" s="199" t="s">
        <v>1592</v>
      </c>
      <c r="E793" s="182" t="s">
        <v>2378</v>
      </c>
      <c r="F793" s="183">
        <v>77217</v>
      </c>
      <c r="G793" s="184">
        <v>75.319999999999993</v>
      </c>
      <c r="H793" s="181">
        <v>100</v>
      </c>
      <c r="I793" s="181" t="s">
        <v>292</v>
      </c>
      <c r="J793" s="191">
        <v>90.82</v>
      </c>
      <c r="K793" s="191">
        <v>100</v>
      </c>
      <c r="L793" s="199" t="s">
        <v>1271</v>
      </c>
      <c r="M793" s="211" t="s">
        <v>2341</v>
      </c>
      <c r="N793" s="185" t="s">
        <v>396</v>
      </c>
      <c r="O793" s="185" t="s">
        <v>309</v>
      </c>
      <c r="P793" s="185"/>
      <c r="Q793" s="185" t="s">
        <v>737</v>
      </c>
      <c r="R793" s="185" t="s">
        <v>381</v>
      </c>
      <c r="S793" s="185" t="s">
        <v>295</v>
      </c>
      <c r="T793" s="217" t="s">
        <v>379</v>
      </c>
    </row>
    <row r="794" spans="1:20" outlineLevel="1">
      <c r="A794" s="199" t="s">
        <v>274</v>
      </c>
      <c r="B794" s="181" t="s">
        <v>1567</v>
      </c>
      <c r="C794" s="190">
        <v>43708</v>
      </c>
      <c r="D794" s="199" t="s">
        <v>1592</v>
      </c>
      <c r="E794" s="182" t="s">
        <v>1420</v>
      </c>
      <c r="F794" s="183">
        <v>77217</v>
      </c>
      <c r="G794" s="184">
        <v>75.319999999999993</v>
      </c>
      <c r="H794" s="181">
        <v>100</v>
      </c>
      <c r="I794" s="181" t="s">
        <v>292</v>
      </c>
      <c r="J794" s="191">
        <v>90.82</v>
      </c>
      <c r="K794" s="191">
        <v>100</v>
      </c>
      <c r="L794" s="199" t="s">
        <v>1271</v>
      </c>
      <c r="M794" s="211" t="s">
        <v>2341</v>
      </c>
      <c r="N794" s="185" t="s">
        <v>396</v>
      </c>
      <c r="O794" s="185" t="s">
        <v>309</v>
      </c>
      <c r="P794" s="185"/>
      <c r="Q794" s="185" t="s">
        <v>737</v>
      </c>
      <c r="R794" s="185" t="s">
        <v>381</v>
      </c>
      <c r="S794" s="185" t="s">
        <v>295</v>
      </c>
      <c r="T794" s="217" t="s">
        <v>379</v>
      </c>
    </row>
    <row r="795" spans="1:20" outlineLevel="1">
      <c r="A795" s="199" t="s">
        <v>274</v>
      </c>
      <c r="B795" s="181" t="s">
        <v>1567</v>
      </c>
      <c r="C795" s="190">
        <v>43708</v>
      </c>
      <c r="D795" s="199" t="s">
        <v>1592</v>
      </c>
      <c r="E795" s="182" t="s">
        <v>1389</v>
      </c>
      <c r="F795" s="183">
        <v>77217</v>
      </c>
      <c r="G795" s="184">
        <v>22.6</v>
      </c>
      <c r="H795" s="181">
        <v>30</v>
      </c>
      <c r="I795" s="181" t="s">
        <v>292</v>
      </c>
      <c r="J795" s="191">
        <v>27.25</v>
      </c>
      <c r="K795" s="191">
        <v>30</v>
      </c>
      <c r="L795" s="199" t="s">
        <v>1271</v>
      </c>
      <c r="M795" s="211" t="s">
        <v>2341</v>
      </c>
      <c r="N795" s="185" t="s">
        <v>396</v>
      </c>
      <c r="O795" s="185" t="s">
        <v>309</v>
      </c>
      <c r="P795" s="185"/>
      <c r="Q795" s="185" t="s">
        <v>737</v>
      </c>
      <c r="R795" s="185" t="s">
        <v>381</v>
      </c>
      <c r="S795" s="185" t="s">
        <v>295</v>
      </c>
      <c r="T795" s="217" t="s">
        <v>379</v>
      </c>
    </row>
    <row r="796" spans="1:20" outlineLevel="1">
      <c r="A796" s="199" t="s">
        <v>274</v>
      </c>
      <c r="B796" s="181" t="s">
        <v>1567</v>
      </c>
      <c r="C796" s="190">
        <v>43708</v>
      </c>
      <c r="D796" s="199" t="s">
        <v>1592</v>
      </c>
      <c r="E796" s="182" t="s">
        <v>1390</v>
      </c>
      <c r="F796" s="183">
        <v>77217</v>
      </c>
      <c r="G796" s="184">
        <v>15.06</v>
      </c>
      <c r="H796" s="181">
        <v>20</v>
      </c>
      <c r="I796" s="181" t="s">
        <v>292</v>
      </c>
      <c r="J796" s="191">
        <v>18.16</v>
      </c>
      <c r="K796" s="191">
        <v>20</v>
      </c>
      <c r="L796" s="199" t="s">
        <v>1271</v>
      </c>
      <c r="M796" s="211" t="s">
        <v>2341</v>
      </c>
      <c r="N796" s="185" t="s">
        <v>396</v>
      </c>
      <c r="O796" s="185" t="s">
        <v>309</v>
      </c>
      <c r="P796" s="185"/>
      <c r="Q796" s="185" t="s">
        <v>737</v>
      </c>
      <c r="R796" s="185" t="s">
        <v>381</v>
      </c>
      <c r="S796" s="185" t="s">
        <v>295</v>
      </c>
      <c r="T796" s="217" t="s">
        <v>379</v>
      </c>
    </row>
    <row r="797" spans="1:20" outlineLevel="1">
      <c r="A797" s="199" t="s">
        <v>274</v>
      </c>
      <c r="B797" s="181" t="s">
        <v>1567</v>
      </c>
      <c r="C797" s="190">
        <v>43708</v>
      </c>
      <c r="D797" s="199" t="s">
        <v>1592</v>
      </c>
      <c r="E797" s="182" t="s">
        <v>2379</v>
      </c>
      <c r="F797" s="183">
        <v>77217</v>
      </c>
      <c r="G797" s="184">
        <v>75.319999999999993</v>
      </c>
      <c r="H797" s="181">
        <v>100</v>
      </c>
      <c r="I797" s="181" t="s">
        <v>292</v>
      </c>
      <c r="J797" s="191">
        <v>90.82</v>
      </c>
      <c r="K797" s="191">
        <v>100</v>
      </c>
      <c r="L797" s="199" t="s">
        <v>1271</v>
      </c>
      <c r="M797" s="211" t="s">
        <v>2341</v>
      </c>
      <c r="N797" s="185" t="s">
        <v>396</v>
      </c>
      <c r="O797" s="185" t="s">
        <v>309</v>
      </c>
      <c r="P797" s="185"/>
      <c r="Q797" s="185" t="s">
        <v>737</v>
      </c>
      <c r="R797" s="185" t="s">
        <v>381</v>
      </c>
      <c r="S797" s="185" t="s">
        <v>295</v>
      </c>
      <c r="T797" s="217" t="s">
        <v>379</v>
      </c>
    </row>
    <row r="798" spans="1:20" outlineLevel="1">
      <c r="A798" s="199" t="s">
        <v>274</v>
      </c>
      <c r="B798" s="181" t="s">
        <v>1567</v>
      </c>
      <c r="C798" s="190">
        <v>43708</v>
      </c>
      <c r="D798" s="199" t="s">
        <v>1592</v>
      </c>
      <c r="E798" s="182" t="s">
        <v>2380</v>
      </c>
      <c r="F798" s="183">
        <v>77217</v>
      </c>
      <c r="G798" s="184">
        <v>75.319999999999993</v>
      </c>
      <c r="H798" s="181">
        <v>100</v>
      </c>
      <c r="I798" s="181" t="s">
        <v>292</v>
      </c>
      <c r="J798" s="191">
        <v>90.82</v>
      </c>
      <c r="K798" s="191">
        <v>100</v>
      </c>
      <c r="L798" s="199" t="s">
        <v>1271</v>
      </c>
      <c r="M798" s="211" t="s">
        <v>2341</v>
      </c>
      <c r="N798" s="185" t="s">
        <v>396</v>
      </c>
      <c r="O798" s="185" t="s">
        <v>309</v>
      </c>
      <c r="P798" s="185"/>
      <c r="Q798" s="185" t="s">
        <v>737</v>
      </c>
      <c r="R798" s="185" t="s">
        <v>381</v>
      </c>
      <c r="S798" s="185" t="s">
        <v>295</v>
      </c>
      <c r="T798" s="217" t="s">
        <v>379</v>
      </c>
    </row>
    <row r="799" spans="1:20" outlineLevel="1">
      <c r="A799" s="199" t="s">
        <v>274</v>
      </c>
      <c r="B799" s="181" t="s">
        <v>1567</v>
      </c>
      <c r="C799" s="190">
        <v>43708</v>
      </c>
      <c r="D799" s="199" t="s">
        <v>1592</v>
      </c>
      <c r="E799" s="182" t="s">
        <v>2380</v>
      </c>
      <c r="F799" s="183">
        <v>77217</v>
      </c>
      <c r="G799" s="184">
        <v>75.319999999999993</v>
      </c>
      <c r="H799" s="181">
        <v>100</v>
      </c>
      <c r="I799" s="181" t="s">
        <v>292</v>
      </c>
      <c r="J799" s="191">
        <v>90.82</v>
      </c>
      <c r="K799" s="191">
        <v>100</v>
      </c>
      <c r="L799" s="199" t="s">
        <v>1271</v>
      </c>
      <c r="M799" s="211" t="s">
        <v>2341</v>
      </c>
      <c r="N799" s="185" t="s">
        <v>396</v>
      </c>
      <c r="O799" s="185" t="s">
        <v>309</v>
      </c>
      <c r="P799" s="185"/>
      <c r="Q799" s="185" t="s">
        <v>737</v>
      </c>
      <c r="R799" s="185" t="s">
        <v>381</v>
      </c>
      <c r="S799" s="185" t="s">
        <v>295</v>
      </c>
      <c r="T799" s="217" t="s">
        <v>379</v>
      </c>
    </row>
    <row r="800" spans="1:20" outlineLevel="1">
      <c r="A800" s="199" t="s">
        <v>274</v>
      </c>
      <c r="B800" s="181" t="s">
        <v>1567</v>
      </c>
      <c r="C800" s="190">
        <v>43708</v>
      </c>
      <c r="D800" s="199" t="s">
        <v>1592</v>
      </c>
      <c r="E800" s="182" t="s">
        <v>2381</v>
      </c>
      <c r="F800" s="183">
        <v>77217</v>
      </c>
      <c r="G800" s="184">
        <v>527.26</v>
      </c>
      <c r="H800" s="181">
        <v>700</v>
      </c>
      <c r="I800" s="181" t="s">
        <v>292</v>
      </c>
      <c r="J800" s="191">
        <v>635.77</v>
      </c>
      <c r="K800" s="191">
        <v>700</v>
      </c>
      <c r="L800" s="199" t="s">
        <v>1271</v>
      </c>
      <c r="M800" s="211" t="s">
        <v>2341</v>
      </c>
      <c r="N800" s="185" t="s">
        <v>396</v>
      </c>
      <c r="O800" s="185" t="s">
        <v>309</v>
      </c>
      <c r="P800" s="185"/>
      <c r="Q800" s="185" t="s">
        <v>737</v>
      </c>
      <c r="R800" s="185" t="s">
        <v>381</v>
      </c>
      <c r="S800" s="185" t="s">
        <v>295</v>
      </c>
      <c r="T800" s="217" t="s">
        <v>379</v>
      </c>
    </row>
    <row r="801" spans="1:20" outlineLevel="1">
      <c r="A801" s="199" t="s">
        <v>274</v>
      </c>
      <c r="B801" s="181" t="s">
        <v>1567</v>
      </c>
      <c r="C801" s="190">
        <v>43708</v>
      </c>
      <c r="D801" s="199" t="s">
        <v>1592</v>
      </c>
      <c r="E801" s="182" t="s">
        <v>2382</v>
      </c>
      <c r="F801" s="183">
        <v>77217</v>
      </c>
      <c r="G801" s="184">
        <v>451.94</v>
      </c>
      <c r="H801" s="181">
        <v>600</v>
      </c>
      <c r="I801" s="181" t="s">
        <v>292</v>
      </c>
      <c r="J801" s="191">
        <v>544.95000000000005</v>
      </c>
      <c r="K801" s="191">
        <v>600</v>
      </c>
      <c r="L801" s="199" t="s">
        <v>1271</v>
      </c>
      <c r="M801" s="211" t="s">
        <v>2341</v>
      </c>
      <c r="N801" s="185" t="s">
        <v>396</v>
      </c>
      <c r="O801" s="185" t="s">
        <v>309</v>
      </c>
      <c r="P801" s="185"/>
      <c r="Q801" s="185" t="s">
        <v>737</v>
      </c>
      <c r="R801" s="185" t="s">
        <v>381</v>
      </c>
      <c r="S801" s="185" t="s">
        <v>295</v>
      </c>
      <c r="T801" s="217" t="s">
        <v>379</v>
      </c>
    </row>
    <row r="802" spans="1:20" outlineLevel="1">
      <c r="A802" s="199" t="s">
        <v>274</v>
      </c>
      <c r="B802" s="181" t="s">
        <v>1567</v>
      </c>
      <c r="C802" s="190">
        <v>43708</v>
      </c>
      <c r="D802" s="199" t="s">
        <v>1592</v>
      </c>
      <c r="E802" s="182" t="s">
        <v>2383</v>
      </c>
      <c r="F802" s="183">
        <v>77217</v>
      </c>
      <c r="G802" s="184">
        <v>27.12</v>
      </c>
      <c r="H802" s="181">
        <v>36</v>
      </c>
      <c r="I802" s="181" t="s">
        <v>292</v>
      </c>
      <c r="J802" s="191">
        <v>32.700000000000003</v>
      </c>
      <c r="K802" s="191">
        <v>36</v>
      </c>
      <c r="L802" s="199" t="s">
        <v>1271</v>
      </c>
      <c r="M802" s="211" t="s">
        <v>2341</v>
      </c>
      <c r="N802" s="185" t="s">
        <v>396</v>
      </c>
      <c r="O802" s="185" t="s">
        <v>309</v>
      </c>
      <c r="P802" s="185"/>
      <c r="Q802" s="185" t="s">
        <v>737</v>
      </c>
      <c r="R802" s="185" t="s">
        <v>381</v>
      </c>
      <c r="S802" s="185" t="s">
        <v>295</v>
      </c>
      <c r="T802" s="217" t="s">
        <v>379</v>
      </c>
    </row>
    <row r="803" spans="1:20" outlineLevel="1">
      <c r="A803" s="199" t="s">
        <v>274</v>
      </c>
      <c r="B803" s="181" t="s">
        <v>1567</v>
      </c>
      <c r="C803" s="190">
        <v>43708</v>
      </c>
      <c r="D803" s="199" t="s">
        <v>1592</v>
      </c>
      <c r="E803" s="182" t="s">
        <v>2384</v>
      </c>
      <c r="F803" s="183">
        <v>77217</v>
      </c>
      <c r="G803" s="184">
        <v>96.41</v>
      </c>
      <c r="H803" s="181">
        <v>128</v>
      </c>
      <c r="I803" s="181" t="s">
        <v>292</v>
      </c>
      <c r="J803" s="191">
        <v>116.26</v>
      </c>
      <c r="K803" s="191">
        <v>128</v>
      </c>
      <c r="L803" s="199" t="s">
        <v>1271</v>
      </c>
      <c r="M803" s="211" t="s">
        <v>2341</v>
      </c>
      <c r="N803" s="185" t="s">
        <v>396</v>
      </c>
      <c r="O803" s="185" t="s">
        <v>309</v>
      </c>
      <c r="P803" s="185"/>
      <c r="Q803" s="185" t="s">
        <v>737</v>
      </c>
      <c r="R803" s="185" t="s">
        <v>381</v>
      </c>
      <c r="S803" s="185" t="s">
        <v>295</v>
      </c>
      <c r="T803" s="217" t="s">
        <v>379</v>
      </c>
    </row>
    <row r="804" spans="1:20" outlineLevel="1">
      <c r="A804" s="199" t="s">
        <v>274</v>
      </c>
      <c r="B804" s="181" t="s">
        <v>1567</v>
      </c>
      <c r="C804" s="190">
        <v>43708</v>
      </c>
      <c r="D804" s="199" t="s">
        <v>1592</v>
      </c>
      <c r="E804" s="182" t="s">
        <v>2385</v>
      </c>
      <c r="F804" s="183">
        <v>77217</v>
      </c>
      <c r="G804" s="184">
        <v>162.69999999999999</v>
      </c>
      <c r="H804" s="181">
        <v>216</v>
      </c>
      <c r="I804" s="181" t="s">
        <v>292</v>
      </c>
      <c r="J804" s="191">
        <v>196.18</v>
      </c>
      <c r="K804" s="191">
        <v>216</v>
      </c>
      <c r="L804" s="199" t="s">
        <v>1271</v>
      </c>
      <c r="M804" s="211" t="s">
        <v>2341</v>
      </c>
      <c r="N804" s="185" t="s">
        <v>396</v>
      </c>
      <c r="O804" s="185" t="s">
        <v>309</v>
      </c>
      <c r="P804" s="185"/>
      <c r="Q804" s="185" t="s">
        <v>737</v>
      </c>
      <c r="R804" s="185" t="s">
        <v>381</v>
      </c>
      <c r="S804" s="185" t="s">
        <v>295</v>
      </c>
      <c r="T804" s="217" t="s">
        <v>379</v>
      </c>
    </row>
    <row r="805" spans="1:20" outlineLevel="1">
      <c r="A805" s="199" t="s">
        <v>274</v>
      </c>
      <c r="B805" s="181" t="s">
        <v>1567</v>
      </c>
      <c r="C805" s="190">
        <v>43708</v>
      </c>
      <c r="D805" s="199" t="s">
        <v>1592</v>
      </c>
      <c r="E805" s="182" t="s">
        <v>2386</v>
      </c>
      <c r="F805" s="183">
        <v>77217</v>
      </c>
      <c r="G805" s="184">
        <v>75.319999999999993</v>
      </c>
      <c r="H805" s="181">
        <v>100</v>
      </c>
      <c r="I805" s="181" t="s">
        <v>292</v>
      </c>
      <c r="J805" s="191">
        <v>90.82</v>
      </c>
      <c r="K805" s="191">
        <v>100</v>
      </c>
      <c r="L805" s="199" t="s">
        <v>1271</v>
      </c>
      <c r="M805" s="211" t="s">
        <v>2341</v>
      </c>
      <c r="N805" s="185" t="s">
        <v>396</v>
      </c>
      <c r="O805" s="185" t="s">
        <v>309</v>
      </c>
      <c r="P805" s="185"/>
      <c r="Q805" s="185" t="s">
        <v>737</v>
      </c>
      <c r="R805" s="185" t="s">
        <v>381</v>
      </c>
      <c r="S805" s="185" t="s">
        <v>295</v>
      </c>
      <c r="T805" s="217" t="s">
        <v>379</v>
      </c>
    </row>
    <row r="806" spans="1:20" outlineLevel="1">
      <c r="A806" s="199" t="s">
        <v>274</v>
      </c>
      <c r="B806" s="181" t="s">
        <v>1567</v>
      </c>
      <c r="C806" s="190">
        <v>43708</v>
      </c>
      <c r="D806" s="199" t="s">
        <v>1592</v>
      </c>
      <c r="E806" s="182" t="s">
        <v>2387</v>
      </c>
      <c r="F806" s="183">
        <v>77217</v>
      </c>
      <c r="G806" s="184">
        <v>75.319999999999993</v>
      </c>
      <c r="H806" s="181">
        <v>100</v>
      </c>
      <c r="I806" s="181" t="s">
        <v>292</v>
      </c>
      <c r="J806" s="191">
        <v>90.82</v>
      </c>
      <c r="K806" s="191">
        <v>100</v>
      </c>
      <c r="L806" s="199" t="s">
        <v>1271</v>
      </c>
      <c r="M806" s="211" t="s">
        <v>2341</v>
      </c>
      <c r="N806" s="185" t="s">
        <v>396</v>
      </c>
      <c r="O806" s="185" t="s">
        <v>309</v>
      </c>
      <c r="P806" s="185"/>
      <c r="Q806" s="185" t="s">
        <v>737</v>
      </c>
      <c r="R806" s="185" t="s">
        <v>381</v>
      </c>
      <c r="S806" s="185" t="s">
        <v>295</v>
      </c>
      <c r="T806" s="217" t="s">
        <v>379</v>
      </c>
    </row>
    <row r="807" spans="1:20" outlineLevel="1">
      <c r="A807" s="199" t="s">
        <v>274</v>
      </c>
      <c r="B807" s="181" t="s">
        <v>1567</v>
      </c>
      <c r="C807" s="190">
        <v>43708</v>
      </c>
      <c r="D807" s="199" t="s">
        <v>1592</v>
      </c>
      <c r="E807" s="182" t="s">
        <v>2387</v>
      </c>
      <c r="F807" s="183">
        <v>77217</v>
      </c>
      <c r="G807" s="184">
        <v>75.319999999999993</v>
      </c>
      <c r="H807" s="181">
        <v>100</v>
      </c>
      <c r="I807" s="181" t="s">
        <v>292</v>
      </c>
      <c r="J807" s="191">
        <v>90.82</v>
      </c>
      <c r="K807" s="191">
        <v>100</v>
      </c>
      <c r="L807" s="199" t="s">
        <v>1271</v>
      </c>
      <c r="M807" s="211" t="s">
        <v>2341</v>
      </c>
      <c r="N807" s="185" t="s">
        <v>396</v>
      </c>
      <c r="O807" s="185" t="s">
        <v>309</v>
      </c>
      <c r="P807" s="185"/>
      <c r="Q807" s="185" t="s">
        <v>737</v>
      </c>
      <c r="R807" s="185" t="s">
        <v>381</v>
      </c>
      <c r="S807" s="185" t="s">
        <v>295</v>
      </c>
      <c r="T807" s="217" t="s">
        <v>379</v>
      </c>
    </row>
    <row r="808" spans="1:20" outlineLevel="1">
      <c r="A808" s="199" t="s">
        <v>274</v>
      </c>
      <c r="B808" s="181" t="s">
        <v>1567</v>
      </c>
      <c r="C808" s="190">
        <v>43708</v>
      </c>
      <c r="D808" s="199" t="s">
        <v>1592</v>
      </c>
      <c r="E808" s="182" t="s">
        <v>2388</v>
      </c>
      <c r="F808" s="183">
        <v>77217</v>
      </c>
      <c r="G808" s="184">
        <v>527.26</v>
      </c>
      <c r="H808" s="181">
        <v>700</v>
      </c>
      <c r="I808" s="181" t="s">
        <v>292</v>
      </c>
      <c r="J808" s="191">
        <v>635.77</v>
      </c>
      <c r="K808" s="191">
        <v>700</v>
      </c>
      <c r="L808" s="199" t="s">
        <v>1271</v>
      </c>
      <c r="M808" s="211" t="s">
        <v>2341</v>
      </c>
      <c r="N808" s="185" t="s">
        <v>396</v>
      </c>
      <c r="O808" s="185" t="s">
        <v>309</v>
      </c>
      <c r="P808" s="185"/>
      <c r="Q808" s="185" t="s">
        <v>737</v>
      </c>
      <c r="R808" s="185" t="s">
        <v>381</v>
      </c>
      <c r="S808" s="185" t="s">
        <v>295</v>
      </c>
      <c r="T808" s="217" t="s">
        <v>379</v>
      </c>
    </row>
    <row r="809" spans="1:20" outlineLevel="1">
      <c r="A809" s="199" t="s">
        <v>274</v>
      </c>
      <c r="B809" s="181" t="s">
        <v>1567</v>
      </c>
      <c r="C809" s="190">
        <v>43708</v>
      </c>
      <c r="D809" s="199" t="s">
        <v>1592</v>
      </c>
      <c r="E809" s="182" t="s">
        <v>2389</v>
      </c>
      <c r="F809" s="183">
        <v>77217</v>
      </c>
      <c r="G809" s="184">
        <v>451.94</v>
      </c>
      <c r="H809" s="181">
        <v>600</v>
      </c>
      <c r="I809" s="181" t="s">
        <v>292</v>
      </c>
      <c r="J809" s="191">
        <v>544.95000000000005</v>
      </c>
      <c r="K809" s="191">
        <v>600</v>
      </c>
      <c r="L809" s="199" t="s">
        <v>1271</v>
      </c>
      <c r="M809" s="211" t="s">
        <v>2341</v>
      </c>
      <c r="N809" s="185" t="s">
        <v>396</v>
      </c>
      <c r="O809" s="185" t="s">
        <v>309</v>
      </c>
      <c r="P809" s="185"/>
      <c r="Q809" s="185" t="s">
        <v>737</v>
      </c>
      <c r="R809" s="185" t="s">
        <v>381</v>
      </c>
      <c r="S809" s="185" t="s">
        <v>295</v>
      </c>
      <c r="T809" s="217" t="s">
        <v>379</v>
      </c>
    </row>
    <row r="810" spans="1:20" outlineLevel="1">
      <c r="A810" s="199" t="s">
        <v>274</v>
      </c>
      <c r="B810" s="181" t="s">
        <v>1567</v>
      </c>
      <c r="C810" s="190">
        <v>43708</v>
      </c>
      <c r="D810" s="199" t="s">
        <v>1592</v>
      </c>
      <c r="E810" s="182" t="s">
        <v>2390</v>
      </c>
      <c r="F810" s="183">
        <v>77217</v>
      </c>
      <c r="G810" s="184">
        <v>75.319999999999993</v>
      </c>
      <c r="H810" s="181">
        <v>100</v>
      </c>
      <c r="I810" s="181" t="s">
        <v>292</v>
      </c>
      <c r="J810" s="191">
        <v>90.82</v>
      </c>
      <c r="K810" s="191">
        <v>100</v>
      </c>
      <c r="L810" s="199" t="s">
        <v>1271</v>
      </c>
      <c r="M810" s="211" t="s">
        <v>2341</v>
      </c>
      <c r="N810" s="185" t="s">
        <v>396</v>
      </c>
      <c r="O810" s="185" t="s">
        <v>309</v>
      </c>
      <c r="P810" s="185"/>
      <c r="Q810" s="185" t="s">
        <v>737</v>
      </c>
      <c r="R810" s="185" t="s">
        <v>381</v>
      </c>
      <c r="S810" s="185" t="s">
        <v>295</v>
      </c>
      <c r="T810" s="217" t="s">
        <v>379</v>
      </c>
    </row>
    <row r="811" spans="1:20" outlineLevel="1">
      <c r="A811" s="199" t="s">
        <v>274</v>
      </c>
      <c r="B811" s="181" t="s">
        <v>1567</v>
      </c>
      <c r="C811" s="190">
        <v>43708</v>
      </c>
      <c r="D811" s="199" t="s">
        <v>1592</v>
      </c>
      <c r="E811" s="182" t="s">
        <v>2391</v>
      </c>
      <c r="F811" s="183">
        <v>77217</v>
      </c>
      <c r="G811" s="184">
        <v>30.13</v>
      </c>
      <c r="H811" s="181">
        <v>40</v>
      </c>
      <c r="I811" s="181" t="s">
        <v>292</v>
      </c>
      <c r="J811" s="191">
        <v>36.33</v>
      </c>
      <c r="K811" s="191">
        <v>40</v>
      </c>
      <c r="L811" s="199" t="s">
        <v>1271</v>
      </c>
      <c r="M811" s="211" t="s">
        <v>2341</v>
      </c>
      <c r="N811" s="185" t="s">
        <v>396</v>
      </c>
      <c r="O811" s="185" t="s">
        <v>309</v>
      </c>
      <c r="P811" s="185"/>
      <c r="Q811" s="185" t="s">
        <v>737</v>
      </c>
      <c r="R811" s="185" t="s">
        <v>381</v>
      </c>
      <c r="S811" s="185" t="s">
        <v>295</v>
      </c>
      <c r="T811" s="217" t="s">
        <v>379</v>
      </c>
    </row>
    <row r="812" spans="1:20" outlineLevel="1">
      <c r="A812" s="199" t="s">
        <v>274</v>
      </c>
      <c r="B812" s="181" t="s">
        <v>1567</v>
      </c>
      <c r="C812" s="190">
        <v>43708</v>
      </c>
      <c r="D812" s="199" t="s">
        <v>1592</v>
      </c>
      <c r="E812" s="182" t="s">
        <v>2392</v>
      </c>
      <c r="F812" s="183">
        <v>77217</v>
      </c>
      <c r="G812" s="184">
        <v>75.319999999999993</v>
      </c>
      <c r="H812" s="181">
        <v>100</v>
      </c>
      <c r="I812" s="181" t="s">
        <v>292</v>
      </c>
      <c r="J812" s="191">
        <v>90.82</v>
      </c>
      <c r="K812" s="191">
        <v>100</v>
      </c>
      <c r="L812" s="199" t="s">
        <v>1271</v>
      </c>
      <c r="M812" s="211" t="s">
        <v>2341</v>
      </c>
      <c r="N812" s="185" t="s">
        <v>396</v>
      </c>
      <c r="O812" s="185" t="s">
        <v>309</v>
      </c>
      <c r="P812" s="185"/>
      <c r="Q812" s="185" t="s">
        <v>737</v>
      </c>
      <c r="R812" s="185" t="s">
        <v>381</v>
      </c>
      <c r="S812" s="185" t="s">
        <v>295</v>
      </c>
      <c r="T812" s="217" t="s">
        <v>379</v>
      </c>
    </row>
    <row r="813" spans="1:20" outlineLevel="1">
      <c r="A813" s="199" t="s">
        <v>274</v>
      </c>
      <c r="B813" s="181" t="s">
        <v>1567</v>
      </c>
      <c r="C813" s="190">
        <v>43708</v>
      </c>
      <c r="D813" s="199" t="s">
        <v>1592</v>
      </c>
      <c r="E813" s="182" t="s">
        <v>1420</v>
      </c>
      <c r="F813" s="183">
        <v>77217</v>
      </c>
      <c r="G813" s="184">
        <v>45.19</v>
      </c>
      <c r="H813" s="181">
        <v>60</v>
      </c>
      <c r="I813" s="181" t="s">
        <v>292</v>
      </c>
      <c r="J813" s="191">
        <v>54.49</v>
      </c>
      <c r="K813" s="191">
        <v>60</v>
      </c>
      <c r="L813" s="199" t="s">
        <v>1271</v>
      </c>
      <c r="M813" s="211" t="s">
        <v>2341</v>
      </c>
      <c r="N813" s="185" t="s">
        <v>396</v>
      </c>
      <c r="O813" s="185" t="s">
        <v>309</v>
      </c>
      <c r="P813" s="185"/>
      <c r="Q813" s="185" t="s">
        <v>737</v>
      </c>
      <c r="R813" s="185" t="s">
        <v>381</v>
      </c>
      <c r="S813" s="185" t="s">
        <v>295</v>
      </c>
      <c r="T813" s="217" t="s">
        <v>379</v>
      </c>
    </row>
    <row r="814" spans="1:20" outlineLevel="1">
      <c r="A814" s="199" t="s">
        <v>274</v>
      </c>
      <c r="B814" s="181" t="s">
        <v>1567</v>
      </c>
      <c r="C814" s="190">
        <v>43708</v>
      </c>
      <c r="D814" s="199" t="s">
        <v>1592</v>
      </c>
      <c r="E814" s="182" t="s">
        <v>1389</v>
      </c>
      <c r="F814" s="183">
        <v>77217</v>
      </c>
      <c r="G814" s="184">
        <v>22.6</v>
      </c>
      <c r="H814" s="181">
        <v>30</v>
      </c>
      <c r="I814" s="181" t="s">
        <v>292</v>
      </c>
      <c r="J814" s="191">
        <v>27.25</v>
      </c>
      <c r="K814" s="191">
        <v>30</v>
      </c>
      <c r="L814" s="199" t="s">
        <v>1271</v>
      </c>
      <c r="M814" s="211" t="s">
        <v>2341</v>
      </c>
      <c r="N814" s="185" t="s">
        <v>396</v>
      </c>
      <c r="O814" s="185" t="s">
        <v>309</v>
      </c>
      <c r="P814" s="185"/>
      <c r="Q814" s="185" t="s">
        <v>737</v>
      </c>
      <c r="R814" s="185" t="s">
        <v>381</v>
      </c>
      <c r="S814" s="185" t="s">
        <v>295</v>
      </c>
      <c r="T814" s="217" t="s">
        <v>379</v>
      </c>
    </row>
    <row r="815" spans="1:20" outlineLevel="1">
      <c r="A815" s="199" t="s">
        <v>274</v>
      </c>
      <c r="B815" s="181" t="s">
        <v>1567</v>
      </c>
      <c r="C815" s="190">
        <v>43708</v>
      </c>
      <c r="D815" s="199" t="s">
        <v>1592</v>
      </c>
      <c r="E815" s="182" t="s">
        <v>2393</v>
      </c>
      <c r="F815" s="183">
        <v>77217</v>
      </c>
      <c r="G815" s="184">
        <v>11.3</v>
      </c>
      <c r="H815" s="181">
        <v>15</v>
      </c>
      <c r="I815" s="181" t="s">
        <v>292</v>
      </c>
      <c r="J815" s="191">
        <v>13.62</v>
      </c>
      <c r="K815" s="191">
        <v>15</v>
      </c>
      <c r="L815" s="199" t="s">
        <v>1271</v>
      </c>
      <c r="M815" s="211" t="s">
        <v>2341</v>
      </c>
      <c r="N815" s="185" t="s">
        <v>396</v>
      </c>
      <c r="O815" s="185" t="s">
        <v>309</v>
      </c>
      <c r="P815" s="185"/>
      <c r="Q815" s="185" t="s">
        <v>737</v>
      </c>
      <c r="R815" s="185" t="s">
        <v>381</v>
      </c>
      <c r="S815" s="185" t="s">
        <v>295</v>
      </c>
      <c r="T815" s="217" t="s">
        <v>379</v>
      </c>
    </row>
    <row r="816" spans="1:20" outlineLevel="1">
      <c r="A816" s="199" t="s">
        <v>274</v>
      </c>
      <c r="B816" s="181" t="s">
        <v>1567</v>
      </c>
      <c r="C816" s="190">
        <v>43708</v>
      </c>
      <c r="D816" s="199" t="s">
        <v>1592</v>
      </c>
      <c r="E816" s="182" t="s">
        <v>1390</v>
      </c>
      <c r="F816" s="183">
        <v>77217</v>
      </c>
      <c r="G816" s="184">
        <v>15.06</v>
      </c>
      <c r="H816" s="181">
        <v>20</v>
      </c>
      <c r="I816" s="181" t="s">
        <v>292</v>
      </c>
      <c r="J816" s="191">
        <v>18.16</v>
      </c>
      <c r="K816" s="191">
        <v>20</v>
      </c>
      <c r="L816" s="199" t="s">
        <v>1271</v>
      </c>
      <c r="M816" s="211" t="s">
        <v>2341</v>
      </c>
      <c r="N816" s="185" t="s">
        <v>396</v>
      </c>
      <c r="O816" s="185" t="s">
        <v>309</v>
      </c>
      <c r="P816" s="185"/>
      <c r="Q816" s="185" t="s">
        <v>737</v>
      </c>
      <c r="R816" s="185" t="s">
        <v>381</v>
      </c>
      <c r="S816" s="185" t="s">
        <v>295</v>
      </c>
      <c r="T816" s="217" t="s">
        <v>379</v>
      </c>
    </row>
    <row r="817" spans="1:20" outlineLevel="1">
      <c r="A817" s="199" t="s">
        <v>274</v>
      </c>
      <c r="B817" s="181" t="s">
        <v>1567</v>
      </c>
      <c r="C817" s="190">
        <v>43738</v>
      </c>
      <c r="D817" s="199" t="s">
        <v>1585</v>
      </c>
      <c r="E817" s="182" t="s">
        <v>2394</v>
      </c>
      <c r="F817" s="183">
        <v>77216</v>
      </c>
      <c r="G817" s="184">
        <v>1.71</v>
      </c>
      <c r="H817" s="181">
        <v>2</v>
      </c>
      <c r="I817" s="181" t="s">
        <v>292</v>
      </c>
      <c r="J817" s="191">
        <v>1.82</v>
      </c>
      <c r="K817" s="191">
        <v>2</v>
      </c>
      <c r="L817" s="199" t="s">
        <v>1271</v>
      </c>
      <c r="M817" s="211" t="s">
        <v>2341</v>
      </c>
      <c r="N817" s="185" t="s">
        <v>396</v>
      </c>
      <c r="O817" s="185" t="s">
        <v>309</v>
      </c>
      <c r="P817" s="185"/>
      <c r="Q817" s="185" t="s">
        <v>743</v>
      </c>
      <c r="R817" s="185" t="s">
        <v>381</v>
      </c>
      <c r="S817" s="185" t="s">
        <v>295</v>
      </c>
      <c r="T817" s="217" t="s">
        <v>379</v>
      </c>
    </row>
    <row r="818" spans="1:20" outlineLevel="1">
      <c r="A818" s="199" t="s">
        <v>274</v>
      </c>
      <c r="B818" s="181" t="s">
        <v>1567</v>
      </c>
      <c r="C818" s="190">
        <v>43738</v>
      </c>
      <c r="D818" s="199" t="s">
        <v>1585</v>
      </c>
      <c r="E818" s="182" t="s">
        <v>2395</v>
      </c>
      <c r="F818" s="183">
        <v>77216</v>
      </c>
      <c r="G818" s="184">
        <v>0.27</v>
      </c>
      <c r="H818" s="181">
        <v>0.32</v>
      </c>
      <c r="I818" s="181" t="s">
        <v>292</v>
      </c>
      <c r="J818" s="191">
        <v>0.28999999999999998</v>
      </c>
      <c r="K818" s="191">
        <v>0.32</v>
      </c>
      <c r="L818" s="199" t="s">
        <v>1271</v>
      </c>
      <c r="M818" s="211" t="s">
        <v>2341</v>
      </c>
      <c r="N818" s="185" t="s">
        <v>396</v>
      </c>
      <c r="O818" s="185" t="s">
        <v>309</v>
      </c>
      <c r="P818" s="185"/>
      <c r="Q818" s="185" t="s">
        <v>743</v>
      </c>
      <c r="R818" s="185" t="s">
        <v>381</v>
      </c>
      <c r="S818" s="185" t="s">
        <v>295</v>
      </c>
      <c r="T818" s="217" t="s">
        <v>379</v>
      </c>
    </row>
    <row r="819" spans="1:20" outlineLevel="1">
      <c r="A819" s="199" t="s">
        <v>274</v>
      </c>
      <c r="B819" s="181" t="s">
        <v>1567</v>
      </c>
      <c r="C819" s="190">
        <v>43738</v>
      </c>
      <c r="D819" s="199" t="s">
        <v>1585</v>
      </c>
      <c r="E819" s="182" t="s">
        <v>2396</v>
      </c>
      <c r="F819" s="183">
        <v>77216</v>
      </c>
      <c r="G819" s="184">
        <v>16.649999999999999</v>
      </c>
      <c r="H819" s="181">
        <v>19.47</v>
      </c>
      <c r="I819" s="181" t="s">
        <v>292</v>
      </c>
      <c r="J819" s="191">
        <v>17.68</v>
      </c>
      <c r="K819" s="191">
        <v>19.47</v>
      </c>
      <c r="L819" s="199" t="s">
        <v>1271</v>
      </c>
      <c r="M819" s="211" t="s">
        <v>2341</v>
      </c>
      <c r="N819" s="185" t="s">
        <v>396</v>
      </c>
      <c r="O819" s="185" t="s">
        <v>309</v>
      </c>
      <c r="P819" s="185"/>
      <c r="Q819" s="185" t="s">
        <v>743</v>
      </c>
      <c r="R819" s="185" t="s">
        <v>381</v>
      </c>
      <c r="S819" s="185" t="s">
        <v>295</v>
      </c>
      <c r="T819" s="217" t="s">
        <v>379</v>
      </c>
    </row>
    <row r="820" spans="1:20" outlineLevel="1">
      <c r="A820" s="199" t="s">
        <v>274</v>
      </c>
      <c r="B820" s="181" t="s">
        <v>1567</v>
      </c>
      <c r="C820" s="190">
        <v>43738</v>
      </c>
      <c r="D820" s="199" t="s">
        <v>1585</v>
      </c>
      <c r="E820" s="182" t="s">
        <v>2397</v>
      </c>
      <c r="F820" s="183">
        <v>77216</v>
      </c>
      <c r="G820" s="184">
        <v>2.7</v>
      </c>
      <c r="H820" s="181">
        <v>3.16</v>
      </c>
      <c r="I820" s="181" t="s">
        <v>292</v>
      </c>
      <c r="J820" s="191">
        <v>2.87</v>
      </c>
      <c r="K820" s="191">
        <v>3.16</v>
      </c>
      <c r="L820" s="199" t="s">
        <v>1271</v>
      </c>
      <c r="M820" s="211" t="s">
        <v>2341</v>
      </c>
      <c r="N820" s="185" t="s">
        <v>396</v>
      </c>
      <c r="O820" s="185" t="s">
        <v>309</v>
      </c>
      <c r="P820" s="185"/>
      <c r="Q820" s="185" t="s">
        <v>743</v>
      </c>
      <c r="R820" s="185" t="s">
        <v>381</v>
      </c>
      <c r="S820" s="185" t="s">
        <v>295</v>
      </c>
      <c r="T820" s="217" t="s">
        <v>379</v>
      </c>
    </row>
    <row r="821" spans="1:20" outlineLevel="1">
      <c r="A821" s="199" t="s">
        <v>274</v>
      </c>
      <c r="B821" s="181" t="s">
        <v>1567</v>
      </c>
      <c r="C821" s="190">
        <v>43738</v>
      </c>
      <c r="D821" s="199" t="s">
        <v>1585</v>
      </c>
      <c r="E821" s="182" t="s">
        <v>2396</v>
      </c>
      <c r="F821" s="183">
        <v>77216</v>
      </c>
      <c r="G821" s="184">
        <v>30.79</v>
      </c>
      <c r="H821" s="181">
        <v>36.01</v>
      </c>
      <c r="I821" s="181" t="s">
        <v>292</v>
      </c>
      <c r="J821" s="191">
        <v>32.71</v>
      </c>
      <c r="K821" s="191">
        <v>36.01</v>
      </c>
      <c r="L821" s="199" t="s">
        <v>1271</v>
      </c>
      <c r="M821" s="211" t="s">
        <v>2341</v>
      </c>
      <c r="N821" s="185" t="s">
        <v>396</v>
      </c>
      <c r="O821" s="185" t="s">
        <v>309</v>
      </c>
      <c r="P821" s="185"/>
      <c r="Q821" s="185" t="s">
        <v>743</v>
      </c>
      <c r="R821" s="185" t="s">
        <v>381</v>
      </c>
      <c r="S821" s="185" t="s">
        <v>295</v>
      </c>
      <c r="T821" s="217" t="s">
        <v>379</v>
      </c>
    </row>
    <row r="822" spans="1:20" outlineLevel="1">
      <c r="A822" s="199" t="s">
        <v>274</v>
      </c>
      <c r="B822" s="181" t="s">
        <v>1567</v>
      </c>
      <c r="C822" s="190">
        <v>43738</v>
      </c>
      <c r="D822" s="199" t="s">
        <v>1585</v>
      </c>
      <c r="E822" s="182" t="s">
        <v>2397</v>
      </c>
      <c r="F822" s="183">
        <v>77216</v>
      </c>
      <c r="G822" s="184">
        <v>4.99</v>
      </c>
      <c r="H822" s="181">
        <v>5.84</v>
      </c>
      <c r="I822" s="181" t="s">
        <v>292</v>
      </c>
      <c r="J822" s="191">
        <v>5.3</v>
      </c>
      <c r="K822" s="191">
        <v>5.84</v>
      </c>
      <c r="L822" s="199" t="s">
        <v>1271</v>
      </c>
      <c r="M822" s="211" t="s">
        <v>2341</v>
      </c>
      <c r="N822" s="185" t="s">
        <v>396</v>
      </c>
      <c r="O822" s="185" t="s">
        <v>309</v>
      </c>
      <c r="P822" s="185"/>
      <c r="Q822" s="185" t="s">
        <v>743</v>
      </c>
      <c r="R822" s="185" t="s">
        <v>381</v>
      </c>
      <c r="S822" s="185" t="s">
        <v>295</v>
      </c>
      <c r="T822" s="217" t="s">
        <v>379</v>
      </c>
    </row>
    <row r="823" spans="1:20" outlineLevel="1">
      <c r="A823" s="199" t="s">
        <v>274</v>
      </c>
      <c r="B823" s="181" t="s">
        <v>1567</v>
      </c>
      <c r="C823" s="190">
        <v>43738</v>
      </c>
      <c r="D823" s="199" t="s">
        <v>1585</v>
      </c>
      <c r="E823" s="182" t="s">
        <v>2398</v>
      </c>
      <c r="F823" s="183">
        <v>77216</v>
      </c>
      <c r="G823" s="184">
        <v>4.28</v>
      </c>
      <c r="H823" s="181">
        <v>5</v>
      </c>
      <c r="I823" s="181" t="s">
        <v>292</v>
      </c>
      <c r="J823" s="191">
        <v>4.54</v>
      </c>
      <c r="K823" s="191">
        <v>5</v>
      </c>
      <c r="L823" s="199" t="s">
        <v>1271</v>
      </c>
      <c r="M823" s="211" t="s">
        <v>2341</v>
      </c>
      <c r="N823" s="185" t="s">
        <v>396</v>
      </c>
      <c r="O823" s="185" t="s">
        <v>309</v>
      </c>
      <c r="P823" s="185"/>
      <c r="Q823" s="185" t="s">
        <v>743</v>
      </c>
      <c r="R823" s="185" t="s">
        <v>381</v>
      </c>
      <c r="S823" s="185" t="s">
        <v>295</v>
      </c>
      <c r="T823" s="217" t="s">
        <v>379</v>
      </c>
    </row>
    <row r="824" spans="1:20" outlineLevel="1">
      <c r="A824" s="199" t="s">
        <v>274</v>
      </c>
      <c r="B824" s="181" t="s">
        <v>1567</v>
      </c>
      <c r="C824" s="190">
        <v>43738</v>
      </c>
      <c r="D824" s="199" t="s">
        <v>1585</v>
      </c>
      <c r="E824" s="182" t="s">
        <v>2397</v>
      </c>
      <c r="F824" s="183">
        <v>77216</v>
      </c>
      <c r="G824" s="184">
        <v>0.68</v>
      </c>
      <c r="H824" s="181">
        <v>0.8</v>
      </c>
      <c r="I824" s="181" t="s">
        <v>292</v>
      </c>
      <c r="J824" s="191">
        <v>0.73</v>
      </c>
      <c r="K824" s="191">
        <v>0.8</v>
      </c>
      <c r="L824" s="199" t="s">
        <v>1271</v>
      </c>
      <c r="M824" s="211" t="s">
        <v>2341</v>
      </c>
      <c r="N824" s="185" t="s">
        <v>396</v>
      </c>
      <c r="O824" s="185" t="s">
        <v>309</v>
      </c>
      <c r="P824" s="185"/>
      <c r="Q824" s="185" t="s">
        <v>743</v>
      </c>
      <c r="R824" s="185" t="s">
        <v>381</v>
      </c>
      <c r="S824" s="185" t="s">
        <v>295</v>
      </c>
      <c r="T824" s="217" t="s">
        <v>379</v>
      </c>
    </row>
    <row r="825" spans="1:20" outlineLevel="1">
      <c r="A825" s="199" t="s">
        <v>274</v>
      </c>
      <c r="B825" s="181" t="s">
        <v>1567</v>
      </c>
      <c r="C825" s="190">
        <v>43738</v>
      </c>
      <c r="D825" s="199" t="s">
        <v>1585</v>
      </c>
      <c r="E825" s="182" t="s">
        <v>2396</v>
      </c>
      <c r="F825" s="183">
        <v>77216</v>
      </c>
      <c r="G825" s="184">
        <v>29.93</v>
      </c>
      <c r="H825" s="181">
        <v>35</v>
      </c>
      <c r="I825" s="181" t="s">
        <v>292</v>
      </c>
      <c r="J825" s="191">
        <v>31.79</v>
      </c>
      <c r="K825" s="191">
        <v>35</v>
      </c>
      <c r="L825" s="199" t="s">
        <v>1271</v>
      </c>
      <c r="M825" s="211" t="s">
        <v>2341</v>
      </c>
      <c r="N825" s="185" t="s">
        <v>396</v>
      </c>
      <c r="O825" s="185" t="s">
        <v>309</v>
      </c>
      <c r="P825" s="185"/>
      <c r="Q825" s="185" t="s">
        <v>743</v>
      </c>
      <c r="R825" s="185" t="s">
        <v>381</v>
      </c>
      <c r="S825" s="185" t="s">
        <v>295</v>
      </c>
      <c r="T825" s="217" t="s">
        <v>379</v>
      </c>
    </row>
    <row r="826" spans="1:20" outlineLevel="1">
      <c r="A826" s="199" t="s">
        <v>274</v>
      </c>
      <c r="B826" s="181" t="s">
        <v>1567</v>
      </c>
      <c r="C826" s="190">
        <v>43738</v>
      </c>
      <c r="D826" s="199" t="s">
        <v>1585</v>
      </c>
      <c r="E826" s="182" t="s">
        <v>2397</v>
      </c>
      <c r="F826" s="183">
        <v>77216</v>
      </c>
      <c r="G826" s="184">
        <v>4.79</v>
      </c>
      <c r="H826" s="181">
        <v>5.6</v>
      </c>
      <c r="I826" s="181" t="s">
        <v>292</v>
      </c>
      <c r="J826" s="191">
        <v>5.09</v>
      </c>
      <c r="K826" s="191">
        <v>5.6</v>
      </c>
      <c r="L826" s="199" t="s">
        <v>1271</v>
      </c>
      <c r="M826" s="211" t="s">
        <v>2341</v>
      </c>
      <c r="N826" s="185" t="s">
        <v>396</v>
      </c>
      <c r="O826" s="185" t="s">
        <v>309</v>
      </c>
      <c r="P826" s="185"/>
      <c r="Q826" s="185" t="s">
        <v>743</v>
      </c>
      <c r="R826" s="185" t="s">
        <v>381</v>
      </c>
      <c r="S826" s="185" t="s">
        <v>295</v>
      </c>
      <c r="T826" s="217" t="s">
        <v>379</v>
      </c>
    </row>
    <row r="827" spans="1:20" outlineLevel="1">
      <c r="A827" s="199" t="s">
        <v>274</v>
      </c>
      <c r="B827" s="181" t="s">
        <v>1567</v>
      </c>
      <c r="C827" s="190">
        <v>43738</v>
      </c>
      <c r="D827" s="199" t="s">
        <v>1585</v>
      </c>
      <c r="E827" s="182" t="s">
        <v>2398</v>
      </c>
      <c r="F827" s="183">
        <v>77216</v>
      </c>
      <c r="G827" s="184">
        <v>4.28</v>
      </c>
      <c r="H827" s="181">
        <v>5</v>
      </c>
      <c r="I827" s="181" t="s">
        <v>292</v>
      </c>
      <c r="J827" s="191">
        <v>4.54</v>
      </c>
      <c r="K827" s="191">
        <v>5</v>
      </c>
      <c r="L827" s="199" t="s">
        <v>1271</v>
      </c>
      <c r="M827" s="211" t="s">
        <v>2341</v>
      </c>
      <c r="N827" s="185" t="s">
        <v>396</v>
      </c>
      <c r="O827" s="185" t="s">
        <v>309</v>
      </c>
      <c r="P827" s="185"/>
      <c r="Q827" s="185" t="s">
        <v>743</v>
      </c>
      <c r="R827" s="185" t="s">
        <v>381</v>
      </c>
      <c r="S827" s="185" t="s">
        <v>295</v>
      </c>
      <c r="T827" s="217" t="s">
        <v>379</v>
      </c>
    </row>
    <row r="828" spans="1:20" outlineLevel="1">
      <c r="A828" s="199" t="s">
        <v>274</v>
      </c>
      <c r="B828" s="181" t="s">
        <v>1567</v>
      </c>
      <c r="C828" s="190">
        <v>43738</v>
      </c>
      <c r="D828" s="199" t="s">
        <v>1585</v>
      </c>
      <c r="E828" s="182" t="s">
        <v>2397</v>
      </c>
      <c r="F828" s="183">
        <v>77216</v>
      </c>
      <c r="G828" s="184">
        <v>0.68</v>
      </c>
      <c r="H828" s="181">
        <v>0.8</v>
      </c>
      <c r="I828" s="181" t="s">
        <v>292</v>
      </c>
      <c r="J828" s="191">
        <v>0.73</v>
      </c>
      <c r="K828" s="191">
        <v>0.8</v>
      </c>
      <c r="L828" s="199" t="s">
        <v>1271</v>
      </c>
      <c r="M828" s="211" t="s">
        <v>2341</v>
      </c>
      <c r="N828" s="185" t="s">
        <v>396</v>
      </c>
      <c r="O828" s="185" t="s">
        <v>309</v>
      </c>
      <c r="P828" s="185"/>
      <c r="Q828" s="185" t="s">
        <v>743</v>
      </c>
      <c r="R828" s="185" t="s">
        <v>381</v>
      </c>
      <c r="S828" s="185" t="s">
        <v>295</v>
      </c>
      <c r="T828" s="217" t="s">
        <v>379</v>
      </c>
    </row>
    <row r="829" spans="1:20" outlineLevel="1">
      <c r="A829" s="199" t="s">
        <v>274</v>
      </c>
      <c r="B829" s="181" t="s">
        <v>1567</v>
      </c>
      <c r="C829" s="190">
        <v>43738</v>
      </c>
      <c r="D829" s="199" t="s">
        <v>1585</v>
      </c>
      <c r="E829" s="182" t="s">
        <v>2399</v>
      </c>
      <c r="F829" s="183">
        <v>77216</v>
      </c>
      <c r="G829" s="184">
        <v>85.5</v>
      </c>
      <c r="H829" s="181">
        <v>100</v>
      </c>
      <c r="I829" s="181" t="s">
        <v>292</v>
      </c>
      <c r="J829" s="191">
        <v>90.82</v>
      </c>
      <c r="K829" s="191">
        <v>100</v>
      </c>
      <c r="L829" s="199" t="s">
        <v>1271</v>
      </c>
      <c r="M829" s="211" t="s">
        <v>2341</v>
      </c>
      <c r="N829" s="185" t="s">
        <v>396</v>
      </c>
      <c r="O829" s="185" t="s">
        <v>309</v>
      </c>
      <c r="P829" s="185"/>
      <c r="Q829" s="185" t="s">
        <v>743</v>
      </c>
      <c r="R829" s="185" t="s">
        <v>381</v>
      </c>
      <c r="S829" s="185" t="s">
        <v>295</v>
      </c>
      <c r="T829" s="217" t="s">
        <v>379</v>
      </c>
    </row>
    <row r="830" spans="1:20" outlineLevel="1">
      <c r="A830" s="199" t="s">
        <v>274</v>
      </c>
      <c r="B830" s="181" t="s">
        <v>1567</v>
      </c>
      <c r="C830" s="190">
        <v>43738</v>
      </c>
      <c r="D830" s="199" t="s">
        <v>1585</v>
      </c>
      <c r="E830" s="182" t="s">
        <v>2400</v>
      </c>
      <c r="F830" s="183">
        <v>77216</v>
      </c>
      <c r="G830" s="184">
        <v>85.5</v>
      </c>
      <c r="H830" s="181">
        <v>100</v>
      </c>
      <c r="I830" s="181" t="s">
        <v>292</v>
      </c>
      <c r="J830" s="191">
        <v>90.82</v>
      </c>
      <c r="K830" s="191">
        <v>100</v>
      </c>
      <c r="L830" s="199" t="s">
        <v>1271</v>
      </c>
      <c r="M830" s="211" t="s">
        <v>2341</v>
      </c>
      <c r="N830" s="185" t="s">
        <v>396</v>
      </c>
      <c r="O830" s="185" t="s">
        <v>309</v>
      </c>
      <c r="P830" s="185"/>
      <c r="Q830" s="185" t="s">
        <v>743</v>
      </c>
      <c r="R830" s="185" t="s">
        <v>381</v>
      </c>
      <c r="S830" s="185" t="s">
        <v>295</v>
      </c>
      <c r="T830" s="217" t="s">
        <v>379</v>
      </c>
    </row>
    <row r="831" spans="1:20" outlineLevel="1">
      <c r="A831" s="199" t="s">
        <v>274</v>
      </c>
      <c r="B831" s="181" t="s">
        <v>1567</v>
      </c>
      <c r="C831" s="190">
        <v>43738</v>
      </c>
      <c r="D831" s="199" t="s">
        <v>1585</v>
      </c>
      <c r="E831" s="182" t="s">
        <v>2401</v>
      </c>
      <c r="F831" s="183">
        <v>77216</v>
      </c>
      <c r="G831" s="184">
        <v>42.75</v>
      </c>
      <c r="H831" s="181">
        <v>50</v>
      </c>
      <c r="I831" s="181" t="s">
        <v>292</v>
      </c>
      <c r="J831" s="191">
        <v>45.41</v>
      </c>
      <c r="K831" s="191">
        <v>50</v>
      </c>
      <c r="L831" s="199" t="s">
        <v>1271</v>
      </c>
      <c r="M831" s="211" t="s">
        <v>2341</v>
      </c>
      <c r="N831" s="185" t="s">
        <v>396</v>
      </c>
      <c r="O831" s="185" t="s">
        <v>309</v>
      </c>
      <c r="P831" s="185"/>
      <c r="Q831" s="185" t="s">
        <v>743</v>
      </c>
      <c r="R831" s="185" t="s">
        <v>381</v>
      </c>
      <c r="S831" s="185" t="s">
        <v>295</v>
      </c>
      <c r="T831" s="217" t="s">
        <v>379</v>
      </c>
    </row>
    <row r="832" spans="1:20" outlineLevel="1">
      <c r="A832" s="199" t="s">
        <v>274</v>
      </c>
      <c r="B832" s="181" t="s">
        <v>1567</v>
      </c>
      <c r="C832" s="190">
        <v>43738</v>
      </c>
      <c r="D832" s="199" t="s">
        <v>1585</v>
      </c>
      <c r="E832" s="182" t="s">
        <v>2402</v>
      </c>
      <c r="F832" s="183">
        <v>77216</v>
      </c>
      <c r="G832" s="184">
        <v>68.400000000000006</v>
      </c>
      <c r="H832" s="181">
        <v>80</v>
      </c>
      <c r="I832" s="181" t="s">
        <v>292</v>
      </c>
      <c r="J832" s="191">
        <v>72.66</v>
      </c>
      <c r="K832" s="191">
        <v>80</v>
      </c>
      <c r="L832" s="199" t="s">
        <v>1271</v>
      </c>
      <c r="M832" s="211" t="s">
        <v>2341</v>
      </c>
      <c r="N832" s="185" t="s">
        <v>396</v>
      </c>
      <c r="O832" s="185" t="s">
        <v>309</v>
      </c>
      <c r="P832" s="185"/>
      <c r="Q832" s="185" t="s">
        <v>743</v>
      </c>
      <c r="R832" s="185" t="s">
        <v>381</v>
      </c>
      <c r="S832" s="185" t="s">
        <v>295</v>
      </c>
      <c r="T832" s="217" t="s">
        <v>379</v>
      </c>
    </row>
    <row r="833" spans="1:20" outlineLevel="1">
      <c r="A833" s="199" t="s">
        <v>274</v>
      </c>
      <c r="B833" s="181" t="s">
        <v>1567</v>
      </c>
      <c r="C833" s="190">
        <v>43738</v>
      </c>
      <c r="D833" s="199" t="s">
        <v>1585</v>
      </c>
      <c r="E833" s="182" t="s">
        <v>2403</v>
      </c>
      <c r="F833" s="183">
        <v>77216</v>
      </c>
      <c r="G833" s="184">
        <v>339.96</v>
      </c>
      <c r="H833" s="181">
        <v>397.6</v>
      </c>
      <c r="I833" s="181" t="s">
        <v>292</v>
      </c>
      <c r="J833" s="191">
        <v>361.12</v>
      </c>
      <c r="K833" s="191">
        <v>397.6</v>
      </c>
      <c r="L833" s="199" t="s">
        <v>1271</v>
      </c>
      <c r="M833" s="211" t="s">
        <v>2341</v>
      </c>
      <c r="N833" s="185" t="s">
        <v>396</v>
      </c>
      <c r="O833" s="185" t="s">
        <v>309</v>
      </c>
      <c r="P833" s="185"/>
      <c r="Q833" s="185" t="s">
        <v>743</v>
      </c>
      <c r="R833" s="185" t="s">
        <v>381</v>
      </c>
      <c r="S833" s="185" t="s">
        <v>295</v>
      </c>
      <c r="T833" s="217" t="s">
        <v>379</v>
      </c>
    </row>
    <row r="834" spans="1:20" outlineLevel="1">
      <c r="A834" s="199" t="s">
        <v>274</v>
      </c>
      <c r="B834" s="181" t="s">
        <v>1567</v>
      </c>
      <c r="C834" s="190">
        <v>43738</v>
      </c>
      <c r="D834" s="199" t="s">
        <v>1585</v>
      </c>
      <c r="E834" s="182" t="s">
        <v>2404</v>
      </c>
      <c r="F834" s="183">
        <v>77216</v>
      </c>
      <c r="G834" s="184">
        <v>221.94</v>
      </c>
      <c r="H834" s="181">
        <v>259.57</v>
      </c>
      <c r="I834" s="181" t="s">
        <v>292</v>
      </c>
      <c r="J834" s="191">
        <v>235.75</v>
      </c>
      <c r="K834" s="191">
        <v>259.57</v>
      </c>
      <c r="L834" s="199" t="s">
        <v>1271</v>
      </c>
      <c r="M834" s="211" t="s">
        <v>2341</v>
      </c>
      <c r="N834" s="185" t="s">
        <v>396</v>
      </c>
      <c r="O834" s="185" t="s">
        <v>309</v>
      </c>
      <c r="P834" s="185"/>
      <c r="Q834" s="185" t="s">
        <v>743</v>
      </c>
      <c r="R834" s="185" t="s">
        <v>381</v>
      </c>
      <c r="S834" s="185" t="s">
        <v>295</v>
      </c>
      <c r="T834" s="217" t="s">
        <v>379</v>
      </c>
    </row>
    <row r="835" spans="1:20" outlineLevel="1">
      <c r="A835" s="199" t="s">
        <v>274</v>
      </c>
      <c r="B835" s="181" t="s">
        <v>1567</v>
      </c>
      <c r="C835" s="190">
        <v>43738</v>
      </c>
      <c r="D835" s="199" t="s">
        <v>1585</v>
      </c>
      <c r="E835" s="182" t="s">
        <v>2405</v>
      </c>
      <c r="F835" s="183">
        <v>77216</v>
      </c>
      <c r="G835" s="184">
        <v>105.81</v>
      </c>
      <c r="H835" s="181">
        <v>123.75</v>
      </c>
      <c r="I835" s="181" t="s">
        <v>292</v>
      </c>
      <c r="J835" s="191">
        <v>112.4</v>
      </c>
      <c r="K835" s="191">
        <v>123.75</v>
      </c>
      <c r="L835" s="199" t="s">
        <v>1271</v>
      </c>
      <c r="M835" s="211" t="s">
        <v>2341</v>
      </c>
      <c r="N835" s="185" t="s">
        <v>396</v>
      </c>
      <c r="O835" s="185" t="s">
        <v>309</v>
      </c>
      <c r="P835" s="185"/>
      <c r="Q835" s="185" t="s">
        <v>743</v>
      </c>
      <c r="R835" s="185" t="s">
        <v>381</v>
      </c>
      <c r="S835" s="185" t="s">
        <v>295</v>
      </c>
      <c r="T835" s="217" t="s">
        <v>379</v>
      </c>
    </row>
    <row r="836" spans="1:20" outlineLevel="1">
      <c r="A836" s="199" t="s">
        <v>274</v>
      </c>
      <c r="B836" s="181" t="s">
        <v>1567</v>
      </c>
      <c r="C836" s="190">
        <v>43738</v>
      </c>
      <c r="D836" s="199" t="s">
        <v>1585</v>
      </c>
      <c r="E836" s="182" t="s">
        <v>2406</v>
      </c>
      <c r="F836" s="183">
        <v>77216</v>
      </c>
      <c r="G836" s="184">
        <v>157.15</v>
      </c>
      <c r="H836" s="181">
        <v>183.8</v>
      </c>
      <c r="I836" s="181" t="s">
        <v>292</v>
      </c>
      <c r="J836" s="191">
        <v>166.94</v>
      </c>
      <c r="K836" s="191">
        <v>183.8</v>
      </c>
      <c r="L836" s="199" t="s">
        <v>1271</v>
      </c>
      <c r="M836" s="211" t="s">
        <v>2341</v>
      </c>
      <c r="N836" s="185" t="s">
        <v>396</v>
      </c>
      <c r="O836" s="185" t="s">
        <v>309</v>
      </c>
      <c r="P836" s="185"/>
      <c r="Q836" s="185" t="s">
        <v>743</v>
      </c>
      <c r="R836" s="185" t="s">
        <v>381</v>
      </c>
      <c r="S836" s="185" t="s">
        <v>295</v>
      </c>
      <c r="T836" s="217" t="s">
        <v>379</v>
      </c>
    </row>
    <row r="837" spans="1:20" outlineLevel="1">
      <c r="A837" s="199" t="s">
        <v>274</v>
      </c>
      <c r="B837" s="181" t="s">
        <v>1567</v>
      </c>
      <c r="C837" s="190">
        <v>43738</v>
      </c>
      <c r="D837" s="199" t="s">
        <v>1585</v>
      </c>
      <c r="E837" s="182" t="s">
        <v>2399</v>
      </c>
      <c r="F837" s="183">
        <v>77216</v>
      </c>
      <c r="G837" s="184">
        <v>85.54</v>
      </c>
      <c r="H837" s="181">
        <v>100</v>
      </c>
      <c r="I837" s="181" t="s">
        <v>292</v>
      </c>
      <c r="J837" s="191">
        <v>90.82</v>
      </c>
      <c r="K837" s="191">
        <v>100</v>
      </c>
      <c r="L837" s="199" t="s">
        <v>1271</v>
      </c>
      <c r="M837" s="211" t="s">
        <v>2341</v>
      </c>
      <c r="N837" s="185" t="s">
        <v>396</v>
      </c>
      <c r="O837" s="185" t="s">
        <v>309</v>
      </c>
      <c r="P837" s="185"/>
      <c r="Q837" s="185" t="s">
        <v>743</v>
      </c>
      <c r="R837" s="185" t="s">
        <v>381</v>
      </c>
      <c r="S837" s="185" t="s">
        <v>295</v>
      </c>
      <c r="T837" s="217" t="s">
        <v>379</v>
      </c>
    </row>
    <row r="838" spans="1:20" outlineLevel="1">
      <c r="A838" s="199" t="s">
        <v>274</v>
      </c>
      <c r="B838" s="181" t="s">
        <v>1567</v>
      </c>
      <c r="C838" s="190">
        <v>43738</v>
      </c>
      <c r="D838" s="199" t="s">
        <v>1585</v>
      </c>
      <c r="E838" s="182" t="s">
        <v>2407</v>
      </c>
      <c r="F838" s="183">
        <v>77216</v>
      </c>
      <c r="G838" s="184">
        <v>42.75</v>
      </c>
      <c r="H838" s="181">
        <v>50</v>
      </c>
      <c r="I838" s="181" t="s">
        <v>292</v>
      </c>
      <c r="J838" s="191">
        <v>45.41</v>
      </c>
      <c r="K838" s="191">
        <v>50</v>
      </c>
      <c r="L838" s="199" t="s">
        <v>1271</v>
      </c>
      <c r="M838" s="211" t="s">
        <v>2341</v>
      </c>
      <c r="N838" s="185" t="s">
        <v>396</v>
      </c>
      <c r="O838" s="185" t="s">
        <v>309</v>
      </c>
      <c r="P838" s="185"/>
      <c r="Q838" s="185" t="s">
        <v>743</v>
      </c>
      <c r="R838" s="185" t="s">
        <v>381</v>
      </c>
      <c r="S838" s="185" t="s">
        <v>295</v>
      </c>
      <c r="T838" s="217" t="s">
        <v>379</v>
      </c>
    </row>
    <row r="839" spans="1:20" outlineLevel="1">
      <c r="A839" s="199" t="s">
        <v>274</v>
      </c>
      <c r="B839" s="181" t="s">
        <v>1567</v>
      </c>
      <c r="C839" s="190">
        <v>43738</v>
      </c>
      <c r="D839" s="199" t="s">
        <v>1585</v>
      </c>
      <c r="E839" s="182" t="s">
        <v>2400</v>
      </c>
      <c r="F839" s="183">
        <v>77216</v>
      </c>
      <c r="G839" s="184">
        <v>85.5</v>
      </c>
      <c r="H839" s="181">
        <v>100</v>
      </c>
      <c r="I839" s="181" t="s">
        <v>292</v>
      </c>
      <c r="J839" s="191">
        <v>90.82</v>
      </c>
      <c r="K839" s="191">
        <v>100</v>
      </c>
      <c r="L839" s="199" t="s">
        <v>1271</v>
      </c>
      <c r="M839" s="211" t="s">
        <v>2341</v>
      </c>
      <c r="N839" s="185" t="s">
        <v>396</v>
      </c>
      <c r="O839" s="185" t="s">
        <v>309</v>
      </c>
      <c r="P839" s="185"/>
      <c r="Q839" s="185" t="s">
        <v>743</v>
      </c>
      <c r="R839" s="185" t="s">
        <v>381</v>
      </c>
      <c r="S839" s="185" t="s">
        <v>295</v>
      </c>
      <c r="T839" s="217" t="s">
        <v>379</v>
      </c>
    </row>
    <row r="840" spans="1:20" outlineLevel="1">
      <c r="A840" s="199" t="s">
        <v>274</v>
      </c>
      <c r="B840" s="181" t="s">
        <v>1567</v>
      </c>
      <c r="C840" s="190">
        <v>43738</v>
      </c>
      <c r="D840" s="199" t="s">
        <v>1585</v>
      </c>
      <c r="E840" s="182" t="s">
        <v>2408</v>
      </c>
      <c r="F840" s="183">
        <v>77216</v>
      </c>
      <c r="G840" s="184">
        <v>11.97</v>
      </c>
      <c r="H840" s="181">
        <v>14</v>
      </c>
      <c r="I840" s="181" t="s">
        <v>292</v>
      </c>
      <c r="J840" s="191">
        <v>12.72</v>
      </c>
      <c r="K840" s="191">
        <v>14</v>
      </c>
      <c r="L840" s="199" t="s">
        <v>1271</v>
      </c>
      <c r="M840" s="211" t="s">
        <v>2341</v>
      </c>
      <c r="N840" s="185" t="s">
        <v>396</v>
      </c>
      <c r="O840" s="185" t="s">
        <v>309</v>
      </c>
      <c r="P840" s="185"/>
      <c r="Q840" s="185" t="s">
        <v>743</v>
      </c>
      <c r="R840" s="185" t="s">
        <v>381</v>
      </c>
      <c r="S840" s="185" t="s">
        <v>295</v>
      </c>
      <c r="T840" s="217" t="s">
        <v>379</v>
      </c>
    </row>
    <row r="841" spans="1:20" outlineLevel="1">
      <c r="A841" s="199" t="s">
        <v>274</v>
      </c>
      <c r="B841" s="181" t="s">
        <v>1567</v>
      </c>
      <c r="C841" s="190">
        <v>43738</v>
      </c>
      <c r="D841" s="199" t="s">
        <v>1585</v>
      </c>
      <c r="E841" s="182" t="s">
        <v>2409</v>
      </c>
      <c r="F841" s="183">
        <v>77216</v>
      </c>
      <c r="G841" s="184">
        <v>8.5500000000000007</v>
      </c>
      <c r="H841" s="181">
        <v>10</v>
      </c>
      <c r="I841" s="181" t="s">
        <v>292</v>
      </c>
      <c r="J841" s="191">
        <v>9.08</v>
      </c>
      <c r="K841" s="191">
        <v>10</v>
      </c>
      <c r="L841" s="199" t="s">
        <v>1271</v>
      </c>
      <c r="M841" s="211" t="s">
        <v>2341</v>
      </c>
      <c r="N841" s="185" t="s">
        <v>396</v>
      </c>
      <c r="O841" s="185" t="s">
        <v>309</v>
      </c>
      <c r="P841" s="185"/>
      <c r="Q841" s="185" t="s">
        <v>743</v>
      </c>
      <c r="R841" s="185" t="s">
        <v>381</v>
      </c>
      <c r="S841" s="185" t="s">
        <v>295</v>
      </c>
      <c r="T841" s="217" t="s">
        <v>379</v>
      </c>
    </row>
    <row r="842" spans="1:20" outlineLevel="1">
      <c r="A842" s="199" t="s">
        <v>274</v>
      </c>
      <c r="B842" s="181" t="s">
        <v>1567</v>
      </c>
      <c r="C842" s="190">
        <v>43738</v>
      </c>
      <c r="D842" s="199" t="s">
        <v>1585</v>
      </c>
      <c r="E842" s="182" t="s">
        <v>2410</v>
      </c>
      <c r="F842" s="183">
        <v>77216</v>
      </c>
      <c r="G842" s="184">
        <v>2.57</v>
      </c>
      <c r="H842" s="181">
        <v>3</v>
      </c>
      <c r="I842" s="181" t="s">
        <v>292</v>
      </c>
      <c r="J842" s="191">
        <v>2.72</v>
      </c>
      <c r="K842" s="191">
        <v>3</v>
      </c>
      <c r="L842" s="199" t="s">
        <v>1271</v>
      </c>
      <c r="M842" s="211" t="s">
        <v>2341</v>
      </c>
      <c r="N842" s="185" t="s">
        <v>396</v>
      </c>
      <c r="O842" s="185" t="s">
        <v>309</v>
      </c>
      <c r="P842" s="185"/>
      <c r="Q842" s="185" t="s">
        <v>743</v>
      </c>
      <c r="R842" s="185" t="s">
        <v>381</v>
      </c>
      <c r="S842" s="185" t="s">
        <v>295</v>
      </c>
      <c r="T842" s="217" t="s">
        <v>379</v>
      </c>
    </row>
    <row r="843" spans="1:20" outlineLevel="1">
      <c r="A843" s="199" t="s">
        <v>274</v>
      </c>
      <c r="B843" s="181" t="s">
        <v>1567</v>
      </c>
      <c r="C843" s="190">
        <v>43738</v>
      </c>
      <c r="D843" s="199" t="s">
        <v>1585</v>
      </c>
      <c r="E843" s="182" t="s">
        <v>2411</v>
      </c>
      <c r="F843" s="183">
        <v>77216</v>
      </c>
      <c r="G843" s="184">
        <v>3.42</v>
      </c>
      <c r="H843" s="181">
        <v>4</v>
      </c>
      <c r="I843" s="181" t="s">
        <v>292</v>
      </c>
      <c r="J843" s="191">
        <v>3.63</v>
      </c>
      <c r="K843" s="191">
        <v>4</v>
      </c>
      <c r="L843" s="199" t="s">
        <v>1271</v>
      </c>
      <c r="M843" s="211" t="s">
        <v>2341</v>
      </c>
      <c r="N843" s="185" t="s">
        <v>396</v>
      </c>
      <c r="O843" s="185" t="s">
        <v>309</v>
      </c>
      <c r="P843" s="185"/>
      <c r="Q843" s="185" t="s">
        <v>743</v>
      </c>
      <c r="R843" s="185" t="s">
        <v>381</v>
      </c>
      <c r="S843" s="185" t="s">
        <v>295</v>
      </c>
      <c r="T843" s="217" t="s">
        <v>379</v>
      </c>
    </row>
    <row r="844" spans="1:20" outlineLevel="1">
      <c r="A844" s="199" t="s">
        <v>274</v>
      </c>
      <c r="B844" s="181" t="s">
        <v>1567</v>
      </c>
      <c r="C844" s="190">
        <v>43738</v>
      </c>
      <c r="D844" s="199" t="s">
        <v>1585</v>
      </c>
      <c r="E844" s="182" t="s">
        <v>2412</v>
      </c>
      <c r="F844" s="183">
        <v>77216</v>
      </c>
      <c r="G844" s="184">
        <v>30.78</v>
      </c>
      <c r="H844" s="181">
        <v>36</v>
      </c>
      <c r="I844" s="181" t="s">
        <v>292</v>
      </c>
      <c r="J844" s="191">
        <v>32.700000000000003</v>
      </c>
      <c r="K844" s="191">
        <v>36</v>
      </c>
      <c r="L844" s="199" t="s">
        <v>1271</v>
      </c>
      <c r="M844" s="211" t="s">
        <v>2341</v>
      </c>
      <c r="N844" s="185" t="s">
        <v>396</v>
      </c>
      <c r="O844" s="185" t="s">
        <v>309</v>
      </c>
      <c r="P844" s="185"/>
      <c r="Q844" s="185" t="s">
        <v>743</v>
      </c>
      <c r="R844" s="185" t="s">
        <v>381</v>
      </c>
      <c r="S844" s="185" t="s">
        <v>295</v>
      </c>
      <c r="T844" s="217" t="s">
        <v>379</v>
      </c>
    </row>
    <row r="845" spans="1:20" outlineLevel="1">
      <c r="A845" s="199" t="s">
        <v>274</v>
      </c>
      <c r="B845" s="181" t="s">
        <v>1567</v>
      </c>
      <c r="C845" s="190">
        <v>43738</v>
      </c>
      <c r="D845" s="199" t="s">
        <v>1585</v>
      </c>
      <c r="E845" s="182" t="s">
        <v>2413</v>
      </c>
      <c r="F845" s="183">
        <v>77216</v>
      </c>
      <c r="G845" s="184">
        <v>22.23</v>
      </c>
      <c r="H845" s="181">
        <v>26</v>
      </c>
      <c r="I845" s="181" t="s">
        <v>292</v>
      </c>
      <c r="J845" s="191">
        <v>23.61</v>
      </c>
      <c r="K845" s="191">
        <v>26</v>
      </c>
      <c r="L845" s="199" t="s">
        <v>1271</v>
      </c>
      <c r="M845" s="211" t="s">
        <v>2341</v>
      </c>
      <c r="N845" s="185" t="s">
        <v>396</v>
      </c>
      <c r="O845" s="185" t="s">
        <v>309</v>
      </c>
      <c r="P845" s="185"/>
      <c r="Q845" s="185" t="s">
        <v>743</v>
      </c>
      <c r="R845" s="185" t="s">
        <v>381</v>
      </c>
      <c r="S845" s="185" t="s">
        <v>295</v>
      </c>
      <c r="T845" s="217" t="s">
        <v>379</v>
      </c>
    </row>
    <row r="846" spans="1:20" outlineLevel="1">
      <c r="A846" s="199" t="s">
        <v>274</v>
      </c>
      <c r="B846" s="181" t="s">
        <v>1567</v>
      </c>
      <c r="C846" s="190">
        <v>43738</v>
      </c>
      <c r="D846" s="199" t="s">
        <v>1585</v>
      </c>
      <c r="E846" s="182" t="s">
        <v>2414</v>
      </c>
      <c r="F846" s="183">
        <v>77216</v>
      </c>
      <c r="G846" s="184">
        <v>5.99</v>
      </c>
      <c r="H846" s="181">
        <v>7</v>
      </c>
      <c r="I846" s="181" t="s">
        <v>292</v>
      </c>
      <c r="J846" s="191">
        <v>6.36</v>
      </c>
      <c r="K846" s="191">
        <v>7</v>
      </c>
      <c r="L846" s="199" t="s">
        <v>1271</v>
      </c>
      <c r="M846" s="211" t="s">
        <v>2341</v>
      </c>
      <c r="N846" s="185" t="s">
        <v>396</v>
      </c>
      <c r="O846" s="185" t="s">
        <v>309</v>
      </c>
      <c r="P846" s="185"/>
      <c r="Q846" s="185" t="s">
        <v>743</v>
      </c>
      <c r="R846" s="185" t="s">
        <v>381</v>
      </c>
      <c r="S846" s="185" t="s">
        <v>295</v>
      </c>
      <c r="T846" s="217" t="s">
        <v>379</v>
      </c>
    </row>
    <row r="847" spans="1:20" outlineLevel="1">
      <c r="A847" s="199" t="s">
        <v>274</v>
      </c>
      <c r="B847" s="181" t="s">
        <v>1567</v>
      </c>
      <c r="C847" s="190">
        <v>43738</v>
      </c>
      <c r="D847" s="199" t="s">
        <v>1585</v>
      </c>
      <c r="E847" s="182" t="s">
        <v>2415</v>
      </c>
      <c r="F847" s="183">
        <v>77216</v>
      </c>
      <c r="G847" s="184">
        <v>11.12</v>
      </c>
      <c r="H847" s="181">
        <v>13</v>
      </c>
      <c r="I847" s="181" t="s">
        <v>292</v>
      </c>
      <c r="J847" s="191">
        <v>11.81</v>
      </c>
      <c r="K847" s="191">
        <v>13</v>
      </c>
      <c r="L847" s="199" t="s">
        <v>1271</v>
      </c>
      <c r="M847" s="211" t="s">
        <v>2341</v>
      </c>
      <c r="N847" s="185" t="s">
        <v>396</v>
      </c>
      <c r="O847" s="185" t="s">
        <v>309</v>
      </c>
      <c r="P847" s="185"/>
      <c r="Q847" s="185" t="s">
        <v>743</v>
      </c>
      <c r="R847" s="185" t="s">
        <v>381</v>
      </c>
      <c r="S847" s="185" t="s">
        <v>295</v>
      </c>
      <c r="T847" s="217" t="s">
        <v>379</v>
      </c>
    </row>
    <row r="848" spans="1:20" outlineLevel="1">
      <c r="A848" s="199" t="s">
        <v>274</v>
      </c>
      <c r="B848" s="181" t="s">
        <v>1567</v>
      </c>
      <c r="C848" s="190">
        <v>43738</v>
      </c>
      <c r="D848" s="199" t="s">
        <v>1585</v>
      </c>
      <c r="E848" s="182" t="s">
        <v>2416</v>
      </c>
      <c r="F848" s="183">
        <v>77216</v>
      </c>
      <c r="G848" s="184">
        <v>6.84</v>
      </c>
      <c r="H848" s="181">
        <v>8</v>
      </c>
      <c r="I848" s="181" t="s">
        <v>292</v>
      </c>
      <c r="J848" s="191">
        <v>7.27</v>
      </c>
      <c r="K848" s="191">
        <v>8</v>
      </c>
      <c r="L848" s="199" t="s">
        <v>1271</v>
      </c>
      <c r="M848" s="211" t="s">
        <v>2341</v>
      </c>
      <c r="N848" s="185" t="s">
        <v>396</v>
      </c>
      <c r="O848" s="185" t="s">
        <v>309</v>
      </c>
      <c r="P848" s="185"/>
      <c r="Q848" s="185" t="s">
        <v>743</v>
      </c>
      <c r="R848" s="185" t="s">
        <v>381</v>
      </c>
      <c r="S848" s="185" t="s">
        <v>295</v>
      </c>
      <c r="T848" s="217" t="s">
        <v>379</v>
      </c>
    </row>
    <row r="849" spans="1:20" outlineLevel="1">
      <c r="A849" s="199" t="s">
        <v>274</v>
      </c>
      <c r="B849" s="181" t="s">
        <v>1567</v>
      </c>
      <c r="C849" s="190">
        <v>43738</v>
      </c>
      <c r="D849" s="199" t="s">
        <v>1585</v>
      </c>
      <c r="E849" s="182" t="s">
        <v>2417</v>
      </c>
      <c r="F849" s="183">
        <v>77216</v>
      </c>
      <c r="G849" s="184">
        <v>5.13</v>
      </c>
      <c r="H849" s="181">
        <v>6</v>
      </c>
      <c r="I849" s="181" t="s">
        <v>292</v>
      </c>
      <c r="J849" s="191">
        <v>5.45</v>
      </c>
      <c r="K849" s="191">
        <v>6</v>
      </c>
      <c r="L849" s="199" t="s">
        <v>1271</v>
      </c>
      <c r="M849" s="211" t="s">
        <v>2341</v>
      </c>
      <c r="N849" s="185" t="s">
        <v>396</v>
      </c>
      <c r="O849" s="185" t="s">
        <v>309</v>
      </c>
      <c r="P849" s="185"/>
      <c r="Q849" s="185" t="s">
        <v>743</v>
      </c>
      <c r="R849" s="185" t="s">
        <v>381</v>
      </c>
      <c r="S849" s="185" t="s">
        <v>295</v>
      </c>
      <c r="T849" s="217" t="s">
        <v>379</v>
      </c>
    </row>
    <row r="850" spans="1:20" outlineLevel="1">
      <c r="A850" s="199" t="s">
        <v>274</v>
      </c>
      <c r="B850" s="181" t="s">
        <v>1567</v>
      </c>
      <c r="C850" s="190">
        <v>43738</v>
      </c>
      <c r="D850" s="199" t="s">
        <v>1585</v>
      </c>
      <c r="E850" s="182" t="s">
        <v>2418</v>
      </c>
      <c r="F850" s="183">
        <v>77216</v>
      </c>
      <c r="G850" s="184">
        <v>1.71</v>
      </c>
      <c r="H850" s="181">
        <v>2</v>
      </c>
      <c r="I850" s="181" t="s">
        <v>292</v>
      </c>
      <c r="J850" s="191">
        <v>1.82</v>
      </c>
      <c r="K850" s="191">
        <v>2</v>
      </c>
      <c r="L850" s="199" t="s">
        <v>1271</v>
      </c>
      <c r="M850" s="211" t="s">
        <v>2341</v>
      </c>
      <c r="N850" s="185" t="s">
        <v>396</v>
      </c>
      <c r="O850" s="185" t="s">
        <v>309</v>
      </c>
      <c r="P850" s="185"/>
      <c r="Q850" s="185" t="s">
        <v>743</v>
      </c>
      <c r="R850" s="185" t="s">
        <v>381</v>
      </c>
      <c r="S850" s="185" t="s">
        <v>295</v>
      </c>
      <c r="T850" s="217" t="s">
        <v>379</v>
      </c>
    </row>
    <row r="851" spans="1:20" outlineLevel="1">
      <c r="A851" s="199" t="s">
        <v>274</v>
      </c>
      <c r="B851" s="181" t="s">
        <v>1567</v>
      </c>
      <c r="C851" s="190">
        <v>43738</v>
      </c>
      <c r="D851" s="199" t="s">
        <v>1585</v>
      </c>
      <c r="E851" s="182" t="s">
        <v>2419</v>
      </c>
      <c r="F851" s="183">
        <v>77216</v>
      </c>
      <c r="G851" s="184">
        <v>2.57</v>
      </c>
      <c r="H851" s="181">
        <v>3</v>
      </c>
      <c r="I851" s="181" t="s">
        <v>292</v>
      </c>
      <c r="J851" s="191">
        <v>2.72</v>
      </c>
      <c r="K851" s="191">
        <v>3</v>
      </c>
      <c r="L851" s="199" t="s">
        <v>1271</v>
      </c>
      <c r="M851" s="211" t="s">
        <v>2341</v>
      </c>
      <c r="N851" s="185" t="s">
        <v>396</v>
      </c>
      <c r="O851" s="185" t="s">
        <v>309</v>
      </c>
      <c r="P851" s="185"/>
      <c r="Q851" s="185" t="s">
        <v>743</v>
      </c>
      <c r="R851" s="185" t="s">
        <v>381</v>
      </c>
      <c r="S851" s="185" t="s">
        <v>295</v>
      </c>
      <c r="T851" s="217" t="s">
        <v>379</v>
      </c>
    </row>
    <row r="852" spans="1:20" outlineLevel="1">
      <c r="A852" s="199" t="s">
        <v>274</v>
      </c>
      <c r="B852" s="181" t="s">
        <v>1567</v>
      </c>
      <c r="C852" s="190">
        <v>43738</v>
      </c>
      <c r="D852" s="199" t="s">
        <v>1585</v>
      </c>
      <c r="E852" s="182" t="s">
        <v>2420</v>
      </c>
      <c r="F852" s="183">
        <v>77216</v>
      </c>
      <c r="G852" s="184">
        <v>32.49</v>
      </c>
      <c r="H852" s="181">
        <v>38</v>
      </c>
      <c r="I852" s="181" t="s">
        <v>292</v>
      </c>
      <c r="J852" s="191">
        <v>34.51</v>
      </c>
      <c r="K852" s="191">
        <v>38</v>
      </c>
      <c r="L852" s="199" t="s">
        <v>1271</v>
      </c>
      <c r="M852" s="211" t="s">
        <v>2341</v>
      </c>
      <c r="N852" s="185" t="s">
        <v>396</v>
      </c>
      <c r="O852" s="185" t="s">
        <v>309</v>
      </c>
      <c r="P852" s="185"/>
      <c r="Q852" s="185" t="s">
        <v>743</v>
      </c>
      <c r="R852" s="185" t="s">
        <v>381</v>
      </c>
      <c r="S852" s="185" t="s">
        <v>295</v>
      </c>
      <c r="T852" s="217" t="s">
        <v>379</v>
      </c>
    </row>
    <row r="853" spans="1:20" outlineLevel="1">
      <c r="A853" s="199" t="s">
        <v>274</v>
      </c>
      <c r="B853" s="181" t="s">
        <v>1567</v>
      </c>
      <c r="C853" s="190">
        <v>43738</v>
      </c>
      <c r="D853" s="199" t="s">
        <v>1585</v>
      </c>
      <c r="E853" s="182" t="s">
        <v>2421</v>
      </c>
      <c r="F853" s="183">
        <v>77216</v>
      </c>
      <c r="G853" s="184">
        <v>26.08</v>
      </c>
      <c r="H853" s="181">
        <v>30.5</v>
      </c>
      <c r="I853" s="181" t="s">
        <v>292</v>
      </c>
      <c r="J853" s="191">
        <v>27.7</v>
      </c>
      <c r="K853" s="191">
        <v>30.5</v>
      </c>
      <c r="L853" s="199" t="s">
        <v>1271</v>
      </c>
      <c r="M853" s="211" t="s">
        <v>2341</v>
      </c>
      <c r="N853" s="185" t="s">
        <v>396</v>
      </c>
      <c r="O853" s="185" t="s">
        <v>309</v>
      </c>
      <c r="P853" s="185"/>
      <c r="Q853" s="185" t="s">
        <v>743</v>
      </c>
      <c r="R853" s="185" t="s">
        <v>381</v>
      </c>
      <c r="S853" s="185" t="s">
        <v>295</v>
      </c>
      <c r="T853" s="217" t="s">
        <v>379</v>
      </c>
    </row>
    <row r="854" spans="1:20" outlineLevel="1">
      <c r="A854" s="199" t="s">
        <v>274</v>
      </c>
      <c r="B854" s="181" t="s">
        <v>1567</v>
      </c>
      <c r="C854" s="190">
        <v>43738</v>
      </c>
      <c r="D854" s="199" t="s">
        <v>1585</v>
      </c>
      <c r="E854" s="182" t="s">
        <v>2422</v>
      </c>
      <c r="F854" s="183">
        <v>77216</v>
      </c>
      <c r="G854" s="184">
        <v>2.99</v>
      </c>
      <c r="H854" s="181">
        <v>3.5</v>
      </c>
      <c r="I854" s="181" t="s">
        <v>292</v>
      </c>
      <c r="J854" s="191">
        <v>3.18</v>
      </c>
      <c r="K854" s="191">
        <v>3.5</v>
      </c>
      <c r="L854" s="199" t="s">
        <v>1271</v>
      </c>
      <c r="M854" s="211" t="s">
        <v>2341</v>
      </c>
      <c r="N854" s="185" t="s">
        <v>396</v>
      </c>
      <c r="O854" s="185" t="s">
        <v>309</v>
      </c>
      <c r="P854" s="185"/>
      <c r="Q854" s="185" t="s">
        <v>743</v>
      </c>
      <c r="R854" s="185" t="s">
        <v>381</v>
      </c>
      <c r="S854" s="185" t="s">
        <v>295</v>
      </c>
      <c r="T854" s="217" t="s">
        <v>379</v>
      </c>
    </row>
    <row r="855" spans="1:20" outlineLevel="1">
      <c r="A855" s="199" t="s">
        <v>274</v>
      </c>
      <c r="B855" s="181" t="s">
        <v>1567</v>
      </c>
      <c r="C855" s="190">
        <v>43738</v>
      </c>
      <c r="D855" s="199" t="s">
        <v>1585</v>
      </c>
      <c r="E855" s="182" t="s">
        <v>2423</v>
      </c>
      <c r="F855" s="183">
        <v>77216</v>
      </c>
      <c r="G855" s="184">
        <v>10.07</v>
      </c>
      <c r="H855" s="181">
        <v>11.78</v>
      </c>
      <c r="I855" s="181" t="s">
        <v>292</v>
      </c>
      <c r="J855" s="191">
        <v>10.7</v>
      </c>
      <c r="K855" s="191">
        <v>11.78</v>
      </c>
      <c r="L855" s="199" t="s">
        <v>1271</v>
      </c>
      <c r="M855" s="211" t="s">
        <v>2341</v>
      </c>
      <c r="N855" s="185" t="s">
        <v>396</v>
      </c>
      <c r="O855" s="185" t="s">
        <v>309</v>
      </c>
      <c r="P855" s="185"/>
      <c r="Q855" s="185" t="s">
        <v>743</v>
      </c>
      <c r="R855" s="185" t="s">
        <v>381</v>
      </c>
      <c r="S855" s="185" t="s">
        <v>295</v>
      </c>
      <c r="T855" s="217" t="s">
        <v>379</v>
      </c>
    </row>
    <row r="856" spans="1:20" outlineLevel="1">
      <c r="A856" s="199" t="s">
        <v>274</v>
      </c>
      <c r="B856" s="181" t="s">
        <v>1567</v>
      </c>
      <c r="C856" s="190">
        <v>43738</v>
      </c>
      <c r="D856" s="199" t="s">
        <v>1585</v>
      </c>
      <c r="E856" s="182" t="s">
        <v>2424</v>
      </c>
      <c r="F856" s="183">
        <v>77216</v>
      </c>
      <c r="G856" s="184">
        <v>32.49</v>
      </c>
      <c r="H856" s="181">
        <v>38</v>
      </c>
      <c r="I856" s="181" t="s">
        <v>292</v>
      </c>
      <c r="J856" s="191">
        <v>34.51</v>
      </c>
      <c r="K856" s="191">
        <v>38</v>
      </c>
      <c r="L856" s="199" t="s">
        <v>1271</v>
      </c>
      <c r="M856" s="211" t="s">
        <v>2341</v>
      </c>
      <c r="N856" s="185" t="s">
        <v>396</v>
      </c>
      <c r="O856" s="185" t="s">
        <v>309</v>
      </c>
      <c r="P856" s="185"/>
      <c r="Q856" s="185" t="s">
        <v>743</v>
      </c>
      <c r="R856" s="185" t="s">
        <v>381</v>
      </c>
      <c r="S856" s="185" t="s">
        <v>295</v>
      </c>
      <c r="T856" s="217" t="s">
        <v>379</v>
      </c>
    </row>
    <row r="857" spans="1:20" outlineLevel="1">
      <c r="A857" s="199" t="s">
        <v>274</v>
      </c>
      <c r="B857" s="181" t="s">
        <v>1567</v>
      </c>
      <c r="C857" s="190">
        <v>43738</v>
      </c>
      <c r="D857" s="199" t="s">
        <v>1585</v>
      </c>
      <c r="E857" s="182" t="s">
        <v>2425</v>
      </c>
      <c r="F857" s="183">
        <v>77216</v>
      </c>
      <c r="G857" s="184">
        <v>26.08</v>
      </c>
      <c r="H857" s="181">
        <v>30.5</v>
      </c>
      <c r="I857" s="181" t="s">
        <v>292</v>
      </c>
      <c r="J857" s="191">
        <v>27.7</v>
      </c>
      <c r="K857" s="191">
        <v>30.5</v>
      </c>
      <c r="L857" s="199" t="s">
        <v>1271</v>
      </c>
      <c r="M857" s="211" t="s">
        <v>2341</v>
      </c>
      <c r="N857" s="185" t="s">
        <v>396</v>
      </c>
      <c r="O857" s="185" t="s">
        <v>309</v>
      </c>
      <c r="P857" s="185"/>
      <c r="Q857" s="185" t="s">
        <v>743</v>
      </c>
      <c r="R857" s="185" t="s">
        <v>381</v>
      </c>
      <c r="S857" s="185" t="s">
        <v>295</v>
      </c>
      <c r="T857" s="217" t="s">
        <v>379</v>
      </c>
    </row>
    <row r="858" spans="1:20" outlineLevel="1">
      <c r="A858" s="199" t="s">
        <v>274</v>
      </c>
      <c r="B858" s="181" t="s">
        <v>1567</v>
      </c>
      <c r="C858" s="190">
        <v>43738</v>
      </c>
      <c r="D858" s="199" t="s">
        <v>1585</v>
      </c>
      <c r="E858" s="182" t="s">
        <v>2426</v>
      </c>
      <c r="F858" s="183">
        <v>77216</v>
      </c>
      <c r="G858" s="184">
        <v>2.99</v>
      </c>
      <c r="H858" s="181">
        <v>3.5</v>
      </c>
      <c r="I858" s="181" t="s">
        <v>292</v>
      </c>
      <c r="J858" s="191">
        <v>3.18</v>
      </c>
      <c r="K858" s="191">
        <v>3.5</v>
      </c>
      <c r="L858" s="199" t="s">
        <v>1271</v>
      </c>
      <c r="M858" s="211" t="s">
        <v>2341</v>
      </c>
      <c r="N858" s="185" t="s">
        <v>396</v>
      </c>
      <c r="O858" s="185" t="s">
        <v>309</v>
      </c>
      <c r="P858" s="185"/>
      <c r="Q858" s="185" t="s">
        <v>743</v>
      </c>
      <c r="R858" s="185" t="s">
        <v>381</v>
      </c>
      <c r="S858" s="185" t="s">
        <v>295</v>
      </c>
      <c r="T858" s="217" t="s">
        <v>379</v>
      </c>
    </row>
    <row r="859" spans="1:20" outlineLevel="1">
      <c r="A859" s="199" t="s">
        <v>274</v>
      </c>
      <c r="B859" s="181" t="s">
        <v>1567</v>
      </c>
      <c r="C859" s="190">
        <v>43738</v>
      </c>
      <c r="D859" s="199" t="s">
        <v>1585</v>
      </c>
      <c r="E859" s="182" t="s">
        <v>2427</v>
      </c>
      <c r="F859" s="183">
        <v>77216</v>
      </c>
      <c r="G859" s="184">
        <v>10.07</v>
      </c>
      <c r="H859" s="181">
        <v>11.78</v>
      </c>
      <c r="I859" s="181" t="s">
        <v>292</v>
      </c>
      <c r="J859" s="191">
        <v>10.7</v>
      </c>
      <c r="K859" s="191">
        <v>11.78</v>
      </c>
      <c r="L859" s="199" t="s">
        <v>1271</v>
      </c>
      <c r="M859" s="211" t="s">
        <v>2341</v>
      </c>
      <c r="N859" s="185" t="s">
        <v>396</v>
      </c>
      <c r="O859" s="185" t="s">
        <v>309</v>
      </c>
      <c r="P859" s="185"/>
      <c r="Q859" s="185" t="s">
        <v>743</v>
      </c>
      <c r="R859" s="185" t="s">
        <v>381</v>
      </c>
      <c r="S859" s="185" t="s">
        <v>295</v>
      </c>
      <c r="T859" s="217" t="s">
        <v>379</v>
      </c>
    </row>
    <row r="860" spans="1:20" outlineLevel="1">
      <c r="A860" s="199" t="s">
        <v>274</v>
      </c>
      <c r="B860" s="181" t="s">
        <v>1567</v>
      </c>
      <c r="C860" s="190">
        <v>43738</v>
      </c>
      <c r="D860" s="199" t="s">
        <v>1585</v>
      </c>
      <c r="E860" s="182" t="s">
        <v>2428</v>
      </c>
      <c r="F860" s="183">
        <v>77216</v>
      </c>
      <c r="G860" s="184">
        <v>11.97</v>
      </c>
      <c r="H860" s="181">
        <v>14</v>
      </c>
      <c r="I860" s="181" t="s">
        <v>292</v>
      </c>
      <c r="J860" s="191">
        <v>12.72</v>
      </c>
      <c r="K860" s="191">
        <v>14</v>
      </c>
      <c r="L860" s="199" t="s">
        <v>1271</v>
      </c>
      <c r="M860" s="211" t="s">
        <v>2341</v>
      </c>
      <c r="N860" s="185" t="s">
        <v>396</v>
      </c>
      <c r="O860" s="185" t="s">
        <v>309</v>
      </c>
      <c r="P860" s="185"/>
      <c r="Q860" s="185" t="s">
        <v>743</v>
      </c>
      <c r="R860" s="185" t="s">
        <v>381</v>
      </c>
      <c r="S860" s="185" t="s">
        <v>295</v>
      </c>
      <c r="T860" s="217" t="s">
        <v>379</v>
      </c>
    </row>
    <row r="861" spans="1:20" outlineLevel="1">
      <c r="A861" s="199" t="s">
        <v>274</v>
      </c>
      <c r="B861" s="181" t="s">
        <v>1567</v>
      </c>
      <c r="C861" s="190">
        <v>43738</v>
      </c>
      <c r="D861" s="199" t="s">
        <v>1585</v>
      </c>
      <c r="E861" s="182" t="s">
        <v>2429</v>
      </c>
      <c r="F861" s="183">
        <v>77216</v>
      </c>
      <c r="G861" s="184">
        <v>8.5500000000000007</v>
      </c>
      <c r="H861" s="181">
        <v>10</v>
      </c>
      <c r="I861" s="181" t="s">
        <v>292</v>
      </c>
      <c r="J861" s="191">
        <v>9.08</v>
      </c>
      <c r="K861" s="191">
        <v>10</v>
      </c>
      <c r="L861" s="199" t="s">
        <v>1271</v>
      </c>
      <c r="M861" s="211" t="s">
        <v>2341</v>
      </c>
      <c r="N861" s="185" t="s">
        <v>396</v>
      </c>
      <c r="O861" s="185" t="s">
        <v>309</v>
      </c>
      <c r="P861" s="185"/>
      <c r="Q861" s="185" t="s">
        <v>743</v>
      </c>
      <c r="R861" s="185" t="s">
        <v>381</v>
      </c>
      <c r="S861" s="185" t="s">
        <v>295</v>
      </c>
      <c r="T861" s="217" t="s">
        <v>379</v>
      </c>
    </row>
    <row r="862" spans="1:20" outlineLevel="1">
      <c r="A862" s="199" t="s">
        <v>274</v>
      </c>
      <c r="B862" s="181" t="s">
        <v>1567</v>
      </c>
      <c r="C862" s="190">
        <v>43738</v>
      </c>
      <c r="D862" s="199" t="s">
        <v>1585</v>
      </c>
      <c r="E862" s="182" t="s">
        <v>2430</v>
      </c>
      <c r="F862" s="183">
        <v>77216</v>
      </c>
      <c r="G862" s="184">
        <v>2.57</v>
      </c>
      <c r="H862" s="181">
        <v>3</v>
      </c>
      <c r="I862" s="181" t="s">
        <v>292</v>
      </c>
      <c r="J862" s="191">
        <v>2.72</v>
      </c>
      <c r="K862" s="191">
        <v>3</v>
      </c>
      <c r="L862" s="199" t="s">
        <v>1271</v>
      </c>
      <c r="M862" s="211" t="s">
        <v>2341</v>
      </c>
      <c r="N862" s="185" t="s">
        <v>396</v>
      </c>
      <c r="O862" s="185" t="s">
        <v>309</v>
      </c>
      <c r="P862" s="185"/>
      <c r="Q862" s="185" t="s">
        <v>743</v>
      </c>
      <c r="R862" s="185" t="s">
        <v>381</v>
      </c>
      <c r="S862" s="185" t="s">
        <v>295</v>
      </c>
      <c r="T862" s="217" t="s">
        <v>379</v>
      </c>
    </row>
    <row r="863" spans="1:20" outlineLevel="1">
      <c r="A863" s="199" t="s">
        <v>274</v>
      </c>
      <c r="B863" s="181" t="s">
        <v>1567</v>
      </c>
      <c r="C863" s="190">
        <v>43738</v>
      </c>
      <c r="D863" s="199" t="s">
        <v>1585</v>
      </c>
      <c r="E863" s="182" t="s">
        <v>2431</v>
      </c>
      <c r="F863" s="183">
        <v>77216</v>
      </c>
      <c r="G863" s="184">
        <v>3.42</v>
      </c>
      <c r="H863" s="181">
        <v>4</v>
      </c>
      <c r="I863" s="181" t="s">
        <v>292</v>
      </c>
      <c r="J863" s="191">
        <v>3.63</v>
      </c>
      <c r="K863" s="191">
        <v>4</v>
      </c>
      <c r="L863" s="199" t="s">
        <v>1271</v>
      </c>
      <c r="M863" s="211" t="s">
        <v>2341</v>
      </c>
      <c r="N863" s="185" t="s">
        <v>396</v>
      </c>
      <c r="O863" s="185" t="s">
        <v>309</v>
      </c>
      <c r="P863" s="185"/>
      <c r="Q863" s="185" t="s">
        <v>743</v>
      </c>
      <c r="R863" s="185" t="s">
        <v>381</v>
      </c>
      <c r="S863" s="185" t="s">
        <v>295</v>
      </c>
      <c r="T863" s="217" t="s">
        <v>379</v>
      </c>
    </row>
    <row r="864" spans="1:20" outlineLevel="1">
      <c r="A864" s="199" t="s">
        <v>274</v>
      </c>
      <c r="B864" s="181" t="s">
        <v>1567</v>
      </c>
      <c r="C864" s="190">
        <v>43738</v>
      </c>
      <c r="D864" s="199" t="s">
        <v>1585</v>
      </c>
      <c r="E864" s="182" t="s">
        <v>2432</v>
      </c>
      <c r="F864" s="183">
        <v>77216</v>
      </c>
      <c r="G864" s="184">
        <v>30.78</v>
      </c>
      <c r="H864" s="181">
        <v>36</v>
      </c>
      <c r="I864" s="181" t="s">
        <v>292</v>
      </c>
      <c r="J864" s="191">
        <v>32.700000000000003</v>
      </c>
      <c r="K864" s="191">
        <v>36</v>
      </c>
      <c r="L864" s="199" t="s">
        <v>1271</v>
      </c>
      <c r="M864" s="211" t="s">
        <v>2341</v>
      </c>
      <c r="N864" s="185" t="s">
        <v>396</v>
      </c>
      <c r="O864" s="185" t="s">
        <v>309</v>
      </c>
      <c r="P864" s="185"/>
      <c r="Q864" s="185" t="s">
        <v>743</v>
      </c>
      <c r="R864" s="185" t="s">
        <v>381</v>
      </c>
      <c r="S864" s="185" t="s">
        <v>295</v>
      </c>
      <c r="T864" s="217" t="s">
        <v>379</v>
      </c>
    </row>
    <row r="865" spans="1:20" outlineLevel="1">
      <c r="A865" s="199" t="s">
        <v>274</v>
      </c>
      <c r="B865" s="181" t="s">
        <v>1567</v>
      </c>
      <c r="C865" s="190">
        <v>43738</v>
      </c>
      <c r="D865" s="199" t="s">
        <v>1585</v>
      </c>
      <c r="E865" s="182" t="s">
        <v>2433</v>
      </c>
      <c r="F865" s="183">
        <v>77216</v>
      </c>
      <c r="G865" s="184">
        <v>22.23</v>
      </c>
      <c r="H865" s="181">
        <v>26</v>
      </c>
      <c r="I865" s="181" t="s">
        <v>292</v>
      </c>
      <c r="J865" s="191">
        <v>23.61</v>
      </c>
      <c r="K865" s="191">
        <v>26</v>
      </c>
      <c r="L865" s="199" t="s">
        <v>1271</v>
      </c>
      <c r="M865" s="211" t="s">
        <v>2341</v>
      </c>
      <c r="N865" s="185" t="s">
        <v>396</v>
      </c>
      <c r="O865" s="185" t="s">
        <v>309</v>
      </c>
      <c r="P865" s="185"/>
      <c r="Q865" s="185" t="s">
        <v>743</v>
      </c>
      <c r="R865" s="185" t="s">
        <v>381</v>
      </c>
      <c r="S865" s="185" t="s">
        <v>295</v>
      </c>
      <c r="T865" s="217" t="s">
        <v>379</v>
      </c>
    </row>
    <row r="866" spans="1:20" outlineLevel="1">
      <c r="A866" s="199" t="s">
        <v>274</v>
      </c>
      <c r="B866" s="181" t="s">
        <v>1567</v>
      </c>
      <c r="C866" s="190">
        <v>43738</v>
      </c>
      <c r="D866" s="199" t="s">
        <v>1585</v>
      </c>
      <c r="E866" s="182" t="s">
        <v>2434</v>
      </c>
      <c r="F866" s="183">
        <v>77216</v>
      </c>
      <c r="G866" s="184">
        <v>5.99</v>
      </c>
      <c r="H866" s="181">
        <v>7</v>
      </c>
      <c r="I866" s="181" t="s">
        <v>292</v>
      </c>
      <c r="J866" s="191">
        <v>6.36</v>
      </c>
      <c r="K866" s="191">
        <v>7</v>
      </c>
      <c r="L866" s="199" t="s">
        <v>1271</v>
      </c>
      <c r="M866" s="211" t="s">
        <v>2341</v>
      </c>
      <c r="N866" s="185" t="s">
        <v>396</v>
      </c>
      <c r="O866" s="185" t="s">
        <v>309</v>
      </c>
      <c r="P866" s="185"/>
      <c r="Q866" s="185" t="s">
        <v>743</v>
      </c>
      <c r="R866" s="185" t="s">
        <v>381</v>
      </c>
      <c r="S866" s="185" t="s">
        <v>295</v>
      </c>
      <c r="T866" s="217" t="s">
        <v>379</v>
      </c>
    </row>
    <row r="867" spans="1:20" outlineLevel="1">
      <c r="A867" s="199" t="s">
        <v>274</v>
      </c>
      <c r="B867" s="181" t="s">
        <v>1567</v>
      </c>
      <c r="C867" s="190">
        <v>43738</v>
      </c>
      <c r="D867" s="199" t="s">
        <v>1585</v>
      </c>
      <c r="E867" s="182" t="s">
        <v>2435</v>
      </c>
      <c r="F867" s="183">
        <v>77216</v>
      </c>
      <c r="G867" s="184">
        <v>11.12</v>
      </c>
      <c r="H867" s="181">
        <v>13</v>
      </c>
      <c r="I867" s="181" t="s">
        <v>292</v>
      </c>
      <c r="J867" s="191">
        <v>11.81</v>
      </c>
      <c r="K867" s="191">
        <v>13</v>
      </c>
      <c r="L867" s="199" t="s">
        <v>1271</v>
      </c>
      <c r="M867" s="211" t="s">
        <v>2341</v>
      </c>
      <c r="N867" s="185" t="s">
        <v>396</v>
      </c>
      <c r="O867" s="185" t="s">
        <v>309</v>
      </c>
      <c r="P867" s="185"/>
      <c r="Q867" s="185" t="s">
        <v>743</v>
      </c>
      <c r="R867" s="185" t="s">
        <v>381</v>
      </c>
      <c r="S867" s="185" t="s">
        <v>295</v>
      </c>
      <c r="T867" s="217" t="s">
        <v>379</v>
      </c>
    </row>
    <row r="868" spans="1:20" outlineLevel="1">
      <c r="A868" s="199" t="s">
        <v>274</v>
      </c>
      <c r="B868" s="181" t="s">
        <v>1567</v>
      </c>
      <c r="C868" s="190">
        <v>43738</v>
      </c>
      <c r="D868" s="199" t="s">
        <v>1585</v>
      </c>
      <c r="E868" s="182" t="s">
        <v>2436</v>
      </c>
      <c r="F868" s="183">
        <v>77216</v>
      </c>
      <c r="G868" s="184">
        <v>6.84</v>
      </c>
      <c r="H868" s="181">
        <v>8</v>
      </c>
      <c r="I868" s="181" t="s">
        <v>292</v>
      </c>
      <c r="J868" s="191">
        <v>7.27</v>
      </c>
      <c r="K868" s="191">
        <v>8</v>
      </c>
      <c r="L868" s="199" t="s">
        <v>1271</v>
      </c>
      <c r="M868" s="211" t="s">
        <v>2341</v>
      </c>
      <c r="N868" s="185" t="s">
        <v>396</v>
      </c>
      <c r="O868" s="185" t="s">
        <v>309</v>
      </c>
      <c r="P868" s="185"/>
      <c r="Q868" s="185" t="s">
        <v>743</v>
      </c>
      <c r="R868" s="185" t="s">
        <v>381</v>
      </c>
      <c r="S868" s="185" t="s">
        <v>295</v>
      </c>
      <c r="T868" s="217" t="s">
        <v>379</v>
      </c>
    </row>
    <row r="869" spans="1:20" outlineLevel="1">
      <c r="A869" s="199" t="s">
        <v>274</v>
      </c>
      <c r="B869" s="181" t="s">
        <v>1567</v>
      </c>
      <c r="C869" s="190">
        <v>43738</v>
      </c>
      <c r="D869" s="199" t="s">
        <v>1585</v>
      </c>
      <c r="E869" s="182" t="s">
        <v>2437</v>
      </c>
      <c r="F869" s="183">
        <v>77216</v>
      </c>
      <c r="G869" s="184">
        <v>5.13</v>
      </c>
      <c r="H869" s="181">
        <v>6</v>
      </c>
      <c r="I869" s="181" t="s">
        <v>292</v>
      </c>
      <c r="J869" s="191">
        <v>5.45</v>
      </c>
      <c r="K869" s="191">
        <v>6</v>
      </c>
      <c r="L869" s="199" t="s">
        <v>1271</v>
      </c>
      <c r="M869" s="211" t="s">
        <v>2341</v>
      </c>
      <c r="N869" s="185" t="s">
        <v>396</v>
      </c>
      <c r="O869" s="185" t="s">
        <v>309</v>
      </c>
      <c r="P869" s="185"/>
      <c r="Q869" s="185" t="s">
        <v>743</v>
      </c>
      <c r="R869" s="185" t="s">
        <v>381</v>
      </c>
      <c r="S869" s="185" t="s">
        <v>295</v>
      </c>
      <c r="T869" s="217" t="s">
        <v>379</v>
      </c>
    </row>
    <row r="870" spans="1:20" outlineLevel="1">
      <c r="A870" s="199" t="s">
        <v>274</v>
      </c>
      <c r="B870" s="181" t="s">
        <v>1567</v>
      </c>
      <c r="C870" s="190">
        <v>43738</v>
      </c>
      <c r="D870" s="199" t="s">
        <v>1585</v>
      </c>
      <c r="E870" s="182" t="s">
        <v>2438</v>
      </c>
      <c r="F870" s="183">
        <v>77216</v>
      </c>
      <c r="G870" s="184">
        <v>1.71</v>
      </c>
      <c r="H870" s="181">
        <v>2</v>
      </c>
      <c r="I870" s="181" t="s">
        <v>292</v>
      </c>
      <c r="J870" s="191">
        <v>1.82</v>
      </c>
      <c r="K870" s="191">
        <v>2</v>
      </c>
      <c r="L870" s="199" t="s">
        <v>1271</v>
      </c>
      <c r="M870" s="211" t="s">
        <v>2341</v>
      </c>
      <c r="N870" s="185" t="s">
        <v>396</v>
      </c>
      <c r="O870" s="185" t="s">
        <v>309</v>
      </c>
      <c r="P870" s="185"/>
      <c r="Q870" s="185" t="s">
        <v>743</v>
      </c>
      <c r="R870" s="185" t="s">
        <v>381</v>
      </c>
      <c r="S870" s="185" t="s">
        <v>295</v>
      </c>
      <c r="T870" s="217" t="s">
        <v>379</v>
      </c>
    </row>
    <row r="871" spans="1:20" outlineLevel="1">
      <c r="A871" s="199" t="s">
        <v>274</v>
      </c>
      <c r="B871" s="181" t="s">
        <v>1567</v>
      </c>
      <c r="C871" s="190">
        <v>43738</v>
      </c>
      <c r="D871" s="199" t="s">
        <v>1585</v>
      </c>
      <c r="E871" s="182" t="s">
        <v>2439</v>
      </c>
      <c r="F871" s="183">
        <v>77216</v>
      </c>
      <c r="G871" s="184">
        <v>2.57</v>
      </c>
      <c r="H871" s="181">
        <v>3</v>
      </c>
      <c r="I871" s="181" t="s">
        <v>292</v>
      </c>
      <c r="J871" s="191">
        <v>2.72</v>
      </c>
      <c r="K871" s="191">
        <v>3</v>
      </c>
      <c r="L871" s="199" t="s">
        <v>1271</v>
      </c>
      <c r="M871" s="211" t="s">
        <v>2341</v>
      </c>
      <c r="N871" s="185" t="s">
        <v>396</v>
      </c>
      <c r="O871" s="185" t="s">
        <v>309</v>
      </c>
      <c r="P871" s="185"/>
      <c r="Q871" s="185" t="s">
        <v>743</v>
      </c>
      <c r="R871" s="185" t="s">
        <v>381</v>
      </c>
      <c r="S871" s="185" t="s">
        <v>295</v>
      </c>
      <c r="T871" s="217" t="s">
        <v>379</v>
      </c>
    </row>
    <row r="872" spans="1:20" outlineLevel="1">
      <c r="A872" s="199" t="s">
        <v>274</v>
      </c>
      <c r="B872" s="181" t="s">
        <v>1567</v>
      </c>
      <c r="C872" s="190">
        <v>43738</v>
      </c>
      <c r="D872" s="199" t="s">
        <v>1585</v>
      </c>
      <c r="E872" s="182" t="s">
        <v>2440</v>
      </c>
      <c r="F872" s="183">
        <v>77216</v>
      </c>
      <c r="G872" s="184">
        <v>339.96</v>
      </c>
      <c r="H872" s="181">
        <v>397.6</v>
      </c>
      <c r="I872" s="181" t="s">
        <v>292</v>
      </c>
      <c r="J872" s="191">
        <v>361.12</v>
      </c>
      <c r="K872" s="191">
        <v>397.6</v>
      </c>
      <c r="L872" s="199" t="s">
        <v>1271</v>
      </c>
      <c r="M872" s="211" t="s">
        <v>2341</v>
      </c>
      <c r="N872" s="185" t="s">
        <v>396</v>
      </c>
      <c r="O872" s="185" t="s">
        <v>309</v>
      </c>
      <c r="P872" s="185"/>
      <c r="Q872" s="185" t="s">
        <v>743</v>
      </c>
      <c r="R872" s="185" t="s">
        <v>381</v>
      </c>
      <c r="S872" s="185" t="s">
        <v>295</v>
      </c>
      <c r="T872" s="217" t="s">
        <v>379</v>
      </c>
    </row>
    <row r="873" spans="1:20" outlineLevel="1">
      <c r="A873" s="199" t="s">
        <v>274</v>
      </c>
      <c r="B873" s="181" t="s">
        <v>1567</v>
      </c>
      <c r="C873" s="190">
        <v>43738</v>
      </c>
      <c r="D873" s="199" t="s">
        <v>1585</v>
      </c>
      <c r="E873" s="182" t="s">
        <v>2441</v>
      </c>
      <c r="F873" s="183">
        <v>77216</v>
      </c>
      <c r="G873" s="184">
        <v>221.94</v>
      </c>
      <c r="H873" s="181">
        <v>259.57</v>
      </c>
      <c r="I873" s="181" t="s">
        <v>292</v>
      </c>
      <c r="J873" s="191">
        <v>235.75</v>
      </c>
      <c r="K873" s="191">
        <v>259.57</v>
      </c>
      <c r="L873" s="199" t="s">
        <v>1271</v>
      </c>
      <c r="M873" s="211" t="s">
        <v>2341</v>
      </c>
      <c r="N873" s="185" t="s">
        <v>396</v>
      </c>
      <c r="O873" s="185" t="s">
        <v>309</v>
      </c>
      <c r="P873" s="185"/>
      <c r="Q873" s="185" t="s">
        <v>743</v>
      </c>
      <c r="R873" s="185" t="s">
        <v>381</v>
      </c>
      <c r="S873" s="185" t="s">
        <v>295</v>
      </c>
      <c r="T873" s="217" t="s">
        <v>379</v>
      </c>
    </row>
    <row r="874" spans="1:20" outlineLevel="1">
      <c r="A874" s="199" t="s">
        <v>274</v>
      </c>
      <c r="B874" s="181" t="s">
        <v>1567</v>
      </c>
      <c r="C874" s="190">
        <v>43738</v>
      </c>
      <c r="D874" s="199" t="s">
        <v>1585</v>
      </c>
      <c r="E874" s="182" t="s">
        <v>2442</v>
      </c>
      <c r="F874" s="183">
        <v>77216</v>
      </c>
      <c r="G874" s="184">
        <v>105.81</v>
      </c>
      <c r="H874" s="181">
        <v>123.75</v>
      </c>
      <c r="I874" s="181" t="s">
        <v>292</v>
      </c>
      <c r="J874" s="191">
        <v>112.4</v>
      </c>
      <c r="K874" s="191">
        <v>123.75</v>
      </c>
      <c r="L874" s="199" t="s">
        <v>1271</v>
      </c>
      <c r="M874" s="211" t="s">
        <v>2341</v>
      </c>
      <c r="N874" s="185" t="s">
        <v>396</v>
      </c>
      <c r="O874" s="185" t="s">
        <v>309</v>
      </c>
      <c r="P874" s="185"/>
      <c r="Q874" s="185" t="s">
        <v>743</v>
      </c>
      <c r="R874" s="185" t="s">
        <v>381</v>
      </c>
      <c r="S874" s="185" t="s">
        <v>295</v>
      </c>
      <c r="T874" s="217" t="s">
        <v>379</v>
      </c>
    </row>
    <row r="875" spans="1:20" outlineLevel="1">
      <c r="A875" s="199" t="s">
        <v>274</v>
      </c>
      <c r="B875" s="181" t="s">
        <v>1567</v>
      </c>
      <c r="C875" s="190">
        <v>43738</v>
      </c>
      <c r="D875" s="199" t="s">
        <v>1585</v>
      </c>
      <c r="E875" s="182" t="s">
        <v>2443</v>
      </c>
      <c r="F875" s="183">
        <v>77216</v>
      </c>
      <c r="G875" s="184">
        <v>157.15</v>
      </c>
      <c r="H875" s="181">
        <v>183.8</v>
      </c>
      <c r="I875" s="181" t="s">
        <v>292</v>
      </c>
      <c r="J875" s="191">
        <v>166.94</v>
      </c>
      <c r="K875" s="191">
        <v>183.8</v>
      </c>
      <c r="L875" s="199" t="s">
        <v>1271</v>
      </c>
      <c r="M875" s="211" t="s">
        <v>2341</v>
      </c>
      <c r="N875" s="185" t="s">
        <v>396</v>
      </c>
      <c r="O875" s="185" t="s">
        <v>309</v>
      </c>
      <c r="P875" s="185"/>
      <c r="Q875" s="185" t="s">
        <v>743</v>
      </c>
      <c r="R875" s="185" t="s">
        <v>381</v>
      </c>
      <c r="S875" s="185" t="s">
        <v>295</v>
      </c>
      <c r="T875" s="217" t="s">
        <v>379</v>
      </c>
    </row>
    <row r="876" spans="1:20" outlineLevel="1">
      <c r="A876" s="199" t="s">
        <v>274</v>
      </c>
      <c r="B876" s="181" t="s">
        <v>1567</v>
      </c>
      <c r="C876" s="190">
        <v>43738</v>
      </c>
      <c r="D876" s="199" t="s">
        <v>1585</v>
      </c>
      <c r="E876" s="182" t="s">
        <v>2444</v>
      </c>
      <c r="F876" s="183">
        <v>77216</v>
      </c>
      <c r="G876" s="184">
        <v>427.51</v>
      </c>
      <c r="H876" s="181">
        <v>500</v>
      </c>
      <c r="I876" s="181" t="s">
        <v>292</v>
      </c>
      <c r="J876" s="191">
        <v>454.12</v>
      </c>
      <c r="K876" s="191">
        <v>500</v>
      </c>
      <c r="L876" s="199" t="s">
        <v>752</v>
      </c>
      <c r="M876" s="211" t="s">
        <v>1587</v>
      </c>
      <c r="N876" s="185" t="s">
        <v>396</v>
      </c>
      <c r="O876" s="185" t="s">
        <v>309</v>
      </c>
      <c r="P876" s="185"/>
      <c r="Q876" s="185" t="s">
        <v>743</v>
      </c>
      <c r="R876" s="185" t="s">
        <v>381</v>
      </c>
      <c r="S876" s="185" t="s">
        <v>295</v>
      </c>
      <c r="T876" s="217" t="s">
        <v>379</v>
      </c>
    </row>
    <row r="877" spans="1:20">
      <c r="A877" s="212" t="s">
        <v>378</v>
      </c>
      <c r="B877" s="212"/>
      <c r="C877" s="212"/>
      <c r="D877" s="212"/>
      <c r="E877" s="213"/>
      <c r="F877" s="214"/>
      <c r="G877" s="215">
        <f>SUM(G751:G876)</f>
        <v>12290.419999999993</v>
      </c>
      <c r="H877" s="216">
        <f>SUM(H751:H876)</f>
        <v>15831.199999999999</v>
      </c>
      <c r="I877" s="212"/>
      <c r="J877" s="216">
        <f>SUM(J751:J876)</f>
        <v>14378.540000000005</v>
      </c>
      <c r="K877" s="216">
        <f>SUM(K751:K876)</f>
        <v>15831.199999999999</v>
      </c>
      <c r="L877" s="212"/>
      <c r="M877" s="213"/>
      <c r="N877" s="212"/>
      <c r="O877" s="212"/>
      <c r="P877" s="212"/>
      <c r="Q877" s="212"/>
      <c r="R877" s="212"/>
      <c r="S877" s="212"/>
      <c r="T877" s="212"/>
    </row>
    <row r="878" spans="1:20" outlineLevel="1">
      <c r="A878" s="199" t="s">
        <v>275</v>
      </c>
      <c r="B878" s="181" t="s">
        <v>1566</v>
      </c>
      <c r="C878" s="190">
        <v>43663</v>
      </c>
      <c r="D878" s="199" t="s">
        <v>1621</v>
      </c>
      <c r="E878" s="182" t="s">
        <v>2445</v>
      </c>
      <c r="F878" s="183">
        <v>76665</v>
      </c>
      <c r="G878" s="184">
        <v>377.97</v>
      </c>
      <c r="H878" s="181">
        <v>480</v>
      </c>
      <c r="I878" s="181" t="s">
        <v>292</v>
      </c>
      <c r="J878" s="191">
        <v>422.66</v>
      </c>
      <c r="K878" s="191">
        <v>480</v>
      </c>
      <c r="L878" s="199" t="s">
        <v>716</v>
      </c>
      <c r="M878" s="211" t="s">
        <v>1629</v>
      </c>
      <c r="N878" s="185" t="s">
        <v>396</v>
      </c>
      <c r="O878" s="185" t="s">
        <v>309</v>
      </c>
      <c r="P878" s="185"/>
      <c r="Q878" s="185"/>
      <c r="R878" s="185" t="s">
        <v>381</v>
      </c>
      <c r="S878" s="185" t="s">
        <v>295</v>
      </c>
      <c r="T878" s="217" t="s">
        <v>379</v>
      </c>
    </row>
    <row r="879" spans="1:20" outlineLevel="1">
      <c r="A879" s="199" t="s">
        <v>275</v>
      </c>
      <c r="B879" s="181" t="s">
        <v>1566</v>
      </c>
      <c r="C879" s="190">
        <v>43663</v>
      </c>
      <c r="D879" s="199" t="s">
        <v>1621</v>
      </c>
      <c r="E879" s="182" t="s">
        <v>2446</v>
      </c>
      <c r="F879" s="183">
        <v>76665</v>
      </c>
      <c r="G879" s="184">
        <v>377.97</v>
      </c>
      <c r="H879" s="181">
        <v>480</v>
      </c>
      <c r="I879" s="181" t="s">
        <v>292</v>
      </c>
      <c r="J879" s="191">
        <v>422.66</v>
      </c>
      <c r="K879" s="191">
        <v>480</v>
      </c>
      <c r="L879" s="199" t="s">
        <v>716</v>
      </c>
      <c r="M879" s="211" t="s">
        <v>1629</v>
      </c>
      <c r="N879" s="185" t="s">
        <v>396</v>
      </c>
      <c r="O879" s="185" t="s">
        <v>309</v>
      </c>
      <c r="P879" s="185"/>
      <c r="Q879" s="185"/>
      <c r="R879" s="185" t="s">
        <v>381</v>
      </c>
      <c r="S879" s="185" t="s">
        <v>295</v>
      </c>
      <c r="T879" s="217" t="s">
        <v>379</v>
      </c>
    </row>
    <row r="880" spans="1:20" outlineLevel="1">
      <c r="A880" s="199" t="s">
        <v>275</v>
      </c>
      <c r="B880" s="181" t="s">
        <v>1566</v>
      </c>
      <c r="C880" s="190">
        <v>43663</v>
      </c>
      <c r="D880" s="199" t="s">
        <v>1621</v>
      </c>
      <c r="E880" s="182" t="s">
        <v>2447</v>
      </c>
      <c r="F880" s="183">
        <v>76665</v>
      </c>
      <c r="G880" s="184">
        <v>377.97</v>
      </c>
      <c r="H880" s="181">
        <v>480</v>
      </c>
      <c r="I880" s="181" t="s">
        <v>292</v>
      </c>
      <c r="J880" s="191">
        <v>422.66</v>
      </c>
      <c r="K880" s="191">
        <v>480</v>
      </c>
      <c r="L880" s="199" t="s">
        <v>716</v>
      </c>
      <c r="M880" s="211" t="s">
        <v>1629</v>
      </c>
      <c r="N880" s="185" t="s">
        <v>396</v>
      </c>
      <c r="O880" s="185" t="s">
        <v>309</v>
      </c>
      <c r="P880" s="185"/>
      <c r="Q880" s="185"/>
      <c r="R880" s="185" t="s">
        <v>381</v>
      </c>
      <c r="S880" s="185" t="s">
        <v>295</v>
      </c>
      <c r="T880" s="217" t="s">
        <v>379</v>
      </c>
    </row>
    <row r="881" spans="1:20" outlineLevel="1">
      <c r="A881" s="199" t="s">
        <v>275</v>
      </c>
      <c r="B881" s="181" t="s">
        <v>1566</v>
      </c>
      <c r="C881" s="190">
        <v>43663</v>
      </c>
      <c r="D881" s="199" t="s">
        <v>1621</v>
      </c>
      <c r="E881" s="182" t="s">
        <v>2448</v>
      </c>
      <c r="F881" s="183">
        <v>76665</v>
      </c>
      <c r="G881" s="184">
        <v>377.97</v>
      </c>
      <c r="H881" s="181">
        <v>480</v>
      </c>
      <c r="I881" s="181" t="s">
        <v>292</v>
      </c>
      <c r="J881" s="191">
        <v>422.66</v>
      </c>
      <c r="K881" s="191">
        <v>480</v>
      </c>
      <c r="L881" s="199" t="s">
        <v>716</v>
      </c>
      <c r="M881" s="211" t="s">
        <v>1629</v>
      </c>
      <c r="N881" s="185" t="s">
        <v>396</v>
      </c>
      <c r="O881" s="185" t="s">
        <v>309</v>
      </c>
      <c r="P881" s="185"/>
      <c r="Q881" s="185"/>
      <c r="R881" s="185" t="s">
        <v>381</v>
      </c>
      <c r="S881" s="185" t="s">
        <v>295</v>
      </c>
      <c r="T881" s="217" t="s">
        <v>379</v>
      </c>
    </row>
    <row r="882" spans="1:20" outlineLevel="1">
      <c r="A882" s="199" t="s">
        <v>275</v>
      </c>
      <c r="B882" s="181" t="s">
        <v>1566</v>
      </c>
      <c r="C882" s="190">
        <v>43663</v>
      </c>
      <c r="D882" s="199" t="s">
        <v>1621</v>
      </c>
      <c r="E882" s="182" t="s">
        <v>2449</v>
      </c>
      <c r="F882" s="183">
        <v>76665</v>
      </c>
      <c r="G882" s="184">
        <v>377.97</v>
      </c>
      <c r="H882" s="181">
        <v>480</v>
      </c>
      <c r="I882" s="181" t="s">
        <v>292</v>
      </c>
      <c r="J882" s="191">
        <v>422.66</v>
      </c>
      <c r="K882" s="191">
        <v>480</v>
      </c>
      <c r="L882" s="199" t="s">
        <v>716</v>
      </c>
      <c r="M882" s="211" t="s">
        <v>1629</v>
      </c>
      <c r="N882" s="185" t="s">
        <v>396</v>
      </c>
      <c r="O882" s="185" t="s">
        <v>309</v>
      </c>
      <c r="P882" s="185"/>
      <c r="Q882" s="185"/>
      <c r="R882" s="185" t="s">
        <v>381</v>
      </c>
      <c r="S882" s="185" t="s">
        <v>295</v>
      </c>
      <c r="T882" s="217" t="s">
        <v>379</v>
      </c>
    </row>
    <row r="883" spans="1:20" outlineLevel="1">
      <c r="A883" s="199" t="s">
        <v>275</v>
      </c>
      <c r="B883" s="181" t="s">
        <v>1566</v>
      </c>
      <c r="C883" s="190">
        <v>43663</v>
      </c>
      <c r="D883" s="199" t="s">
        <v>1621</v>
      </c>
      <c r="E883" s="182" t="s">
        <v>2450</v>
      </c>
      <c r="F883" s="183">
        <v>76665</v>
      </c>
      <c r="G883" s="184">
        <v>377.97</v>
      </c>
      <c r="H883" s="181">
        <v>480</v>
      </c>
      <c r="I883" s="181" t="s">
        <v>292</v>
      </c>
      <c r="J883" s="191">
        <v>422.66</v>
      </c>
      <c r="K883" s="191">
        <v>480</v>
      </c>
      <c r="L883" s="199" t="s">
        <v>716</v>
      </c>
      <c r="M883" s="211" t="s">
        <v>1629</v>
      </c>
      <c r="N883" s="185" t="s">
        <v>396</v>
      </c>
      <c r="O883" s="185" t="s">
        <v>309</v>
      </c>
      <c r="P883" s="185"/>
      <c r="Q883" s="185"/>
      <c r="R883" s="185" t="s">
        <v>381</v>
      </c>
      <c r="S883" s="185" t="s">
        <v>295</v>
      </c>
      <c r="T883" s="217" t="s">
        <v>379</v>
      </c>
    </row>
    <row r="884" spans="1:20" outlineLevel="1">
      <c r="A884" s="199" t="s">
        <v>275</v>
      </c>
      <c r="B884" s="181" t="s">
        <v>1566</v>
      </c>
      <c r="C884" s="190">
        <v>43663</v>
      </c>
      <c r="D884" s="199" t="s">
        <v>1621</v>
      </c>
      <c r="E884" s="182" t="s">
        <v>2451</v>
      </c>
      <c r="F884" s="183">
        <v>76665</v>
      </c>
      <c r="G884" s="184">
        <v>377.97</v>
      </c>
      <c r="H884" s="181">
        <v>480</v>
      </c>
      <c r="I884" s="181" t="s">
        <v>292</v>
      </c>
      <c r="J884" s="191">
        <v>422.66</v>
      </c>
      <c r="K884" s="191">
        <v>480</v>
      </c>
      <c r="L884" s="199" t="s">
        <v>716</v>
      </c>
      <c r="M884" s="211" t="s">
        <v>1629</v>
      </c>
      <c r="N884" s="185" t="s">
        <v>396</v>
      </c>
      <c r="O884" s="185" t="s">
        <v>309</v>
      </c>
      <c r="P884" s="185"/>
      <c r="Q884" s="185"/>
      <c r="R884" s="185" t="s">
        <v>381</v>
      </c>
      <c r="S884" s="185" t="s">
        <v>295</v>
      </c>
      <c r="T884" s="217" t="s">
        <v>379</v>
      </c>
    </row>
    <row r="885" spans="1:20" outlineLevel="1">
      <c r="A885" s="199" t="s">
        <v>275</v>
      </c>
      <c r="B885" s="181" t="s">
        <v>1566</v>
      </c>
      <c r="C885" s="190">
        <v>43663</v>
      </c>
      <c r="D885" s="199" t="s">
        <v>1621</v>
      </c>
      <c r="E885" s="182" t="s">
        <v>2452</v>
      </c>
      <c r="F885" s="183">
        <v>76665</v>
      </c>
      <c r="G885" s="184">
        <v>377.97</v>
      </c>
      <c r="H885" s="181">
        <v>480</v>
      </c>
      <c r="I885" s="181" t="s">
        <v>292</v>
      </c>
      <c r="J885" s="191">
        <v>422.66</v>
      </c>
      <c r="K885" s="191">
        <v>480</v>
      </c>
      <c r="L885" s="199" t="s">
        <v>716</v>
      </c>
      <c r="M885" s="211" t="s">
        <v>1629</v>
      </c>
      <c r="N885" s="185" t="s">
        <v>396</v>
      </c>
      <c r="O885" s="185" t="s">
        <v>309</v>
      </c>
      <c r="P885" s="185"/>
      <c r="Q885" s="185"/>
      <c r="R885" s="185" t="s">
        <v>381</v>
      </c>
      <c r="S885" s="185" t="s">
        <v>295</v>
      </c>
      <c r="T885" s="217" t="s">
        <v>379</v>
      </c>
    </row>
    <row r="886" spans="1:20" outlineLevel="1">
      <c r="A886" s="199" t="s">
        <v>275</v>
      </c>
      <c r="B886" s="181" t="s">
        <v>1566</v>
      </c>
      <c r="C886" s="190">
        <v>43663</v>
      </c>
      <c r="D886" s="199" t="s">
        <v>1621</v>
      </c>
      <c r="E886" s="182" t="s">
        <v>2453</v>
      </c>
      <c r="F886" s="183">
        <v>76665</v>
      </c>
      <c r="G886" s="184">
        <v>377.97</v>
      </c>
      <c r="H886" s="181">
        <v>480</v>
      </c>
      <c r="I886" s="181" t="s">
        <v>292</v>
      </c>
      <c r="J886" s="191">
        <v>422.66</v>
      </c>
      <c r="K886" s="191">
        <v>480</v>
      </c>
      <c r="L886" s="199" t="s">
        <v>716</v>
      </c>
      <c r="M886" s="211" t="s">
        <v>1629</v>
      </c>
      <c r="N886" s="185" t="s">
        <v>396</v>
      </c>
      <c r="O886" s="185" t="s">
        <v>309</v>
      </c>
      <c r="P886" s="185"/>
      <c r="Q886" s="185"/>
      <c r="R886" s="185" t="s">
        <v>381</v>
      </c>
      <c r="S886" s="185" t="s">
        <v>295</v>
      </c>
      <c r="T886" s="217" t="s">
        <v>379</v>
      </c>
    </row>
    <row r="887" spans="1:20" outlineLevel="1">
      <c r="A887" s="199" t="s">
        <v>275</v>
      </c>
      <c r="B887" s="181" t="s">
        <v>1566</v>
      </c>
      <c r="C887" s="190">
        <v>43663</v>
      </c>
      <c r="D887" s="199" t="s">
        <v>1621</v>
      </c>
      <c r="E887" s="182" t="s">
        <v>2454</v>
      </c>
      <c r="F887" s="183">
        <v>76665</v>
      </c>
      <c r="G887" s="184">
        <v>377.97</v>
      </c>
      <c r="H887" s="181">
        <v>480</v>
      </c>
      <c r="I887" s="181" t="s">
        <v>292</v>
      </c>
      <c r="J887" s="191">
        <v>422.66</v>
      </c>
      <c r="K887" s="191">
        <v>480</v>
      </c>
      <c r="L887" s="199" t="s">
        <v>716</v>
      </c>
      <c r="M887" s="211" t="s">
        <v>1629</v>
      </c>
      <c r="N887" s="185" t="s">
        <v>396</v>
      </c>
      <c r="O887" s="185" t="s">
        <v>309</v>
      </c>
      <c r="P887" s="185"/>
      <c r="Q887" s="185"/>
      <c r="R887" s="185" t="s">
        <v>381</v>
      </c>
      <c r="S887" s="185" t="s">
        <v>295</v>
      </c>
      <c r="T887" s="217" t="s">
        <v>379</v>
      </c>
    </row>
    <row r="888" spans="1:20" outlineLevel="1">
      <c r="A888" s="199" t="s">
        <v>275</v>
      </c>
      <c r="B888" s="181" t="s">
        <v>1566</v>
      </c>
      <c r="C888" s="190">
        <v>43663</v>
      </c>
      <c r="D888" s="199" t="s">
        <v>1621</v>
      </c>
      <c r="E888" s="182" t="s">
        <v>2455</v>
      </c>
      <c r="F888" s="183">
        <v>76665</v>
      </c>
      <c r="G888" s="184">
        <v>377.97</v>
      </c>
      <c r="H888" s="181">
        <v>480</v>
      </c>
      <c r="I888" s="181" t="s">
        <v>292</v>
      </c>
      <c r="J888" s="191">
        <v>422.66</v>
      </c>
      <c r="K888" s="191">
        <v>480</v>
      </c>
      <c r="L888" s="199" t="s">
        <v>716</v>
      </c>
      <c r="M888" s="211" t="s">
        <v>1629</v>
      </c>
      <c r="N888" s="185" t="s">
        <v>396</v>
      </c>
      <c r="O888" s="185" t="s">
        <v>309</v>
      </c>
      <c r="P888" s="185"/>
      <c r="Q888" s="185"/>
      <c r="R888" s="185" t="s">
        <v>381</v>
      </c>
      <c r="S888" s="185" t="s">
        <v>295</v>
      </c>
      <c r="T888" s="217" t="s">
        <v>379</v>
      </c>
    </row>
    <row r="889" spans="1:20" outlineLevel="1">
      <c r="A889" s="199" t="s">
        <v>275</v>
      </c>
      <c r="B889" s="181" t="s">
        <v>1566</v>
      </c>
      <c r="C889" s="190">
        <v>43663</v>
      </c>
      <c r="D889" s="199" t="s">
        <v>1621</v>
      </c>
      <c r="E889" s="182" t="s">
        <v>2456</v>
      </c>
      <c r="F889" s="183">
        <v>76665</v>
      </c>
      <c r="G889" s="184">
        <v>377.97</v>
      </c>
      <c r="H889" s="181">
        <v>480</v>
      </c>
      <c r="I889" s="181" t="s">
        <v>292</v>
      </c>
      <c r="J889" s="191">
        <v>422.66</v>
      </c>
      <c r="K889" s="191">
        <v>480</v>
      </c>
      <c r="L889" s="199" t="s">
        <v>716</v>
      </c>
      <c r="M889" s="211" t="s">
        <v>1629</v>
      </c>
      <c r="N889" s="185" t="s">
        <v>396</v>
      </c>
      <c r="O889" s="185" t="s">
        <v>309</v>
      </c>
      <c r="P889" s="185"/>
      <c r="Q889" s="185"/>
      <c r="R889" s="185" t="s">
        <v>381</v>
      </c>
      <c r="S889" s="185" t="s">
        <v>295</v>
      </c>
      <c r="T889" s="217" t="s">
        <v>379</v>
      </c>
    </row>
    <row r="890" spans="1:20" outlineLevel="1">
      <c r="A890" s="199" t="s">
        <v>275</v>
      </c>
      <c r="B890" s="181" t="s">
        <v>1566</v>
      </c>
      <c r="C890" s="190">
        <v>43663</v>
      </c>
      <c r="D890" s="199" t="s">
        <v>1621</v>
      </c>
      <c r="E890" s="182" t="s">
        <v>2457</v>
      </c>
      <c r="F890" s="183">
        <v>76665</v>
      </c>
      <c r="G890" s="184">
        <v>377.97</v>
      </c>
      <c r="H890" s="181">
        <v>480</v>
      </c>
      <c r="I890" s="181" t="s">
        <v>292</v>
      </c>
      <c r="J890" s="191">
        <v>422.66</v>
      </c>
      <c r="K890" s="191">
        <v>480</v>
      </c>
      <c r="L890" s="199" t="s">
        <v>716</v>
      </c>
      <c r="M890" s="211" t="s">
        <v>1629</v>
      </c>
      <c r="N890" s="185" t="s">
        <v>396</v>
      </c>
      <c r="O890" s="185" t="s">
        <v>309</v>
      </c>
      <c r="P890" s="185"/>
      <c r="Q890" s="185"/>
      <c r="R890" s="185" t="s">
        <v>381</v>
      </c>
      <c r="S890" s="185" t="s">
        <v>295</v>
      </c>
      <c r="T890" s="217" t="s">
        <v>379</v>
      </c>
    </row>
    <row r="891" spans="1:20" outlineLevel="1">
      <c r="A891" s="199" t="s">
        <v>275</v>
      </c>
      <c r="B891" s="181" t="s">
        <v>1566</v>
      </c>
      <c r="C891" s="190">
        <v>43663</v>
      </c>
      <c r="D891" s="199" t="s">
        <v>1621</v>
      </c>
      <c r="E891" s="182" t="s">
        <v>2458</v>
      </c>
      <c r="F891" s="183">
        <v>76665</v>
      </c>
      <c r="G891" s="184">
        <v>377.97</v>
      </c>
      <c r="H891" s="181">
        <v>480</v>
      </c>
      <c r="I891" s="181" t="s">
        <v>292</v>
      </c>
      <c r="J891" s="191">
        <v>422.66</v>
      </c>
      <c r="K891" s="191">
        <v>480</v>
      </c>
      <c r="L891" s="199" t="s">
        <v>716</v>
      </c>
      <c r="M891" s="211" t="s">
        <v>1629</v>
      </c>
      <c r="N891" s="185" t="s">
        <v>396</v>
      </c>
      <c r="O891" s="185" t="s">
        <v>309</v>
      </c>
      <c r="P891" s="185"/>
      <c r="Q891" s="185"/>
      <c r="R891" s="185" t="s">
        <v>381</v>
      </c>
      <c r="S891" s="185" t="s">
        <v>295</v>
      </c>
      <c r="T891" s="217" t="s">
        <v>379</v>
      </c>
    </row>
    <row r="892" spans="1:20" outlineLevel="1">
      <c r="A892" s="199" t="s">
        <v>275</v>
      </c>
      <c r="B892" s="181" t="s">
        <v>1566</v>
      </c>
      <c r="C892" s="190">
        <v>43663</v>
      </c>
      <c r="D892" s="199" t="s">
        <v>1621</v>
      </c>
      <c r="E892" s="182" t="s">
        <v>2459</v>
      </c>
      <c r="F892" s="183">
        <v>76665</v>
      </c>
      <c r="G892" s="184">
        <v>377.97</v>
      </c>
      <c r="H892" s="181">
        <v>480</v>
      </c>
      <c r="I892" s="181" t="s">
        <v>292</v>
      </c>
      <c r="J892" s="191">
        <v>422.66</v>
      </c>
      <c r="K892" s="191">
        <v>480</v>
      </c>
      <c r="L892" s="199" t="s">
        <v>716</v>
      </c>
      <c r="M892" s="211" t="s">
        <v>1629</v>
      </c>
      <c r="N892" s="185" t="s">
        <v>396</v>
      </c>
      <c r="O892" s="185" t="s">
        <v>309</v>
      </c>
      <c r="P892" s="185"/>
      <c r="Q892" s="185"/>
      <c r="R892" s="185" t="s">
        <v>381</v>
      </c>
      <c r="S892" s="185" t="s">
        <v>295</v>
      </c>
      <c r="T892" s="217" t="s">
        <v>379</v>
      </c>
    </row>
    <row r="893" spans="1:20" outlineLevel="1">
      <c r="A893" s="199" t="s">
        <v>275</v>
      </c>
      <c r="B893" s="181" t="s">
        <v>1566</v>
      </c>
      <c r="C893" s="190">
        <v>43663</v>
      </c>
      <c r="D893" s="199" t="s">
        <v>1621</v>
      </c>
      <c r="E893" s="182" t="s">
        <v>2460</v>
      </c>
      <c r="F893" s="183">
        <v>76665</v>
      </c>
      <c r="G893" s="184">
        <v>393.72</v>
      </c>
      <c r="H893" s="181">
        <v>500</v>
      </c>
      <c r="I893" s="181" t="s">
        <v>292</v>
      </c>
      <c r="J893" s="191">
        <v>440.27</v>
      </c>
      <c r="K893" s="191">
        <v>500</v>
      </c>
      <c r="L893" s="199" t="s">
        <v>1478</v>
      </c>
      <c r="M893" s="211" t="s">
        <v>1623</v>
      </c>
      <c r="N893" s="185" t="s">
        <v>396</v>
      </c>
      <c r="O893" s="185" t="s">
        <v>309</v>
      </c>
      <c r="P893" s="185"/>
      <c r="Q893" s="185"/>
      <c r="R893" s="185" t="s">
        <v>381</v>
      </c>
      <c r="S893" s="185" t="s">
        <v>295</v>
      </c>
      <c r="T893" s="217" t="s">
        <v>379</v>
      </c>
    </row>
    <row r="894" spans="1:20" outlineLevel="1">
      <c r="A894" s="199" t="s">
        <v>275</v>
      </c>
      <c r="B894" s="181" t="s">
        <v>1566</v>
      </c>
      <c r="C894" s="190">
        <v>43663</v>
      </c>
      <c r="D894" s="199" t="s">
        <v>1621</v>
      </c>
      <c r="E894" s="182" t="s">
        <v>2461</v>
      </c>
      <c r="F894" s="183">
        <v>76665</v>
      </c>
      <c r="G894" s="184">
        <v>393.72</v>
      </c>
      <c r="H894" s="181">
        <v>500</v>
      </c>
      <c r="I894" s="181" t="s">
        <v>292</v>
      </c>
      <c r="J894" s="191">
        <v>440.27</v>
      </c>
      <c r="K894" s="191">
        <v>500</v>
      </c>
      <c r="L894" s="199" t="s">
        <v>1128</v>
      </c>
      <c r="M894" s="211" t="s">
        <v>1625</v>
      </c>
      <c r="N894" s="185" t="s">
        <v>396</v>
      </c>
      <c r="O894" s="185" t="s">
        <v>309</v>
      </c>
      <c r="P894" s="185"/>
      <c r="Q894" s="185"/>
      <c r="R894" s="185" t="s">
        <v>381</v>
      </c>
      <c r="S894" s="185" t="s">
        <v>295</v>
      </c>
      <c r="T894" s="217" t="s">
        <v>379</v>
      </c>
    </row>
    <row r="895" spans="1:20" outlineLevel="1">
      <c r="A895" s="199" t="s">
        <v>275</v>
      </c>
      <c r="B895" s="181" t="s">
        <v>1566</v>
      </c>
      <c r="C895" s="190">
        <v>43663</v>
      </c>
      <c r="D895" s="199" t="s">
        <v>1621</v>
      </c>
      <c r="E895" s="182" t="s">
        <v>2462</v>
      </c>
      <c r="F895" s="183">
        <v>76665</v>
      </c>
      <c r="G895" s="184">
        <v>39.369999999999997</v>
      </c>
      <c r="H895" s="181">
        <v>50</v>
      </c>
      <c r="I895" s="181" t="s">
        <v>292</v>
      </c>
      <c r="J895" s="191">
        <v>44.03</v>
      </c>
      <c r="K895" s="191">
        <v>50</v>
      </c>
      <c r="L895" s="199" t="s">
        <v>1128</v>
      </c>
      <c r="M895" s="211" t="s">
        <v>1625</v>
      </c>
      <c r="N895" s="185" t="s">
        <v>396</v>
      </c>
      <c r="O895" s="185" t="s">
        <v>309</v>
      </c>
      <c r="P895" s="185"/>
      <c r="Q895" s="185"/>
      <c r="R895" s="185" t="s">
        <v>381</v>
      </c>
      <c r="S895" s="185" t="s">
        <v>295</v>
      </c>
      <c r="T895" s="217" t="s">
        <v>379</v>
      </c>
    </row>
    <row r="896" spans="1:20" outlineLevel="1">
      <c r="A896" s="199" t="s">
        <v>275</v>
      </c>
      <c r="B896" s="181" t="s">
        <v>1566</v>
      </c>
      <c r="C896" s="190">
        <v>43663</v>
      </c>
      <c r="D896" s="199" t="s">
        <v>1621</v>
      </c>
      <c r="E896" s="182" t="s">
        <v>2463</v>
      </c>
      <c r="F896" s="183">
        <v>76665</v>
      </c>
      <c r="G896" s="184">
        <v>1181.17</v>
      </c>
      <c r="H896" s="181">
        <v>1500</v>
      </c>
      <c r="I896" s="181" t="s">
        <v>292</v>
      </c>
      <c r="J896" s="191">
        <v>1320.81</v>
      </c>
      <c r="K896" s="191">
        <v>1500</v>
      </c>
      <c r="L896" s="199" t="s">
        <v>1128</v>
      </c>
      <c r="M896" s="211" t="s">
        <v>1625</v>
      </c>
      <c r="N896" s="185" t="s">
        <v>396</v>
      </c>
      <c r="O896" s="185" t="s">
        <v>309</v>
      </c>
      <c r="P896" s="185"/>
      <c r="Q896" s="185"/>
      <c r="R896" s="185" t="s">
        <v>381</v>
      </c>
      <c r="S896" s="185" t="s">
        <v>295</v>
      </c>
      <c r="T896" s="217" t="s">
        <v>379</v>
      </c>
    </row>
    <row r="897" spans="1:20">
      <c r="A897" s="212" t="s">
        <v>378</v>
      </c>
      <c r="B897" s="212"/>
      <c r="C897" s="212"/>
      <c r="D897" s="212"/>
      <c r="E897" s="213"/>
      <c r="F897" s="214"/>
      <c r="G897" s="215">
        <f>SUM(G878:G896)</f>
        <v>7677.5300000000025</v>
      </c>
      <c r="H897" s="216">
        <f>SUM(H878:H896)</f>
        <v>9750</v>
      </c>
      <c r="I897" s="212"/>
      <c r="J897" s="216">
        <f>SUM(J878:J896)</f>
        <v>8585.2799999999988</v>
      </c>
      <c r="K897" s="216">
        <f>SUM(K878:K896)</f>
        <v>9750</v>
      </c>
      <c r="L897" s="212"/>
      <c r="M897" s="213"/>
      <c r="N897" s="212"/>
      <c r="O897" s="212"/>
      <c r="P897" s="212"/>
      <c r="Q897" s="212"/>
      <c r="R897" s="212"/>
      <c r="S897" s="212"/>
      <c r="T897" s="212"/>
    </row>
    <row r="898" spans="1:20" outlineLevel="1">
      <c r="A898" s="199" t="s">
        <v>276</v>
      </c>
      <c r="B898" s="181" t="s">
        <v>1566</v>
      </c>
      <c r="C898" s="190">
        <v>43655</v>
      </c>
      <c r="D898" s="199" t="s">
        <v>2464</v>
      </c>
      <c r="E898" s="182" t="s">
        <v>2465</v>
      </c>
      <c r="F898" s="183">
        <v>76665</v>
      </c>
      <c r="G898" s="184">
        <v>23.62</v>
      </c>
      <c r="H898" s="181">
        <v>30</v>
      </c>
      <c r="I898" s="181" t="s">
        <v>292</v>
      </c>
      <c r="J898" s="191">
        <v>26.42</v>
      </c>
      <c r="K898" s="191">
        <v>30</v>
      </c>
      <c r="L898" s="199" t="s">
        <v>610</v>
      </c>
      <c r="M898" s="211" t="s">
        <v>1620</v>
      </c>
      <c r="N898" s="185" t="s">
        <v>396</v>
      </c>
      <c r="O898" s="185" t="s">
        <v>309</v>
      </c>
      <c r="P898" s="185" t="s">
        <v>2466</v>
      </c>
      <c r="Q898" s="185"/>
      <c r="R898" s="185" t="s">
        <v>381</v>
      </c>
      <c r="S898" s="185" t="s">
        <v>295</v>
      </c>
      <c r="T898" s="217" t="s">
        <v>379</v>
      </c>
    </row>
    <row r="899" spans="1:20" outlineLevel="1">
      <c r="A899" s="199" t="s">
        <v>276</v>
      </c>
      <c r="B899" s="181" t="s">
        <v>1566</v>
      </c>
      <c r="C899" s="190">
        <v>43655</v>
      </c>
      <c r="D899" s="199" t="s">
        <v>2464</v>
      </c>
      <c r="E899" s="182" t="s">
        <v>2467</v>
      </c>
      <c r="F899" s="183">
        <v>76665</v>
      </c>
      <c r="G899" s="184">
        <v>47.25</v>
      </c>
      <c r="H899" s="181">
        <v>60</v>
      </c>
      <c r="I899" s="181" t="s">
        <v>292</v>
      </c>
      <c r="J899" s="191">
        <v>52.83</v>
      </c>
      <c r="K899" s="191">
        <v>60</v>
      </c>
      <c r="L899" s="199" t="s">
        <v>610</v>
      </c>
      <c r="M899" s="211" t="s">
        <v>1620</v>
      </c>
      <c r="N899" s="185" t="s">
        <v>396</v>
      </c>
      <c r="O899" s="185" t="s">
        <v>309</v>
      </c>
      <c r="P899" s="185" t="s">
        <v>2466</v>
      </c>
      <c r="Q899" s="185"/>
      <c r="R899" s="185" t="s">
        <v>381</v>
      </c>
      <c r="S899" s="185" t="s">
        <v>295</v>
      </c>
      <c r="T899" s="217" t="s">
        <v>379</v>
      </c>
    </row>
    <row r="900" spans="1:20" outlineLevel="1">
      <c r="A900" s="199" t="s">
        <v>276</v>
      </c>
      <c r="B900" s="181" t="s">
        <v>1567</v>
      </c>
      <c r="C900" s="190">
        <v>43738</v>
      </c>
      <c r="D900" s="199" t="s">
        <v>2468</v>
      </c>
      <c r="E900" s="182" t="s">
        <v>2469</v>
      </c>
      <c r="F900" s="183">
        <v>77221</v>
      </c>
      <c r="G900" s="184">
        <v>4.1100000000000003</v>
      </c>
      <c r="H900" s="181">
        <v>5</v>
      </c>
      <c r="I900" s="181" t="s">
        <v>292</v>
      </c>
      <c r="J900" s="191">
        <v>4.54</v>
      </c>
      <c r="K900" s="191">
        <v>5</v>
      </c>
      <c r="L900" s="199" t="s">
        <v>604</v>
      </c>
      <c r="M900" s="211" t="s">
        <v>1725</v>
      </c>
      <c r="N900" s="185" t="s">
        <v>396</v>
      </c>
      <c r="O900" s="185" t="s">
        <v>309</v>
      </c>
      <c r="P900" s="185" t="s">
        <v>397</v>
      </c>
      <c r="Q900" s="185"/>
      <c r="R900" s="185" t="s">
        <v>381</v>
      </c>
      <c r="S900" s="185" t="s">
        <v>295</v>
      </c>
      <c r="T900" s="217" t="s">
        <v>379</v>
      </c>
    </row>
    <row r="901" spans="1:20" outlineLevel="1">
      <c r="A901" s="199" t="s">
        <v>276</v>
      </c>
      <c r="B901" s="181" t="s">
        <v>1567</v>
      </c>
      <c r="C901" s="190">
        <v>43738</v>
      </c>
      <c r="D901" s="199" t="s">
        <v>2470</v>
      </c>
      <c r="E901" s="182" t="s">
        <v>1455</v>
      </c>
      <c r="F901" s="183">
        <v>77221</v>
      </c>
      <c r="G901" s="184">
        <v>4.1100000000000003</v>
      </c>
      <c r="H901" s="181">
        <v>5</v>
      </c>
      <c r="I901" s="181" t="s">
        <v>292</v>
      </c>
      <c r="J901" s="191">
        <v>4.54</v>
      </c>
      <c r="K901" s="191">
        <v>5</v>
      </c>
      <c r="L901" s="199" t="s">
        <v>604</v>
      </c>
      <c r="M901" s="211" t="s">
        <v>1725</v>
      </c>
      <c r="N901" s="185" t="s">
        <v>396</v>
      </c>
      <c r="O901" s="185" t="s">
        <v>309</v>
      </c>
      <c r="P901" s="185" t="s">
        <v>397</v>
      </c>
      <c r="Q901" s="185"/>
      <c r="R901" s="185" t="s">
        <v>381</v>
      </c>
      <c r="S901" s="185" t="s">
        <v>295</v>
      </c>
      <c r="T901" s="217" t="s">
        <v>379</v>
      </c>
    </row>
    <row r="902" spans="1:20" outlineLevel="1">
      <c r="A902" s="199" t="s">
        <v>276</v>
      </c>
      <c r="B902" s="181" t="s">
        <v>1567</v>
      </c>
      <c r="C902" s="190">
        <v>43738</v>
      </c>
      <c r="D902" s="199" t="s">
        <v>2468</v>
      </c>
      <c r="E902" s="182" t="s">
        <v>2471</v>
      </c>
      <c r="F902" s="183">
        <v>77221</v>
      </c>
      <c r="G902" s="184">
        <v>259.01</v>
      </c>
      <c r="H902" s="181">
        <v>315</v>
      </c>
      <c r="I902" s="181" t="s">
        <v>292</v>
      </c>
      <c r="J902" s="191">
        <v>286.10000000000002</v>
      </c>
      <c r="K902" s="191">
        <v>315</v>
      </c>
      <c r="L902" s="199" t="s">
        <v>615</v>
      </c>
      <c r="M902" s="211" t="s">
        <v>1676</v>
      </c>
      <c r="N902" s="185" t="s">
        <v>396</v>
      </c>
      <c r="O902" s="185" t="s">
        <v>309</v>
      </c>
      <c r="P902" s="185" t="s">
        <v>397</v>
      </c>
      <c r="Q902" s="185"/>
      <c r="R902" s="185" t="s">
        <v>381</v>
      </c>
      <c r="S902" s="185" t="s">
        <v>295</v>
      </c>
      <c r="T902" s="217" t="s">
        <v>379</v>
      </c>
    </row>
    <row r="903" spans="1:20" outlineLevel="1">
      <c r="A903" s="199" t="s">
        <v>276</v>
      </c>
      <c r="B903" s="181" t="s">
        <v>1567</v>
      </c>
      <c r="C903" s="190">
        <v>43738</v>
      </c>
      <c r="D903" s="199" t="s">
        <v>2470</v>
      </c>
      <c r="E903" s="182" t="s">
        <v>2472</v>
      </c>
      <c r="F903" s="183">
        <v>77221</v>
      </c>
      <c r="G903" s="184">
        <v>592.02</v>
      </c>
      <c r="H903" s="181">
        <v>720</v>
      </c>
      <c r="I903" s="181" t="s">
        <v>292</v>
      </c>
      <c r="J903" s="191">
        <v>653.94000000000005</v>
      </c>
      <c r="K903" s="191">
        <v>720</v>
      </c>
      <c r="L903" s="199" t="s">
        <v>714</v>
      </c>
      <c r="M903" s="211" t="s">
        <v>1689</v>
      </c>
      <c r="N903" s="185" t="s">
        <v>396</v>
      </c>
      <c r="O903" s="185" t="s">
        <v>309</v>
      </c>
      <c r="P903" s="185"/>
      <c r="Q903" s="185"/>
      <c r="R903" s="185" t="s">
        <v>381</v>
      </c>
      <c r="S903" s="185" t="s">
        <v>295</v>
      </c>
      <c r="T903" s="217" t="s">
        <v>379</v>
      </c>
    </row>
    <row r="904" spans="1:20" outlineLevel="1">
      <c r="A904" s="199" t="s">
        <v>276</v>
      </c>
      <c r="B904" s="181" t="s">
        <v>1567</v>
      </c>
      <c r="C904" s="190">
        <v>43738</v>
      </c>
      <c r="D904" s="199" t="s">
        <v>2470</v>
      </c>
      <c r="E904" s="182" t="s">
        <v>2473</v>
      </c>
      <c r="F904" s="183">
        <v>77221</v>
      </c>
      <c r="G904" s="184">
        <v>197.34</v>
      </c>
      <c r="H904" s="181">
        <v>240</v>
      </c>
      <c r="I904" s="181" t="s">
        <v>292</v>
      </c>
      <c r="J904" s="191">
        <v>217.98</v>
      </c>
      <c r="K904" s="191">
        <v>240</v>
      </c>
      <c r="L904" s="199" t="s">
        <v>716</v>
      </c>
      <c r="M904" s="211" t="s">
        <v>1629</v>
      </c>
      <c r="N904" s="185" t="s">
        <v>396</v>
      </c>
      <c r="O904" s="185" t="s">
        <v>309</v>
      </c>
      <c r="P904" s="185"/>
      <c r="Q904" s="185"/>
      <c r="R904" s="185" t="s">
        <v>381</v>
      </c>
      <c r="S904" s="185" t="s">
        <v>295</v>
      </c>
      <c r="T904" s="217" t="s">
        <v>379</v>
      </c>
    </row>
    <row r="905" spans="1:20" outlineLevel="1">
      <c r="A905" s="199" t="s">
        <v>276</v>
      </c>
      <c r="B905" s="181" t="s">
        <v>1567</v>
      </c>
      <c r="C905" s="190">
        <v>43738</v>
      </c>
      <c r="D905" s="199" t="s">
        <v>2470</v>
      </c>
      <c r="E905" s="182" t="s">
        <v>2474</v>
      </c>
      <c r="F905" s="183">
        <v>77221</v>
      </c>
      <c r="G905" s="184">
        <v>575.57000000000005</v>
      </c>
      <c r="H905" s="181">
        <v>700</v>
      </c>
      <c r="I905" s="181" t="s">
        <v>292</v>
      </c>
      <c r="J905" s="191">
        <v>635.77</v>
      </c>
      <c r="K905" s="191">
        <v>700</v>
      </c>
      <c r="L905" s="199" t="s">
        <v>718</v>
      </c>
      <c r="M905" s="211" t="s">
        <v>1691</v>
      </c>
      <c r="N905" s="185" t="s">
        <v>396</v>
      </c>
      <c r="O905" s="185" t="s">
        <v>309</v>
      </c>
      <c r="P905" s="185"/>
      <c r="Q905" s="185"/>
      <c r="R905" s="185" t="s">
        <v>381</v>
      </c>
      <c r="S905" s="185" t="s">
        <v>295</v>
      </c>
      <c r="T905" s="217" t="s">
        <v>379</v>
      </c>
    </row>
    <row r="906" spans="1:20" outlineLevel="1">
      <c r="A906" s="199" t="s">
        <v>276</v>
      </c>
      <c r="B906" s="181" t="s">
        <v>1567</v>
      </c>
      <c r="C906" s="190">
        <v>43738</v>
      </c>
      <c r="D906" s="199" t="s">
        <v>2470</v>
      </c>
      <c r="E906" s="182" t="s">
        <v>2475</v>
      </c>
      <c r="F906" s="183">
        <v>77221</v>
      </c>
      <c r="G906" s="184">
        <v>48.51</v>
      </c>
      <c r="H906" s="181">
        <v>59</v>
      </c>
      <c r="I906" s="181" t="s">
        <v>292</v>
      </c>
      <c r="J906" s="191">
        <v>53.59</v>
      </c>
      <c r="K906" s="191">
        <v>59</v>
      </c>
      <c r="L906" s="199" t="s">
        <v>1478</v>
      </c>
      <c r="M906" s="211" t="s">
        <v>1623</v>
      </c>
      <c r="N906" s="185" t="s">
        <v>396</v>
      </c>
      <c r="O906" s="185" t="s">
        <v>309</v>
      </c>
      <c r="P906" s="185"/>
      <c r="Q906" s="185"/>
      <c r="R906" s="185" t="s">
        <v>381</v>
      </c>
      <c r="S906" s="185" t="s">
        <v>295</v>
      </c>
      <c r="T906" s="217" t="s">
        <v>379</v>
      </c>
    </row>
    <row r="907" spans="1:20" outlineLevel="1">
      <c r="A907" s="199" t="s">
        <v>276</v>
      </c>
      <c r="B907" s="181" t="s">
        <v>1567</v>
      </c>
      <c r="C907" s="190">
        <v>43738</v>
      </c>
      <c r="D907" s="199" t="s">
        <v>2470</v>
      </c>
      <c r="E907" s="182" t="s">
        <v>2476</v>
      </c>
      <c r="F907" s="183">
        <v>77221</v>
      </c>
      <c r="G907" s="184">
        <v>374.94</v>
      </c>
      <c r="H907" s="181">
        <v>456</v>
      </c>
      <c r="I907" s="181" t="s">
        <v>292</v>
      </c>
      <c r="J907" s="191">
        <v>414.16</v>
      </c>
      <c r="K907" s="191">
        <v>455.99</v>
      </c>
      <c r="L907" s="199" t="s">
        <v>1128</v>
      </c>
      <c r="M907" s="211" t="s">
        <v>1625</v>
      </c>
      <c r="N907" s="185" t="s">
        <v>396</v>
      </c>
      <c r="O907" s="185" t="s">
        <v>309</v>
      </c>
      <c r="P907" s="185"/>
      <c r="Q907" s="185"/>
      <c r="R907" s="185" t="s">
        <v>381</v>
      </c>
      <c r="S907" s="185" t="s">
        <v>295</v>
      </c>
      <c r="T907" s="217" t="s">
        <v>379</v>
      </c>
    </row>
    <row r="908" spans="1:20" outlineLevel="1">
      <c r="A908" s="199" t="s">
        <v>276</v>
      </c>
      <c r="B908" s="181" t="s">
        <v>1567</v>
      </c>
      <c r="C908" s="190">
        <v>43738</v>
      </c>
      <c r="D908" s="199" t="s">
        <v>2470</v>
      </c>
      <c r="E908" s="182" t="s">
        <v>2477</v>
      </c>
      <c r="F908" s="183">
        <v>77221</v>
      </c>
      <c r="G908" s="184">
        <v>4.1100000000000003</v>
      </c>
      <c r="H908" s="181">
        <v>5</v>
      </c>
      <c r="I908" s="181" t="s">
        <v>292</v>
      </c>
      <c r="J908" s="191">
        <v>4.54</v>
      </c>
      <c r="K908" s="191">
        <v>5</v>
      </c>
      <c r="L908" s="199" t="s">
        <v>2478</v>
      </c>
      <c r="M908" s="211" t="s">
        <v>2479</v>
      </c>
      <c r="N908" s="185" t="s">
        <v>396</v>
      </c>
      <c r="O908" s="185" t="s">
        <v>309</v>
      </c>
      <c r="P908" s="185"/>
      <c r="Q908" s="185"/>
      <c r="R908" s="185" t="s">
        <v>381</v>
      </c>
      <c r="S908" s="185" t="s">
        <v>295</v>
      </c>
      <c r="T908" s="217" t="s">
        <v>379</v>
      </c>
    </row>
    <row r="909" spans="1:20" outlineLevel="1">
      <c r="A909" s="199" t="s">
        <v>276</v>
      </c>
      <c r="B909" s="181" t="s">
        <v>1567</v>
      </c>
      <c r="C909" s="190">
        <v>43738</v>
      </c>
      <c r="D909" s="199" t="s">
        <v>2470</v>
      </c>
      <c r="E909" s="182" t="s">
        <v>2480</v>
      </c>
      <c r="F909" s="183">
        <v>77221</v>
      </c>
      <c r="G909" s="184">
        <v>23.02</v>
      </c>
      <c r="H909" s="181">
        <v>28</v>
      </c>
      <c r="I909" s="181" t="s">
        <v>292</v>
      </c>
      <c r="J909" s="191">
        <v>25.43</v>
      </c>
      <c r="K909" s="191">
        <v>28</v>
      </c>
      <c r="L909" s="199" t="s">
        <v>1207</v>
      </c>
      <c r="M909" s="211" t="s">
        <v>2286</v>
      </c>
      <c r="N909" s="185" t="s">
        <v>396</v>
      </c>
      <c r="O909" s="185" t="s">
        <v>309</v>
      </c>
      <c r="P909" s="185"/>
      <c r="Q909" s="185"/>
      <c r="R909" s="185" t="s">
        <v>381</v>
      </c>
      <c r="S909" s="185" t="s">
        <v>295</v>
      </c>
      <c r="T909" s="217" t="s">
        <v>379</v>
      </c>
    </row>
    <row r="910" spans="1:20" outlineLevel="1">
      <c r="A910" s="199" t="s">
        <v>276</v>
      </c>
      <c r="B910" s="181" t="s">
        <v>1567</v>
      </c>
      <c r="C910" s="190">
        <v>43735</v>
      </c>
      <c r="D910" s="199" t="s">
        <v>2275</v>
      </c>
      <c r="E910" s="182" t="s">
        <v>2481</v>
      </c>
      <c r="F910" s="183">
        <v>77221</v>
      </c>
      <c r="G910" s="184">
        <v>11.02</v>
      </c>
      <c r="H910" s="181">
        <v>13.4</v>
      </c>
      <c r="I910" s="181" t="s">
        <v>292</v>
      </c>
      <c r="J910" s="191">
        <v>12.17</v>
      </c>
      <c r="K910" s="191">
        <v>13.4</v>
      </c>
      <c r="L910" s="199" t="s">
        <v>637</v>
      </c>
      <c r="M910" s="211" t="s">
        <v>2255</v>
      </c>
      <c r="N910" s="185" t="s">
        <v>396</v>
      </c>
      <c r="O910" s="185" t="s">
        <v>309</v>
      </c>
      <c r="P910" s="185"/>
      <c r="Q910" s="185"/>
      <c r="R910" s="185" t="s">
        <v>381</v>
      </c>
      <c r="S910" s="185" t="s">
        <v>295</v>
      </c>
      <c r="T910" s="217" t="s">
        <v>379</v>
      </c>
    </row>
    <row r="911" spans="1:20">
      <c r="A911" s="212" t="s">
        <v>378</v>
      </c>
      <c r="B911" s="212"/>
      <c r="C911" s="212"/>
      <c r="D911" s="212"/>
      <c r="E911" s="213"/>
      <c r="F911" s="214"/>
      <c r="G911" s="215">
        <f>SUM(G898:G910)</f>
        <v>2164.63</v>
      </c>
      <c r="H911" s="216">
        <f>SUM(H898:H910)</f>
        <v>2636.4</v>
      </c>
      <c r="I911" s="212"/>
      <c r="J911" s="216">
        <f>SUM(J898:J910)</f>
        <v>2392.0099999999998</v>
      </c>
      <c r="K911" s="216">
        <f>SUM(K898:K910)</f>
        <v>2636.39</v>
      </c>
      <c r="L911" s="212"/>
      <c r="M911" s="213"/>
      <c r="N911" s="212"/>
      <c r="O911" s="212"/>
      <c r="P911" s="212"/>
      <c r="Q911" s="212"/>
      <c r="R911" s="212"/>
      <c r="S911" s="212"/>
      <c r="T911" s="212"/>
    </row>
    <row r="912" spans="1:20" outlineLevel="1">
      <c r="A912" s="199" t="s">
        <v>279</v>
      </c>
      <c r="B912" s="181" t="s">
        <v>1566</v>
      </c>
      <c r="C912" s="190">
        <v>43593</v>
      </c>
      <c r="D912" s="199" t="s">
        <v>2482</v>
      </c>
      <c r="E912" s="182" t="s">
        <v>2483</v>
      </c>
      <c r="F912" s="183">
        <v>76656</v>
      </c>
      <c r="G912" s="184">
        <v>86.69</v>
      </c>
      <c r="H912" s="181">
        <v>102000</v>
      </c>
      <c r="I912" s="181" t="s">
        <v>2086</v>
      </c>
      <c r="J912" s="191">
        <v>100.32</v>
      </c>
      <c r="K912" s="191">
        <v>112.95</v>
      </c>
      <c r="L912" s="199" t="s">
        <v>716</v>
      </c>
      <c r="M912" s="211" t="s">
        <v>1629</v>
      </c>
      <c r="N912" s="185" t="s">
        <v>2087</v>
      </c>
      <c r="O912" s="185" t="s">
        <v>309</v>
      </c>
      <c r="P912" s="185"/>
      <c r="Q912" s="185"/>
      <c r="R912" s="185" t="s">
        <v>381</v>
      </c>
      <c r="S912" s="185" t="s">
        <v>295</v>
      </c>
      <c r="T912" s="217" t="s">
        <v>379</v>
      </c>
    </row>
    <row r="913" spans="1:20" outlineLevel="1">
      <c r="A913" s="199" t="s">
        <v>279</v>
      </c>
      <c r="B913" s="181" t="s">
        <v>1566</v>
      </c>
      <c r="C913" s="190">
        <v>43658</v>
      </c>
      <c r="D913" s="199" t="s">
        <v>2484</v>
      </c>
      <c r="E913" s="182" t="s">
        <v>2485</v>
      </c>
      <c r="F913" s="183">
        <v>76665</v>
      </c>
      <c r="G913" s="184">
        <v>19.690000000000001</v>
      </c>
      <c r="H913" s="181">
        <v>25</v>
      </c>
      <c r="I913" s="181" t="s">
        <v>292</v>
      </c>
      <c r="J913" s="191">
        <v>22.01</v>
      </c>
      <c r="K913" s="191">
        <v>25</v>
      </c>
      <c r="L913" s="199" t="s">
        <v>1128</v>
      </c>
      <c r="M913" s="211" t="s">
        <v>1625</v>
      </c>
      <c r="N913" s="185" t="s">
        <v>396</v>
      </c>
      <c r="O913" s="185" t="s">
        <v>309</v>
      </c>
      <c r="P913" s="185"/>
      <c r="Q913" s="185"/>
      <c r="R913" s="185" t="s">
        <v>381</v>
      </c>
      <c r="S913" s="185" t="s">
        <v>295</v>
      </c>
      <c r="T913" s="217" t="s">
        <v>379</v>
      </c>
    </row>
    <row r="914" spans="1:20" outlineLevel="1">
      <c r="A914" s="199" t="s">
        <v>279</v>
      </c>
      <c r="B914" s="181" t="s">
        <v>1566</v>
      </c>
      <c r="C914" s="190">
        <v>43658</v>
      </c>
      <c r="D914" s="199" t="s">
        <v>2484</v>
      </c>
      <c r="E914" s="182" t="s">
        <v>2486</v>
      </c>
      <c r="F914" s="183">
        <v>76665</v>
      </c>
      <c r="G914" s="184">
        <v>39.369999999999997</v>
      </c>
      <c r="H914" s="181">
        <v>50</v>
      </c>
      <c r="I914" s="181" t="s">
        <v>292</v>
      </c>
      <c r="J914" s="191">
        <v>44.03</v>
      </c>
      <c r="K914" s="191">
        <v>50</v>
      </c>
      <c r="L914" s="199" t="s">
        <v>1128</v>
      </c>
      <c r="M914" s="211" t="s">
        <v>1625</v>
      </c>
      <c r="N914" s="185" t="s">
        <v>396</v>
      </c>
      <c r="O914" s="185" t="s">
        <v>309</v>
      </c>
      <c r="P914" s="185"/>
      <c r="Q914" s="185"/>
      <c r="R914" s="185" t="s">
        <v>381</v>
      </c>
      <c r="S914" s="185" t="s">
        <v>295</v>
      </c>
      <c r="T914" s="217" t="s">
        <v>379</v>
      </c>
    </row>
    <row r="915" spans="1:20" outlineLevel="1">
      <c r="A915" s="199" t="s">
        <v>279</v>
      </c>
      <c r="B915" s="181" t="s">
        <v>1566</v>
      </c>
      <c r="C915" s="190">
        <v>43658</v>
      </c>
      <c r="D915" s="199" t="s">
        <v>2484</v>
      </c>
      <c r="E915" s="182" t="s">
        <v>2487</v>
      </c>
      <c r="F915" s="183">
        <v>76665</v>
      </c>
      <c r="G915" s="184">
        <v>19.690000000000001</v>
      </c>
      <c r="H915" s="181">
        <v>25</v>
      </c>
      <c r="I915" s="181" t="s">
        <v>292</v>
      </c>
      <c r="J915" s="191">
        <v>22.01</v>
      </c>
      <c r="K915" s="191">
        <v>25</v>
      </c>
      <c r="L915" s="199" t="s">
        <v>1128</v>
      </c>
      <c r="M915" s="211" t="s">
        <v>1625</v>
      </c>
      <c r="N915" s="185" t="s">
        <v>396</v>
      </c>
      <c r="O915" s="185" t="s">
        <v>309</v>
      </c>
      <c r="P915" s="185"/>
      <c r="Q915" s="185"/>
      <c r="R915" s="185" t="s">
        <v>381</v>
      </c>
      <c r="S915" s="185" t="s">
        <v>295</v>
      </c>
      <c r="T915" s="217" t="s">
        <v>379</v>
      </c>
    </row>
    <row r="916" spans="1:20" outlineLevel="1">
      <c r="A916" s="199" t="s">
        <v>279</v>
      </c>
      <c r="B916" s="181" t="s">
        <v>1566</v>
      </c>
      <c r="C916" s="190">
        <v>43658</v>
      </c>
      <c r="D916" s="199" t="s">
        <v>2484</v>
      </c>
      <c r="E916" s="182" t="s">
        <v>2488</v>
      </c>
      <c r="F916" s="183">
        <v>76665</v>
      </c>
      <c r="G916" s="184">
        <v>39.369999999999997</v>
      </c>
      <c r="H916" s="181">
        <v>50</v>
      </c>
      <c r="I916" s="181" t="s">
        <v>292</v>
      </c>
      <c r="J916" s="191">
        <v>44.03</v>
      </c>
      <c r="K916" s="191">
        <v>50</v>
      </c>
      <c r="L916" s="199" t="s">
        <v>1128</v>
      </c>
      <c r="M916" s="211" t="s">
        <v>1625</v>
      </c>
      <c r="N916" s="185" t="s">
        <v>396</v>
      </c>
      <c r="O916" s="185" t="s">
        <v>309</v>
      </c>
      <c r="P916" s="185"/>
      <c r="Q916" s="185"/>
      <c r="R916" s="185" t="s">
        <v>381</v>
      </c>
      <c r="S916" s="185" t="s">
        <v>295</v>
      </c>
      <c r="T916" s="217" t="s">
        <v>379</v>
      </c>
    </row>
    <row r="917" spans="1:20" outlineLevel="1">
      <c r="A917" s="199" t="s">
        <v>279</v>
      </c>
      <c r="B917" s="181" t="s">
        <v>1566</v>
      </c>
      <c r="C917" s="190">
        <v>43658</v>
      </c>
      <c r="D917" s="199" t="s">
        <v>2484</v>
      </c>
      <c r="E917" s="182" t="s">
        <v>2489</v>
      </c>
      <c r="F917" s="183">
        <v>76665</v>
      </c>
      <c r="G917" s="184">
        <v>19.690000000000001</v>
      </c>
      <c r="H917" s="181">
        <v>25</v>
      </c>
      <c r="I917" s="181" t="s">
        <v>292</v>
      </c>
      <c r="J917" s="191">
        <v>22.01</v>
      </c>
      <c r="K917" s="191">
        <v>25</v>
      </c>
      <c r="L917" s="199" t="s">
        <v>1128</v>
      </c>
      <c r="M917" s="211" t="s">
        <v>1625</v>
      </c>
      <c r="N917" s="185" t="s">
        <v>396</v>
      </c>
      <c r="O917" s="185" t="s">
        <v>309</v>
      </c>
      <c r="P917" s="185"/>
      <c r="Q917" s="185"/>
      <c r="R917" s="185" t="s">
        <v>381</v>
      </c>
      <c r="S917" s="185" t="s">
        <v>295</v>
      </c>
      <c r="T917" s="217" t="s">
        <v>379</v>
      </c>
    </row>
    <row r="918" spans="1:20" outlineLevel="1">
      <c r="A918" s="199" t="s">
        <v>279</v>
      </c>
      <c r="B918" s="181" t="s">
        <v>1566</v>
      </c>
      <c r="C918" s="190">
        <v>43658</v>
      </c>
      <c r="D918" s="199" t="s">
        <v>2484</v>
      </c>
      <c r="E918" s="182" t="s">
        <v>2490</v>
      </c>
      <c r="F918" s="183">
        <v>76665</v>
      </c>
      <c r="G918" s="184">
        <v>39.369999999999997</v>
      </c>
      <c r="H918" s="181">
        <v>50</v>
      </c>
      <c r="I918" s="181" t="s">
        <v>292</v>
      </c>
      <c r="J918" s="191">
        <v>44.03</v>
      </c>
      <c r="K918" s="191">
        <v>50</v>
      </c>
      <c r="L918" s="199" t="s">
        <v>1128</v>
      </c>
      <c r="M918" s="211" t="s">
        <v>1625</v>
      </c>
      <c r="N918" s="185" t="s">
        <v>396</v>
      </c>
      <c r="O918" s="185" t="s">
        <v>309</v>
      </c>
      <c r="P918" s="185"/>
      <c r="Q918" s="185"/>
      <c r="R918" s="185" t="s">
        <v>381</v>
      </c>
      <c r="S918" s="185" t="s">
        <v>295</v>
      </c>
      <c r="T918" s="217" t="s">
        <v>379</v>
      </c>
    </row>
    <row r="919" spans="1:20">
      <c r="A919" s="212" t="s">
        <v>378</v>
      </c>
      <c r="B919" s="212"/>
      <c r="C919" s="212"/>
      <c r="D919" s="212"/>
      <c r="E919" s="213"/>
      <c r="F919" s="214"/>
      <c r="G919" s="215">
        <f>SUM(G912:G918)</f>
        <v>263.87</v>
      </c>
      <c r="H919" s="216">
        <f>SUM(H912:H918)</f>
        <v>102225</v>
      </c>
      <c r="I919" s="212"/>
      <c r="J919" s="216">
        <f>SUM(J912:J918)</f>
        <v>298.44</v>
      </c>
      <c r="K919" s="216">
        <f>SUM(K912:K918)</f>
        <v>337.95</v>
      </c>
      <c r="L919" s="212"/>
      <c r="M919" s="213"/>
      <c r="N919" s="212"/>
      <c r="O919" s="212"/>
      <c r="P919" s="212"/>
      <c r="Q919" s="212"/>
      <c r="R919" s="212"/>
      <c r="S919" s="212"/>
      <c r="T919" s="212"/>
    </row>
    <row r="920" spans="1:20" outlineLevel="1">
      <c r="A920" s="199" t="s">
        <v>280</v>
      </c>
      <c r="B920" s="181" t="s">
        <v>1566</v>
      </c>
      <c r="C920" s="190">
        <v>43663</v>
      </c>
      <c r="D920" s="199" t="s">
        <v>1621</v>
      </c>
      <c r="E920" s="182" t="s">
        <v>2491</v>
      </c>
      <c r="F920" s="183">
        <v>76665</v>
      </c>
      <c r="G920" s="184">
        <v>94.49</v>
      </c>
      <c r="H920" s="181">
        <v>120</v>
      </c>
      <c r="I920" s="181" t="s">
        <v>292</v>
      </c>
      <c r="J920" s="191">
        <v>105.66</v>
      </c>
      <c r="K920" s="191">
        <v>120</v>
      </c>
      <c r="L920" s="199" t="s">
        <v>716</v>
      </c>
      <c r="M920" s="211" t="s">
        <v>1629</v>
      </c>
      <c r="N920" s="185" t="s">
        <v>396</v>
      </c>
      <c r="O920" s="185" t="s">
        <v>309</v>
      </c>
      <c r="P920" s="185"/>
      <c r="Q920" s="185"/>
      <c r="R920" s="185" t="s">
        <v>381</v>
      </c>
      <c r="S920" s="185" t="s">
        <v>295</v>
      </c>
      <c r="T920" s="217" t="s">
        <v>379</v>
      </c>
    </row>
    <row r="921" spans="1:20" outlineLevel="1">
      <c r="A921" s="199" t="s">
        <v>280</v>
      </c>
      <c r="B921" s="181" t="s">
        <v>1566</v>
      </c>
      <c r="C921" s="190">
        <v>43655</v>
      </c>
      <c r="D921" s="199" t="s">
        <v>1778</v>
      </c>
      <c r="E921" s="182" t="s">
        <v>2492</v>
      </c>
      <c r="F921" s="183">
        <v>76665</v>
      </c>
      <c r="G921" s="184">
        <v>66.150000000000006</v>
      </c>
      <c r="H921" s="181">
        <v>84</v>
      </c>
      <c r="I921" s="181" t="s">
        <v>292</v>
      </c>
      <c r="J921" s="191">
        <v>73.97</v>
      </c>
      <c r="K921" s="191">
        <v>84.01</v>
      </c>
      <c r="L921" s="199" t="s">
        <v>718</v>
      </c>
      <c r="M921" s="211" t="s">
        <v>1691</v>
      </c>
      <c r="N921" s="185" t="s">
        <v>396</v>
      </c>
      <c r="O921" s="185" t="s">
        <v>309</v>
      </c>
      <c r="P921" s="185"/>
      <c r="Q921" s="185"/>
      <c r="R921" s="185" t="s">
        <v>381</v>
      </c>
      <c r="S921" s="185" t="s">
        <v>295</v>
      </c>
      <c r="T921" s="217" t="s">
        <v>379</v>
      </c>
    </row>
    <row r="922" spans="1:20" outlineLevel="1">
      <c r="A922" s="199" t="s">
        <v>280</v>
      </c>
      <c r="B922" s="181" t="s">
        <v>1575</v>
      </c>
      <c r="C922" s="190">
        <v>43700</v>
      </c>
      <c r="D922" s="199" t="s">
        <v>2174</v>
      </c>
      <c r="E922" s="182" t="s">
        <v>2493</v>
      </c>
      <c r="F922" s="183">
        <v>76932</v>
      </c>
      <c r="G922" s="184">
        <v>9.82</v>
      </c>
      <c r="H922" s="181">
        <v>12</v>
      </c>
      <c r="I922" s="181" t="s">
        <v>292</v>
      </c>
      <c r="J922" s="191">
        <v>10.72</v>
      </c>
      <c r="K922" s="191">
        <v>12</v>
      </c>
      <c r="L922" s="199" t="s">
        <v>590</v>
      </c>
      <c r="M922" s="211" t="s">
        <v>2179</v>
      </c>
      <c r="N922" s="185" t="s">
        <v>396</v>
      </c>
      <c r="O922" s="185" t="s">
        <v>309</v>
      </c>
      <c r="P922" s="185"/>
      <c r="Q922" s="185"/>
      <c r="R922" s="185" t="s">
        <v>381</v>
      </c>
      <c r="S922" s="185" t="s">
        <v>295</v>
      </c>
      <c r="T922" s="217" t="s">
        <v>379</v>
      </c>
    </row>
    <row r="923" spans="1:20" outlineLevel="1">
      <c r="A923" s="199" t="s">
        <v>280</v>
      </c>
      <c r="B923" s="181" t="s">
        <v>1575</v>
      </c>
      <c r="C923" s="190">
        <v>43683</v>
      </c>
      <c r="D923" s="199" t="s">
        <v>1576</v>
      </c>
      <c r="E923" s="182" t="s">
        <v>2494</v>
      </c>
      <c r="F923" s="183">
        <v>76932</v>
      </c>
      <c r="G923" s="184">
        <v>97.4</v>
      </c>
      <c r="H923" s="181">
        <v>119</v>
      </c>
      <c r="I923" s="181" t="s">
        <v>292</v>
      </c>
      <c r="J923" s="191">
        <v>106.27</v>
      </c>
      <c r="K923" s="191">
        <v>119</v>
      </c>
      <c r="L923" s="199" t="s">
        <v>592</v>
      </c>
      <c r="M923" s="211" t="s">
        <v>1574</v>
      </c>
      <c r="N923" s="185" t="s">
        <v>396</v>
      </c>
      <c r="O923" s="185" t="s">
        <v>309</v>
      </c>
      <c r="P923" s="185"/>
      <c r="Q923" s="185"/>
      <c r="R923" s="185" t="s">
        <v>381</v>
      </c>
      <c r="S923" s="185" t="s">
        <v>295</v>
      </c>
      <c r="T923" s="217" t="s">
        <v>379</v>
      </c>
    </row>
    <row r="924" spans="1:20" outlineLevel="1">
      <c r="A924" s="199" t="s">
        <v>280</v>
      </c>
      <c r="B924" s="181" t="s">
        <v>1575</v>
      </c>
      <c r="C924" s="190">
        <v>43700</v>
      </c>
      <c r="D924" s="199" t="s">
        <v>2174</v>
      </c>
      <c r="E924" s="182" t="s">
        <v>2495</v>
      </c>
      <c r="F924" s="183">
        <v>76932</v>
      </c>
      <c r="G924" s="184">
        <v>68.75</v>
      </c>
      <c r="H924" s="181">
        <v>84</v>
      </c>
      <c r="I924" s="181" t="s">
        <v>292</v>
      </c>
      <c r="J924" s="191">
        <v>75.010000000000005</v>
      </c>
      <c r="K924" s="191">
        <v>84</v>
      </c>
      <c r="L924" s="199" t="s">
        <v>592</v>
      </c>
      <c r="M924" s="211" t="s">
        <v>1574</v>
      </c>
      <c r="N924" s="185" t="s">
        <v>396</v>
      </c>
      <c r="O924" s="185" t="s">
        <v>309</v>
      </c>
      <c r="P924" s="185"/>
      <c r="Q924" s="185"/>
      <c r="R924" s="185" t="s">
        <v>381</v>
      </c>
      <c r="S924" s="185" t="s">
        <v>295</v>
      </c>
      <c r="T924" s="217" t="s">
        <v>379</v>
      </c>
    </row>
    <row r="925" spans="1:20" outlineLevel="1">
      <c r="A925" s="199" t="s">
        <v>280</v>
      </c>
      <c r="B925" s="181" t="s">
        <v>1575</v>
      </c>
      <c r="C925" s="190">
        <v>43705</v>
      </c>
      <c r="D925" s="199" t="s">
        <v>2496</v>
      </c>
      <c r="E925" s="182" t="s">
        <v>2497</v>
      </c>
      <c r="F925" s="183">
        <v>76932</v>
      </c>
      <c r="G925" s="184">
        <v>175.97</v>
      </c>
      <c r="H925" s="181">
        <v>215</v>
      </c>
      <c r="I925" s="181" t="s">
        <v>292</v>
      </c>
      <c r="J925" s="191">
        <v>192</v>
      </c>
      <c r="K925" s="191">
        <v>215</v>
      </c>
      <c r="L925" s="199" t="s">
        <v>714</v>
      </c>
      <c r="M925" s="211" t="s">
        <v>1689</v>
      </c>
      <c r="N925" s="185" t="s">
        <v>396</v>
      </c>
      <c r="O925" s="185" t="s">
        <v>309</v>
      </c>
      <c r="P925" s="185"/>
      <c r="Q925" s="185"/>
      <c r="R925" s="185" t="s">
        <v>381</v>
      </c>
      <c r="S925" s="185" t="s">
        <v>295</v>
      </c>
      <c r="T925" s="217" t="s">
        <v>379</v>
      </c>
    </row>
    <row r="926" spans="1:20" outlineLevel="1">
      <c r="A926" s="199" t="s">
        <v>280</v>
      </c>
      <c r="B926" s="181" t="s">
        <v>1575</v>
      </c>
      <c r="C926" s="190">
        <v>43705</v>
      </c>
      <c r="D926" s="199" t="s">
        <v>2496</v>
      </c>
      <c r="E926" s="182" t="s">
        <v>2498</v>
      </c>
      <c r="F926" s="183">
        <v>76932</v>
      </c>
      <c r="G926" s="184">
        <v>16.37</v>
      </c>
      <c r="H926" s="181">
        <v>20</v>
      </c>
      <c r="I926" s="181" t="s">
        <v>292</v>
      </c>
      <c r="J926" s="191">
        <v>17.86</v>
      </c>
      <c r="K926" s="191">
        <v>20</v>
      </c>
      <c r="L926" s="199" t="s">
        <v>716</v>
      </c>
      <c r="M926" s="211" t="s">
        <v>1629</v>
      </c>
      <c r="N926" s="185" t="s">
        <v>396</v>
      </c>
      <c r="O926" s="185" t="s">
        <v>309</v>
      </c>
      <c r="P926" s="185"/>
      <c r="Q926" s="185"/>
      <c r="R926" s="185" t="s">
        <v>381</v>
      </c>
      <c r="S926" s="185" t="s">
        <v>295</v>
      </c>
      <c r="T926" s="217" t="s">
        <v>379</v>
      </c>
    </row>
    <row r="927" spans="1:20" outlineLevel="1">
      <c r="A927" s="199" t="s">
        <v>280</v>
      </c>
      <c r="B927" s="181" t="s">
        <v>1575</v>
      </c>
      <c r="C927" s="190">
        <v>43705</v>
      </c>
      <c r="D927" s="199" t="s">
        <v>2496</v>
      </c>
      <c r="E927" s="182" t="s">
        <v>2499</v>
      </c>
      <c r="F927" s="183">
        <v>76932</v>
      </c>
      <c r="G927" s="184">
        <v>64.66</v>
      </c>
      <c r="H927" s="181">
        <v>79</v>
      </c>
      <c r="I927" s="181" t="s">
        <v>292</v>
      </c>
      <c r="J927" s="191">
        <v>70.55</v>
      </c>
      <c r="K927" s="191">
        <v>79</v>
      </c>
      <c r="L927" s="199" t="s">
        <v>718</v>
      </c>
      <c r="M927" s="211" t="s">
        <v>1691</v>
      </c>
      <c r="N927" s="185" t="s">
        <v>396</v>
      </c>
      <c r="O927" s="185" t="s">
        <v>309</v>
      </c>
      <c r="P927" s="185"/>
      <c r="Q927" s="185"/>
      <c r="R927" s="185" t="s">
        <v>381</v>
      </c>
      <c r="S927" s="185" t="s">
        <v>295</v>
      </c>
      <c r="T927" s="217" t="s">
        <v>379</v>
      </c>
    </row>
    <row r="928" spans="1:20" outlineLevel="1">
      <c r="A928" s="199" t="s">
        <v>280</v>
      </c>
      <c r="B928" s="181" t="s">
        <v>1567</v>
      </c>
      <c r="C928" s="190">
        <v>43733</v>
      </c>
      <c r="D928" s="199" t="s">
        <v>2500</v>
      </c>
      <c r="E928" s="182" t="s">
        <v>2501</v>
      </c>
      <c r="F928" s="183">
        <v>77220</v>
      </c>
      <c r="G928" s="184">
        <v>41.11</v>
      </c>
      <c r="H928" s="181">
        <v>50</v>
      </c>
      <c r="I928" s="181" t="s">
        <v>292</v>
      </c>
      <c r="J928" s="191">
        <v>45.41</v>
      </c>
      <c r="K928" s="191">
        <v>50</v>
      </c>
      <c r="L928" s="199" t="s">
        <v>610</v>
      </c>
      <c r="M928" s="211" t="s">
        <v>1620</v>
      </c>
      <c r="N928" s="185" t="s">
        <v>400</v>
      </c>
      <c r="O928" s="185" t="s">
        <v>309</v>
      </c>
      <c r="P928" s="185" t="s">
        <v>397</v>
      </c>
      <c r="Q928" s="185"/>
      <c r="R928" s="185" t="s">
        <v>381</v>
      </c>
      <c r="S928" s="185" t="s">
        <v>295</v>
      </c>
      <c r="T928" s="217" t="s">
        <v>379</v>
      </c>
    </row>
    <row r="929" spans="1:20" outlineLevel="1">
      <c r="A929" s="199" t="s">
        <v>280</v>
      </c>
      <c r="B929" s="181" t="s">
        <v>1567</v>
      </c>
      <c r="C929" s="190">
        <v>43733</v>
      </c>
      <c r="D929" s="199" t="s">
        <v>1694</v>
      </c>
      <c r="E929" s="182" t="s">
        <v>2502</v>
      </c>
      <c r="F929" s="183">
        <v>77221</v>
      </c>
      <c r="G929" s="184">
        <v>402.9</v>
      </c>
      <c r="H929" s="181">
        <v>490</v>
      </c>
      <c r="I929" s="181" t="s">
        <v>292</v>
      </c>
      <c r="J929" s="191">
        <v>445.04</v>
      </c>
      <c r="K929" s="191">
        <v>490</v>
      </c>
      <c r="L929" s="199" t="s">
        <v>610</v>
      </c>
      <c r="M929" s="211" t="s">
        <v>1620</v>
      </c>
      <c r="N929" s="185" t="s">
        <v>396</v>
      </c>
      <c r="O929" s="185" t="s">
        <v>309</v>
      </c>
      <c r="P929" s="185" t="s">
        <v>397</v>
      </c>
      <c r="Q929" s="185"/>
      <c r="R929" s="185" t="s">
        <v>381</v>
      </c>
      <c r="S929" s="185" t="s">
        <v>295</v>
      </c>
      <c r="T929" s="217" t="s">
        <v>379</v>
      </c>
    </row>
    <row r="930" spans="1:20" outlineLevel="1">
      <c r="A930" s="199" t="s">
        <v>280</v>
      </c>
      <c r="B930" s="181" t="s">
        <v>1567</v>
      </c>
      <c r="C930" s="190">
        <v>43738</v>
      </c>
      <c r="D930" s="199" t="s">
        <v>2470</v>
      </c>
      <c r="E930" s="182" t="s">
        <v>2503</v>
      </c>
      <c r="F930" s="183">
        <v>77221</v>
      </c>
      <c r="G930" s="184">
        <v>57.56</v>
      </c>
      <c r="H930" s="181">
        <v>70</v>
      </c>
      <c r="I930" s="181" t="s">
        <v>292</v>
      </c>
      <c r="J930" s="191">
        <v>63.58</v>
      </c>
      <c r="K930" s="191">
        <v>70</v>
      </c>
      <c r="L930" s="199" t="s">
        <v>610</v>
      </c>
      <c r="M930" s="211" t="s">
        <v>1620</v>
      </c>
      <c r="N930" s="185" t="s">
        <v>396</v>
      </c>
      <c r="O930" s="185" t="s">
        <v>309</v>
      </c>
      <c r="P930" s="185" t="s">
        <v>397</v>
      </c>
      <c r="Q930" s="185"/>
      <c r="R930" s="185" t="s">
        <v>381</v>
      </c>
      <c r="S930" s="185" t="s">
        <v>295</v>
      </c>
      <c r="T930" s="217" t="s">
        <v>379</v>
      </c>
    </row>
    <row r="931" spans="1:20" outlineLevel="1">
      <c r="A931" s="199" t="s">
        <v>280</v>
      </c>
      <c r="B931" s="181" t="s">
        <v>1567</v>
      </c>
      <c r="C931" s="190">
        <v>43738</v>
      </c>
      <c r="D931" s="199" t="s">
        <v>2468</v>
      </c>
      <c r="E931" s="182" t="s">
        <v>2504</v>
      </c>
      <c r="F931" s="183">
        <v>77221</v>
      </c>
      <c r="G931" s="184">
        <v>69.89</v>
      </c>
      <c r="H931" s="181">
        <v>85</v>
      </c>
      <c r="I931" s="181" t="s">
        <v>292</v>
      </c>
      <c r="J931" s="191">
        <v>77.2</v>
      </c>
      <c r="K931" s="191">
        <v>85</v>
      </c>
      <c r="L931" s="199" t="s">
        <v>615</v>
      </c>
      <c r="M931" s="211" t="s">
        <v>1676</v>
      </c>
      <c r="N931" s="185" t="s">
        <v>396</v>
      </c>
      <c r="O931" s="185" t="s">
        <v>309</v>
      </c>
      <c r="P931" s="185" t="s">
        <v>397</v>
      </c>
      <c r="Q931" s="185"/>
      <c r="R931" s="185" t="s">
        <v>381</v>
      </c>
      <c r="S931" s="185" t="s">
        <v>295</v>
      </c>
      <c r="T931" s="217" t="s">
        <v>379</v>
      </c>
    </row>
    <row r="932" spans="1:20" outlineLevel="1">
      <c r="A932" s="199" t="s">
        <v>280</v>
      </c>
      <c r="B932" s="181" t="s">
        <v>1567</v>
      </c>
      <c r="C932" s="190">
        <v>43708</v>
      </c>
      <c r="D932" s="199" t="s">
        <v>1592</v>
      </c>
      <c r="E932" s="182" t="s">
        <v>2505</v>
      </c>
      <c r="F932" s="183">
        <v>77217</v>
      </c>
      <c r="G932" s="184">
        <v>75.319999999999993</v>
      </c>
      <c r="H932" s="181">
        <v>100</v>
      </c>
      <c r="I932" s="181" t="s">
        <v>292</v>
      </c>
      <c r="J932" s="191">
        <v>90.82</v>
      </c>
      <c r="K932" s="191">
        <v>100</v>
      </c>
      <c r="L932" s="199" t="s">
        <v>752</v>
      </c>
      <c r="M932" s="211" t="s">
        <v>1587</v>
      </c>
      <c r="N932" s="185" t="s">
        <v>396</v>
      </c>
      <c r="O932" s="185" t="s">
        <v>309</v>
      </c>
      <c r="P932" s="185"/>
      <c r="Q932" s="185" t="s">
        <v>737</v>
      </c>
      <c r="R932" s="185" t="s">
        <v>381</v>
      </c>
      <c r="S932" s="185" t="s">
        <v>295</v>
      </c>
      <c r="T932" s="217" t="s">
        <v>379</v>
      </c>
    </row>
    <row r="933" spans="1:20" outlineLevel="1">
      <c r="A933" s="199" t="s">
        <v>280</v>
      </c>
      <c r="B933" s="181" t="s">
        <v>1567</v>
      </c>
      <c r="C933" s="190">
        <v>43708</v>
      </c>
      <c r="D933" s="199" t="s">
        <v>1592</v>
      </c>
      <c r="E933" s="182" t="s">
        <v>2506</v>
      </c>
      <c r="F933" s="183">
        <v>77217</v>
      </c>
      <c r="G933" s="184">
        <v>90.39</v>
      </c>
      <c r="H933" s="181">
        <v>120</v>
      </c>
      <c r="I933" s="181" t="s">
        <v>292</v>
      </c>
      <c r="J933" s="191">
        <v>108.99</v>
      </c>
      <c r="K933" s="191">
        <v>120</v>
      </c>
      <c r="L933" s="199" t="s">
        <v>752</v>
      </c>
      <c r="M933" s="211" t="s">
        <v>1587</v>
      </c>
      <c r="N933" s="185" t="s">
        <v>396</v>
      </c>
      <c r="O933" s="185" t="s">
        <v>309</v>
      </c>
      <c r="P933" s="185"/>
      <c r="Q933" s="185" t="s">
        <v>737</v>
      </c>
      <c r="R933" s="185" t="s">
        <v>381</v>
      </c>
      <c r="S933" s="185" t="s">
        <v>295</v>
      </c>
      <c r="T933" s="217" t="s">
        <v>379</v>
      </c>
    </row>
    <row r="934" spans="1:20" outlineLevel="1">
      <c r="A934" s="199" t="s">
        <v>280</v>
      </c>
      <c r="B934" s="181" t="s">
        <v>1567</v>
      </c>
      <c r="C934" s="190">
        <v>43708</v>
      </c>
      <c r="D934" s="199" t="s">
        <v>1592</v>
      </c>
      <c r="E934" s="182" t="s">
        <v>2507</v>
      </c>
      <c r="F934" s="183">
        <v>77217</v>
      </c>
      <c r="G934" s="184">
        <v>225.97</v>
      </c>
      <c r="H934" s="181">
        <v>300</v>
      </c>
      <c r="I934" s="181" t="s">
        <v>292</v>
      </c>
      <c r="J934" s="191">
        <v>272.47000000000003</v>
      </c>
      <c r="K934" s="191">
        <v>300</v>
      </c>
      <c r="L934" s="199" t="s">
        <v>752</v>
      </c>
      <c r="M934" s="211" t="s">
        <v>1587</v>
      </c>
      <c r="N934" s="185" t="s">
        <v>396</v>
      </c>
      <c r="O934" s="185" t="s">
        <v>309</v>
      </c>
      <c r="P934" s="185"/>
      <c r="Q934" s="185" t="s">
        <v>737</v>
      </c>
      <c r="R934" s="185" t="s">
        <v>381</v>
      </c>
      <c r="S934" s="185" t="s">
        <v>295</v>
      </c>
      <c r="T934" s="217" t="s">
        <v>379</v>
      </c>
    </row>
    <row r="935" spans="1:20" outlineLevel="1">
      <c r="A935" s="199" t="s">
        <v>280</v>
      </c>
      <c r="B935" s="181" t="s">
        <v>1567</v>
      </c>
      <c r="C935" s="190">
        <v>43708</v>
      </c>
      <c r="D935" s="199" t="s">
        <v>1592</v>
      </c>
      <c r="E935" s="182" t="s">
        <v>2508</v>
      </c>
      <c r="F935" s="183">
        <v>77217</v>
      </c>
      <c r="G935" s="184">
        <v>79.09</v>
      </c>
      <c r="H935" s="181">
        <v>105</v>
      </c>
      <c r="I935" s="181" t="s">
        <v>292</v>
      </c>
      <c r="J935" s="191">
        <v>95.37</v>
      </c>
      <c r="K935" s="191">
        <v>105</v>
      </c>
      <c r="L935" s="199" t="s">
        <v>752</v>
      </c>
      <c r="M935" s="211" t="s">
        <v>1587</v>
      </c>
      <c r="N935" s="185" t="s">
        <v>396</v>
      </c>
      <c r="O935" s="185" t="s">
        <v>309</v>
      </c>
      <c r="P935" s="185"/>
      <c r="Q935" s="185" t="s">
        <v>737</v>
      </c>
      <c r="R935" s="185" t="s">
        <v>381</v>
      </c>
      <c r="S935" s="185" t="s">
        <v>295</v>
      </c>
      <c r="T935" s="217" t="s">
        <v>379</v>
      </c>
    </row>
    <row r="936" spans="1:20" outlineLevel="1">
      <c r="A936" s="199" t="s">
        <v>280</v>
      </c>
      <c r="B936" s="181" t="s">
        <v>1567</v>
      </c>
      <c r="C936" s="190">
        <v>43708</v>
      </c>
      <c r="D936" s="199" t="s">
        <v>1592</v>
      </c>
      <c r="E936" s="182" t="s">
        <v>2506</v>
      </c>
      <c r="F936" s="183">
        <v>77217</v>
      </c>
      <c r="G936" s="184">
        <v>120.52</v>
      </c>
      <c r="H936" s="181">
        <v>160</v>
      </c>
      <c r="I936" s="181" t="s">
        <v>292</v>
      </c>
      <c r="J936" s="191">
        <v>145.32</v>
      </c>
      <c r="K936" s="191">
        <v>160</v>
      </c>
      <c r="L936" s="199" t="s">
        <v>752</v>
      </c>
      <c r="M936" s="211" t="s">
        <v>1587</v>
      </c>
      <c r="N936" s="185" t="s">
        <v>396</v>
      </c>
      <c r="O936" s="185" t="s">
        <v>309</v>
      </c>
      <c r="P936" s="185"/>
      <c r="Q936" s="185" t="s">
        <v>737</v>
      </c>
      <c r="R936" s="185" t="s">
        <v>381</v>
      </c>
      <c r="S936" s="185" t="s">
        <v>295</v>
      </c>
      <c r="T936" s="217" t="s">
        <v>379</v>
      </c>
    </row>
    <row r="937" spans="1:20" outlineLevel="1">
      <c r="A937" s="199" t="s">
        <v>280</v>
      </c>
      <c r="B937" s="181" t="s">
        <v>1567</v>
      </c>
      <c r="C937" s="190">
        <v>43708</v>
      </c>
      <c r="D937" s="199" t="s">
        <v>1592</v>
      </c>
      <c r="E937" s="182" t="s">
        <v>2509</v>
      </c>
      <c r="F937" s="183">
        <v>77217</v>
      </c>
      <c r="G937" s="184">
        <v>67.790000000000006</v>
      </c>
      <c r="H937" s="181">
        <v>90</v>
      </c>
      <c r="I937" s="181" t="s">
        <v>292</v>
      </c>
      <c r="J937" s="191">
        <v>81.739999999999995</v>
      </c>
      <c r="K937" s="191">
        <v>90</v>
      </c>
      <c r="L937" s="199" t="s">
        <v>752</v>
      </c>
      <c r="M937" s="211" t="s">
        <v>1587</v>
      </c>
      <c r="N937" s="185" t="s">
        <v>396</v>
      </c>
      <c r="O937" s="185" t="s">
        <v>309</v>
      </c>
      <c r="P937" s="185"/>
      <c r="Q937" s="185" t="s">
        <v>737</v>
      </c>
      <c r="R937" s="185" t="s">
        <v>381</v>
      </c>
      <c r="S937" s="185" t="s">
        <v>295</v>
      </c>
      <c r="T937" s="217" t="s">
        <v>379</v>
      </c>
    </row>
    <row r="938" spans="1:20" outlineLevel="1">
      <c r="A938" s="199" t="s">
        <v>280</v>
      </c>
      <c r="B938" s="181" t="s">
        <v>1567</v>
      </c>
      <c r="C938" s="190">
        <v>43708</v>
      </c>
      <c r="D938" s="199" t="s">
        <v>1592</v>
      </c>
      <c r="E938" s="182" t="s">
        <v>2506</v>
      </c>
      <c r="F938" s="183">
        <v>77217</v>
      </c>
      <c r="G938" s="184">
        <v>120.52</v>
      </c>
      <c r="H938" s="181">
        <v>160</v>
      </c>
      <c r="I938" s="181" t="s">
        <v>292</v>
      </c>
      <c r="J938" s="191">
        <v>145.32</v>
      </c>
      <c r="K938" s="191">
        <v>160</v>
      </c>
      <c r="L938" s="199" t="s">
        <v>752</v>
      </c>
      <c r="M938" s="211" t="s">
        <v>1587</v>
      </c>
      <c r="N938" s="185" t="s">
        <v>396</v>
      </c>
      <c r="O938" s="185" t="s">
        <v>309</v>
      </c>
      <c r="P938" s="185"/>
      <c r="Q938" s="185" t="s">
        <v>737</v>
      </c>
      <c r="R938" s="185" t="s">
        <v>381</v>
      </c>
      <c r="S938" s="185" t="s">
        <v>295</v>
      </c>
      <c r="T938" s="217" t="s">
        <v>379</v>
      </c>
    </row>
    <row r="939" spans="1:20" outlineLevel="1">
      <c r="A939" s="199" t="s">
        <v>280</v>
      </c>
      <c r="B939" s="181" t="s">
        <v>1567</v>
      </c>
      <c r="C939" s="190">
        <v>43708</v>
      </c>
      <c r="D939" s="199" t="s">
        <v>1592</v>
      </c>
      <c r="E939" s="182" t="s">
        <v>2509</v>
      </c>
      <c r="F939" s="183">
        <v>77217</v>
      </c>
      <c r="G939" s="184">
        <v>67.790000000000006</v>
      </c>
      <c r="H939" s="181">
        <v>90</v>
      </c>
      <c r="I939" s="181" t="s">
        <v>292</v>
      </c>
      <c r="J939" s="191">
        <v>81.739999999999995</v>
      </c>
      <c r="K939" s="191">
        <v>90</v>
      </c>
      <c r="L939" s="199" t="s">
        <v>752</v>
      </c>
      <c r="M939" s="211" t="s">
        <v>1587</v>
      </c>
      <c r="N939" s="185" t="s">
        <v>396</v>
      </c>
      <c r="O939" s="185" t="s">
        <v>309</v>
      </c>
      <c r="P939" s="185"/>
      <c r="Q939" s="185" t="s">
        <v>737</v>
      </c>
      <c r="R939" s="185" t="s">
        <v>381</v>
      </c>
      <c r="S939" s="185" t="s">
        <v>295</v>
      </c>
      <c r="T939" s="217" t="s">
        <v>379</v>
      </c>
    </row>
    <row r="940" spans="1:20">
      <c r="A940" s="212" t="s">
        <v>378</v>
      </c>
      <c r="B940" s="212"/>
      <c r="C940" s="212"/>
      <c r="D940" s="212"/>
      <c r="E940" s="213"/>
      <c r="F940" s="214"/>
      <c r="G940" s="215">
        <f>SUM(G920:G939)</f>
        <v>2012.4599999999998</v>
      </c>
      <c r="H940" s="216">
        <f>SUM(H920:H939)</f>
        <v>2553</v>
      </c>
      <c r="I940" s="212"/>
      <c r="J940" s="216">
        <f>SUM(J920:J939)</f>
        <v>2305.04</v>
      </c>
      <c r="K940" s="216">
        <f>SUM(K920:K939)</f>
        <v>2553.0100000000002</v>
      </c>
      <c r="L940" s="212"/>
      <c r="M940" s="213"/>
      <c r="N940" s="212"/>
      <c r="O940" s="212"/>
      <c r="P940" s="212"/>
      <c r="Q940" s="212"/>
      <c r="R940" s="212"/>
      <c r="S940" s="212"/>
      <c r="T940" s="212"/>
    </row>
    <row r="941" spans="1:20" outlineLevel="1">
      <c r="A941" s="199" t="s">
        <v>283</v>
      </c>
      <c r="B941" s="181" t="s">
        <v>1567</v>
      </c>
      <c r="C941" s="190">
        <v>43676</v>
      </c>
      <c r="D941" s="199" t="s">
        <v>1607</v>
      </c>
      <c r="E941" s="182" t="s">
        <v>2510</v>
      </c>
      <c r="F941" s="183">
        <v>77196</v>
      </c>
      <c r="G941" s="184">
        <v>237.27</v>
      </c>
      <c r="H941" s="181">
        <v>315</v>
      </c>
      <c r="I941" s="181" t="s">
        <v>292</v>
      </c>
      <c r="J941" s="191">
        <v>286.10000000000002</v>
      </c>
      <c r="K941" s="191">
        <v>315</v>
      </c>
      <c r="L941" s="199" t="s">
        <v>752</v>
      </c>
      <c r="M941" s="211" t="s">
        <v>1587</v>
      </c>
      <c r="N941" s="185" t="s">
        <v>396</v>
      </c>
      <c r="O941" s="185" t="s">
        <v>309</v>
      </c>
      <c r="P941" s="185"/>
      <c r="Q941" s="185" t="s">
        <v>740</v>
      </c>
      <c r="R941" s="185" t="s">
        <v>381</v>
      </c>
      <c r="S941" s="185" t="s">
        <v>295</v>
      </c>
      <c r="T941" s="217" t="s">
        <v>379</v>
      </c>
    </row>
    <row r="942" spans="1:20" outlineLevel="1">
      <c r="A942" s="199" t="s">
        <v>283</v>
      </c>
      <c r="B942" s="181" t="s">
        <v>1567</v>
      </c>
      <c r="C942" s="190">
        <v>43582</v>
      </c>
      <c r="D942" s="199" t="s">
        <v>1607</v>
      </c>
      <c r="E942" s="182" t="s">
        <v>2511</v>
      </c>
      <c r="F942" s="183">
        <v>77196</v>
      </c>
      <c r="G942" s="184">
        <v>271.16000000000003</v>
      </c>
      <c r="H942" s="181">
        <v>360</v>
      </c>
      <c r="I942" s="181" t="s">
        <v>292</v>
      </c>
      <c r="J942" s="191">
        <v>326.97000000000003</v>
      </c>
      <c r="K942" s="191">
        <v>360</v>
      </c>
      <c r="L942" s="199" t="s">
        <v>752</v>
      </c>
      <c r="M942" s="211" t="s">
        <v>1587</v>
      </c>
      <c r="N942" s="185" t="s">
        <v>396</v>
      </c>
      <c r="O942" s="185" t="s">
        <v>309</v>
      </c>
      <c r="P942" s="185"/>
      <c r="Q942" s="185" t="s">
        <v>740</v>
      </c>
      <c r="R942" s="185" t="s">
        <v>381</v>
      </c>
      <c r="S942" s="185" t="s">
        <v>295</v>
      </c>
      <c r="T942" s="217" t="s">
        <v>379</v>
      </c>
    </row>
    <row r="943" spans="1:20">
      <c r="A943" s="212" t="s">
        <v>378</v>
      </c>
      <c r="B943" s="212"/>
      <c r="C943" s="212"/>
      <c r="D943" s="212"/>
      <c r="E943" s="213"/>
      <c r="F943" s="214"/>
      <c r="G943" s="215">
        <f>SUM(G941:G942)</f>
        <v>508.43000000000006</v>
      </c>
      <c r="H943" s="216">
        <f>SUM(H941:H942)</f>
        <v>675</v>
      </c>
      <c r="I943" s="212"/>
      <c r="J943" s="216">
        <f>SUM(J941:J942)</f>
        <v>613.07000000000005</v>
      </c>
      <c r="K943" s="216">
        <f>SUM(K941:K942)</f>
        <v>675</v>
      </c>
      <c r="L943" s="212"/>
      <c r="M943" s="213"/>
      <c r="N943" s="212"/>
      <c r="O943" s="212"/>
      <c r="P943" s="212"/>
      <c r="Q943" s="212"/>
      <c r="R943" s="212"/>
      <c r="S943" s="212"/>
      <c r="T943" s="212"/>
    </row>
    <row r="944" spans="1:20" outlineLevel="1">
      <c r="A944" s="199" t="s">
        <v>284</v>
      </c>
      <c r="B944" s="181" t="s">
        <v>1566</v>
      </c>
      <c r="C944" s="190">
        <v>43672</v>
      </c>
      <c r="D944" s="199" t="s">
        <v>1831</v>
      </c>
      <c r="E944" s="182" t="s">
        <v>2512</v>
      </c>
      <c r="F944" s="183">
        <v>76652</v>
      </c>
      <c r="G944" s="184">
        <v>739.29</v>
      </c>
      <c r="H944" s="181">
        <v>938.84</v>
      </c>
      <c r="I944" s="181" t="s">
        <v>292</v>
      </c>
      <c r="J944" s="191">
        <v>826.68</v>
      </c>
      <c r="K944" s="191">
        <v>938.85</v>
      </c>
      <c r="L944" s="199" t="s">
        <v>385</v>
      </c>
      <c r="M944" s="211" t="s">
        <v>1772</v>
      </c>
      <c r="N944" s="185" t="s">
        <v>400</v>
      </c>
      <c r="O944" s="185" t="s">
        <v>309</v>
      </c>
      <c r="P944" s="185" t="s">
        <v>556</v>
      </c>
      <c r="Q944" s="185"/>
      <c r="R944" s="185" t="s">
        <v>381</v>
      </c>
      <c r="S944" s="185" t="s">
        <v>295</v>
      </c>
      <c r="T944" s="217" t="s">
        <v>379</v>
      </c>
    </row>
    <row r="945" spans="1:20" outlineLevel="1">
      <c r="A945" s="199" t="s">
        <v>284</v>
      </c>
      <c r="B945" s="181" t="s">
        <v>1566</v>
      </c>
      <c r="C945" s="190">
        <v>43672</v>
      </c>
      <c r="D945" s="199" t="s">
        <v>1833</v>
      </c>
      <c r="E945" s="182" t="s">
        <v>2513</v>
      </c>
      <c r="F945" s="183">
        <v>76652</v>
      </c>
      <c r="G945" s="184">
        <v>103.04</v>
      </c>
      <c r="H945" s="181">
        <v>130.85</v>
      </c>
      <c r="I945" s="181" t="s">
        <v>292</v>
      </c>
      <c r="J945" s="191">
        <v>115.22</v>
      </c>
      <c r="K945" s="191">
        <v>130.85</v>
      </c>
      <c r="L945" s="199" t="s">
        <v>391</v>
      </c>
      <c r="M945" s="211" t="s">
        <v>1777</v>
      </c>
      <c r="N945" s="185" t="s">
        <v>400</v>
      </c>
      <c r="O945" s="185" t="s">
        <v>309</v>
      </c>
      <c r="P945" s="185" t="s">
        <v>556</v>
      </c>
      <c r="Q945" s="185"/>
      <c r="R945" s="185" t="s">
        <v>381</v>
      </c>
      <c r="S945" s="185" t="s">
        <v>295</v>
      </c>
      <c r="T945" s="217" t="s">
        <v>379</v>
      </c>
    </row>
    <row r="946" spans="1:20" outlineLevel="1">
      <c r="A946" s="199" t="s">
        <v>284</v>
      </c>
      <c r="B946" s="181" t="s">
        <v>1566</v>
      </c>
      <c r="C946" s="190">
        <v>43672</v>
      </c>
      <c r="D946" s="199" t="s">
        <v>1835</v>
      </c>
      <c r="E946" s="182" t="s">
        <v>725</v>
      </c>
      <c r="F946" s="183">
        <v>76652</v>
      </c>
      <c r="G946" s="184">
        <v>1.1399999999999999</v>
      </c>
      <c r="H946" s="181">
        <v>1.45</v>
      </c>
      <c r="I946" s="181" t="s">
        <v>292</v>
      </c>
      <c r="J946" s="191">
        <v>1.28</v>
      </c>
      <c r="K946" s="191">
        <v>1.45</v>
      </c>
      <c r="L946" s="199" t="s">
        <v>405</v>
      </c>
      <c r="M946" s="211" t="s">
        <v>1780</v>
      </c>
      <c r="N946" s="185" t="s">
        <v>400</v>
      </c>
      <c r="O946" s="185" t="s">
        <v>309</v>
      </c>
      <c r="P946" s="185" t="s">
        <v>556</v>
      </c>
      <c r="Q946" s="185"/>
      <c r="R946" s="185" t="s">
        <v>381</v>
      </c>
      <c r="S946" s="185" t="s">
        <v>295</v>
      </c>
      <c r="T946" s="217" t="s">
        <v>379</v>
      </c>
    </row>
    <row r="947" spans="1:20" outlineLevel="1">
      <c r="A947" s="199" t="s">
        <v>284</v>
      </c>
      <c r="B947" s="181" t="s">
        <v>1566</v>
      </c>
      <c r="C947" s="190">
        <v>43672</v>
      </c>
      <c r="D947" s="199" t="s">
        <v>1834</v>
      </c>
      <c r="E947" s="182" t="s">
        <v>2514</v>
      </c>
      <c r="F947" s="183">
        <v>76652</v>
      </c>
      <c r="G947" s="184">
        <v>17.170000000000002</v>
      </c>
      <c r="H947" s="181">
        <v>21.81</v>
      </c>
      <c r="I947" s="181" t="s">
        <v>292</v>
      </c>
      <c r="J947" s="191">
        <v>19.2</v>
      </c>
      <c r="K947" s="191">
        <v>21.8</v>
      </c>
      <c r="L947" s="199" t="s">
        <v>405</v>
      </c>
      <c r="M947" s="211" t="s">
        <v>1780</v>
      </c>
      <c r="N947" s="185" t="s">
        <v>400</v>
      </c>
      <c r="O947" s="185" t="s">
        <v>309</v>
      </c>
      <c r="P947" s="185" t="s">
        <v>556</v>
      </c>
      <c r="Q947" s="185"/>
      <c r="R947" s="185" t="s">
        <v>381</v>
      </c>
      <c r="S947" s="185" t="s">
        <v>295</v>
      </c>
      <c r="T947" s="217" t="s">
        <v>379</v>
      </c>
    </row>
    <row r="948" spans="1:20" outlineLevel="1">
      <c r="A948" s="199" t="s">
        <v>284</v>
      </c>
      <c r="B948" s="181" t="s">
        <v>1575</v>
      </c>
      <c r="C948" s="190">
        <v>43703</v>
      </c>
      <c r="D948" s="199" t="s">
        <v>1836</v>
      </c>
      <c r="E948" s="182" t="s">
        <v>2515</v>
      </c>
      <c r="F948" s="183">
        <v>76927</v>
      </c>
      <c r="G948" s="184">
        <v>256.14</v>
      </c>
      <c r="H948" s="181">
        <v>312.95</v>
      </c>
      <c r="I948" s="181" t="s">
        <v>292</v>
      </c>
      <c r="J948" s="191">
        <v>279.47000000000003</v>
      </c>
      <c r="K948" s="191">
        <v>312.95</v>
      </c>
      <c r="L948" s="199" t="s">
        <v>385</v>
      </c>
      <c r="M948" s="211" t="s">
        <v>1772</v>
      </c>
      <c r="N948" s="185" t="s">
        <v>400</v>
      </c>
      <c r="O948" s="185" t="s">
        <v>309</v>
      </c>
      <c r="P948" s="185" t="s">
        <v>556</v>
      </c>
      <c r="Q948" s="185"/>
      <c r="R948" s="185" t="s">
        <v>381</v>
      </c>
      <c r="S948" s="185" t="s">
        <v>295</v>
      </c>
      <c r="T948" s="217" t="s">
        <v>379</v>
      </c>
    </row>
    <row r="949" spans="1:20" outlineLevel="1">
      <c r="A949" s="199" t="s">
        <v>284</v>
      </c>
      <c r="B949" s="181" t="s">
        <v>1575</v>
      </c>
      <c r="C949" s="190">
        <v>43703</v>
      </c>
      <c r="D949" s="199" t="s">
        <v>1838</v>
      </c>
      <c r="E949" s="182" t="s">
        <v>2516</v>
      </c>
      <c r="F949" s="183">
        <v>76927</v>
      </c>
      <c r="G949" s="184">
        <v>35.700000000000003</v>
      </c>
      <c r="H949" s="181">
        <v>43.62</v>
      </c>
      <c r="I949" s="181" t="s">
        <v>292</v>
      </c>
      <c r="J949" s="191">
        <v>38.950000000000003</v>
      </c>
      <c r="K949" s="191">
        <v>43.62</v>
      </c>
      <c r="L949" s="199" t="s">
        <v>391</v>
      </c>
      <c r="M949" s="211" t="s">
        <v>1777</v>
      </c>
      <c r="N949" s="185" t="s">
        <v>400</v>
      </c>
      <c r="O949" s="185" t="s">
        <v>309</v>
      </c>
      <c r="P949" s="185" t="s">
        <v>556</v>
      </c>
      <c r="Q949" s="185"/>
      <c r="R949" s="185" t="s">
        <v>381</v>
      </c>
      <c r="S949" s="185" t="s">
        <v>295</v>
      </c>
      <c r="T949" s="217" t="s">
        <v>379</v>
      </c>
    </row>
    <row r="950" spans="1:20" outlineLevel="1">
      <c r="A950" s="199" t="s">
        <v>284</v>
      </c>
      <c r="B950" s="181" t="s">
        <v>1575</v>
      </c>
      <c r="C950" s="190">
        <v>43704</v>
      </c>
      <c r="D950" s="199" t="s">
        <v>1842</v>
      </c>
      <c r="E950" s="182" t="s">
        <v>2517</v>
      </c>
      <c r="F950" s="183">
        <v>76927</v>
      </c>
      <c r="G950" s="184">
        <v>0.39</v>
      </c>
      <c r="H950" s="181">
        <v>0.48</v>
      </c>
      <c r="I950" s="181" t="s">
        <v>292</v>
      </c>
      <c r="J950" s="191">
        <v>0.43</v>
      </c>
      <c r="K950" s="191">
        <v>0.48</v>
      </c>
      <c r="L950" s="199" t="s">
        <v>405</v>
      </c>
      <c r="M950" s="211" t="s">
        <v>1780</v>
      </c>
      <c r="N950" s="185" t="s">
        <v>400</v>
      </c>
      <c r="O950" s="185" t="s">
        <v>309</v>
      </c>
      <c r="P950" s="185" t="s">
        <v>556</v>
      </c>
      <c r="Q950" s="185"/>
      <c r="R950" s="185" t="s">
        <v>381</v>
      </c>
      <c r="S950" s="185" t="s">
        <v>295</v>
      </c>
      <c r="T950" s="217" t="s">
        <v>379</v>
      </c>
    </row>
    <row r="951" spans="1:20" outlineLevel="1">
      <c r="A951" s="199" t="s">
        <v>284</v>
      </c>
      <c r="B951" s="181" t="s">
        <v>1575</v>
      </c>
      <c r="C951" s="190">
        <v>43703</v>
      </c>
      <c r="D951" s="199" t="s">
        <v>1840</v>
      </c>
      <c r="E951" s="182" t="s">
        <v>2518</v>
      </c>
      <c r="F951" s="183">
        <v>76927</v>
      </c>
      <c r="G951" s="184">
        <v>5.95</v>
      </c>
      <c r="H951" s="181">
        <v>7.27</v>
      </c>
      <c r="I951" s="181" t="s">
        <v>292</v>
      </c>
      <c r="J951" s="191">
        <v>6.49</v>
      </c>
      <c r="K951" s="191">
        <v>7.27</v>
      </c>
      <c r="L951" s="199" t="s">
        <v>405</v>
      </c>
      <c r="M951" s="211" t="s">
        <v>1780</v>
      </c>
      <c r="N951" s="185" t="s">
        <v>400</v>
      </c>
      <c r="O951" s="185" t="s">
        <v>309</v>
      </c>
      <c r="P951" s="185" t="s">
        <v>556</v>
      </c>
      <c r="Q951" s="185"/>
      <c r="R951" s="185" t="s">
        <v>381</v>
      </c>
      <c r="S951" s="185" t="s">
        <v>295</v>
      </c>
      <c r="T951" s="217" t="s">
        <v>379</v>
      </c>
    </row>
    <row r="952" spans="1:20" outlineLevel="1">
      <c r="A952" s="199" t="s">
        <v>284</v>
      </c>
      <c r="B952" s="181" t="s">
        <v>1567</v>
      </c>
      <c r="C952" s="190">
        <v>43733</v>
      </c>
      <c r="D952" s="199" t="s">
        <v>1844</v>
      </c>
      <c r="E952" s="182" t="s">
        <v>1538</v>
      </c>
      <c r="F952" s="183">
        <v>77220</v>
      </c>
      <c r="G952" s="184">
        <v>514.64</v>
      </c>
      <c r="H952" s="181">
        <v>625.9</v>
      </c>
      <c r="I952" s="181" t="s">
        <v>292</v>
      </c>
      <c r="J952" s="191">
        <v>568.47</v>
      </c>
      <c r="K952" s="191">
        <v>625.89</v>
      </c>
      <c r="L952" s="199" t="s">
        <v>385</v>
      </c>
      <c r="M952" s="211" t="s">
        <v>1772</v>
      </c>
      <c r="N952" s="185" t="s">
        <v>400</v>
      </c>
      <c r="O952" s="185" t="s">
        <v>309</v>
      </c>
      <c r="P952" s="185" t="s">
        <v>556</v>
      </c>
      <c r="Q952" s="185"/>
      <c r="R952" s="185" t="s">
        <v>381</v>
      </c>
      <c r="S952" s="185" t="s">
        <v>295</v>
      </c>
      <c r="T952" s="217" t="s">
        <v>379</v>
      </c>
    </row>
    <row r="953" spans="1:20" outlineLevel="1">
      <c r="A953" s="199" t="s">
        <v>284</v>
      </c>
      <c r="B953" s="181" t="s">
        <v>1567</v>
      </c>
      <c r="C953" s="190">
        <v>43734</v>
      </c>
      <c r="D953" s="199" t="s">
        <v>1845</v>
      </c>
      <c r="E953" s="182" t="s">
        <v>2519</v>
      </c>
      <c r="F953" s="183">
        <v>77220</v>
      </c>
      <c r="G953" s="184">
        <v>71.72</v>
      </c>
      <c r="H953" s="181">
        <v>87.23</v>
      </c>
      <c r="I953" s="181" t="s">
        <v>292</v>
      </c>
      <c r="J953" s="191">
        <v>79.23</v>
      </c>
      <c r="K953" s="191">
        <v>87.22</v>
      </c>
      <c r="L953" s="199" t="s">
        <v>391</v>
      </c>
      <c r="M953" s="211" t="s">
        <v>1777</v>
      </c>
      <c r="N953" s="185" t="s">
        <v>400</v>
      </c>
      <c r="O953" s="185" t="s">
        <v>309</v>
      </c>
      <c r="P953" s="185" t="s">
        <v>556</v>
      </c>
      <c r="Q953" s="185"/>
      <c r="R953" s="185" t="s">
        <v>381</v>
      </c>
      <c r="S953" s="185" t="s">
        <v>295</v>
      </c>
      <c r="T953" s="217" t="s">
        <v>379</v>
      </c>
    </row>
    <row r="954" spans="1:20" outlineLevel="1">
      <c r="A954" s="199" t="s">
        <v>284</v>
      </c>
      <c r="B954" s="181" t="s">
        <v>1567</v>
      </c>
      <c r="C954" s="190">
        <v>43734</v>
      </c>
      <c r="D954" s="199" t="s">
        <v>1604</v>
      </c>
      <c r="E954" s="182" t="s">
        <v>2520</v>
      </c>
      <c r="F954" s="183">
        <v>77220</v>
      </c>
      <c r="G954" s="184">
        <v>0.8</v>
      </c>
      <c r="H954" s="181">
        <v>0.97</v>
      </c>
      <c r="I954" s="181" t="s">
        <v>292</v>
      </c>
      <c r="J954" s="191">
        <v>0.88</v>
      </c>
      <c r="K954" s="191">
        <v>0.97</v>
      </c>
      <c r="L954" s="199" t="s">
        <v>405</v>
      </c>
      <c r="M954" s="211" t="s">
        <v>1780</v>
      </c>
      <c r="N954" s="185" t="s">
        <v>400</v>
      </c>
      <c r="O954" s="185" t="s">
        <v>309</v>
      </c>
      <c r="P954" s="185" t="s">
        <v>556</v>
      </c>
      <c r="Q954" s="185"/>
      <c r="R954" s="185" t="s">
        <v>381</v>
      </c>
      <c r="S954" s="185" t="s">
        <v>295</v>
      </c>
      <c r="T954" s="217" t="s">
        <v>379</v>
      </c>
    </row>
    <row r="955" spans="1:20" outlineLevel="1">
      <c r="A955" s="199" t="s">
        <v>284</v>
      </c>
      <c r="B955" s="181" t="s">
        <v>1567</v>
      </c>
      <c r="C955" s="190">
        <v>43734</v>
      </c>
      <c r="D955" s="199" t="s">
        <v>1848</v>
      </c>
      <c r="E955" s="182" t="s">
        <v>2521</v>
      </c>
      <c r="F955" s="183">
        <v>77220</v>
      </c>
      <c r="G955" s="184">
        <v>11.96</v>
      </c>
      <c r="H955" s="181">
        <v>14.54</v>
      </c>
      <c r="I955" s="181" t="s">
        <v>292</v>
      </c>
      <c r="J955" s="191">
        <v>13.21</v>
      </c>
      <c r="K955" s="191">
        <v>14.55</v>
      </c>
      <c r="L955" s="199" t="s">
        <v>405</v>
      </c>
      <c r="M955" s="211" t="s">
        <v>1780</v>
      </c>
      <c r="N955" s="185" t="s">
        <v>400</v>
      </c>
      <c r="O955" s="185" t="s">
        <v>309</v>
      </c>
      <c r="P955" s="185" t="s">
        <v>556</v>
      </c>
      <c r="Q955" s="185"/>
      <c r="R955" s="185" t="s">
        <v>381</v>
      </c>
      <c r="S955" s="185" t="s">
        <v>295</v>
      </c>
      <c r="T955" s="217" t="s">
        <v>379</v>
      </c>
    </row>
    <row r="956" spans="1:20">
      <c r="A956" s="212" t="s">
        <v>378</v>
      </c>
      <c r="B956" s="212"/>
      <c r="C956" s="212"/>
      <c r="D956" s="212"/>
      <c r="E956" s="213"/>
      <c r="F956" s="214"/>
      <c r="G956" s="215">
        <f>SUM(G944:G955)</f>
        <v>1757.94</v>
      </c>
      <c r="H956" s="216">
        <f>SUM(H944:H955)</f>
        <v>2185.91</v>
      </c>
      <c r="I956" s="212"/>
      <c r="J956" s="216">
        <f>SUM(J944:J955)</f>
        <v>1949.5100000000002</v>
      </c>
      <c r="K956" s="216">
        <f>SUM(K944:K955)</f>
        <v>2185.8999999999996</v>
      </c>
      <c r="L956" s="212"/>
      <c r="M956" s="213"/>
      <c r="N956" s="212"/>
      <c r="O956" s="212"/>
      <c r="P956" s="212"/>
      <c r="Q956" s="212"/>
      <c r="R956" s="212"/>
      <c r="S956" s="212"/>
      <c r="T956" s="212"/>
    </row>
    <row r="957" spans="1:20" outlineLevel="1">
      <c r="A957" s="199" t="s">
        <v>285</v>
      </c>
      <c r="B957" s="181" t="s">
        <v>1566</v>
      </c>
      <c r="C957" s="190">
        <v>43671</v>
      </c>
      <c r="D957" s="199" t="s">
        <v>1773</v>
      </c>
      <c r="E957" s="182" t="s">
        <v>2522</v>
      </c>
      <c r="F957" s="183">
        <v>76665</v>
      </c>
      <c r="G957" s="184">
        <v>70.27</v>
      </c>
      <c r="H957" s="181">
        <v>89.24</v>
      </c>
      <c r="I957" s="181" t="s">
        <v>292</v>
      </c>
      <c r="J957" s="191">
        <v>78.58</v>
      </c>
      <c r="K957" s="191">
        <v>89.24</v>
      </c>
      <c r="L957" s="199" t="s">
        <v>385</v>
      </c>
      <c r="M957" s="211" t="s">
        <v>1772</v>
      </c>
      <c r="N957" s="185" t="s">
        <v>396</v>
      </c>
      <c r="O957" s="185" t="s">
        <v>309</v>
      </c>
      <c r="P957" s="185" t="s">
        <v>558</v>
      </c>
      <c r="Q957" s="185"/>
      <c r="R957" s="185" t="s">
        <v>381</v>
      </c>
      <c r="S957" s="185" t="s">
        <v>295</v>
      </c>
      <c r="T957" s="217" t="s">
        <v>379</v>
      </c>
    </row>
    <row r="958" spans="1:20" outlineLevel="1">
      <c r="A958" s="199" t="s">
        <v>285</v>
      </c>
      <c r="B958" s="181" t="s">
        <v>1566</v>
      </c>
      <c r="C958" s="190">
        <v>43671</v>
      </c>
      <c r="D958" s="199" t="s">
        <v>1770</v>
      </c>
      <c r="E958" s="182" t="s">
        <v>2523</v>
      </c>
      <c r="F958" s="183">
        <v>76665</v>
      </c>
      <c r="G958" s="184">
        <v>664.35</v>
      </c>
      <c r="H958" s="181">
        <v>843.68</v>
      </c>
      <c r="I958" s="181" t="s">
        <v>292</v>
      </c>
      <c r="J958" s="191">
        <v>742.89</v>
      </c>
      <c r="K958" s="191">
        <v>843.68</v>
      </c>
      <c r="L958" s="199" t="s">
        <v>385</v>
      </c>
      <c r="M958" s="211" t="s">
        <v>1772</v>
      </c>
      <c r="N958" s="185" t="s">
        <v>396</v>
      </c>
      <c r="O958" s="185" t="s">
        <v>309</v>
      </c>
      <c r="P958" s="185" t="s">
        <v>558</v>
      </c>
      <c r="Q958" s="185"/>
      <c r="R958" s="185" t="s">
        <v>381</v>
      </c>
      <c r="S958" s="185" t="s">
        <v>295</v>
      </c>
      <c r="T958" s="217" t="s">
        <v>379</v>
      </c>
    </row>
    <row r="959" spans="1:20" outlineLevel="1">
      <c r="A959" s="199" t="s">
        <v>285</v>
      </c>
      <c r="B959" s="181" t="s">
        <v>1566</v>
      </c>
      <c r="C959" s="190">
        <v>43671</v>
      </c>
      <c r="D959" s="199" t="s">
        <v>1775</v>
      </c>
      <c r="E959" s="182" t="s">
        <v>2524</v>
      </c>
      <c r="F959" s="183">
        <v>76665</v>
      </c>
      <c r="G959" s="184">
        <v>99.36</v>
      </c>
      <c r="H959" s="181">
        <v>126.18</v>
      </c>
      <c r="I959" s="181" t="s">
        <v>292</v>
      </c>
      <c r="J959" s="191">
        <v>111.11</v>
      </c>
      <c r="K959" s="191">
        <v>126.18</v>
      </c>
      <c r="L959" s="199" t="s">
        <v>391</v>
      </c>
      <c r="M959" s="211" t="s">
        <v>1777</v>
      </c>
      <c r="N959" s="185" t="s">
        <v>396</v>
      </c>
      <c r="O959" s="185" t="s">
        <v>309</v>
      </c>
      <c r="P959" s="185" t="s">
        <v>558</v>
      </c>
      <c r="Q959" s="185"/>
      <c r="R959" s="185" t="s">
        <v>381</v>
      </c>
      <c r="S959" s="185" t="s">
        <v>295</v>
      </c>
      <c r="T959" s="217" t="s">
        <v>379</v>
      </c>
    </row>
    <row r="960" spans="1:20" outlineLevel="1">
      <c r="A960" s="199" t="s">
        <v>285</v>
      </c>
      <c r="B960" s="181" t="s">
        <v>1566</v>
      </c>
      <c r="C960" s="190">
        <v>43675</v>
      </c>
      <c r="D960" s="199" t="s">
        <v>1721</v>
      </c>
      <c r="E960" s="182" t="s">
        <v>2525</v>
      </c>
      <c r="F960" s="183">
        <v>76665</v>
      </c>
      <c r="G960" s="184">
        <v>0.15</v>
      </c>
      <c r="H960" s="181">
        <v>0.19</v>
      </c>
      <c r="I960" s="181" t="s">
        <v>292</v>
      </c>
      <c r="J960" s="191">
        <v>0.17</v>
      </c>
      <c r="K960" s="191">
        <v>0.19</v>
      </c>
      <c r="L960" s="199" t="s">
        <v>405</v>
      </c>
      <c r="M960" s="211" t="s">
        <v>1780</v>
      </c>
      <c r="N960" s="185" t="s">
        <v>396</v>
      </c>
      <c r="O960" s="185" t="s">
        <v>309</v>
      </c>
      <c r="P960" s="185" t="s">
        <v>558</v>
      </c>
      <c r="Q960" s="185"/>
      <c r="R960" s="185" t="s">
        <v>381</v>
      </c>
      <c r="S960" s="185" t="s">
        <v>295</v>
      </c>
      <c r="T960" s="217" t="s">
        <v>379</v>
      </c>
    </row>
    <row r="961" spans="1:20" outlineLevel="1">
      <c r="A961" s="199" t="s">
        <v>285</v>
      </c>
      <c r="B961" s="181" t="s">
        <v>1566</v>
      </c>
      <c r="C961" s="190">
        <v>43671</v>
      </c>
      <c r="D961" s="199" t="s">
        <v>1781</v>
      </c>
      <c r="E961" s="182" t="s">
        <v>2526</v>
      </c>
      <c r="F961" s="183">
        <v>76665</v>
      </c>
      <c r="G961" s="184">
        <v>16.559999999999999</v>
      </c>
      <c r="H961" s="181">
        <v>21.03</v>
      </c>
      <c r="I961" s="181" t="s">
        <v>292</v>
      </c>
      <c r="J961" s="191">
        <v>18.52</v>
      </c>
      <c r="K961" s="191">
        <v>21.03</v>
      </c>
      <c r="L961" s="199" t="s">
        <v>405</v>
      </c>
      <c r="M961" s="211" t="s">
        <v>1780</v>
      </c>
      <c r="N961" s="185" t="s">
        <v>396</v>
      </c>
      <c r="O961" s="185" t="s">
        <v>309</v>
      </c>
      <c r="P961" s="185" t="s">
        <v>558</v>
      </c>
      <c r="Q961" s="185"/>
      <c r="R961" s="185" t="s">
        <v>381</v>
      </c>
      <c r="S961" s="185" t="s">
        <v>295</v>
      </c>
      <c r="T961" s="217" t="s">
        <v>379</v>
      </c>
    </row>
    <row r="962" spans="1:20" outlineLevel="1">
      <c r="A962" s="199" t="s">
        <v>285</v>
      </c>
      <c r="B962" s="181" t="s">
        <v>1575</v>
      </c>
      <c r="C962" s="190">
        <v>43700</v>
      </c>
      <c r="D962" s="199" t="s">
        <v>1786</v>
      </c>
      <c r="E962" s="182" t="s">
        <v>2527</v>
      </c>
      <c r="F962" s="183">
        <v>76932</v>
      </c>
      <c r="G962" s="184">
        <v>9.84</v>
      </c>
      <c r="H962" s="181">
        <v>12.02</v>
      </c>
      <c r="I962" s="181" t="s">
        <v>292</v>
      </c>
      <c r="J962" s="191">
        <v>10.73</v>
      </c>
      <c r="K962" s="191">
        <v>12.02</v>
      </c>
      <c r="L962" s="199" t="s">
        <v>385</v>
      </c>
      <c r="M962" s="211" t="s">
        <v>1772</v>
      </c>
      <c r="N962" s="185" t="s">
        <v>396</v>
      </c>
      <c r="O962" s="185" t="s">
        <v>309</v>
      </c>
      <c r="P962" s="185" t="s">
        <v>558</v>
      </c>
      <c r="Q962" s="185"/>
      <c r="R962" s="185" t="s">
        <v>381</v>
      </c>
      <c r="S962" s="185" t="s">
        <v>295</v>
      </c>
      <c r="T962" s="217" t="s">
        <v>379</v>
      </c>
    </row>
    <row r="963" spans="1:20" outlineLevel="1">
      <c r="A963" s="199" t="s">
        <v>285</v>
      </c>
      <c r="B963" s="181" t="s">
        <v>1575</v>
      </c>
      <c r="C963" s="190">
        <v>43700</v>
      </c>
      <c r="D963" s="199" t="s">
        <v>1784</v>
      </c>
      <c r="E963" s="182" t="s">
        <v>2528</v>
      </c>
      <c r="F963" s="183">
        <v>76932</v>
      </c>
      <c r="G963" s="184">
        <v>92.63</v>
      </c>
      <c r="H963" s="181">
        <v>113.17</v>
      </c>
      <c r="I963" s="181" t="s">
        <v>292</v>
      </c>
      <c r="J963" s="191">
        <v>101.06</v>
      </c>
      <c r="K963" s="191">
        <v>113.17</v>
      </c>
      <c r="L963" s="199" t="s">
        <v>385</v>
      </c>
      <c r="M963" s="211" t="s">
        <v>1772</v>
      </c>
      <c r="N963" s="185" t="s">
        <v>396</v>
      </c>
      <c r="O963" s="185" t="s">
        <v>309</v>
      </c>
      <c r="P963" s="185" t="s">
        <v>558</v>
      </c>
      <c r="Q963" s="185"/>
      <c r="R963" s="185" t="s">
        <v>381</v>
      </c>
      <c r="S963" s="185" t="s">
        <v>295</v>
      </c>
      <c r="T963" s="217" t="s">
        <v>379</v>
      </c>
    </row>
    <row r="964" spans="1:20" outlineLevel="1">
      <c r="A964" s="199" t="s">
        <v>285</v>
      </c>
      <c r="B964" s="181" t="s">
        <v>1575</v>
      </c>
      <c r="C964" s="190">
        <v>43700</v>
      </c>
      <c r="D964" s="199" t="s">
        <v>1788</v>
      </c>
      <c r="E964" s="182" t="s">
        <v>2529</v>
      </c>
      <c r="F964" s="183">
        <v>76932</v>
      </c>
      <c r="G964" s="184">
        <v>13.77</v>
      </c>
      <c r="H964" s="181">
        <v>16.82</v>
      </c>
      <c r="I964" s="181" t="s">
        <v>292</v>
      </c>
      <c r="J964" s="191">
        <v>15.02</v>
      </c>
      <c r="K964" s="191">
        <v>16.82</v>
      </c>
      <c r="L964" s="199" t="s">
        <v>391</v>
      </c>
      <c r="M964" s="211" t="s">
        <v>1777</v>
      </c>
      <c r="N964" s="185" t="s">
        <v>396</v>
      </c>
      <c r="O964" s="185" t="s">
        <v>309</v>
      </c>
      <c r="P964" s="185" t="s">
        <v>558</v>
      </c>
      <c r="Q964" s="185"/>
      <c r="R964" s="185" t="s">
        <v>381</v>
      </c>
      <c r="S964" s="185" t="s">
        <v>295</v>
      </c>
      <c r="T964" s="217" t="s">
        <v>379</v>
      </c>
    </row>
    <row r="965" spans="1:20" outlineLevel="1">
      <c r="A965" s="199" t="s">
        <v>285</v>
      </c>
      <c r="B965" s="181" t="s">
        <v>1575</v>
      </c>
      <c r="C965" s="190">
        <v>43700</v>
      </c>
      <c r="D965" s="199" t="s">
        <v>1790</v>
      </c>
      <c r="E965" s="182" t="s">
        <v>2530</v>
      </c>
      <c r="F965" s="183">
        <v>76932</v>
      </c>
      <c r="G965" s="184">
        <v>2.29</v>
      </c>
      <c r="H965" s="181">
        <v>2.8</v>
      </c>
      <c r="I965" s="181" t="s">
        <v>292</v>
      </c>
      <c r="J965" s="191">
        <v>2.5</v>
      </c>
      <c r="K965" s="191">
        <v>2.8</v>
      </c>
      <c r="L965" s="199" t="s">
        <v>405</v>
      </c>
      <c r="M965" s="211" t="s">
        <v>1780</v>
      </c>
      <c r="N965" s="185" t="s">
        <v>396</v>
      </c>
      <c r="O965" s="185" t="s">
        <v>309</v>
      </c>
      <c r="P965" s="185" t="s">
        <v>558</v>
      </c>
      <c r="Q965" s="185"/>
      <c r="R965" s="185" t="s">
        <v>381</v>
      </c>
      <c r="S965" s="185" t="s">
        <v>295</v>
      </c>
      <c r="T965" s="217" t="s">
        <v>379</v>
      </c>
    </row>
    <row r="966" spans="1:20" outlineLevel="1">
      <c r="A966" s="199" t="s">
        <v>285</v>
      </c>
      <c r="B966" s="181" t="s">
        <v>1575</v>
      </c>
      <c r="C966" s="190">
        <v>43705</v>
      </c>
      <c r="D966" s="199" t="s">
        <v>1792</v>
      </c>
      <c r="E966" s="182" t="s">
        <v>2531</v>
      </c>
      <c r="F966" s="183">
        <v>76932</v>
      </c>
      <c r="G966" s="184">
        <v>0.16</v>
      </c>
      <c r="H966" s="181">
        <v>0.19</v>
      </c>
      <c r="I966" s="181" t="s">
        <v>292</v>
      </c>
      <c r="J966" s="191">
        <v>0.17</v>
      </c>
      <c r="K966" s="191">
        <v>0.2</v>
      </c>
      <c r="L966" s="199" t="s">
        <v>405</v>
      </c>
      <c r="M966" s="211" t="s">
        <v>1780</v>
      </c>
      <c r="N966" s="185" t="s">
        <v>396</v>
      </c>
      <c r="O966" s="185" t="s">
        <v>309</v>
      </c>
      <c r="P966" s="185" t="s">
        <v>558</v>
      </c>
      <c r="Q966" s="185"/>
      <c r="R966" s="185" t="s">
        <v>381</v>
      </c>
      <c r="S966" s="185" t="s">
        <v>295</v>
      </c>
      <c r="T966" s="217" t="s">
        <v>379</v>
      </c>
    </row>
    <row r="967" spans="1:20" outlineLevel="1">
      <c r="A967" s="199" t="s">
        <v>285</v>
      </c>
      <c r="B967" s="181" t="s">
        <v>1567</v>
      </c>
      <c r="C967" s="190">
        <v>43734</v>
      </c>
      <c r="D967" s="199" t="s">
        <v>1794</v>
      </c>
      <c r="E967" s="182" t="s">
        <v>2532</v>
      </c>
      <c r="F967" s="183">
        <v>77221</v>
      </c>
      <c r="G967" s="184">
        <v>94.46</v>
      </c>
      <c r="H967" s="181">
        <v>114.88</v>
      </c>
      <c r="I967" s="181" t="s">
        <v>292</v>
      </c>
      <c r="J967" s="191">
        <v>104.34</v>
      </c>
      <c r="K967" s="191">
        <v>114.88</v>
      </c>
      <c r="L967" s="199" t="s">
        <v>385</v>
      </c>
      <c r="M967" s="211" t="s">
        <v>1772</v>
      </c>
      <c r="N967" s="185" t="s">
        <v>396</v>
      </c>
      <c r="O967" s="185" t="s">
        <v>309</v>
      </c>
      <c r="P967" s="185" t="s">
        <v>558</v>
      </c>
      <c r="Q967" s="185"/>
      <c r="R967" s="185" t="s">
        <v>381</v>
      </c>
      <c r="S967" s="185" t="s">
        <v>295</v>
      </c>
      <c r="T967" s="217" t="s">
        <v>379</v>
      </c>
    </row>
    <row r="968" spans="1:20" outlineLevel="1">
      <c r="A968" s="199" t="s">
        <v>285</v>
      </c>
      <c r="B968" s="181" t="s">
        <v>1567</v>
      </c>
      <c r="C968" s="190">
        <v>43734</v>
      </c>
      <c r="D968" s="199" t="s">
        <v>1796</v>
      </c>
      <c r="E968" s="182" t="s">
        <v>2533</v>
      </c>
      <c r="F968" s="183">
        <v>77221</v>
      </c>
      <c r="G968" s="184">
        <v>10.119999999999999</v>
      </c>
      <c r="H968" s="181">
        <v>12.31</v>
      </c>
      <c r="I968" s="181" t="s">
        <v>292</v>
      </c>
      <c r="J968" s="191">
        <v>11.18</v>
      </c>
      <c r="K968" s="191">
        <v>12.31</v>
      </c>
      <c r="L968" s="199" t="s">
        <v>385</v>
      </c>
      <c r="M968" s="211" t="s">
        <v>1772</v>
      </c>
      <c r="N968" s="185" t="s">
        <v>396</v>
      </c>
      <c r="O968" s="185" t="s">
        <v>309</v>
      </c>
      <c r="P968" s="185" t="s">
        <v>558</v>
      </c>
      <c r="Q968" s="185"/>
      <c r="R968" s="185" t="s">
        <v>381</v>
      </c>
      <c r="S968" s="185" t="s">
        <v>295</v>
      </c>
      <c r="T968" s="217" t="s">
        <v>379</v>
      </c>
    </row>
    <row r="969" spans="1:20" outlineLevel="1">
      <c r="A969" s="199" t="s">
        <v>285</v>
      </c>
      <c r="B969" s="181" t="s">
        <v>1567</v>
      </c>
      <c r="C969" s="190">
        <v>43734</v>
      </c>
      <c r="D969" s="199" t="s">
        <v>1798</v>
      </c>
      <c r="E969" s="182" t="s">
        <v>2534</v>
      </c>
      <c r="F969" s="183">
        <v>77221</v>
      </c>
      <c r="G969" s="184">
        <v>13.83</v>
      </c>
      <c r="H969" s="181">
        <v>16.82</v>
      </c>
      <c r="I969" s="181" t="s">
        <v>292</v>
      </c>
      <c r="J969" s="191">
        <v>15.28</v>
      </c>
      <c r="K969" s="191">
        <v>16.82</v>
      </c>
      <c r="L969" s="199" t="s">
        <v>391</v>
      </c>
      <c r="M969" s="211" t="s">
        <v>1777</v>
      </c>
      <c r="N969" s="185" t="s">
        <v>396</v>
      </c>
      <c r="O969" s="185" t="s">
        <v>309</v>
      </c>
      <c r="P969" s="185" t="s">
        <v>558</v>
      </c>
      <c r="Q969" s="185"/>
      <c r="R969" s="185" t="s">
        <v>381</v>
      </c>
      <c r="S969" s="185" t="s">
        <v>295</v>
      </c>
      <c r="T969" s="217" t="s">
        <v>379</v>
      </c>
    </row>
    <row r="970" spans="1:20" outlineLevel="1">
      <c r="A970" s="199" t="s">
        <v>285</v>
      </c>
      <c r="B970" s="181" t="s">
        <v>1567</v>
      </c>
      <c r="C970" s="190">
        <v>43734</v>
      </c>
      <c r="D970" s="199" t="s">
        <v>1800</v>
      </c>
      <c r="E970" s="182" t="s">
        <v>2535</v>
      </c>
      <c r="F970" s="183">
        <v>77221</v>
      </c>
      <c r="G970" s="184">
        <v>2.2999999999999998</v>
      </c>
      <c r="H970" s="181">
        <v>2.8</v>
      </c>
      <c r="I970" s="181" t="s">
        <v>292</v>
      </c>
      <c r="J970" s="191">
        <v>2.54</v>
      </c>
      <c r="K970" s="191">
        <v>2.8</v>
      </c>
      <c r="L970" s="199" t="s">
        <v>405</v>
      </c>
      <c r="M970" s="211" t="s">
        <v>1780</v>
      </c>
      <c r="N970" s="185" t="s">
        <v>396</v>
      </c>
      <c r="O970" s="185" t="s">
        <v>309</v>
      </c>
      <c r="P970" s="185" t="s">
        <v>558</v>
      </c>
      <c r="Q970" s="185"/>
      <c r="R970" s="185" t="s">
        <v>381</v>
      </c>
      <c r="S970" s="185" t="s">
        <v>295</v>
      </c>
      <c r="T970" s="217" t="s">
        <v>379</v>
      </c>
    </row>
    <row r="971" spans="1:20">
      <c r="A971" s="212" t="s">
        <v>378</v>
      </c>
      <c r="B971" s="212"/>
      <c r="C971" s="212"/>
      <c r="D971" s="212"/>
      <c r="E971" s="213"/>
      <c r="F971" s="214"/>
      <c r="G971" s="215">
        <f>SUM(G957:G970)</f>
        <v>1090.0899999999997</v>
      </c>
      <c r="H971" s="216">
        <f>SUM(H957:H970)</f>
        <v>1372.1299999999997</v>
      </c>
      <c r="I971" s="212"/>
      <c r="J971" s="216">
        <f>SUM(J957:J970)</f>
        <v>1214.0899999999999</v>
      </c>
      <c r="K971" s="216">
        <f>SUM(K957:K970)</f>
        <v>1372.1399999999999</v>
      </c>
      <c r="L971" s="212"/>
      <c r="M971" s="213"/>
      <c r="N971" s="212"/>
      <c r="O971" s="212"/>
      <c r="P971" s="212"/>
      <c r="Q971" s="212"/>
      <c r="R971" s="212"/>
      <c r="S971" s="212"/>
      <c r="T971" s="212"/>
    </row>
    <row r="972" spans="1:20" outlineLevel="1">
      <c r="A972" s="199" t="s">
        <v>288</v>
      </c>
      <c r="B972" s="181" t="s">
        <v>1566</v>
      </c>
      <c r="C972" s="190">
        <v>43677</v>
      </c>
      <c r="D972" s="199" t="s">
        <v>2536</v>
      </c>
      <c r="E972" s="182" t="s">
        <v>2537</v>
      </c>
      <c r="F972" s="183">
        <v>76765</v>
      </c>
      <c r="G972" s="184">
        <v>2330.1799999999998</v>
      </c>
      <c r="H972" s="181">
        <v>2330.1799999999998</v>
      </c>
      <c r="I972" s="181" t="s">
        <v>293</v>
      </c>
      <c r="J972" s="191">
        <v>2605.65</v>
      </c>
      <c r="K972" s="191">
        <v>2959.16</v>
      </c>
      <c r="L972" s="199" t="s">
        <v>730</v>
      </c>
      <c r="M972" s="211" t="s">
        <v>2538</v>
      </c>
      <c r="N972" s="185" t="s">
        <v>374</v>
      </c>
      <c r="O972" s="185" t="s">
        <v>309</v>
      </c>
      <c r="P972" s="185"/>
      <c r="Q972" s="185"/>
      <c r="R972" s="185" t="s">
        <v>731</v>
      </c>
      <c r="S972" s="185" t="s">
        <v>295</v>
      </c>
      <c r="T972" s="217" t="s">
        <v>379</v>
      </c>
    </row>
    <row r="973" spans="1:20" outlineLevel="1">
      <c r="A973" s="199" t="s">
        <v>288</v>
      </c>
      <c r="B973" s="181" t="s">
        <v>1575</v>
      </c>
      <c r="C973" s="190">
        <v>43708</v>
      </c>
      <c r="D973" s="199" t="s">
        <v>2539</v>
      </c>
      <c r="E973" s="182" t="s">
        <v>2540</v>
      </c>
      <c r="F973" s="183">
        <v>77006</v>
      </c>
      <c r="G973" s="184">
        <v>1831.64</v>
      </c>
      <c r="H973" s="181">
        <v>1831.64</v>
      </c>
      <c r="I973" s="181" t="s">
        <v>293</v>
      </c>
      <c r="J973" s="191">
        <v>1998.45</v>
      </c>
      <c r="K973" s="191">
        <v>2237.88</v>
      </c>
      <c r="L973" s="199" t="s">
        <v>730</v>
      </c>
      <c r="M973" s="211" t="s">
        <v>2538</v>
      </c>
      <c r="N973" s="185" t="s">
        <v>374</v>
      </c>
      <c r="O973" s="185" t="s">
        <v>309</v>
      </c>
      <c r="P973" s="185"/>
      <c r="Q973" s="185"/>
      <c r="R973" s="185" t="s">
        <v>731</v>
      </c>
      <c r="S973" s="185" t="s">
        <v>295</v>
      </c>
      <c r="T973" s="217" t="s">
        <v>379</v>
      </c>
    </row>
    <row r="974" spans="1:20" outlineLevel="1">
      <c r="A974" s="199" t="s">
        <v>288</v>
      </c>
      <c r="B974" s="181" t="s">
        <v>1567</v>
      </c>
      <c r="C974" s="190">
        <v>43738</v>
      </c>
      <c r="D974" s="199" t="s">
        <v>2541</v>
      </c>
      <c r="E974" s="182" t="s">
        <v>2542</v>
      </c>
      <c r="F974" s="183">
        <v>77354</v>
      </c>
      <c r="G974" s="184">
        <v>5019.08</v>
      </c>
      <c r="H974" s="181">
        <v>5019.08</v>
      </c>
      <c r="I974" s="181" t="s">
        <v>293</v>
      </c>
      <c r="J974" s="191">
        <v>5544.03</v>
      </c>
      <c r="K974" s="191">
        <v>6104.1</v>
      </c>
      <c r="L974" s="199" t="s">
        <v>730</v>
      </c>
      <c r="M974" s="211" t="s">
        <v>2538</v>
      </c>
      <c r="N974" s="185" t="s">
        <v>374</v>
      </c>
      <c r="O974" s="185" t="s">
        <v>309</v>
      </c>
      <c r="P974" s="185"/>
      <c r="Q974" s="185"/>
      <c r="R974" s="185" t="s">
        <v>731</v>
      </c>
      <c r="S974" s="185" t="s">
        <v>295</v>
      </c>
      <c r="T974" s="217" t="s">
        <v>379</v>
      </c>
    </row>
    <row r="975" spans="1:20">
      <c r="A975" s="212" t="s">
        <v>378</v>
      </c>
      <c r="B975" s="212"/>
      <c r="C975" s="212"/>
      <c r="D975" s="212"/>
      <c r="E975" s="213"/>
      <c r="F975" s="214"/>
      <c r="G975" s="215">
        <f>SUM(G972:G974)</f>
        <v>9180.9</v>
      </c>
      <c r="H975" s="216">
        <f>SUM(H972:H974)</f>
        <v>9180.9</v>
      </c>
      <c r="I975" s="212"/>
      <c r="J975" s="216">
        <f>SUM(J972:J974)</f>
        <v>10148.130000000001</v>
      </c>
      <c r="K975" s="216">
        <f>SUM(K972:K974)</f>
        <v>11301.14</v>
      </c>
      <c r="L975" s="212"/>
      <c r="M975" s="213"/>
      <c r="N975" s="212"/>
      <c r="O975" s="212"/>
      <c r="P975" s="212"/>
      <c r="Q975" s="212"/>
      <c r="R975" s="212"/>
      <c r="S975" s="212"/>
      <c r="T975" s="212"/>
    </row>
    <row r="976" spans="1:20" outlineLevel="1">
      <c r="A976" s="199" t="s">
        <v>2543</v>
      </c>
      <c r="B976" s="181" t="s">
        <v>1566</v>
      </c>
      <c r="C976" s="190">
        <v>43668</v>
      </c>
      <c r="D976" s="199" t="s">
        <v>2544</v>
      </c>
      <c r="E976" s="182" t="s">
        <v>2545</v>
      </c>
      <c r="F976" s="183">
        <v>76665</v>
      </c>
      <c r="G976" s="184">
        <v>124.26</v>
      </c>
      <c r="H976" s="181">
        <v>157.80000000000001</v>
      </c>
      <c r="I976" s="181" t="s">
        <v>292</v>
      </c>
      <c r="J976" s="191">
        <v>138.94999999999999</v>
      </c>
      <c r="K976" s="191">
        <v>157.80000000000001</v>
      </c>
      <c r="L976" s="199" t="s">
        <v>2546</v>
      </c>
      <c r="M976" s="211" t="s">
        <v>2547</v>
      </c>
      <c r="N976" s="185" t="s">
        <v>396</v>
      </c>
      <c r="O976" s="185" t="s">
        <v>309</v>
      </c>
      <c r="P976" s="185" t="s">
        <v>445</v>
      </c>
      <c r="Q976" s="185"/>
      <c r="R976" s="185" t="s">
        <v>381</v>
      </c>
      <c r="S976" s="185" t="s">
        <v>295</v>
      </c>
      <c r="T976" s="217" t="s">
        <v>379</v>
      </c>
    </row>
    <row r="977" spans="1:20">
      <c r="A977" s="212" t="s">
        <v>378</v>
      </c>
      <c r="B977" s="212"/>
      <c r="C977" s="212"/>
      <c r="D977" s="212"/>
      <c r="E977" s="213"/>
      <c r="F977" s="214"/>
      <c r="G977" s="215">
        <f>SUM(G976:G976)</f>
        <v>124.26</v>
      </c>
      <c r="H977" s="216">
        <f>SUM(H976:H976)</f>
        <v>157.80000000000001</v>
      </c>
      <c r="I977" s="212"/>
      <c r="J977" s="216">
        <f>SUM(J976:J976)</f>
        <v>138.94999999999999</v>
      </c>
      <c r="K977" s="216">
        <f>SUM(K976:K976)</f>
        <v>157.80000000000001</v>
      </c>
      <c r="L977" s="212"/>
      <c r="M977" s="213"/>
      <c r="N977" s="212"/>
      <c r="O977" s="212"/>
      <c r="P977" s="212"/>
      <c r="Q977" s="212"/>
      <c r="R977" s="212"/>
      <c r="S977" s="212"/>
      <c r="T977" s="212"/>
    </row>
    <row r="978" spans="1:20" outlineLevel="1">
      <c r="A978" s="199" t="s">
        <v>2548</v>
      </c>
      <c r="B978" s="181" t="s">
        <v>1566</v>
      </c>
      <c r="C978" s="190">
        <v>43663</v>
      </c>
      <c r="D978" s="199" t="s">
        <v>1621</v>
      </c>
      <c r="E978" s="182" t="s">
        <v>2549</v>
      </c>
      <c r="F978" s="183">
        <v>76665</v>
      </c>
      <c r="G978" s="184">
        <v>47.25</v>
      </c>
      <c r="H978" s="181">
        <v>60</v>
      </c>
      <c r="I978" s="181" t="s">
        <v>292</v>
      </c>
      <c r="J978" s="191">
        <v>52.83</v>
      </c>
      <c r="K978" s="191">
        <v>60</v>
      </c>
      <c r="L978" s="199" t="s">
        <v>716</v>
      </c>
      <c r="M978" s="211" t="s">
        <v>1629</v>
      </c>
      <c r="N978" s="185" t="s">
        <v>396</v>
      </c>
      <c r="O978" s="185" t="s">
        <v>309</v>
      </c>
      <c r="P978" s="185"/>
      <c r="Q978" s="185"/>
      <c r="R978" s="185" t="s">
        <v>381</v>
      </c>
      <c r="S978" s="185" t="s">
        <v>295</v>
      </c>
      <c r="T978" s="217" t="s">
        <v>379</v>
      </c>
    </row>
    <row r="979" spans="1:20">
      <c r="A979" s="212" t="s">
        <v>378</v>
      </c>
      <c r="B979" s="212"/>
      <c r="C979" s="212"/>
      <c r="D979" s="212"/>
      <c r="E979" s="213"/>
      <c r="F979" s="214"/>
      <c r="G979" s="215">
        <f>SUM(G978:G978)</f>
        <v>47.25</v>
      </c>
      <c r="H979" s="216">
        <f>SUM(H978:H978)</f>
        <v>60</v>
      </c>
      <c r="I979" s="212"/>
      <c r="J979" s="216">
        <f>SUM(J978:J978)</f>
        <v>52.83</v>
      </c>
      <c r="K979" s="216">
        <f>SUM(K978:K978)</f>
        <v>60</v>
      </c>
      <c r="L979" s="212"/>
      <c r="M979" s="213"/>
      <c r="N979" s="212"/>
      <c r="O979" s="212"/>
      <c r="P979" s="212"/>
      <c r="Q979" s="212"/>
      <c r="R979" s="212"/>
      <c r="S979" s="212"/>
      <c r="T979" s="212"/>
    </row>
    <row r="980" spans="1:20" outlineLevel="1">
      <c r="A980" s="199" t="s">
        <v>2550</v>
      </c>
      <c r="B980" s="181" t="s">
        <v>1575</v>
      </c>
      <c r="C980" s="190">
        <v>43696</v>
      </c>
      <c r="D980" s="199" t="s">
        <v>2252</v>
      </c>
      <c r="E980" s="182" t="s">
        <v>2551</v>
      </c>
      <c r="F980" s="183">
        <v>76932</v>
      </c>
      <c r="G980" s="184">
        <v>61.39</v>
      </c>
      <c r="H980" s="181">
        <v>75</v>
      </c>
      <c r="I980" s="181" t="s">
        <v>292</v>
      </c>
      <c r="J980" s="191">
        <v>66.98</v>
      </c>
      <c r="K980" s="191">
        <v>75.010000000000005</v>
      </c>
      <c r="L980" s="199" t="s">
        <v>1072</v>
      </c>
      <c r="M980" s="211" t="s">
        <v>2116</v>
      </c>
      <c r="N980" s="185" t="s">
        <v>396</v>
      </c>
      <c r="O980" s="185" t="s">
        <v>309</v>
      </c>
      <c r="P980" s="185"/>
      <c r="Q980" s="185"/>
      <c r="R980" s="185" t="s">
        <v>381</v>
      </c>
      <c r="S980" s="185" t="s">
        <v>295</v>
      </c>
      <c r="T980" s="217" t="s">
        <v>379</v>
      </c>
    </row>
    <row r="981" spans="1:20" outlineLevel="1">
      <c r="A981" s="199" t="s">
        <v>2550</v>
      </c>
      <c r="B981" s="181" t="s">
        <v>1567</v>
      </c>
      <c r="C981" s="190">
        <v>43732</v>
      </c>
      <c r="D981" s="199" t="s">
        <v>2552</v>
      </c>
      <c r="E981" s="182" t="s">
        <v>2553</v>
      </c>
      <c r="F981" s="183">
        <v>77221</v>
      </c>
      <c r="G981" s="184">
        <v>104.84</v>
      </c>
      <c r="H981" s="181">
        <v>127.5</v>
      </c>
      <c r="I981" s="181" t="s">
        <v>292</v>
      </c>
      <c r="J981" s="191">
        <v>115.8</v>
      </c>
      <c r="K981" s="191">
        <v>127.5</v>
      </c>
      <c r="L981" s="199" t="s">
        <v>595</v>
      </c>
      <c r="M981" s="211" t="s">
        <v>1679</v>
      </c>
      <c r="N981" s="185" t="s">
        <v>396</v>
      </c>
      <c r="O981" s="185" t="s">
        <v>309</v>
      </c>
      <c r="P981" s="185" t="s">
        <v>445</v>
      </c>
      <c r="Q981" s="185"/>
      <c r="R981" s="185" t="s">
        <v>381</v>
      </c>
      <c r="S981" s="185" t="s">
        <v>295</v>
      </c>
      <c r="T981" s="217" t="s">
        <v>379</v>
      </c>
    </row>
    <row r="982" spans="1:20" outlineLevel="1">
      <c r="A982" s="199" t="s">
        <v>2550</v>
      </c>
      <c r="B982" s="181" t="s">
        <v>1567</v>
      </c>
      <c r="C982" s="190">
        <v>43732</v>
      </c>
      <c r="D982" s="199" t="s">
        <v>2552</v>
      </c>
      <c r="E982" s="182" t="s">
        <v>2554</v>
      </c>
      <c r="F982" s="183">
        <v>77221</v>
      </c>
      <c r="G982" s="184">
        <v>61.67</v>
      </c>
      <c r="H982" s="181">
        <v>75</v>
      </c>
      <c r="I982" s="181" t="s">
        <v>292</v>
      </c>
      <c r="J982" s="191">
        <v>68.12</v>
      </c>
      <c r="K982" s="191">
        <v>75</v>
      </c>
      <c r="L982" s="199" t="s">
        <v>1072</v>
      </c>
      <c r="M982" s="211" t="s">
        <v>2116</v>
      </c>
      <c r="N982" s="185" t="s">
        <v>396</v>
      </c>
      <c r="O982" s="185" t="s">
        <v>309</v>
      </c>
      <c r="P982" s="185"/>
      <c r="Q982" s="185"/>
      <c r="R982" s="185" t="s">
        <v>381</v>
      </c>
      <c r="S982" s="185" t="s">
        <v>295</v>
      </c>
      <c r="T982" s="217" t="s">
        <v>379</v>
      </c>
    </row>
    <row r="983" spans="1:20">
      <c r="A983" s="212" t="s">
        <v>378</v>
      </c>
      <c r="B983" s="212"/>
      <c r="C983" s="212"/>
      <c r="D983" s="212"/>
      <c r="E983" s="213"/>
      <c r="F983" s="214"/>
      <c r="G983" s="215">
        <f>SUM(G980:G982)</f>
        <v>227.90000000000003</v>
      </c>
      <c r="H983" s="216">
        <f>SUM(H980:H982)</f>
        <v>277.5</v>
      </c>
      <c r="I983" s="212"/>
      <c r="J983" s="216">
        <f>SUM(J980:J982)</f>
        <v>250.9</v>
      </c>
      <c r="K983" s="216">
        <f>SUM(K980:K982)</f>
        <v>277.51</v>
      </c>
      <c r="L983" s="212"/>
      <c r="M983" s="213"/>
      <c r="N983" s="212"/>
      <c r="O983" s="212"/>
      <c r="P983" s="212"/>
      <c r="Q983" s="212"/>
      <c r="R983" s="212"/>
      <c r="S983" s="212"/>
      <c r="T983" s="212"/>
    </row>
    <row r="984" spans="1:20" outlineLevel="1">
      <c r="A984" s="199" t="s">
        <v>733</v>
      </c>
      <c r="B984" s="181" t="s">
        <v>1566</v>
      </c>
      <c r="C984" s="190">
        <v>43664</v>
      </c>
      <c r="D984" s="199" t="s">
        <v>2555</v>
      </c>
      <c r="E984" s="182" t="s">
        <v>2556</v>
      </c>
      <c r="F984" s="183">
        <v>76665</v>
      </c>
      <c r="G984" s="184">
        <v>1911.92</v>
      </c>
      <c r="H984" s="181">
        <v>2428</v>
      </c>
      <c r="I984" s="181" t="s">
        <v>292</v>
      </c>
      <c r="J984" s="191">
        <v>2137.9499999999998</v>
      </c>
      <c r="K984" s="191">
        <v>2428</v>
      </c>
      <c r="L984" s="199" t="s">
        <v>736</v>
      </c>
      <c r="M984" s="211" t="s">
        <v>2557</v>
      </c>
      <c r="N984" s="185" t="s">
        <v>396</v>
      </c>
      <c r="O984" s="185" t="s">
        <v>309</v>
      </c>
      <c r="P984" s="185"/>
      <c r="Q984" s="185" t="s">
        <v>740</v>
      </c>
      <c r="R984" s="185" t="s">
        <v>381</v>
      </c>
      <c r="S984" s="185" t="s">
        <v>295</v>
      </c>
      <c r="T984" s="217" t="s">
        <v>379</v>
      </c>
    </row>
    <row r="985" spans="1:20" outlineLevel="1">
      <c r="A985" s="199" t="s">
        <v>733</v>
      </c>
      <c r="B985" s="181" t="s">
        <v>1575</v>
      </c>
      <c r="C985" s="190">
        <v>43699</v>
      </c>
      <c r="D985" s="199" t="s">
        <v>2558</v>
      </c>
      <c r="E985" s="182" t="s">
        <v>2559</v>
      </c>
      <c r="F985" s="183">
        <v>76932</v>
      </c>
      <c r="G985" s="184">
        <v>4799.51</v>
      </c>
      <c r="H985" s="181">
        <v>5864</v>
      </c>
      <c r="I985" s="181" t="s">
        <v>292</v>
      </c>
      <c r="J985" s="191">
        <v>5236.6000000000004</v>
      </c>
      <c r="K985" s="191">
        <v>5864</v>
      </c>
      <c r="L985" s="199" t="s">
        <v>736</v>
      </c>
      <c r="M985" s="211" t="s">
        <v>2557</v>
      </c>
      <c r="N985" s="185" t="s">
        <v>396</v>
      </c>
      <c r="O985" s="185" t="s">
        <v>309</v>
      </c>
      <c r="P985" s="185"/>
      <c r="Q985" s="185" t="s">
        <v>743</v>
      </c>
      <c r="R985" s="185" t="s">
        <v>381</v>
      </c>
      <c r="S985" s="185" t="s">
        <v>295</v>
      </c>
      <c r="T985" s="217" t="s">
        <v>379</v>
      </c>
    </row>
    <row r="986" spans="1:20" outlineLevel="1">
      <c r="A986" s="199" t="s">
        <v>733</v>
      </c>
      <c r="B986" s="181" t="s">
        <v>1567</v>
      </c>
      <c r="C986" s="190">
        <v>43708</v>
      </c>
      <c r="D986" s="199" t="s">
        <v>1592</v>
      </c>
      <c r="E986" s="182" t="s">
        <v>2560</v>
      </c>
      <c r="F986" s="183">
        <v>77217</v>
      </c>
      <c r="G986" s="184">
        <v>-16499.46</v>
      </c>
      <c r="H986" s="181">
        <v>-21904.92</v>
      </c>
      <c r="I986" s="181" t="s">
        <v>292</v>
      </c>
      <c r="J986" s="191">
        <v>-19895.07</v>
      </c>
      <c r="K986" s="191">
        <v>-21904.92</v>
      </c>
      <c r="L986" s="199" t="s">
        <v>736</v>
      </c>
      <c r="M986" s="211" t="s">
        <v>2557</v>
      </c>
      <c r="N986" s="185" t="s">
        <v>396</v>
      </c>
      <c r="O986" s="185" t="s">
        <v>309</v>
      </c>
      <c r="P986" s="185"/>
      <c r="Q986" s="185" t="s">
        <v>737</v>
      </c>
      <c r="R986" s="185" t="s">
        <v>381</v>
      </c>
      <c r="S986" s="185" t="s">
        <v>295</v>
      </c>
      <c r="T986" s="217" t="s">
        <v>379</v>
      </c>
    </row>
    <row r="987" spans="1:20" outlineLevel="1">
      <c r="A987" s="199" t="s">
        <v>733</v>
      </c>
      <c r="B987" s="181" t="s">
        <v>1567</v>
      </c>
      <c r="C987" s="190">
        <v>43713</v>
      </c>
      <c r="D987" s="199" t="s">
        <v>1607</v>
      </c>
      <c r="E987" s="182" t="s">
        <v>2561</v>
      </c>
      <c r="F987" s="183">
        <v>77196</v>
      </c>
      <c r="G987" s="184">
        <v>-17286.099999999999</v>
      </c>
      <c r="H987" s="181">
        <v>-22949.279999999999</v>
      </c>
      <c r="I987" s="181" t="s">
        <v>292</v>
      </c>
      <c r="J987" s="191">
        <v>-20843.61</v>
      </c>
      <c r="K987" s="191">
        <v>-22949.279999999999</v>
      </c>
      <c r="L987" s="199" t="s">
        <v>736</v>
      </c>
      <c r="M987" s="211" t="s">
        <v>2557</v>
      </c>
      <c r="N987" s="185" t="s">
        <v>396</v>
      </c>
      <c r="O987" s="185" t="s">
        <v>309</v>
      </c>
      <c r="P987" s="185"/>
      <c r="Q987" s="185" t="s">
        <v>740</v>
      </c>
      <c r="R987" s="185" t="s">
        <v>381</v>
      </c>
      <c r="S987" s="185" t="s">
        <v>295</v>
      </c>
      <c r="T987" s="217" t="s">
        <v>379</v>
      </c>
    </row>
    <row r="988" spans="1:20" outlineLevel="1">
      <c r="A988" s="199" t="s">
        <v>733</v>
      </c>
      <c r="B988" s="181" t="s">
        <v>1567</v>
      </c>
      <c r="C988" s="190">
        <v>43738</v>
      </c>
      <c r="D988" s="199" t="s">
        <v>1585</v>
      </c>
      <c r="E988" s="182" t="s">
        <v>2562</v>
      </c>
      <c r="F988" s="183">
        <v>77216</v>
      </c>
      <c r="G988" s="184">
        <v>-9557.9500000000007</v>
      </c>
      <c r="H988" s="181">
        <v>-11178.5</v>
      </c>
      <c r="I988" s="181" t="s">
        <v>292</v>
      </c>
      <c r="J988" s="191">
        <v>-10152.84</v>
      </c>
      <c r="K988" s="191">
        <v>-11178.5</v>
      </c>
      <c r="L988" s="199" t="s">
        <v>736</v>
      </c>
      <c r="M988" s="211" t="s">
        <v>2557</v>
      </c>
      <c r="N988" s="185" t="s">
        <v>396</v>
      </c>
      <c r="O988" s="185" t="s">
        <v>309</v>
      </c>
      <c r="P988" s="185"/>
      <c r="Q988" s="185" t="s">
        <v>743</v>
      </c>
      <c r="R988" s="185" t="s">
        <v>381</v>
      </c>
      <c r="S988" s="185" t="s">
        <v>295</v>
      </c>
      <c r="T988" s="217" t="s">
        <v>379</v>
      </c>
    </row>
    <row r="989" spans="1:20">
      <c r="A989" s="212" t="s">
        <v>378</v>
      </c>
      <c r="B989" s="212"/>
      <c r="C989" s="212"/>
      <c r="D989" s="212"/>
      <c r="E989" s="213"/>
      <c r="F989" s="214"/>
      <c r="G989" s="215">
        <f>SUM(G984:G988)</f>
        <v>-36632.080000000002</v>
      </c>
      <c r="H989" s="216">
        <f>SUM(H984:H988)</f>
        <v>-47740.7</v>
      </c>
      <c r="I989" s="212"/>
      <c r="J989" s="216">
        <f>SUM(J984:J988)</f>
        <v>-43516.97</v>
      </c>
      <c r="K989" s="216">
        <f>SUM(K984:K988)</f>
        <v>-47740.7</v>
      </c>
      <c r="L989" s="212"/>
      <c r="M989" s="213"/>
      <c r="N989" s="212"/>
      <c r="O989" s="212"/>
      <c r="P989" s="212"/>
      <c r="Q989" s="212"/>
      <c r="R989" s="212"/>
      <c r="S989" s="212"/>
      <c r="T989" s="212"/>
    </row>
    <row r="990" spans="1:20">
      <c r="A990" s="181" t="s">
        <v>744</v>
      </c>
      <c r="B990" s="181"/>
      <c r="C990" s="181"/>
      <c r="D990" s="181"/>
      <c r="E990" s="182"/>
      <c r="F990" s="183"/>
      <c r="G990" s="184"/>
      <c r="H990" s="181"/>
      <c r="I990" s="181"/>
      <c r="J990" s="205"/>
      <c r="K990" s="205"/>
      <c r="L990" s="181"/>
      <c r="M990" s="182"/>
      <c r="N990" s="181"/>
      <c r="O990" s="181"/>
      <c r="P990" s="181"/>
      <c r="Q990" s="181"/>
      <c r="R990" s="181"/>
      <c r="S990" s="181"/>
      <c r="T990" s="181"/>
    </row>
    <row r="991" spans="1:20">
      <c r="A991" s="181"/>
      <c r="B991" s="181"/>
      <c r="C991" s="181"/>
      <c r="D991" s="181"/>
      <c r="E991" s="182"/>
      <c r="F991" s="183"/>
      <c r="G991" s="184">
        <f>+G18+G32+G35+G37+G41+G56+G62+G78+G96+G114+G117+G119+G124+G151+G158+G162+G209+G211+G213+G229+G239+G256+G269+G282+G336+G483+G517+G547+G557+G565+G571+G577+G594+G597+G607+G612+G630+G634+G656+G674+G750+G877+G897+G911+G919+G940+G943+G956+G971+G975+G977+G979+G983+G989</f>
        <v>102052.98</v>
      </c>
      <c r="H991" s="201">
        <f>+H18+H32+H35+H37+H41+H56+H62+H78+H96+H114+H117+H119+H124+H151+H158+H162+H209+H211+H213+H229+H239+H256+H269+H282+H336+H483+H517+H547+H557+H565+H571+H577+H594+H597+H607+H612+H630+H634+H656+H674+H750+H877+H897+H911+H919+H940+H943+H956+H971+H975+H977+H979+H983+H989</f>
        <v>734250.7100000002</v>
      </c>
      <c r="I991" s="181"/>
      <c r="J991" s="201">
        <f>+J18+J32+J35+J37+J41+J56+J62+J78+J96+J114+J117+J119+J124+J151+J158+J162+J209+J211+J213+J229+J239+J256+J269+J282+J336+J483+J517+J547+J557+J565+J571+J577+J594+J597+J607+J612+J630+J634+J656+J674+J750+J877+J897+J911+J919+J940+J943+J956+J971+J975+J977+J979+J983+J989</f>
        <v>112769.58000000005</v>
      </c>
      <c r="K991" s="201">
        <f>+K18+K32+K35+K37+K41+K56+K62+K78+K96+K114+K117+K119+K124+K151+K158+K162+K209+K211+K213+K229+K239+K256+K269+K282+K336+K483+K517+K547+K557+K565+K571+K577+K594+K597+K607+K612+K630+K634+K656+K674+K750+K877+K897+K911+K919+K940+K943+K956+K971+K975+K977+K979+K983+K989</f>
        <v>126219.21000000009</v>
      </c>
      <c r="L991" s="181"/>
      <c r="M991" s="182"/>
      <c r="N991" s="181"/>
      <c r="O991" s="181"/>
      <c r="P991" s="181"/>
      <c r="Q991" s="181"/>
      <c r="R991" s="181"/>
      <c r="S991" s="181"/>
      <c r="T991" s="181"/>
    </row>
    <row r="992" spans="1:20">
      <c r="F992"/>
    </row>
    <row r="993" spans="6:11">
      <c r="F993"/>
      <c r="K993" s="202">
        <f>K991-K989</f>
        <v>173959.91000000009</v>
      </c>
    </row>
    <row r="994" spans="6:11">
      <c r="F994"/>
    </row>
    <row r="995" spans="6:11">
      <c r="F995"/>
    </row>
    <row r="996" spans="6:11">
      <c r="F996"/>
    </row>
    <row r="997" spans="6:11">
      <c r="F997"/>
    </row>
    <row r="998" spans="6:11">
      <c r="F998"/>
    </row>
    <row r="999" spans="6:11">
      <c r="F999"/>
    </row>
    <row r="1000" spans="6:11">
      <c r="F1000"/>
    </row>
    <row r="1001" spans="6:11">
      <c r="F1001"/>
    </row>
    <row r="1002" spans="6:11">
      <c r="F1002"/>
    </row>
    <row r="1003" spans="6:11">
      <c r="F1003"/>
    </row>
    <row r="1004" spans="6:11">
      <c r="F1004"/>
    </row>
    <row r="1005" spans="6:11">
      <c r="F1005"/>
    </row>
    <row r="1006" spans="6:11">
      <c r="F1006"/>
    </row>
    <row r="1007" spans="6:11">
      <c r="F1007"/>
    </row>
    <row r="1008" spans="6:11">
      <c r="F1008"/>
    </row>
    <row r="1009" spans="6:6">
      <c r="F1009"/>
    </row>
    <row r="1010" spans="6:6">
      <c r="F1010"/>
    </row>
    <row r="1011" spans="6:6">
      <c r="F1011"/>
    </row>
    <row r="1012" spans="6:6">
      <c r="F1012"/>
    </row>
    <row r="1013" spans="6:6">
      <c r="F1013"/>
    </row>
    <row r="1014" spans="6:6">
      <c r="F1014"/>
    </row>
    <row r="1015" spans="6:6">
      <c r="F1015"/>
    </row>
    <row r="1016" spans="6:6">
      <c r="F1016"/>
    </row>
    <row r="1017" spans="6:6">
      <c r="F1017"/>
    </row>
    <row r="1018" spans="6:6">
      <c r="F1018"/>
    </row>
    <row r="1019" spans="6:6">
      <c r="F1019"/>
    </row>
    <row r="1020" spans="6:6">
      <c r="F1020"/>
    </row>
    <row r="1021" spans="6:6">
      <c r="F1021"/>
    </row>
    <row r="1022" spans="6:6">
      <c r="F1022"/>
    </row>
    <row r="1023" spans="6:6">
      <c r="F1023"/>
    </row>
    <row r="1024" spans="6:6">
      <c r="F1024"/>
    </row>
    <row r="1025" spans="6:6">
      <c r="F1025"/>
    </row>
    <row r="1026" spans="6:6">
      <c r="F1026"/>
    </row>
    <row r="1027" spans="6:6">
      <c r="F1027"/>
    </row>
    <row r="1028" spans="6:6">
      <c r="F1028"/>
    </row>
    <row r="1029" spans="6:6">
      <c r="F1029"/>
    </row>
    <row r="1030" spans="6:6">
      <c r="F1030"/>
    </row>
    <row r="1031" spans="6:6">
      <c r="F1031"/>
    </row>
    <row r="1032" spans="6:6">
      <c r="F1032"/>
    </row>
    <row r="1033" spans="6:6">
      <c r="F1033"/>
    </row>
    <row r="1034" spans="6:6">
      <c r="F1034"/>
    </row>
    <row r="1035" spans="6:6">
      <c r="F1035"/>
    </row>
    <row r="1036" spans="6:6">
      <c r="F1036"/>
    </row>
    <row r="1037" spans="6:6">
      <c r="F1037"/>
    </row>
    <row r="1038" spans="6:6">
      <c r="F1038"/>
    </row>
    <row r="1039" spans="6:6">
      <c r="F1039"/>
    </row>
    <row r="1040" spans="6:6">
      <c r="F1040"/>
    </row>
    <row r="1041" spans="6:6">
      <c r="F1041"/>
    </row>
    <row r="1042" spans="6:6">
      <c r="F1042"/>
    </row>
    <row r="1043" spans="6:6">
      <c r="F1043"/>
    </row>
    <row r="1044" spans="6:6">
      <c r="F1044"/>
    </row>
    <row r="1045" spans="6:6">
      <c r="F1045"/>
    </row>
    <row r="1046" spans="6:6">
      <c r="F1046"/>
    </row>
    <row r="1047" spans="6:6">
      <c r="F1047"/>
    </row>
    <row r="1048" spans="6:6">
      <c r="F1048"/>
    </row>
    <row r="1049" spans="6:6">
      <c r="F1049"/>
    </row>
    <row r="1050" spans="6:6">
      <c r="F1050"/>
    </row>
    <row r="1051" spans="6:6">
      <c r="F1051"/>
    </row>
    <row r="1052" spans="6:6">
      <c r="F1052"/>
    </row>
    <row r="1053" spans="6:6">
      <c r="F1053"/>
    </row>
    <row r="1054" spans="6:6">
      <c r="F1054"/>
    </row>
    <row r="1055" spans="6:6">
      <c r="F1055"/>
    </row>
    <row r="1056" spans="6:6">
      <c r="F1056"/>
    </row>
    <row r="1057" spans="6:6">
      <c r="F1057"/>
    </row>
    <row r="1058" spans="6:6">
      <c r="F1058"/>
    </row>
    <row r="1059" spans="6:6">
      <c r="F1059"/>
    </row>
    <row r="1060" spans="6:6">
      <c r="F1060"/>
    </row>
    <row r="1061" spans="6:6">
      <c r="F1061"/>
    </row>
    <row r="1062" spans="6:6">
      <c r="F1062"/>
    </row>
    <row r="1063" spans="6:6">
      <c r="F1063"/>
    </row>
    <row r="1064" spans="6:6">
      <c r="F1064"/>
    </row>
    <row r="1065" spans="6:6">
      <c r="F1065"/>
    </row>
    <row r="1066" spans="6:6">
      <c r="F1066"/>
    </row>
    <row r="1067" spans="6:6">
      <c r="F1067"/>
    </row>
    <row r="1068" spans="6:6">
      <c r="F1068"/>
    </row>
    <row r="1069" spans="6:6">
      <c r="F1069"/>
    </row>
    <row r="1070" spans="6:6">
      <c r="F1070"/>
    </row>
    <row r="1071" spans="6:6">
      <c r="F1071"/>
    </row>
    <row r="1072" spans="6:6">
      <c r="F1072"/>
    </row>
    <row r="1073" spans="6:6">
      <c r="F1073"/>
    </row>
    <row r="1074" spans="6:6">
      <c r="F1074"/>
    </row>
    <row r="1075" spans="6:6">
      <c r="F1075"/>
    </row>
    <row r="1076" spans="6:6">
      <c r="F1076"/>
    </row>
    <row r="1077" spans="6:6">
      <c r="F1077"/>
    </row>
    <row r="1078" spans="6:6">
      <c r="F1078"/>
    </row>
    <row r="1079" spans="6:6">
      <c r="F1079"/>
    </row>
    <row r="1080" spans="6:6">
      <c r="F1080"/>
    </row>
    <row r="1081" spans="6:6">
      <c r="F1081"/>
    </row>
    <row r="1082" spans="6:6">
      <c r="F1082"/>
    </row>
    <row r="1083" spans="6:6">
      <c r="F1083"/>
    </row>
    <row r="1084" spans="6:6">
      <c r="F1084"/>
    </row>
    <row r="1085" spans="6:6">
      <c r="F1085"/>
    </row>
    <row r="1086" spans="6:6">
      <c r="F1086"/>
    </row>
    <row r="1087" spans="6:6">
      <c r="F1087"/>
    </row>
    <row r="1088" spans="6:6">
      <c r="F1088"/>
    </row>
    <row r="1089" spans="6:6" outlineLevel="1">
      <c r="F1089"/>
    </row>
    <row r="1090" spans="6:6" outlineLevel="1">
      <c r="F1090"/>
    </row>
    <row r="1091" spans="6:6" outlineLevel="1">
      <c r="F1091"/>
    </row>
    <row r="1092" spans="6:6" outlineLevel="1">
      <c r="F1092"/>
    </row>
    <row r="1093" spans="6:6" outlineLevel="1">
      <c r="F1093"/>
    </row>
    <row r="1094" spans="6:6" outlineLevel="1">
      <c r="F1094"/>
    </row>
    <row r="1095" spans="6:6" outlineLevel="1">
      <c r="F1095"/>
    </row>
    <row r="1096" spans="6:6" outlineLevel="1">
      <c r="F1096"/>
    </row>
    <row r="1097" spans="6:6" outlineLevel="1">
      <c r="F1097"/>
    </row>
    <row r="1098" spans="6:6" outlineLevel="1">
      <c r="F1098"/>
    </row>
    <row r="1099" spans="6:6" outlineLevel="1">
      <c r="F1099"/>
    </row>
    <row r="1100" spans="6:6" outlineLevel="1">
      <c r="F1100"/>
    </row>
    <row r="1101" spans="6:6" outlineLevel="1">
      <c r="F1101"/>
    </row>
    <row r="1102" spans="6:6" outlineLevel="1">
      <c r="F1102"/>
    </row>
    <row r="1103" spans="6:6">
      <c r="F1103"/>
    </row>
    <row r="1104" spans="6:6" outlineLevel="1">
      <c r="F1104"/>
    </row>
    <row r="1105" spans="6:6" outlineLevel="1">
      <c r="F1105"/>
    </row>
    <row r="1106" spans="6:6" outlineLevel="1">
      <c r="F1106"/>
    </row>
    <row r="1107" spans="6:6" outlineLevel="1">
      <c r="F1107"/>
    </row>
    <row r="1108" spans="6:6" outlineLevel="1">
      <c r="F1108"/>
    </row>
    <row r="1109" spans="6:6" outlineLevel="1">
      <c r="F1109"/>
    </row>
    <row r="1110" spans="6:6" outlineLevel="1">
      <c r="F1110"/>
    </row>
    <row r="1111" spans="6:6" outlineLevel="1">
      <c r="F1111"/>
    </row>
    <row r="1112" spans="6:6" outlineLevel="1">
      <c r="F1112"/>
    </row>
    <row r="1113" spans="6:6" outlineLevel="1">
      <c r="F1113"/>
    </row>
    <row r="1114" spans="6:6" outlineLevel="1">
      <c r="F1114"/>
    </row>
    <row r="1115" spans="6:6" outlineLevel="1">
      <c r="F1115"/>
    </row>
    <row r="1116" spans="6:6" outlineLevel="1">
      <c r="F1116"/>
    </row>
    <row r="1117" spans="6:6" outlineLevel="1">
      <c r="F1117"/>
    </row>
    <row r="1118" spans="6:6" outlineLevel="1">
      <c r="F1118"/>
    </row>
    <row r="1119" spans="6:6" outlineLevel="1">
      <c r="F1119"/>
    </row>
    <row r="1120" spans="6:6" outlineLevel="1">
      <c r="F1120"/>
    </row>
    <row r="1121" spans="6:6" outlineLevel="1">
      <c r="F1121"/>
    </row>
    <row r="1122" spans="6:6" outlineLevel="1">
      <c r="F1122"/>
    </row>
    <row r="1123" spans="6:6" outlineLevel="1">
      <c r="F1123"/>
    </row>
    <row r="1124" spans="6:6" outlineLevel="1">
      <c r="F1124"/>
    </row>
    <row r="1125" spans="6:6" outlineLevel="1">
      <c r="F1125"/>
    </row>
    <row r="1126" spans="6:6" outlineLevel="1">
      <c r="F1126"/>
    </row>
    <row r="1127" spans="6:6" outlineLevel="1">
      <c r="F1127"/>
    </row>
    <row r="1128" spans="6:6" outlineLevel="1">
      <c r="F1128"/>
    </row>
    <row r="1129" spans="6:6" outlineLevel="1">
      <c r="F1129"/>
    </row>
    <row r="1130" spans="6:6" outlineLevel="1">
      <c r="F1130"/>
    </row>
    <row r="1131" spans="6:6" outlineLevel="1">
      <c r="F1131"/>
    </row>
    <row r="1132" spans="6:6" outlineLevel="1">
      <c r="F1132"/>
    </row>
    <row r="1133" spans="6:6" outlineLevel="1">
      <c r="F1133"/>
    </row>
    <row r="1134" spans="6:6" outlineLevel="1">
      <c r="F1134"/>
    </row>
    <row r="1135" spans="6:6" outlineLevel="1">
      <c r="F1135"/>
    </row>
    <row r="1136" spans="6:6" outlineLevel="1">
      <c r="F1136"/>
    </row>
    <row r="1137" spans="6:6" outlineLevel="1">
      <c r="F1137"/>
    </row>
    <row r="1138" spans="6:6" outlineLevel="1">
      <c r="F1138"/>
    </row>
    <row r="1139" spans="6:6" outlineLevel="1">
      <c r="F1139"/>
    </row>
    <row r="1140" spans="6:6" outlineLevel="1">
      <c r="F1140"/>
    </row>
    <row r="1141" spans="6:6" outlineLevel="1">
      <c r="F1141"/>
    </row>
    <row r="1142" spans="6:6" outlineLevel="1">
      <c r="F1142"/>
    </row>
    <row r="1143" spans="6:6" outlineLevel="1">
      <c r="F1143"/>
    </row>
    <row r="1144" spans="6:6" outlineLevel="1">
      <c r="F1144"/>
    </row>
    <row r="1145" spans="6:6" outlineLevel="1">
      <c r="F1145"/>
    </row>
    <row r="1146" spans="6:6" outlineLevel="1">
      <c r="F1146"/>
    </row>
    <row r="1147" spans="6:6" outlineLevel="1">
      <c r="F1147"/>
    </row>
    <row r="1148" spans="6:6" outlineLevel="1">
      <c r="F1148"/>
    </row>
    <row r="1149" spans="6:6" outlineLevel="1">
      <c r="F1149"/>
    </row>
    <row r="1150" spans="6:6" outlineLevel="1">
      <c r="F1150"/>
    </row>
    <row r="1151" spans="6:6" outlineLevel="1">
      <c r="F1151"/>
    </row>
    <row r="1152" spans="6:6" outlineLevel="1">
      <c r="F1152"/>
    </row>
    <row r="1153" spans="6:6" outlineLevel="1">
      <c r="F1153"/>
    </row>
    <row r="1154" spans="6:6" outlineLevel="1">
      <c r="F1154"/>
    </row>
    <row r="1155" spans="6:6" outlineLevel="1">
      <c r="F1155"/>
    </row>
    <row r="1156" spans="6:6" outlineLevel="1">
      <c r="F1156"/>
    </row>
    <row r="1157" spans="6:6" outlineLevel="1">
      <c r="F1157"/>
    </row>
    <row r="1158" spans="6:6" outlineLevel="1">
      <c r="F1158"/>
    </row>
    <row r="1159" spans="6:6" outlineLevel="1">
      <c r="F1159"/>
    </row>
    <row r="1160" spans="6:6" outlineLevel="1">
      <c r="F1160"/>
    </row>
    <row r="1161" spans="6:6" outlineLevel="1">
      <c r="F1161"/>
    </row>
    <row r="1162" spans="6:6" outlineLevel="1">
      <c r="F1162"/>
    </row>
    <row r="1163" spans="6:6" outlineLevel="1">
      <c r="F1163"/>
    </row>
    <row r="1164" spans="6:6" outlineLevel="1">
      <c r="F1164"/>
    </row>
    <row r="1165" spans="6:6" outlineLevel="1">
      <c r="F1165"/>
    </row>
    <row r="1166" spans="6:6" outlineLevel="1">
      <c r="F1166"/>
    </row>
    <row r="1167" spans="6:6" outlineLevel="1">
      <c r="F1167"/>
    </row>
    <row r="1168" spans="6:6" outlineLevel="1">
      <c r="F1168"/>
    </row>
    <row r="1169" spans="6:6" outlineLevel="1">
      <c r="F1169"/>
    </row>
    <row r="1170" spans="6:6" outlineLevel="1">
      <c r="F1170"/>
    </row>
    <row r="1171" spans="6:6" outlineLevel="1">
      <c r="F1171"/>
    </row>
    <row r="1172" spans="6:6" outlineLevel="1">
      <c r="F1172"/>
    </row>
    <row r="1173" spans="6:6" outlineLevel="1">
      <c r="F1173"/>
    </row>
    <row r="1174" spans="6:6" outlineLevel="1">
      <c r="F1174"/>
    </row>
    <row r="1175" spans="6:6" outlineLevel="1">
      <c r="F1175"/>
    </row>
    <row r="1176" spans="6:6" outlineLevel="1">
      <c r="F1176"/>
    </row>
    <row r="1177" spans="6:6" outlineLevel="1">
      <c r="F1177"/>
    </row>
    <row r="1178" spans="6:6" outlineLevel="1">
      <c r="F1178"/>
    </row>
    <row r="1179" spans="6:6" outlineLevel="1">
      <c r="F1179"/>
    </row>
    <row r="1180" spans="6:6" outlineLevel="1">
      <c r="F1180"/>
    </row>
    <row r="1181" spans="6:6" outlineLevel="1">
      <c r="F1181"/>
    </row>
    <row r="1182" spans="6:6" outlineLevel="1">
      <c r="F1182"/>
    </row>
    <row r="1183" spans="6:6" outlineLevel="1">
      <c r="F1183"/>
    </row>
    <row r="1184" spans="6:6" outlineLevel="1">
      <c r="F1184"/>
    </row>
    <row r="1185" spans="6:6" outlineLevel="1">
      <c r="F1185"/>
    </row>
    <row r="1186" spans="6:6" outlineLevel="1">
      <c r="F1186"/>
    </row>
    <row r="1187" spans="6:6" outlineLevel="1">
      <c r="F1187"/>
    </row>
    <row r="1188" spans="6:6" outlineLevel="1">
      <c r="F1188"/>
    </row>
    <row r="1189" spans="6:6" outlineLevel="1">
      <c r="F1189"/>
    </row>
    <row r="1190" spans="6:6" outlineLevel="1">
      <c r="F1190"/>
    </row>
    <row r="1191" spans="6:6" outlineLevel="1">
      <c r="F1191"/>
    </row>
    <row r="1192" spans="6:6" outlineLevel="1">
      <c r="F1192"/>
    </row>
    <row r="1193" spans="6:6" outlineLevel="1">
      <c r="F1193"/>
    </row>
    <row r="1194" spans="6:6" outlineLevel="1">
      <c r="F1194"/>
    </row>
    <row r="1195" spans="6:6" outlineLevel="1">
      <c r="F1195"/>
    </row>
    <row r="1196" spans="6:6" outlineLevel="1">
      <c r="F1196"/>
    </row>
    <row r="1197" spans="6:6" outlineLevel="1">
      <c r="F1197"/>
    </row>
    <row r="1198" spans="6:6" outlineLevel="1">
      <c r="F1198"/>
    </row>
    <row r="1199" spans="6:6" outlineLevel="1">
      <c r="F1199"/>
    </row>
    <row r="1200" spans="6:6" outlineLevel="1">
      <c r="F1200"/>
    </row>
    <row r="1201" spans="6:6" outlineLevel="1">
      <c r="F1201"/>
    </row>
    <row r="1202" spans="6:6" outlineLevel="1">
      <c r="F1202"/>
    </row>
    <row r="1203" spans="6:6" outlineLevel="1">
      <c r="F1203"/>
    </row>
    <row r="1204" spans="6:6" outlineLevel="1">
      <c r="F1204"/>
    </row>
    <row r="1205" spans="6:6" outlineLevel="1">
      <c r="F1205"/>
    </row>
    <row r="1206" spans="6:6" outlineLevel="1">
      <c r="F1206"/>
    </row>
    <row r="1207" spans="6:6" outlineLevel="1">
      <c r="F1207"/>
    </row>
    <row r="1208" spans="6:6" outlineLevel="1">
      <c r="F1208"/>
    </row>
    <row r="1209" spans="6:6" outlineLevel="1">
      <c r="F1209"/>
    </row>
    <row r="1210" spans="6:6" outlineLevel="1">
      <c r="F1210"/>
    </row>
    <row r="1211" spans="6:6" outlineLevel="1">
      <c r="F1211"/>
    </row>
    <row r="1212" spans="6:6" outlineLevel="1">
      <c r="F1212"/>
    </row>
    <row r="1213" spans="6:6" outlineLevel="1">
      <c r="F1213"/>
    </row>
    <row r="1214" spans="6:6" outlineLevel="1">
      <c r="F1214"/>
    </row>
    <row r="1215" spans="6:6" outlineLevel="1">
      <c r="F1215"/>
    </row>
    <row r="1216" spans="6:6" outlineLevel="1">
      <c r="F1216"/>
    </row>
    <row r="1217" spans="6:6" outlineLevel="1">
      <c r="F1217"/>
    </row>
    <row r="1218" spans="6:6" outlineLevel="1">
      <c r="F1218"/>
    </row>
    <row r="1219" spans="6:6" outlineLevel="1">
      <c r="F1219"/>
    </row>
    <row r="1220" spans="6:6" outlineLevel="1">
      <c r="F1220"/>
    </row>
    <row r="1221" spans="6:6" outlineLevel="1">
      <c r="F1221"/>
    </row>
    <row r="1222" spans="6:6" outlineLevel="1">
      <c r="F1222"/>
    </row>
    <row r="1223" spans="6:6" outlineLevel="1">
      <c r="F1223"/>
    </row>
    <row r="1224" spans="6:6" outlineLevel="1">
      <c r="F1224"/>
    </row>
    <row r="1225" spans="6:6" outlineLevel="1">
      <c r="F1225"/>
    </row>
    <row r="1226" spans="6:6" outlineLevel="1">
      <c r="F1226"/>
    </row>
    <row r="1227" spans="6:6" outlineLevel="1">
      <c r="F1227"/>
    </row>
    <row r="1228" spans="6:6" outlineLevel="1">
      <c r="F1228"/>
    </row>
    <row r="1229" spans="6:6" outlineLevel="1">
      <c r="F1229"/>
    </row>
    <row r="1230" spans="6:6" outlineLevel="1">
      <c r="F1230"/>
    </row>
    <row r="1231" spans="6:6" outlineLevel="1">
      <c r="F1231"/>
    </row>
    <row r="1232" spans="6:6" outlineLevel="1">
      <c r="F1232"/>
    </row>
    <row r="1233" spans="6:6" outlineLevel="1">
      <c r="F1233"/>
    </row>
    <row r="1234" spans="6:6" outlineLevel="1">
      <c r="F1234"/>
    </row>
    <row r="1235" spans="6:6" outlineLevel="1">
      <c r="F1235"/>
    </row>
    <row r="1236" spans="6:6" outlineLevel="1">
      <c r="F1236"/>
    </row>
    <row r="1237" spans="6:6" outlineLevel="1">
      <c r="F1237"/>
    </row>
    <row r="1238" spans="6:6" outlineLevel="1">
      <c r="F1238"/>
    </row>
    <row r="1239" spans="6:6" outlineLevel="1">
      <c r="F1239"/>
    </row>
    <row r="1240" spans="6:6" outlineLevel="1">
      <c r="F1240"/>
    </row>
    <row r="1241" spans="6:6" outlineLevel="1">
      <c r="F1241"/>
    </row>
    <row r="1242" spans="6:6" outlineLevel="1">
      <c r="F1242"/>
    </row>
    <row r="1243" spans="6:6" outlineLevel="1">
      <c r="F1243"/>
    </row>
    <row r="1244" spans="6:6" outlineLevel="1">
      <c r="F1244"/>
    </row>
    <row r="1245" spans="6:6" outlineLevel="1">
      <c r="F1245"/>
    </row>
    <row r="1246" spans="6:6" outlineLevel="1">
      <c r="F1246"/>
    </row>
    <row r="1247" spans="6:6" outlineLevel="1">
      <c r="F1247"/>
    </row>
    <row r="1248" spans="6:6" outlineLevel="1">
      <c r="F1248"/>
    </row>
    <row r="1249" spans="6:6" outlineLevel="1">
      <c r="F1249"/>
    </row>
    <row r="1250" spans="6:6" outlineLevel="1">
      <c r="F1250"/>
    </row>
    <row r="1251" spans="6:6" outlineLevel="1">
      <c r="F1251"/>
    </row>
    <row r="1252" spans="6:6" outlineLevel="1">
      <c r="F1252"/>
    </row>
    <row r="1253" spans="6:6" outlineLevel="1">
      <c r="F1253"/>
    </row>
    <row r="1254" spans="6:6" outlineLevel="1">
      <c r="F1254"/>
    </row>
    <row r="1255" spans="6:6" outlineLevel="1">
      <c r="F1255"/>
    </row>
    <row r="1256" spans="6:6" outlineLevel="1">
      <c r="F1256"/>
    </row>
    <row r="1257" spans="6:6" outlineLevel="1">
      <c r="F1257"/>
    </row>
    <row r="1258" spans="6:6" outlineLevel="1">
      <c r="F1258"/>
    </row>
    <row r="1259" spans="6:6" outlineLevel="1">
      <c r="F1259"/>
    </row>
    <row r="1260" spans="6:6" outlineLevel="1">
      <c r="F1260"/>
    </row>
    <row r="1261" spans="6:6" outlineLevel="1">
      <c r="F1261"/>
    </row>
    <row r="1262" spans="6:6" outlineLevel="1">
      <c r="F1262"/>
    </row>
    <row r="1263" spans="6:6" outlineLevel="1">
      <c r="F1263"/>
    </row>
    <row r="1264" spans="6:6" outlineLevel="1">
      <c r="F1264"/>
    </row>
    <row r="1265" spans="6:6" outlineLevel="1">
      <c r="F1265"/>
    </row>
    <row r="1266" spans="6:6" outlineLevel="1">
      <c r="F1266"/>
    </row>
    <row r="1267" spans="6:6" outlineLevel="1">
      <c r="F1267"/>
    </row>
    <row r="1268" spans="6:6" outlineLevel="1">
      <c r="F1268"/>
    </row>
    <row r="1269" spans="6:6" outlineLevel="1">
      <c r="F1269"/>
    </row>
    <row r="1270" spans="6:6" outlineLevel="1">
      <c r="F1270"/>
    </row>
    <row r="1271" spans="6:6" outlineLevel="1">
      <c r="F1271"/>
    </row>
    <row r="1272" spans="6:6" outlineLevel="1">
      <c r="F1272"/>
    </row>
    <row r="1273" spans="6:6" outlineLevel="1">
      <c r="F1273"/>
    </row>
    <row r="1274" spans="6:6" outlineLevel="1">
      <c r="F1274"/>
    </row>
    <row r="1275" spans="6:6" outlineLevel="1">
      <c r="F1275"/>
    </row>
    <row r="1276" spans="6:6" outlineLevel="1">
      <c r="F1276"/>
    </row>
    <row r="1277" spans="6:6" outlineLevel="1">
      <c r="F1277"/>
    </row>
    <row r="1278" spans="6:6" outlineLevel="1">
      <c r="F1278"/>
    </row>
    <row r="1279" spans="6:6" outlineLevel="1">
      <c r="F1279"/>
    </row>
    <row r="1280" spans="6:6" outlineLevel="1">
      <c r="F1280"/>
    </row>
    <row r="1281" spans="6:6" outlineLevel="1">
      <c r="F1281"/>
    </row>
    <row r="1282" spans="6:6" outlineLevel="1">
      <c r="F1282"/>
    </row>
    <row r="1283" spans="6:6" outlineLevel="1">
      <c r="F1283"/>
    </row>
    <row r="1284" spans="6:6" outlineLevel="1">
      <c r="F1284"/>
    </row>
    <row r="1285" spans="6:6" outlineLevel="1">
      <c r="F1285"/>
    </row>
    <row r="1286" spans="6:6" outlineLevel="1">
      <c r="F1286"/>
    </row>
    <row r="1287" spans="6:6" outlineLevel="1">
      <c r="F1287"/>
    </row>
    <row r="1288" spans="6:6" outlineLevel="1">
      <c r="F1288"/>
    </row>
    <row r="1289" spans="6:6" outlineLevel="1">
      <c r="F1289"/>
    </row>
    <row r="1290" spans="6:6" outlineLevel="1">
      <c r="F1290"/>
    </row>
    <row r="1291" spans="6:6" outlineLevel="1">
      <c r="F1291"/>
    </row>
    <row r="1292" spans="6:6" outlineLevel="1">
      <c r="F1292"/>
    </row>
    <row r="1293" spans="6:6" outlineLevel="1">
      <c r="F1293"/>
    </row>
    <row r="1294" spans="6:6" outlineLevel="1">
      <c r="F1294"/>
    </row>
    <row r="1295" spans="6:6" outlineLevel="1">
      <c r="F1295"/>
    </row>
    <row r="1296" spans="6:6" outlineLevel="1">
      <c r="F1296"/>
    </row>
    <row r="1297" spans="6:6">
      <c r="F1297"/>
    </row>
    <row r="1298" spans="6:6">
      <c r="F1298"/>
    </row>
    <row r="1299" spans="6:6">
      <c r="F1299"/>
    </row>
    <row r="1300" spans="6:6">
      <c r="F1300"/>
    </row>
    <row r="1301" spans="6:6">
      <c r="F1301"/>
    </row>
    <row r="1302" spans="6:6">
      <c r="F1302"/>
    </row>
    <row r="1303" spans="6:6">
      <c r="F1303"/>
    </row>
    <row r="1304" spans="6:6">
      <c r="F1304"/>
    </row>
    <row r="1305" spans="6:6">
      <c r="F1305"/>
    </row>
    <row r="1306" spans="6:6">
      <c r="F1306"/>
    </row>
    <row r="1307" spans="6:6">
      <c r="F1307"/>
    </row>
    <row r="1308" spans="6:6">
      <c r="F1308"/>
    </row>
    <row r="1309" spans="6:6">
      <c r="F1309"/>
    </row>
    <row r="1310" spans="6:6">
      <c r="F1310"/>
    </row>
    <row r="1311" spans="6:6">
      <c r="F1311"/>
    </row>
    <row r="1312" spans="6:6">
      <c r="F1312"/>
    </row>
    <row r="1313" spans="6:6">
      <c r="F1313"/>
    </row>
    <row r="1314" spans="6:6">
      <c r="F1314"/>
    </row>
    <row r="1315" spans="6:6">
      <c r="F1315"/>
    </row>
    <row r="1316" spans="6:6">
      <c r="F1316"/>
    </row>
    <row r="1317" spans="6:6">
      <c r="F1317"/>
    </row>
    <row r="1318" spans="6:6">
      <c r="F1318"/>
    </row>
    <row r="1319" spans="6:6">
      <c r="F1319"/>
    </row>
    <row r="1320" spans="6:6">
      <c r="F1320"/>
    </row>
    <row r="1321" spans="6:6">
      <c r="F1321"/>
    </row>
    <row r="1322" spans="6:6">
      <c r="F1322"/>
    </row>
    <row r="1323" spans="6:6">
      <c r="F1323"/>
    </row>
    <row r="1324" spans="6:6">
      <c r="F1324"/>
    </row>
    <row r="1325" spans="6:6">
      <c r="F1325"/>
    </row>
    <row r="1326" spans="6:6">
      <c r="F1326"/>
    </row>
    <row r="1327" spans="6:6">
      <c r="F1327"/>
    </row>
    <row r="1328" spans="6:6">
      <c r="F1328"/>
    </row>
    <row r="1329" spans="6:6">
      <c r="F1329"/>
    </row>
    <row r="1330" spans="6:6">
      <c r="F1330"/>
    </row>
    <row r="1331" spans="6:6">
      <c r="F1331"/>
    </row>
    <row r="1332" spans="6:6">
      <c r="F1332"/>
    </row>
    <row r="1333" spans="6:6" collapsed="1">
      <c r="F1333"/>
    </row>
    <row r="1334" spans="6:6">
      <c r="F1334"/>
    </row>
    <row r="1335" spans="6:6">
      <c r="F1335"/>
    </row>
    <row r="1336" spans="6:6">
      <c r="F1336"/>
    </row>
    <row r="1337" spans="6:6">
      <c r="F1337"/>
    </row>
    <row r="1338" spans="6:6">
      <c r="F1338"/>
    </row>
    <row r="1339" spans="6:6">
      <c r="F1339"/>
    </row>
    <row r="1340" spans="6:6">
      <c r="F1340"/>
    </row>
    <row r="1341" spans="6:6">
      <c r="F1341"/>
    </row>
    <row r="1342" spans="6:6">
      <c r="F1342"/>
    </row>
    <row r="1343" spans="6:6">
      <c r="F1343"/>
    </row>
    <row r="1344" spans="6:6">
      <c r="F1344"/>
    </row>
    <row r="1345" spans="6:6">
      <c r="F1345"/>
    </row>
    <row r="1346" spans="6:6">
      <c r="F1346"/>
    </row>
    <row r="1347" spans="6:6">
      <c r="F1347"/>
    </row>
    <row r="1348" spans="6:6">
      <c r="F1348"/>
    </row>
    <row r="1349" spans="6:6" collapsed="1">
      <c r="F1349"/>
    </row>
    <row r="1350" spans="6:6">
      <c r="F1350"/>
    </row>
    <row r="1351" spans="6:6">
      <c r="F1351"/>
    </row>
    <row r="1352" spans="6:6" collapsed="1">
      <c r="F1352"/>
    </row>
    <row r="1353" spans="6:6">
      <c r="F1353"/>
    </row>
    <row r="1354" spans="6:6">
      <c r="F1354"/>
    </row>
    <row r="1355" spans="6:6">
      <c r="F1355"/>
    </row>
    <row r="1356" spans="6:6">
      <c r="F1356"/>
    </row>
    <row r="1357" spans="6:6">
      <c r="F1357"/>
    </row>
    <row r="1358" spans="6:6">
      <c r="F1358"/>
    </row>
    <row r="1359" spans="6:6">
      <c r="F1359"/>
    </row>
    <row r="1360" spans="6:6">
      <c r="F1360"/>
    </row>
    <row r="1361" spans="6:6">
      <c r="F1361"/>
    </row>
    <row r="1362" spans="6:6">
      <c r="F1362"/>
    </row>
    <row r="1363" spans="6:6">
      <c r="F1363"/>
    </row>
    <row r="1364" spans="6:6">
      <c r="F1364"/>
    </row>
    <row r="1365" spans="6:6">
      <c r="F1365"/>
    </row>
    <row r="1366" spans="6:6">
      <c r="F1366"/>
    </row>
    <row r="1367" spans="6:6">
      <c r="F1367"/>
    </row>
    <row r="1368" spans="6:6">
      <c r="F1368"/>
    </row>
    <row r="1369" spans="6:6">
      <c r="F1369"/>
    </row>
    <row r="1370" spans="6:6">
      <c r="F1370"/>
    </row>
    <row r="1371" spans="6:6">
      <c r="F1371"/>
    </row>
    <row r="1372" spans="6:6">
      <c r="F1372"/>
    </row>
    <row r="1373" spans="6:6">
      <c r="F1373"/>
    </row>
    <row r="1374" spans="6:6">
      <c r="F1374"/>
    </row>
    <row r="1375" spans="6:6">
      <c r="F1375"/>
    </row>
    <row r="1376" spans="6:6">
      <c r="F1376"/>
    </row>
    <row r="1377" spans="6:6">
      <c r="F1377"/>
    </row>
    <row r="1378" spans="6:6">
      <c r="F1378"/>
    </row>
    <row r="1379" spans="6:6">
      <c r="F1379"/>
    </row>
    <row r="1380" spans="6:6">
      <c r="F1380"/>
    </row>
    <row r="1381" spans="6:6">
      <c r="F1381"/>
    </row>
    <row r="1382" spans="6:6">
      <c r="F1382"/>
    </row>
    <row r="1383" spans="6:6">
      <c r="F1383"/>
    </row>
    <row r="1384" spans="6:6">
      <c r="F1384"/>
    </row>
    <row r="1385" spans="6:6">
      <c r="F1385"/>
    </row>
    <row r="1386" spans="6:6">
      <c r="F1386"/>
    </row>
    <row r="1387" spans="6:6">
      <c r="F1387"/>
    </row>
    <row r="1388" spans="6:6">
      <c r="F1388"/>
    </row>
    <row r="1389" spans="6:6">
      <c r="F1389"/>
    </row>
    <row r="1390" spans="6:6">
      <c r="F1390"/>
    </row>
    <row r="1391" spans="6:6">
      <c r="F1391"/>
    </row>
    <row r="1392" spans="6:6">
      <c r="F1392"/>
    </row>
    <row r="1393" spans="6:6">
      <c r="F1393"/>
    </row>
    <row r="1394" spans="6:6">
      <c r="F1394"/>
    </row>
    <row r="1395" spans="6:6">
      <c r="F1395"/>
    </row>
    <row r="1396" spans="6:6">
      <c r="F1396"/>
    </row>
    <row r="1397" spans="6:6" outlineLevel="1">
      <c r="F1397"/>
    </row>
    <row r="1398" spans="6:6" outlineLevel="1">
      <c r="F1398"/>
    </row>
    <row r="1399" spans="6:6">
      <c r="F1399"/>
    </row>
    <row r="1400" spans="6:6" outlineLevel="1">
      <c r="F1400"/>
    </row>
    <row r="1401" spans="6:6" outlineLevel="1">
      <c r="F1401"/>
    </row>
    <row r="1402" spans="6:6" outlineLevel="1">
      <c r="F1402"/>
    </row>
    <row r="1403" spans="6:6" outlineLevel="1">
      <c r="F1403"/>
    </row>
    <row r="1404" spans="6:6" outlineLevel="1">
      <c r="F1404"/>
    </row>
    <row r="1405" spans="6:6" outlineLevel="1">
      <c r="F1405"/>
    </row>
    <row r="1406" spans="6:6" outlineLevel="1">
      <c r="F1406"/>
    </row>
    <row r="1407" spans="6:6" outlineLevel="1">
      <c r="F1407"/>
    </row>
    <row r="1408" spans="6:6" outlineLevel="1">
      <c r="F1408"/>
    </row>
    <row r="1409" spans="6:6" outlineLevel="1">
      <c r="F1409"/>
    </row>
    <row r="1410" spans="6:6" outlineLevel="1">
      <c r="F1410"/>
    </row>
    <row r="1411" spans="6:6" outlineLevel="1">
      <c r="F1411"/>
    </row>
    <row r="1412" spans="6:6" outlineLevel="1">
      <c r="F1412"/>
    </row>
    <row r="1413" spans="6:6" outlineLevel="1">
      <c r="F1413"/>
    </row>
    <row r="1414" spans="6:6" outlineLevel="1">
      <c r="F1414"/>
    </row>
    <row r="1415" spans="6:6" outlineLevel="1">
      <c r="F1415"/>
    </row>
    <row r="1416" spans="6:6" outlineLevel="1">
      <c r="F1416"/>
    </row>
    <row r="1417" spans="6:6" outlineLevel="1">
      <c r="F1417"/>
    </row>
    <row r="1418" spans="6:6" outlineLevel="1">
      <c r="F1418"/>
    </row>
    <row r="1419" spans="6:6" outlineLevel="1">
      <c r="F1419"/>
    </row>
    <row r="1420" spans="6:6" outlineLevel="1">
      <c r="F1420"/>
    </row>
    <row r="1421" spans="6:6" outlineLevel="1">
      <c r="F1421"/>
    </row>
    <row r="1422" spans="6:6" outlineLevel="1">
      <c r="F1422"/>
    </row>
    <row r="1423" spans="6:6">
      <c r="F1423"/>
    </row>
    <row r="1424" spans="6:6" outlineLevel="1">
      <c r="F1424"/>
    </row>
    <row r="1425" spans="6:6" outlineLevel="1">
      <c r="F1425"/>
    </row>
    <row r="1426" spans="6:6" outlineLevel="1">
      <c r="F1426"/>
    </row>
    <row r="1427" spans="6:6" outlineLevel="1">
      <c r="F1427"/>
    </row>
    <row r="1428" spans="6:6" outlineLevel="1">
      <c r="F1428"/>
    </row>
    <row r="1429" spans="6:6" outlineLevel="1">
      <c r="F1429"/>
    </row>
    <row r="1430" spans="6:6" outlineLevel="1">
      <c r="F1430"/>
    </row>
    <row r="1431" spans="6:6" outlineLevel="1">
      <c r="F1431"/>
    </row>
    <row r="1432" spans="6:6" outlineLevel="1">
      <c r="F1432"/>
    </row>
    <row r="1433" spans="6:6" outlineLevel="1">
      <c r="F1433"/>
    </row>
    <row r="1434" spans="6:6" outlineLevel="1">
      <c r="F1434"/>
    </row>
    <row r="1435" spans="6:6" outlineLevel="1">
      <c r="F1435"/>
    </row>
    <row r="1436" spans="6:6" outlineLevel="1">
      <c r="F1436"/>
    </row>
    <row r="1437" spans="6:6" outlineLevel="1">
      <c r="F1437"/>
    </row>
    <row r="1438" spans="6:6" outlineLevel="1">
      <c r="F1438"/>
    </row>
    <row r="1439" spans="6:6" outlineLevel="1">
      <c r="F1439"/>
    </row>
    <row r="1440" spans="6:6" outlineLevel="1">
      <c r="F1440"/>
    </row>
    <row r="1441" spans="6:6" outlineLevel="1">
      <c r="F1441"/>
    </row>
    <row r="1442" spans="6:6" outlineLevel="1">
      <c r="F1442"/>
    </row>
    <row r="1443" spans="6:6" outlineLevel="1">
      <c r="F1443"/>
    </row>
    <row r="1444" spans="6:6">
      <c r="F1444"/>
    </row>
    <row r="1445" spans="6:6" outlineLevel="1">
      <c r="F1445"/>
    </row>
    <row r="1446" spans="6:6" outlineLevel="1">
      <c r="F1446"/>
    </row>
    <row r="1447" spans="6:6" outlineLevel="1">
      <c r="F1447"/>
    </row>
    <row r="1448" spans="6:6" outlineLevel="1">
      <c r="F1448"/>
    </row>
    <row r="1449" spans="6:6" outlineLevel="1">
      <c r="F1449"/>
    </row>
    <row r="1450" spans="6:6" outlineLevel="1">
      <c r="F1450"/>
    </row>
    <row r="1451" spans="6:6" outlineLevel="1">
      <c r="F1451"/>
    </row>
    <row r="1452" spans="6:6" outlineLevel="1">
      <c r="F1452"/>
    </row>
    <row r="1453" spans="6:6" outlineLevel="1">
      <c r="F1453"/>
    </row>
    <row r="1454" spans="6:6" outlineLevel="1">
      <c r="F1454"/>
    </row>
    <row r="1455" spans="6:6" outlineLevel="1">
      <c r="F1455"/>
    </row>
    <row r="1456" spans="6:6" outlineLevel="1">
      <c r="F1456"/>
    </row>
    <row r="1457" spans="6:6" outlineLevel="1">
      <c r="F1457"/>
    </row>
    <row r="1458" spans="6:6" outlineLevel="1">
      <c r="F1458"/>
    </row>
    <row r="1459" spans="6:6" outlineLevel="1">
      <c r="F1459"/>
    </row>
    <row r="1460" spans="6:6" outlineLevel="1">
      <c r="F1460"/>
    </row>
    <row r="1461" spans="6:6" outlineLevel="1">
      <c r="F1461"/>
    </row>
    <row r="1462" spans="6:6" outlineLevel="1">
      <c r="F1462"/>
    </row>
    <row r="1463" spans="6:6" outlineLevel="1">
      <c r="F1463"/>
    </row>
    <row r="1464" spans="6:6" outlineLevel="1">
      <c r="F1464"/>
    </row>
    <row r="1465" spans="6:6" outlineLevel="1">
      <c r="F1465"/>
    </row>
    <row r="1466" spans="6:6" outlineLevel="1">
      <c r="F1466"/>
    </row>
    <row r="1467" spans="6:6" outlineLevel="1">
      <c r="F1467"/>
    </row>
    <row r="1468" spans="6:6" outlineLevel="1">
      <c r="F1468"/>
    </row>
    <row r="1469" spans="6:6" outlineLevel="1">
      <c r="F1469"/>
    </row>
    <row r="1470" spans="6:6" outlineLevel="1">
      <c r="F1470"/>
    </row>
    <row r="1471" spans="6:6" outlineLevel="1">
      <c r="F1471"/>
    </row>
    <row r="1472" spans="6:6" outlineLevel="1">
      <c r="F1472"/>
    </row>
    <row r="1473" spans="6:6" outlineLevel="1">
      <c r="F1473"/>
    </row>
    <row r="1474" spans="6:6" outlineLevel="1">
      <c r="F1474"/>
    </row>
    <row r="1475" spans="6:6" outlineLevel="1">
      <c r="F1475"/>
    </row>
    <row r="1476" spans="6:6" outlineLevel="1">
      <c r="F1476"/>
    </row>
    <row r="1477" spans="6:6" outlineLevel="1">
      <c r="F1477"/>
    </row>
    <row r="1478" spans="6:6" outlineLevel="1">
      <c r="F1478"/>
    </row>
    <row r="1479" spans="6:6" outlineLevel="1">
      <c r="F1479"/>
    </row>
    <row r="1480" spans="6:6" outlineLevel="1">
      <c r="F1480"/>
    </row>
    <row r="1481" spans="6:6" outlineLevel="1">
      <c r="F1481"/>
    </row>
    <row r="1482" spans="6:6" outlineLevel="1">
      <c r="F1482"/>
    </row>
    <row r="1483" spans="6:6" outlineLevel="1">
      <c r="F1483"/>
    </row>
    <row r="1484" spans="6:6" outlineLevel="1">
      <c r="F1484"/>
    </row>
    <row r="1485" spans="6:6" outlineLevel="1">
      <c r="F1485"/>
    </row>
    <row r="1486" spans="6:6" outlineLevel="1">
      <c r="F1486"/>
    </row>
    <row r="1487" spans="6:6" outlineLevel="1">
      <c r="F1487"/>
    </row>
    <row r="1488" spans="6:6" outlineLevel="1">
      <c r="F1488"/>
    </row>
    <row r="1489" spans="6:6" outlineLevel="1">
      <c r="F1489"/>
    </row>
    <row r="1490" spans="6:6" outlineLevel="1">
      <c r="F1490"/>
    </row>
    <row r="1491" spans="6:6" outlineLevel="1">
      <c r="F1491"/>
    </row>
    <row r="1492" spans="6:6" outlineLevel="1">
      <c r="F1492"/>
    </row>
    <row r="1493" spans="6:6" outlineLevel="1">
      <c r="F1493"/>
    </row>
    <row r="1494" spans="6:6" outlineLevel="1">
      <c r="F1494"/>
    </row>
    <row r="1495" spans="6:6" outlineLevel="1">
      <c r="F1495"/>
    </row>
    <row r="1496" spans="6:6" outlineLevel="1">
      <c r="F1496"/>
    </row>
    <row r="1497" spans="6:6" outlineLevel="1">
      <c r="F1497"/>
    </row>
    <row r="1498" spans="6:6" outlineLevel="1">
      <c r="F1498"/>
    </row>
    <row r="1499" spans="6:6" outlineLevel="1">
      <c r="F1499"/>
    </row>
    <row r="1500" spans="6:6" outlineLevel="1">
      <c r="F1500"/>
    </row>
    <row r="1501" spans="6:6" outlineLevel="1">
      <c r="F1501"/>
    </row>
    <row r="1502" spans="6:6" outlineLevel="1">
      <c r="F1502"/>
    </row>
    <row r="1503" spans="6:6" outlineLevel="1">
      <c r="F1503"/>
    </row>
    <row r="1504" spans="6:6" outlineLevel="1">
      <c r="F1504"/>
    </row>
    <row r="1505" spans="6:6" outlineLevel="1">
      <c r="F1505"/>
    </row>
    <row r="1506" spans="6:6" outlineLevel="1">
      <c r="F1506"/>
    </row>
    <row r="1507" spans="6:6" outlineLevel="1">
      <c r="F1507"/>
    </row>
    <row r="1508" spans="6:6" outlineLevel="1">
      <c r="F1508"/>
    </row>
    <row r="1509" spans="6:6" outlineLevel="1">
      <c r="F1509"/>
    </row>
    <row r="1510" spans="6:6" outlineLevel="1">
      <c r="F1510"/>
    </row>
    <row r="1511" spans="6:6" outlineLevel="1">
      <c r="F1511"/>
    </row>
    <row r="1512" spans="6:6" outlineLevel="1">
      <c r="F1512"/>
    </row>
    <row r="1513" spans="6:6" outlineLevel="1">
      <c r="F1513"/>
    </row>
    <row r="1514" spans="6:6" outlineLevel="1">
      <c r="F1514"/>
    </row>
    <row r="1515" spans="6:6" outlineLevel="1">
      <c r="F1515"/>
    </row>
    <row r="1516" spans="6:6" outlineLevel="1">
      <c r="F1516"/>
    </row>
    <row r="1517" spans="6:6" outlineLevel="1">
      <c r="F1517"/>
    </row>
    <row r="1518" spans="6:6" outlineLevel="1">
      <c r="F1518"/>
    </row>
    <row r="1519" spans="6:6" outlineLevel="1">
      <c r="F1519"/>
    </row>
    <row r="1520" spans="6:6" outlineLevel="1">
      <c r="F1520"/>
    </row>
    <row r="1521" spans="6:6" outlineLevel="1">
      <c r="F1521"/>
    </row>
    <row r="1522" spans="6:6" outlineLevel="1">
      <c r="F1522"/>
    </row>
    <row r="1523" spans="6:6" outlineLevel="1">
      <c r="F1523"/>
    </row>
    <row r="1524" spans="6:6" outlineLevel="1">
      <c r="F1524"/>
    </row>
    <row r="1525" spans="6:6" outlineLevel="1">
      <c r="F1525"/>
    </row>
    <row r="1526" spans="6:6" outlineLevel="1">
      <c r="F1526"/>
    </row>
    <row r="1527" spans="6:6" outlineLevel="1">
      <c r="F1527"/>
    </row>
    <row r="1528" spans="6:6" outlineLevel="1">
      <c r="F1528"/>
    </row>
    <row r="1529" spans="6:6" outlineLevel="1">
      <c r="F1529"/>
    </row>
    <row r="1530" spans="6:6" outlineLevel="1">
      <c r="F1530"/>
    </row>
    <row r="1531" spans="6:6" outlineLevel="1">
      <c r="F1531"/>
    </row>
    <row r="1532" spans="6:6" outlineLevel="1">
      <c r="F1532"/>
    </row>
    <row r="1533" spans="6:6" outlineLevel="1">
      <c r="F1533"/>
    </row>
    <row r="1534" spans="6:6" outlineLevel="1">
      <c r="F1534"/>
    </row>
    <row r="1535" spans="6:6" outlineLevel="1">
      <c r="F1535"/>
    </row>
    <row r="1536" spans="6:6" outlineLevel="1">
      <c r="F1536"/>
    </row>
    <row r="1537" spans="6:6" outlineLevel="1">
      <c r="F1537"/>
    </row>
    <row r="1538" spans="6:6" outlineLevel="1">
      <c r="F1538"/>
    </row>
    <row r="1539" spans="6:6" outlineLevel="1">
      <c r="F1539"/>
    </row>
    <row r="1540" spans="6:6" outlineLevel="1">
      <c r="F1540"/>
    </row>
    <row r="1541" spans="6:6" outlineLevel="1">
      <c r="F1541"/>
    </row>
    <row r="1542" spans="6:6" outlineLevel="1">
      <c r="F1542"/>
    </row>
    <row r="1543" spans="6:6" outlineLevel="1">
      <c r="F1543"/>
    </row>
    <row r="1544" spans="6:6" outlineLevel="1">
      <c r="F1544"/>
    </row>
    <row r="1545" spans="6:6" outlineLevel="1">
      <c r="F1545"/>
    </row>
    <row r="1546" spans="6:6" outlineLevel="1">
      <c r="F1546"/>
    </row>
    <row r="1547" spans="6:6" outlineLevel="1">
      <c r="F1547"/>
    </row>
    <row r="1548" spans="6:6" outlineLevel="1">
      <c r="F1548"/>
    </row>
    <row r="1549" spans="6:6">
      <c r="F1549"/>
    </row>
    <row r="1550" spans="6:6">
      <c r="F1550"/>
    </row>
    <row r="1551" spans="6:6">
      <c r="F1551"/>
    </row>
    <row r="1552" spans="6:6">
      <c r="F1552"/>
    </row>
    <row r="1553" spans="6:6">
      <c r="F1553"/>
    </row>
    <row r="1554" spans="6:6">
      <c r="F1554"/>
    </row>
    <row r="1555" spans="6:6">
      <c r="F1555"/>
    </row>
    <row r="1556" spans="6:6">
      <c r="F1556"/>
    </row>
    <row r="1557" spans="6:6">
      <c r="F1557"/>
    </row>
    <row r="1558" spans="6:6">
      <c r="F1558"/>
    </row>
    <row r="1559" spans="6:6">
      <c r="F1559"/>
    </row>
    <row r="1560" spans="6:6">
      <c r="F1560"/>
    </row>
    <row r="1561" spans="6:6">
      <c r="F1561"/>
    </row>
    <row r="1562" spans="6:6">
      <c r="F1562"/>
    </row>
    <row r="1563" spans="6:6">
      <c r="F1563"/>
    </row>
    <row r="1564" spans="6:6">
      <c r="F1564"/>
    </row>
    <row r="1565" spans="6:6">
      <c r="F1565"/>
    </row>
    <row r="1566" spans="6:6">
      <c r="F1566"/>
    </row>
    <row r="1567" spans="6:6">
      <c r="F1567"/>
    </row>
    <row r="1568" spans="6:6">
      <c r="F1568"/>
    </row>
    <row r="1569" spans="6:6">
      <c r="F1569"/>
    </row>
    <row r="1570" spans="6:6">
      <c r="F1570"/>
    </row>
    <row r="1571" spans="6:6">
      <c r="F1571"/>
    </row>
    <row r="1572" spans="6:6">
      <c r="F1572"/>
    </row>
    <row r="1573" spans="6:6">
      <c r="F1573"/>
    </row>
    <row r="1574" spans="6:6">
      <c r="F1574"/>
    </row>
    <row r="1575" spans="6:6">
      <c r="F1575"/>
    </row>
    <row r="1576" spans="6:6">
      <c r="F1576"/>
    </row>
    <row r="1577" spans="6:6">
      <c r="F1577"/>
    </row>
    <row r="1578" spans="6:6">
      <c r="F1578"/>
    </row>
    <row r="1579" spans="6:6">
      <c r="F1579"/>
    </row>
    <row r="1580" spans="6:6">
      <c r="F1580"/>
    </row>
    <row r="1581" spans="6:6">
      <c r="F1581"/>
    </row>
    <row r="1582" spans="6:6">
      <c r="F1582"/>
    </row>
    <row r="1583" spans="6:6">
      <c r="F1583"/>
    </row>
    <row r="1584" spans="6:6">
      <c r="F1584"/>
    </row>
    <row r="1585" spans="6:6">
      <c r="F1585"/>
    </row>
    <row r="1586" spans="6:6">
      <c r="F1586"/>
    </row>
    <row r="1587" spans="6:6">
      <c r="F1587"/>
    </row>
    <row r="1588" spans="6:6">
      <c r="F1588"/>
    </row>
    <row r="1589" spans="6:6">
      <c r="F1589"/>
    </row>
    <row r="1590" spans="6:6">
      <c r="F1590"/>
    </row>
    <row r="1591" spans="6:6">
      <c r="F1591"/>
    </row>
    <row r="1592" spans="6:6">
      <c r="F1592"/>
    </row>
    <row r="1593" spans="6:6">
      <c r="F1593"/>
    </row>
    <row r="1594" spans="6:6">
      <c r="F1594"/>
    </row>
    <row r="1595" spans="6:6">
      <c r="F1595"/>
    </row>
    <row r="1596" spans="6:6">
      <c r="F1596"/>
    </row>
    <row r="1597" spans="6:6">
      <c r="F1597"/>
    </row>
    <row r="1598" spans="6:6">
      <c r="F1598"/>
    </row>
    <row r="1599" spans="6:6">
      <c r="F1599"/>
    </row>
    <row r="1600" spans="6:6">
      <c r="F1600"/>
    </row>
    <row r="1601" spans="6:6">
      <c r="F1601"/>
    </row>
    <row r="1602" spans="6:6">
      <c r="F1602"/>
    </row>
    <row r="1603" spans="6:6">
      <c r="F1603"/>
    </row>
    <row r="1604" spans="6:6">
      <c r="F1604"/>
    </row>
    <row r="1605" spans="6:6">
      <c r="F1605"/>
    </row>
    <row r="1606" spans="6:6">
      <c r="F1606"/>
    </row>
    <row r="1607" spans="6:6">
      <c r="F1607"/>
    </row>
    <row r="1608" spans="6:6">
      <c r="F1608"/>
    </row>
    <row r="1609" spans="6:6">
      <c r="F1609"/>
    </row>
    <row r="1610" spans="6:6">
      <c r="F1610"/>
    </row>
    <row r="1611" spans="6:6">
      <c r="F1611"/>
    </row>
    <row r="1612" spans="6:6">
      <c r="F1612"/>
    </row>
    <row r="1613" spans="6:6">
      <c r="F1613"/>
    </row>
    <row r="1614" spans="6:6">
      <c r="F1614"/>
    </row>
    <row r="1615" spans="6:6">
      <c r="F1615"/>
    </row>
    <row r="1616" spans="6:6">
      <c r="F1616"/>
    </row>
    <row r="1617" spans="6:6">
      <c r="F1617"/>
    </row>
    <row r="1618" spans="6:6">
      <c r="F1618"/>
    </row>
    <row r="1619" spans="6:6">
      <c r="F1619"/>
    </row>
    <row r="1620" spans="6:6">
      <c r="F1620"/>
    </row>
    <row r="1621" spans="6:6">
      <c r="F1621"/>
    </row>
    <row r="1622" spans="6:6">
      <c r="F1622"/>
    </row>
    <row r="1623" spans="6:6">
      <c r="F1623"/>
    </row>
    <row r="1624" spans="6:6">
      <c r="F1624"/>
    </row>
    <row r="1625" spans="6:6">
      <c r="F1625"/>
    </row>
    <row r="1626" spans="6:6">
      <c r="F1626"/>
    </row>
    <row r="1627" spans="6:6">
      <c r="F1627"/>
    </row>
    <row r="1628" spans="6:6">
      <c r="F1628"/>
    </row>
    <row r="1629" spans="6:6">
      <c r="F1629"/>
    </row>
    <row r="1630" spans="6:6">
      <c r="F1630"/>
    </row>
    <row r="1631" spans="6:6">
      <c r="F1631"/>
    </row>
    <row r="1632" spans="6:6">
      <c r="F1632"/>
    </row>
    <row r="1633" spans="6:6">
      <c r="F1633"/>
    </row>
    <row r="1634" spans="6:6">
      <c r="F1634"/>
    </row>
    <row r="1635" spans="6:6">
      <c r="F1635"/>
    </row>
    <row r="1636" spans="6:6">
      <c r="F1636"/>
    </row>
    <row r="1637" spans="6:6">
      <c r="F1637"/>
    </row>
    <row r="1638" spans="6:6">
      <c r="F1638"/>
    </row>
    <row r="1639" spans="6:6">
      <c r="F1639"/>
    </row>
    <row r="1640" spans="6:6">
      <c r="F1640"/>
    </row>
    <row r="1641" spans="6:6">
      <c r="F1641"/>
    </row>
    <row r="1642" spans="6:6">
      <c r="F1642"/>
    </row>
    <row r="1643" spans="6:6">
      <c r="F1643"/>
    </row>
    <row r="1644" spans="6:6">
      <c r="F1644"/>
    </row>
    <row r="1645" spans="6:6">
      <c r="F1645"/>
    </row>
    <row r="1646" spans="6:6">
      <c r="F1646"/>
    </row>
    <row r="1647" spans="6:6">
      <c r="F1647"/>
    </row>
    <row r="1648" spans="6:6">
      <c r="F1648"/>
    </row>
    <row r="1649" spans="6:6" outlineLevel="1">
      <c r="F1649"/>
    </row>
    <row r="1650" spans="6:6" outlineLevel="1">
      <c r="F1650"/>
    </row>
    <row r="1651" spans="6:6" outlineLevel="1">
      <c r="F1651"/>
    </row>
    <row r="1652" spans="6:6" outlineLevel="1">
      <c r="F1652"/>
    </row>
    <row r="1653" spans="6:6" outlineLevel="1">
      <c r="F1653"/>
    </row>
    <row r="1654" spans="6:6" outlineLevel="1">
      <c r="F1654"/>
    </row>
    <row r="1655" spans="6:6" outlineLevel="1">
      <c r="F1655"/>
    </row>
    <row r="1656" spans="6:6" outlineLevel="1">
      <c r="F1656"/>
    </row>
    <row r="1657" spans="6:6" outlineLevel="1">
      <c r="F1657"/>
    </row>
    <row r="1658" spans="6:6" outlineLevel="1">
      <c r="F1658"/>
    </row>
    <row r="1659" spans="6:6" outlineLevel="1">
      <c r="F1659"/>
    </row>
    <row r="1660" spans="6:6" outlineLevel="1">
      <c r="F1660"/>
    </row>
    <row r="1661" spans="6:6" outlineLevel="1">
      <c r="F1661"/>
    </row>
    <row r="1662" spans="6:6" outlineLevel="1">
      <c r="F1662"/>
    </row>
    <row r="1663" spans="6:6" outlineLevel="1">
      <c r="F1663"/>
    </row>
    <row r="1664" spans="6:6" outlineLevel="1">
      <c r="F1664"/>
    </row>
    <row r="1665" spans="6:6" outlineLevel="1">
      <c r="F1665"/>
    </row>
    <row r="1666" spans="6:6" outlineLevel="1">
      <c r="F1666"/>
    </row>
    <row r="1667" spans="6:6" outlineLevel="1">
      <c r="F1667"/>
    </row>
    <row r="1668" spans="6:6" outlineLevel="1">
      <c r="F1668"/>
    </row>
    <row r="1669" spans="6:6" outlineLevel="1">
      <c r="F1669"/>
    </row>
    <row r="1670" spans="6:6" outlineLevel="1">
      <c r="F1670"/>
    </row>
    <row r="1671" spans="6:6" outlineLevel="1">
      <c r="F1671"/>
    </row>
    <row r="1672" spans="6:6" outlineLevel="1">
      <c r="F1672"/>
    </row>
    <row r="1673" spans="6:6" outlineLevel="1">
      <c r="F1673"/>
    </row>
    <row r="1674" spans="6:6" outlineLevel="1">
      <c r="F1674"/>
    </row>
    <row r="1675" spans="6:6" outlineLevel="1">
      <c r="F1675"/>
    </row>
    <row r="1676" spans="6:6" outlineLevel="1">
      <c r="F1676"/>
    </row>
    <row r="1677" spans="6:6" outlineLevel="1">
      <c r="F1677"/>
    </row>
    <row r="1678" spans="6:6" outlineLevel="1">
      <c r="F1678"/>
    </row>
    <row r="1679" spans="6:6" outlineLevel="1">
      <c r="F1679"/>
    </row>
    <row r="1680" spans="6:6" outlineLevel="1">
      <c r="F1680"/>
    </row>
    <row r="1681" spans="6:6" outlineLevel="1">
      <c r="F1681"/>
    </row>
    <row r="1682" spans="6:6" outlineLevel="1">
      <c r="F1682"/>
    </row>
    <row r="1683" spans="6:6" outlineLevel="1">
      <c r="F1683"/>
    </row>
    <row r="1684" spans="6:6" outlineLevel="1">
      <c r="F1684"/>
    </row>
    <row r="1685" spans="6:6" outlineLevel="1">
      <c r="F1685"/>
    </row>
    <row r="1686" spans="6:6" outlineLevel="1">
      <c r="F1686"/>
    </row>
    <row r="1687" spans="6:6" outlineLevel="1">
      <c r="F1687"/>
    </row>
    <row r="1688" spans="6:6" outlineLevel="1">
      <c r="F1688"/>
    </row>
    <row r="1689" spans="6:6" outlineLevel="1">
      <c r="F1689"/>
    </row>
    <row r="1690" spans="6:6" outlineLevel="1">
      <c r="F1690"/>
    </row>
    <row r="1691" spans="6:6" outlineLevel="1">
      <c r="F1691"/>
    </row>
    <row r="1692" spans="6:6" outlineLevel="1">
      <c r="F1692"/>
    </row>
    <row r="1693" spans="6:6" outlineLevel="1">
      <c r="F1693"/>
    </row>
    <row r="1694" spans="6:6" outlineLevel="1">
      <c r="F1694"/>
    </row>
    <row r="1695" spans="6:6" outlineLevel="1">
      <c r="F1695"/>
    </row>
    <row r="1696" spans="6:6" outlineLevel="1">
      <c r="F1696"/>
    </row>
    <row r="1697" spans="6:6" outlineLevel="1">
      <c r="F1697"/>
    </row>
    <row r="1698" spans="6:6" outlineLevel="1">
      <c r="F1698"/>
    </row>
    <row r="1699" spans="6:6" outlineLevel="1">
      <c r="F1699"/>
    </row>
    <row r="1700" spans="6:6" outlineLevel="1">
      <c r="F1700"/>
    </row>
    <row r="1701" spans="6:6" outlineLevel="1">
      <c r="F1701"/>
    </row>
    <row r="1702" spans="6:6" outlineLevel="1">
      <c r="F1702"/>
    </row>
    <row r="1703" spans="6:6" outlineLevel="1">
      <c r="F1703"/>
    </row>
    <row r="1704" spans="6:6" outlineLevel="1">
      <c r="F1704"/>
    </row>
    <row r="1705" spans="6:6" outlineLevel="1">
      <c r="F1705"/>
    </row>
    <row r="1706" spans="6:6" outlineLevel="1">
      <c r="F1706"/>
    </row>
    <row r="1707" spans="6:6" outlineLevel="1">
      <c r="F1707"/>
    </row>
    <row r="1708" spans="6:6" outlineLevel="1">
      <c r="F1708"/>
    </row>
    <row r="1709" spans="6:6" outlineLevel="1">
      <c r="F1709"/>
    </row>
    <row r="1710" spans="6:6" outlineLevel="1">
      <c r="F1710"/>
    </row>
    <row r="1711" spans="6:6" outlineLevel="1">
      <c r="F1711"/>
    </row>
    <row r="1712" spans="6:6" outlineLevel="1">
      <c r="F1712"/>
    </row>
    <row r="1713" spans="6:6" outlineLevel="1">
      <c r="F1713"/>
    </row>
    <row r="1714" spans="6:6" outlineLevel="1">
      <c r="F1714"/>
    </row>
    <row r="1715" spans="6:6" outlineLevel="1">
      <c r="F1715"/>
    </row>
    <row r="1716" spans="6:6" outlineLevel="1">
      <c r="F1716"/>
    </row>
    <row r="1717" spans="6:6" outlineLevel="1">
      <c r="F1717"/>
    </row>
    <row r="1718" spans="6:6" outlineLevel="1">
      <c r="F1718"/>
    </row>
    <row r="1719" spans="6:6" outlineLevel="1">
      <c r="F1719"/>
    </row>
    <row r="1720" spans="6:6" outlineLevel="1">
      <c r="F1720"/>
    </row>
    <row r="1721" spans="6:6" outlineLevel="1">
      <c r="F1721"/>
    </row>
    <row r="1722" spans="6:6" outlineLevel="1">
      <c r="F1722"/>
    </row>
    <row r="1723" spans="6:6" outlineLevel="1">
      <c r="F1723"/>
    </row>
    <row r="1724" spans="6:6" outlineLevel="1">
      <c r="F1724"/>
    </row>
    <row r="1725" spans="6:6" outlineLevel="1">
      <c r="F1725"/>
    </row>
    <row r="1726" spans="6:6" outlineLevel="1">
      <c r="F1726"/>
    </row>
    <row r="1727" spans="6:6" outlineLevel="1">
      <c r="F1727"/>
    </row>
    <row r="1728" spans="6:6" outlineLevel="1">
      <c r="F1728"/>
    </row>
    <row r="1729" spans="6:6" outlineLevel="1">
      <c r="F1729"/>
    </row>
    <row r="1730" spans="6:6" outlineLevel="1">
      <c r="F1730"/>
    </row>
    <row r="1731" spans="6:6" outlineLevel="1">
      <c r="F1731"/>
    </row>
    <row r="1732" spans="6:6" outlineLevel="1">
      <c r="F1732"/>
    </row>
    <row r="1733" spans="6:6" outlineLevel="1">
      <c r="F1733"/>
    </row>
    <row r="1734" spans="6:6" outlineLevel="1">
      <c r="F1734"/>
    </row>
    <row r="1735" spans="6:6" outlineLevel="1">
      <c r="F1735"/>
    </row>
    <row r="1736" spans="6:6" outlineLevel="1">
      <c r="F1736"/>
    </row>
    <row r="1737" spans="6:6" outlineLevel="1">
      <c r="F1737"/>
    </row>
    <row r="1738" spans="6:6" outlineLevel="1">
      <c r="F1738"/>
    </row>
    <row r="1739" spans="6:6" outlineLevel="1">
      <c r="F1739"/>
    </row>
    <row r="1740" spans="6:6" outlineLevel="1">
      <c r="F1740"/>
    </row>
    <row r="1741" spans="6:6" outlineLevel="1">
      <c r="F1741"/>
    </row>
    <row r="1742" spans="6:6" outlineLevel="1">
      <c r="F1742"/>
    </row>
    <row r="1743" spans="6:6" outlineLevel="1">
      <c r="F1743"/>
    </row>
    <row r="1744" spans="6:6" outlineLevel="1">
      <c r="F1744"/>
    </row>
    <row r="1745" spans="6:6" outlineLevel="1">
      <c r="F1745"/>
    </row>
    <row r="1746" spans="6:6" outlineLevel="1">
      <c r="F1746"/>
    </row>
    <row r="1747" spans="6:6" outlineLevel="1">
      <c r="F1747"/>
    </row>
    <row r="1748" spans="6:6" outlineLevel="1">
      <c r="F1748"/>
    </row>
    <row r="1749" spans="6:6" outlineLevel="1">
      <c r="F1749"/>
    </row>
    <row r="1750" spans="6:6" outlineLevel="1">
      <c r="F1750"/>
    </row>
    <row r="1751" spans="6:6" outlineLevel="1">
      <c r="F1751"/>
    </row>
    <row r="1752" spans="6:6" outlineLevel="1">
      <c r="F1752"/>
    </row>
    <row r="1753" spans="6:6" outlineLevel="1">
      <c r="F1753"/>
    </row>
    <row r="1754" spans="6:6" outlineLevel="1">
      <c r="F1754"/>
    </row>
    <row r="1755" spans="6:6" outlineLevel="1">
      <c r="F1755"/>
    </row>
    <row r="1756" spans="6:6" outlineLevel="1">
      <c r="F1756"/>
    </row>
    <row r="1757" spans="6:6" outlineLevel="1">
      <c r="F1757"/>
    </row>
    <row r="1758" spans="6:6" outlineLevel="1">
      <c r="F1758"/>
    </row>
    <row r="1759" spans="6:6" outlineLevel="1">
      <c r="F1759"/>
    </row>
    <row r="1760" spans="6:6" outlineLevel="1">
      <c r="F1760"/>
    </row>
    <row r="1761" spans="6:6" outlineLevel="1">
      <c r="F1761"/>
    </row>
    <row r="1762" spans="6:6" outlineLevel="1">
      <c r="F1762"/>
    </row>
    <row r="1763" spans="6:6" outlineLevel="1">
      <c r="F1763"/>
    </row>
    <row r="1764" spans="6:6" outlineLevel="1">
      <c r="F1764"/>
    </row>
    <row r="1765" spans="6:6" outlineLevel="1">
      <c r="F1765"/>
    </row>
    <row r="1766" spans="6:6" outlineLevel="1">
      <c r="F1766"/>
    </row>
    <row r="1767" spans="6:6" outlineLevel="1">
      <c r="F1767"/>
    </row>
    <row r="1768" spans="6:6" outlineLevel="1">
      <c r="F1768"/>
    </row>
    <row r="1769" spans="6:6" outlineLevel="1">
      <c r="F1769"/>
    </row>
    <row r="1770" spans="6:6" outlineLevel="1">
      <c r="F1770"/>
    </row>
    <row r="1771" spans="6:6" outlineLevel="1">
      <c r="F1771"/>
    </row>
    <row r="1772" spans="6:6" outlineLevel="1">
      <c r="F1772"/>
    </row>
    <row r="1773" spans="6:6" outlineLevel="1">
      <c r="F1773"/>
    </row>
    <row r="1774" spans="6:6" outlineLevel="1">
      <c r="F1774"/>
    </row>
    <row r="1775" spans="6:6" outlineLevel="1">
      <c r="F1775"/>
    </row>
    <row r="1776" spans="6:6" outlineLevel="1">
      <c r="F1776"/>
    </row>
    <row r="1777" spans="6:6" outlineLevel="1">
      <c r="F1777"/>
    </row>
    <row r="1778" spans="6:6" outlineLevel="1">
      <c r="F1778"/>
    </row>
    <row r="1779" spans="6:6" outlineLevel="1">
      <c r="F1779"/>
    </row>
    <row r="1780" spans="6:6" outlineLevel="1">
      <c r="F1780"/>
    </row>
    <row r="1781" spans="6:6" outlineLevel="1">
      <c r="F1781"/>
    </row>
    <row r="1782" spans="6:6" outlineLevel="1">
      <c r="F1782"/>
    </row>
    <row r="1783" spans="6:6" outlineLevel="1">
      <c r="F1783"/>
    </row>
    <row r="1784" spans="6:6" outlineLevel="1">
      <c r="F1784"/>
    </row>
    <row r="1785" spans="6:6" outlineLevel="1">
      <c r="F1785"/>
    </row>
    <row r="1786" spans="6:6" outlineLevel="1">
      <c r="F1786"/>
    </row>
    <row r="1787" spans="6:6" outlineLevel="1">
      <c r="F1787"/>
    </row>
    <row r="1788" spans="6:6" outlineLevel="1">
      <c r="F1788"/>
    </row>
    <row r="1789" spans="6:6" outlineLevel="1">
      <c r="F1789"/>
    </row>
    <row r="1790" spans="6:6" outlineLevel="1">
      <c r="F1790"/>
    </row>
    <row r="1791" spans="6:6" outlineLevel="1">
      <c r="F1791"/>
    </row>
    <row r="1792" spans="6:6" outlineLevel="1">
      <c r="F1792"/>
    </row>
    <row r="1793" spans="6:6" outlineLevel="1">
      <c r="F1793"/>
    </row>
    <row r="1794" spans="6:6" outlineLevel="1">
      <c r="F1794"/>
    </row>
    <row r="1795" spans="6:6" outlineLevel="1">
      <c r="F1795"/>
    </row>
    <row r="1796" spans="6:6" outlineLevel="1">
      <c r="F1796"/>
    </row>
    <row r="1797" spans="6:6" outlineLevel="1">
      <c r="F1797"/>
    </row>
    <row r="1798" spans="6:6" outlineLevel="1">
      <c r="F1798"/>
    </row>
    <row r="1799" spans="6:6" outlineLevel="1">
      <c r="F1799"/>
    </row>
    <row r="1800" spans="6:6" outlineLevel="1">
      <c r="F1800"/>
    </row>
    <row r="1801" spans="6:6" outlineLevel="1">
      <c r="F1801"/>
    </row>
    <row r="1802" spans="6:6" outlineLevel="1">
      <c r="F1802"/>
    </row>
    <row r="1803" spans="6:6" outlineLevel="1">
      <c r="F1803"/>
    </row>
    <row r="1804" spans="6:6" outlineLevel="1">
      <c r="F1804"/>
    </row>
    <row r="1805" spans="6:6" outlineLevel="1">
      <c r="F1805"/>
    </row>
    <row r="1806" spans="6:6" outlineLevel="1">
      <c r="F1806"/>
    </row>
    <row r="1807" spans="6:6" outlineLevel="1">
      <c r="F1807"/>
    </row>
    <row r="1808" spans="6:6" outlineLevel="1">
      <c r="F1808"/>
    </row>
    <row r="1809" spans="6:6" outlineLevel="1">
      <c r="F1809"/>
    </row>
    <row r="1810" spans="6:6" outlineLevel="1">
      <c r="F1810"/>
    </row>
    <row r="1811" spans="6:6" outlineLevel="1">
      <c r="F1811"/>
    </row>
    <row r="1812" spans="6:6" outlineLevel="1">
      <c r="F1812"/>
    </row>
    <row r="1813" spans="6:6" outlineLevel="1">
      <c r="F1813"/>
    </row>
    <row r="1814" spans="6:6" outlineLevel="1">
      <c r="F1814"/>
    </row>
    <row r="1815" spans="6:6" outlineLevel="1">
      <c r="F1815"/>
    </row>
    <row r="1816" spans="6:6" outlineLevel="1">
      <c r="F1816"/>
    </row>
    <row r="1817" spans="6:6" outlineLevel="1">
      <c r="F1817"/>
    </row>
    <row r="1818" spans="6:6" outlineLevel="1">
      <c r="F1818"/>
    </row>
    <row r="1819" spans="6:6" outlineLevel="1">
      <c r="F1819"/>
    </row>
    <row r="1820" spans="6:6" outlineLevel="1">
      <c r="F1820"/>
    </row>
    <row r="1821" spans="6:6" outlineLevel="1">
      <c r="F1821"/>
    </row>
    <row r="1822" spans="6:6" outlineLevel="1">
      <c r="F1822"/>
    </row>
    <row r="1823" spans="6:6" outlineLevel="1">
      <c r="F1823"/>
    </row>
    <row r="1824" spans="6:6" outlineLevel="1">
      <c r="F1824"/>
    </row>
    <row r="1825" spans="6:6" outlineLevel="1">
      <c r="F1825"/>
    </row>
    <row r="1826" spans="6:6" outlineLevel="1">
      <c r="F1826"/>
    </row>
    <row r="1827" spans="6:6" outlineLevel="1">
      <c r="F1827"/>
    </row>
    <row r="1828" spans="6:6" outlineLevel="1">
      <c r="F1828"/>
    </row>
    <row r="1829" spans="6:6" outlineLevel="1">
      <c r="F1829"/>
    </row>
    <row r="1830" spans="6:6" outlineLevel="1">
      <c r="F1830"/>
    </row>
    <row r="1831" spans="6:6" outlineLevel="1">
      <c r="F1831"/>
    </row>
    <row r="1832" spans="6:6" outlineLevel="1">
      <c r="F1832"/>
    </row>
    <row r="1833" spans="6:6" outlineLevel="1">
      <c r="F1833"/>
    </row>
    <row r="1834" spans="6:6" outlineLevel="1">
      <c r="F1834"/>
    </row>
    <row r="1835" spans="6:6" outlineLevel="1">
      <c r="F1835"/>
    </row>
    <row r="1836" spans="6:6" outlineLevel="1">
      <c r="F1836"/>
    </row>
    <row r="1837" spans="6:6" outlineLevel="1">
      <c r="F1837"/>
    </row>
    <row r="1838" spans="6:6" outlineLevel="1">
      <c r="F1838"/>
    </row>
    <row r="1839" spans="6:6" outlineLevel="1">
      <c r="F1839"/>
    </row>
    <row r="1840" spans="6:6" outlineLevel="1">
      <c r="F1840"/>
    </row>
    <row r="1841" spans="6:6" outlineLevel="1">
      <c r="F1841"/>
    </row>
    <row r="1842" spans="6:6" outlineLevel="1">
      <c r="F1842"/>
    </row>
    <row r="1843" spans="6:6" outlineLevel="1">
      <c r="F1843"/>
    </row>
    <row r="1844" spans="6:6" outlineLevel="1">
      <c r="F1844"/>
    </row>
    <row r="1845" spans="6:6" outlineLevel="1">
      <c r="F1845"/>
    </row>
    <row r="1846" spans="6:6" outlineLevel="1">
      <c r="F1846"/>
    </row>
    <row r="1847" spans="6:6" outlineLevel="1">
      <c r="F1847"/>
    </row>
    <row r="1848" spans="6:6" outlineLevel="1">
      <c r="F1848"/>
    </row>
    <row r="1849" spans="6:6" outlineLevel="1">
      <c r="F1849"/>
    </row>
    <row r="1850" spans="6:6" outlineLevel="1">
      <c r="F1850"/>
    </row>
    <row r="1851" spans="6:6" outlineLevel="1">
      <c r="F1851"/>
    </row>
    <row r="1852" spans="6:6" outlineLevel="1">
      <c r="F1852"/>
    </row>
    <row r="1853" spans="6:6" outlineLevel="1">
      <c r="F1853"/>
    </row>
    <row r="1854" spans="6:6" outlineLevel="1">
      <c r="F1854"/>
    </row>
    <row r="1855" spans="6:6" outlineLevel="1">
      <c r="F1855"/>
    </row>
    <row r="1856" spans="6:6" outlineLevel="1">
      <c r="F1856"/>
    </row>
    <row r="1857" spans="6:6" outlineLevel="1">
      <c r="F1857"/>
    </row>
    <row r="1858" spans="6:6" outlineLevel="1">
      <c r="F1858"/>
    </row>
    <row r="1859" spans="6:6" outlineLevel="1">
      <c r="F1859"/>
    </row>
    <row r="1860" spans="6:6" outlineLevel="1">
      <c r="F1860"/>
    </row>
    <row r="1861" spans="6:6" outlineLevel="1">
      <c r="F1861"/>
    </row>
    <row r="1862" spans="6:6" outlineLevel="1">
      <c r="F1862"/>
    </row>
    <row r="1863" spans="6:6" outlineLevel="1">
      <c r="F1863"/>
    </row>
    <row r="1864" spans="6:6" outlineLevel="1">
      <c r="F1864"/>
    </row>
    <row r="1865" spans="6:6" outlineLevel="1">
      <c r="F1865"/>
    </row>
    <row r="1866" spans="6:6" outlineLevel="1">
      <c r="F1866"/>
    </row>
    <row r="1867" spans="6:6" outlineLevel="1">
      <c r="F1867"/>
    </row>
    <row r="1868" spans="6:6" outlineLevel="1">
      <c r="F1868"/>
    </row>
    <row r="1869" spans="6:6" outlineLevel="1">
      <c r="F1869"/>
    </row>
    <row r="1870" spans="6:6" outlineLevel="1">
      <c r="F1870"/>
    </row>
    <row r="1871" spans="6:6" outlineLevel="1">
      <c r="F1871"/>
    </row>
    <row r="1872" spans="6:6" outlineLevel="1">
      <c r="F1872"/>
    </row>
    <row r="1873" spans="6:6" outlineLevel="1">
      <c r="F1873"/>
    </row>
    <row r="1874" spans="6:6" outlineLevel="1">
      <c r="F1874"/>
    </row>
    <row r="1875" spans="6:6" outlineLevel="1">
      <c r="F1875"/>
    </row>
    <row r="1876" spans="6:6" outlineLevel="1">
      <c r="F1876"/>
    </row>
    <row r="1877" spans="6:6" outlineLevel="1">
      <c r="F1877"/>
    </row>
    <row r="1878" spans="6:6" outlineLevel="1">
      <c r="F1878"/>
    </row>
    <row r="1879" spans="6:6" outlineLevel="1">
      <c r="F1879"/>
    </row>
    <row r="1880" spans="6:6" outlineLevel="1">
      <c r="F1880"/>
    </row>
    <row r="1881" spans="6:6" outlineLevel="1">
      <c r="F1881"/>
    </row>
    <row r="1882" spans="6:6" outlineLevel="1">
      <c r="F1882"/>
    </row>
    <row r="1883" spans="6:6" outlineLevel="1">
      <c r="F1883"/>
    </row>
    <row r="1884" spans="6:6" outlineLevel="1">
      <c r="F1884"/>
    </row>
    <row r="1885" spans="6:6" outlineLevel="1">
      <c r="F1885"/>
    </row>
    <row r="1886" spans="6:6" outlineLevel="1">
      <c r="F1886"/>
    </row>
    <row r="1887" spans="6:6" outlineLevel="1">
      <c r="F1887"/>
    </row>
    <row r="1888" spans="6:6" outlineLevel="1">
      <c r="F1888"/>
    </row>
    <row r="1889" spans="6:6" outlineLevel="1">
      <c r="F1889"/>
    </row>
    <row r="1890" spans="6:6" outlineLevel="1">
      <c r="F1890"/>
    </row>
    <row r="1891" spans="6:6" outlineLevel="1">
      <c r="F1891"/>
    </row>
    <row r="1892" spans="6:6" outlineLevel="1">
      <c r="F1892"/>
    </row>
    <row r="1893" spans="6:6" outlineLevel="1">
      <c r="F1893"/>
    </row>
    <row r="1894" spans="6:6" outlineLevel="1">
      <c r="F1894"/>
    </row>
    <row r="1895" spans="6:6" outlineLevel="1">
      <c r="F1895"/>
    </row>
    <row r="1896" spans="6:6" outlineLevel="1">
      <c r="F1896"/>
    </row>
    <row r="1897" spans="6:6" outlineLevel="1">
      <c r="F1897"/>
    </row>
    <row r="1898" spans="6:6" outlineLevel="1">
      <c r="F1898"/>
    </row>
    <row r="1899" spans="6:6" outlineLevel="1">
      <c r="F1899"/>
    </row>
    <row r="1900" spans="6:6" outlineLevel="1">
      <c r="F1900"/>
    </row>
    <row r="1901" spans="6:6" outlineLevel="1">
      <c r="F1901"/>
    </row>
    <row r="1902" spans="6:6" outlineLevel="1">
      <c r="F1902"/>
    </row>
    <row r="1903" spans="6:6" outlineLevel="1">
      <c r="F1903"/>
    </row>
    <row r="1904" spans="6:6" outlineLevel="1">
      <c r="F1904"/>
    </row>
    <row r="1905" spans="6:6" outlineLevel="1">
      <c r="F1905"/>
    </row>
    <row r="1906" spans="6:6" outlineLevel="1">
      <c r="F1906"/>
    </row>
    <row r="1907" spans="6:6" outlineLevel="1">
      <c r="F1907"/>
    </row>
    <row r="1908" spans="6:6" outlineLevel="1">
      <c r="F1908"/>
    </row>
    <row r="1909" spans="6:6" outlineLevel="1">
      <c r="F1909"/>
    </row>
    <row r="1910" spans="6:6" outlineLevel="1">
      <c r="F1910"/>
    </row>
    <row r="1911" spans="6:6" outlineLevel="1">
      <c r="F1911"/>
    </row>
    <row r="1912" spans="6:6" outlineLevel="1">
      <c r="F1912"/>
    </row>
    <row r="1913" spans="6:6" outlineLevel="1">
      <c r="F1913"/>
    </row>
    <row r="1914" spans="6:6" outlineLevel="1">
      <c r="F1914"/>
    </row>
    <row r="1915" spans="6:6" outlineLevel="1">
      <c r="F1915"/>
    </row>
    <row r="1916" spans="6:6" outlineLevel="1">
      <c r="F1916"/>
    </row>
    <row r="1917" spans="6:6" outlineLevel="1">
      <c r="F1917"/>
    </row>
    <row r="1918" spans="6:6" outlineLevel="1">
      <c r="F1918"/>
    </row>
    <row r="1919" spans="6:6" outlineLevel="1">
      <c r="F1919"/>
    </row>
    <row r="1920" spans="6:6" outlineLevel="1">
      <c r="F1920"/>
    </row>
    <row r="1921" spans="6:6" outlineLevel="1">
      <c r="F1921"/>
    </row>
    <row r="1922" spans="6:6" outlineLevel="1">
      <c r="F1922"/>
    </row>
    <row r="1923" spans="6:6" outlineLevel="1">
      <c r="F1923"/>
    </row>
    <row r="1924" spans="6:6" outlineLevel="1">
      <c r="F1924"/>
    </row>
    <row r="1925" spans="6:6" outlineLevel="1">
      <c r="F1925"/>
    </row>
    <row r="1926" spans="6:6" outlineLevel="1">
      <c r="F1926"/>
    </row>
    <row r="1927" spans="6:6" outlineLevel="1">
      <c r="F1927"/>
    </row>
    <row r="1928" spans="6:6" outlineLevel="1">
      <c r="F1928"/>
    </row>
    <row r="1929" spans="6:6" outlineLevel="1">
      <c r="F1929"/>
    </row>
    <row r="1930" spans="6:6" outlineLevel="1">
      <c r="F1930"/>
    </row>
    <row r="1931" spans="6:6" outlineLevel="1">
      <c r="F1931"/>
    </row>
    <row r="1932" spans="6:6" outlineLevel="1">
      <c r="F1932"/>
    </row>
    <row r="1933" spans="6:6" outlineLevel="1">
      <c r="F1933"/>
    </row>
    <row r="1934" spans="6:6" outlineLevel="1">
      <c r="F1934"/>
    </row>
    <row r="1935" spans="6:6" outlineLevel="1">
      <c r="F1935"/>
    </row>
    <row r="1936" spans="6:6" outlineLevel="1">
      <c r="F1936"/>
    </row>
    <row r="1937" spans="6:6" outlineLevel="1">
      <c r="F1937"/>
    </row>
    <row r="1938" spans="6:6" outlineLevel="1">
      <c r="F1938"/>
    </row>
    <row r="1939" spans="6:6" outlineLevel="1">
      <c r="F1939"/>
    </row>
    <row r="1940" spans="6:6" outlineLevel="1">
      <c r="F1940"/>
    </row>
    <row r="1941" spans="6:6" outlineLevel="1">
      <c r="F1941"/>
    </row>
    <row r="1942" spans="6:6" outlineLevel="1">
      <c r="F1942"/>
    </row>
    <row r="1943" spans="6:6" outlineLevel="1">
      <c r="F1943"/>
    </row>
    <row r="1944" spans="6:6" outlineLevel="1">
      <c r="F1944"/>
    </row>
    <row r="1945" spans="6:6" outlineLevel="1">
      <c r="F1945"/>
    </row>
    <row r="1946" spans="6:6" outlineLevel="1">
      <c r="F1946"/>
    </row>
    <row r="1947" spans="6:6" outlineLevel="1">
      <c r="F1947"/>
    </row>
    <row r="1948" spans="6:6" outlineLevel="1">
      <c r="F1948"/>
    </row>
    <row r="1949" spans="6:6" outlineLevel="1">
      <c r="F1949"/>
    </row>
    <row r="1950" spans="6:6" outlineLevel="1">
      <c r="F1950"/>
    </row>
    <row r="1951" spans="6:6" outlineLevel="1">
      <c r="F1951"/>
    </row>
    <row r="1952" spans="6:6" outlineLevel="1">
      <c r="F1952"/>
    </row>
    <row r="1953" spans="6:6" outlineLevel="1">
      <c r="F1953"/>
    </row>
    <row r="1954" spans="6:6" outlineLevel="1">
      <c r="F1954"/>
    </row>
    <row r="1955" spans="6:6" outlineLevel="1">
      <c r="F1955"/>
    </row>
    <row r="1956" spans="6:6" outlineLevel="1">
      <c r="F1956"/>
    </row>
    <row r="1957" spans="6:6" outlineLevel="1">
      <c r="F1957"/>
    </row>
    <row r="1958" spans="6:6" outlineLevel="1">
      <c r="F1958"/>
    </row>
    <row r="1959" spans="6:6" outlineLevel="1">
      <c r="F1959"/>
    </row>
    <row r="1960" spans="6:6" outlineLevel="1">
      <c r="F1960"/>
    </row>
    <row r="1961" spans="6:6" outlineLevel="1">
      <c r="F1961"/>
    </row>
    <row r="1962" spans="6:6" outlineLevel="1">
      <c r="F1962"/>
    </row>
    <row r="1963" spans="6:6" outlineLevel="1">
      <c r="F1963"/>
    </row>
    <row r="1964" spans="6:6" outlineLevel="1">
      <c r="F1964"/>
    </row>
    <row r="1965" spans="6:6" outlineLevel="1">
      <c r="F1965"/>
    </row>
    <row r="1966" spans="6:6" outlineLevel="1">
      <c r="F1966"/>
    </row>
    <row r="1967" spans="6:6" outlineLevel="1">
      <c r="F1967"/>
    </row>
    <row r="1968" spans="6:6" outlineLevel="1">
      <c r="F1968"/>
    </row>
    <row r="1969" spans="6:6" outlineLevel="1">
      <c r="F1969"/>
    </row>
    <row r="1970" spans="6:6" outlineLevel="1">
      <c r="F1970"/>
    </row>
    <row r="1971" spans="6:6" outlineLevel="1">
      <c r="F1971"/>
    </row>
    <row r="1972" spans="6:6" outlineLevel="1">
      <c r="F1972"/>
    </row>
    <row r="1973" spans="6:6" outlineLevel="1">
      <c r="F1973"/>
    </row>
    <row r="1974" spans="6:6" outlineLevel="1">
      <c r="F1974"/>
    </row>
    <row r="1975" spans="6:6" outlineLevel="1">
      <c r="F1975"/>
    </row>
    <row r="1976" spans="6:6" outlineLevel="1">
      <c r="F1976"/>
    </row>
    <row r="1977" spans="6:6" outlineLevel="1">
      <c r="F1977"/>
    </row>
    <row r="1978" spans="6:6" outlineLevel="1">
      <c r="F1978"/>
    </row>
    <row r="1979" spans="6:6" outlineLevel="1">
      <c r="F1979"/>
    </row>
    <row r="1980" spans="6:6" outlineLevel="1">
      <c r="F1980"/>
    </row>
    <row r="1981" spans="6:6" outlineLevel="1">
      <c r="F1981"/>
    </row>
    <row r="1982" spans="6:6" outlineLevel="1">
      <c r="F1982"/>
    </row>
    <row r="1983" spans="6:6" outlineLevel="1">
      <c r="F1983"/>
    </row>
    <row r="1984" spans="6:6" outlineLevel="1">
      <c r="F1984"/>
    </row>
    <row r="1985" spans="6:6" outlineLevel="1">
      <c r="F1985"/>
    </row>
    <row r="1986" spans="6:6" outlineLevel="1">
      <c r="F1986"/>
    </row>
    <row r="1987" spans="6:6" outlineLevel="1">
      <c r="F1987"/>
    </row>
    <row r="1988" spans="6:6" outlineLevel="1">
      <c r="F1988"/>
    </row>
    <row r="1989" spans="6:6" outlineLevel="1">
      <c r="F1989"/>
    </row>
    <row r="1990" spans="6:6" outlineLevel="1">
      <c r="F1990"/>
    </row>
    <row r="1991" spans="6:6" outlineLevel="1">
      <c r="F1991"/>
    </row>
    <row r="1992" spans="6:6" outlineLevel="1">
      <c r="F1992"/>
    </row>
    <row r="1993" spans="6:6" outlineLevel="1">
      <c r="F1993"/>
    </row>
    <row r="1994" spans="6:6" outlineLevel="1">
      <c r="F1994"/>
    </row>
    <row r="1995" spans="6:6" outlineLevel="1">
      <c r="F1995"/>
    </row>
    <row r="1996" spans="6:6" outlineLevel="1">
      <c r="F1996"/>
    </row>
    <row r="1997" spans="6:6" outlineLevel="1">
      <c r="F1997"/>
    </row>
    <row r="1998" spans="6:6" outlineLevel="1">
      <c r="F1998"/>
    </row>
    <row r="1999" spans="6:6" outlineLevel="1">
      <c r="F1999"/>
    </row>
    <row r="2000" spans="6:6" outlineLevel="1">
      <c r="F2000"/>
    </row>
    <row r="2001" spans="6:6" outlineLevel="1">
      <c r="F2001"/>
    </row>
    <row r="2002" spans="6:6" outlineLevel="1">
      <c r="F2002"/>
    </row>
    <row r="2003" spans="6:6" outlineLevel="1">
      <c r="F2003"/>
    </row>
    <row r="2004" spans="6:6" outlineLevel="1">
      <c r="F2004"/>
    </row>
    <row r="2005" spans="6:6" outlineLevel="1">
      <c r="F2005"/>
    </row>
    <row r="2006" spans="6:6" outlineLevel="1">
      <c r="F2006"/>
    </row>
    <row r="2007" spans="6:6" outlineLevel="1">
      <c r="F2007"/>
    </row>
    <row r="2008" spans="6:6" outlineLevel="1">
      <c r="F2008"/>
    </row>
    <row r="2009" spans="6:6" outlineLevel="1">
      <c r="F2009"/>
    </row>
    <row r="2010" spans="6:6" outlineLevel="1">
      <c r="F2010"/>
    </row>
    <row r="2011" spans="6:6" outlineLevel="1">
      <c r="F2011"/>
    </row>
    <row r="2012" spans="6:6" outlineLevel="1">
      <c r="F2012"/>
    </row>
    <row r="2013" spans="6:6" outlineLevel="1">
      <c r="F2013"/>
    </row>
    <row r="2014" spans="6:6" outlineLevel="1">
      <c r="F2014"/>
    </row>
    <row r="2015" spans="6:6" outlineLevel="1">
      <c r="F2015"/>
    </row>
    <row r="2016" spans="6:6" outlineLevel="1">
      <c r="F2016"/>
    </row>
    <row r="2017" spans="6:6" outlineLevel="1">
      <c r="F2017"/>
    </row>
    <row r="2018" spans="6:6" outlineLevel="1">
      <c r="F2018"/>
    </row>
    <row r="2019" spans="6:6" outlineLevel="1">
      <c r="F2019"/>
    </row>
    <row r="2020" spans="6:6" outlineLevel="1">
      <c r="F2020"/>
    </row>
    <row r="2021" spans="6:6" outlineLevel="1">
      <c r="F2021"/>
    </row>
    <row r="2022" spans="6:6" outlineLevel="1">
      <c r="F2022"/>
    </row>
    <row r="2023" spans="6:6" outlineLevel="1">
      <c r="F2023"/>
    </row>
    <row r="2024" spans="6:6" outlineLevel="1">
      <c r="F2024"/>
    </row>
    <row r="2025" spans="6:6" outlineLevel="1">
      <c r="F2025"/>
    </row>
    <row r="2026" spans="6:6" outlineLevel="1">
      <c r="F2026"/>
    </row>
    <row r="2027" spans="6:6" outlineLevel="1">
      <c r="F2027"/>
    </row>
    <row r="2028" spans="6:6" outlineLevel="1">
      <c r="F2028"/>
    </row>
    <row r="2029" spans="6:6" outlineLevel="1">
      <c r="F2029"/>
    </row>
    <row r="2030" spans="6:6" outlineLevel="1">
      <c r="F2030"/>
    </row>
    <row r="2031" spans="6:6" outlineLevel="1">
      <c r="F2031"/>
    </row>
    <row r="2032" spans="6:6" outlineLevel="1">
      <c r="F2032"/>
    </row>
    <row r="2033" spans="6:6" outlineLevel="1">
      <c r="F2033"/>
    </row>
    <row r="2034" spans="6:6" outlineLevel="1">
      <c r="F2034"/>
    </row>
    <row r="2035" spans="6:6" outlineLevel="1">
      <c r="F2035"/>
    </row>
    <row r="2036" spans="6:6" outlineLevel="1">
      <c r="F2036"/>
    </row>
    <row r="2037" spans="6:6" outlineLevel="1">
      <c r="F2037"/>
    </row>
    <row r="2038" spans="6:6" outlineLevel="1">
      <c r="F2038"/>
    </row>
    <row r="2039" spans="6:6" outlineLevel="1">
      <c r="F2039"/>
    </row>
    <row r="2040" spans="6:6" outlineLevel="1">
      <c r="F2040"/>
    </row>
    <row r="2041" spans="6:6" outlineLevel="1">
      <c r="F2041"/>
    </row>
    <row r="2042" spans="6:6" outlineLevel="1">
      <c r="F2042"/>
    </row>
    <row r="2043" spans="6:6" outlineLevel="1">
      <c r="F2043"/>
    </row>
    <row r="2044" spans="6:6" outlineLevel="1">
      <c r="F2044"/>
    </row>
    <row r="2045" spans="6:6" outlineLevel="1">
      <c r="F2045"/>
    </row>
    <row r="2046" spans="6:6" outlineLevel="1">
      <c r="F2046"/>
    </row>
    <row r="2047" spans="6:6" outlineLevel="1">
      <c r="F2047"/>
    </row>
    <row r="2048" spans="6:6" outlineLevel="1">
      <c r="F2048"/>
    </row>
    <row r="2049" spans="6:6" outlineLevel="1">
      <c r="F2049"/>
    </row>
    <row r="2050" spans="6:6" outlineLevel="1">
      <c r="F2050"/>
    </row>
    <row r="2051" spans="6:6" outlineLevel="1">
      <c r="F2051"/>
    </row>
    <row r="2052" spans="6:6" outlineLevel="1">
      <c r="F2052"/>
    </row>
    <row r="2053" spans="6:6" outlineLevel="1">
      <c r="F2053"/>
    </row>
    <row r="2054" spans="6:6" outlineLevel="1">
      <c r="F2054"/>
    </row>
    <row r="2055" spans="6:6" outlineLevel="1">
      <c r="F2055"/>
    </row>
    <row r="2056" spans="6:6" outlineLevel="1">
      <c r="F2056"/>
    </row>
    <row r="2057" spans="6:6" outlineLevel="1">
      <c r="F2057"/>
    </row>
    <row r="2058" spans="6:6" outlineLevel="1">
      <c r="F2058"/>
    </row>
    <row r="2059" spans="6:6" outlineLevel="1">
      <c r="F2059"/>
    </row>
    <row r="2060" spans="6:6" outlineLevel="1">
      <c r="F2060"/>
    </row>
    <row r="2061" spans="6:6" outlineLevel="1">
      <c r="F2061"/>
    </row>
    <row r="2062" spans="6:6" outlineLevel="1">
      <c r="F2062"/>
    </row>
    <row r="2063" spans="6:6" outlineLevel="1">
      <c r="F2063"/>
    </row>
    <row r="2064" spans="6:6" outlineLevel="1">
      <c r="F2064"/>
    </row>
    <row r="2065" spans="6:6" outlineLevel="1">
      <c r="F2065"/>
    </row>
    <row r="2066" spans="6:6" outlineLevel="1">
      <c r="F2066"/>
    </row>
    <row r="2067" spans="6:6" outlineLevel="1">
      <c r="F2067"/>
    </row>
    <row r="2068" spans="6:6" outlineLevel="1">
      <c r="F2068"/>
    </row>
    <row r="2069" spans="6:6" outlineLevel="1">
      <c r="F2069"/>
    </row>
    <row r="2070" spans="6:6" outlineLevel="1">
      <c r="F2070"/>
    </row>
    <row r="2071" spans="6:6" outlineLevel="1">
      <c r="F2071"/>
    </row>
    <row r="2072" spans="6:6" outlineLevel="1">
      <c r="F2072"/>
    </row>
    <row r="2073" spans="6:6" outlineLevel="1">
      <c r="F2073"/>
    </row>
    <row r="2074" spans="6:6" outlineLevel="1">
      <c r="F2074"/>
    </row>
    <row r="2075" spans="6:6" outlineLevel="1">
      <c r="F2075"/>
    </row>
    <row r="2076" spans="6:6" outlineLevel="1">
      <c r="F2076"/>
    </row>
    <row r="2077" spans="6:6" outlineLevel="1">
      <c r="F2077"/>
    </row>
    <row r="2078" spans="6:6" outlineLevel="1">
      <c r="F2078"/>
    </row>
    <row r="2079" spans="6:6" outlineLevel="1">
      <c r="F2079"/>
    </row>
    <row r="2080" spans="6:6" outlineLevel="1">
      <c r="F2080"/>
    </row>
    <row r="2081" spans="6:6" outlineLevel="1">
      <c r="F2081"/>
    </row>
    <row r="2082" spans="6:6" outlineLevel="1">
      <c r="F2082"/>
    </row>
    <row r="2083" spans="6:6" outlineLevel="1">
      <c r="F2083"/>
    </row>
    <row r="2084" spans="6:6" outlineLevel="1">
      <c r="F2084"/>
    </row>
    <row r="2085" spans="6:6" outlineLevel="1">
      <c r="F2085"/>
    </row>
    <row r="2086" spans="6:6" outlineLevel="1">
      <c r="F2086"/>
    </row>
    <row r="2087" spans="6:6" outlineLevel="1">
      <c r="F2087"/>
    </row>
    <row r="2088" spans="6:6" outlineLevel="1">
      <c r="F2088"/>
    </row>
    <row r="2089" spans="6:6" outlineLevel="1">
      <c r="F2089"/>
    </row>
    <row r="2090" spans="6:6" outlineLevel="1">
      <c r="F2090"/>
    </row>
    <row r="2091" spans="6:6" outlineLevel="1">
      <c r="F2091"/>
    </row>
    <row r="2092" spans="6:6" outlineLevel="1">
      <c r="F2092"/>
    </row>
    <row r="2093" spans="6:6" outlineLevel="1">
      <c r="F2093"/>
    </row>
    <row r="2094" spans="6:6" outlineLevel="1">
      <c r="F2094"/>
    </row>
    <row r="2095" spans="6:6" outlineLevel="1">
      <c r="F2095"/>
    </row>
    <row r="2096" spans="6:6" outlineLevel="1">
      <c r="F2096"/>
    </row>
    <row r="2097" spans="6:6" outlineLevel="1">
      <c r="F2097"/>
    </row>
    <row r="2098" spans="6:6" outlineLevel="1">
      <c r="F2098"/>
    </row>
    <row r="2099" spans="6:6" outlineLevel="1">
      <c r="F2099"/>
    </row>
    <row r="2100" spans="6:6" outlineLevel="1">
      <c r="F2100"/>
    </row>
    <row r="2101" spans="6:6" outlineLevel="1">
      <c r="F2101"/>
    </row>
    <row r="2102" spans="6:6" outlineLevel="1">
      <c r="F2102"/>
    </row>
    <row r="2103" spans="6:6" outlineLevel="1">
      <c r="F2103"/>
    </row>
    <row r="2104" spans="6:6" outlineLevel="1">
      <c r="F2104"/>
    </row>
    <row r="2105" spans="6:6" outlineLevel="1">
      <c r="F2105"/>
    </row>
    <row r="2106" spans="6:6" outlineLevel="1">
      <c r="F2106"/>
    </row>
    <row r="2107" spans="6:6" outlineLevel="1">
      <c r="F2107"/>
    </row>
    <row r="2108" spans="6:6" outlineLevel="1">
      <c r="F2108"/>
    </row>
    <row r="2109" spans="6:6" outlineLevel="1">
      <c r="F2109"/>
    </row>
    <row r="2110" spans="6:6" outlineLevel="1">
      <c r="F2110"/>
    </row>
    <row r="2111" spans="6:6" outlineLevel="1">
      <c r="F2111"/>
    </row>
    <row r="2112" spans="6:6" outlineLevel="1">
      <c r="F2112"/>
    </row>
    <row r="2113" spans="6:6" outlineLevel="1">
      <c r="F2113"/>
    </row>
    <row r="2114" spans="6:6" outlineLevel="1">
      <c r="F2114"/>
    </row>
    <row r="2115" spans="6:6" outlineLevel="1">
      <c r="F2115"/>
    </row>
    <row r="2116" spans="6:6" outlineLevel="1">
      <c r="F2116"/>
    </row>
    <row r="2117" spans="6:6" outlineLevel="1">
      <c r="F2117"/>
    </row>
    <row r="2118" spans="6:6" outlineLevel="1">
      <c r="F2118"/>
    </row>
    <row r="2119" spans="6:6" outlineLevel="1">
      <c r="F2119"/>
    </row>
    <row r="2120" spans="6:6" outlineLevel="1">
      <c r="F2120"/>
    </row>
    <row r="2121" spans="6:6" outlineLevel="1">
      <c r="F2121"/>
    </row>
    <row r="2122" spans="6:6" outlineLevel="1">
      <c r="F2122"/>
    </row>
    <row r="2123" spans="6:6" outlineLevel="1">
      <c r="F2123"/>
    </row>
    <row r="2124" spans="6:6" outlineLevel="1">
      <c r="F2124"/>
    </row>
    <row r="2125" spans="6:6" outlineLevel="1">
      <c r="F2125"/>
    </row>
    <row r="2126" spans="6:6" outlineLevel="1">
      <c r="F2126"/>
    </row>
    <row r="2127" spans="6:6" outlineLevel="1">
      <c r="F2127"/>
    </row>
    <row r="2128" spans="6:6" outlineLevel="1">
      <c r="F2128"/>
    </row>
    <row r="2129" spans="6:6" outlineLevel="1">
      <c r="F2129"/>
    </row>
    <row r="2130" spans="6:6" outlineLevel="1">
      <c r="F2130"/>
    </row>
    <row r="2131" spans="6:6" outlineLevel="1">
      <c r="F2131"/>
    </row>
    <row r="2132" spans="6:6" outlineLevel="1">
      <c r="F2132"/>
    </row>
    <row r="2133" spans="6:6" outlineLevel="1">
      <c r="F2133"/>
    </row>
    <row r="2134" spans="6:6" outlineLevel="1">
      <c r="F2134"/>
    </row>
    <row r="2135" spans="6:6" outlineLevel="1">
      <c r="F2135"/>
    </row>
    <row r="2136" spans="6:6" outlineLevel="1">
      <c r="F2136"/>
    </row>
    <row r="2137" spans="6:6" outlineLevel="1">
      <c r="F2137"/>
    </row>
    <row r="2138" spans="6:6" outlineLevel="1">
      <c r="F2138"/>
    </row>
    <row r="2139" spans="6:6" outlineLevel="1">
      <c r="F2139"/>
    </row>
    <row r="2140" spans="6:6" outlineLevel="1">
      <c r="F2140"/>
    </row>
    <row r="2141" spans="6:6" outlineLevel="1">
      <c r="F2141"/>
    </row>
    <row r="2142" spans="6:6" outlineLevel="1">
      <c r="F2142"/>
    </row>
    <row r="2143" spans="6:6" outlineLevel="1">
      <c r="F2143"/>
    </row>
    <row r="2144" spans="6:6" outlineLevel="1">
      <c r="F2144"/>
    </row>
    <row r="2145" spans="6:6" outlineLevel="1">
      <c r="F2145"/>
    </row>
    <row r="2146" spans="6:6" outlineLevel="1">
      <c r="F2146"/>
    </row>
    <row r="2147" spans="6:6" outlineLevel="1">
      <c r="F2147"/>
    </row>
    <row r="2148" spans="6:6" outlineLevel="1">
      <c r="F2148"/>
    </row>
    <row r="2149" spans="6:6" outlineLevel="1">
      <c r="F2149"/>
    </row>
    <row r="2150" spans="6:6" outlineLevel="1">
      <c r="F2150"/>
    </row>
    <row r="2151" spans="6:6" outlineLevel="1">
      <c r="F2151"/>
    </row>
    <row r="2152" spans="6:6" outlineLevel="1">
      <c r="F2152"/>
    </row>
    <row r="2153" spans="6:6" outlineLevel="1">
      <c r="F2153"/>
    </row>
    <row r="2154" spans="6:6" outlineLevel="1">
      <c r="F2154"/>
    </row>
    <row r="2155" spans="6:6" outlineLevel="1">
      <c r="F2155"/>
    </row>
    <row r="2156" spans="6:6" outlineLevel="1">
      <c r="F2156"/>
    </row>
    <row r="2157" spans="6:6" outlineLevel="1">
      <c r="F2157"/>
    </row>
    <row r="2158" spans="6:6" outlineLevel="1">
      <c r="F2158"/>
    </row>
    <row r="2159" spans="6:6" outlineLevel="1">
      <c r="F2159"/>
    </row>
    <row r="2160" spans="6:6" outlineLevel="1">
      <c r="F2160"/>
    </row>
    <row r="2161" spans="6:6" outlineLevel="1">
      <c r="F2161"/>
    </row>
    <row r="2162" spans="6:6" outlineLevel="1">
      <c r="F2162"/>
    </row>
    <row r="2163" spans="6:6" outlineLevel="1">
      <c r="F2163"/>
    </row>
    <row r="2164" spans="6:6" outlineLevel="1">
      <c r="F2164"/>
    </row>
    <row r="2165" spans="6:6" outlineLevel="1">
      <c r="F2165"/>
    </row>
    <row r="2166" spans="6:6" outlineLevel="1">
      <c r="F2166"/>
    </row>
    <row r="2167" spans="6:6" outlineLevel="1">
      <c r="F2167"/>
    </row>
    <row r="2168" spans="6:6" outlineLevel="1">
      <c r="F2168"/>
    </row>
    <row r="2169" spans="6:6" outlineLevel="1">
      <c r="F2169"/>
    </row>
    <row r="2170" spans="6:6" outlineLevel="1">
      <c r="F2170"/>
    </row>
    <row r="2171" spans="6:6" outlineLevel="1">
      <c r="F2171"/>
    </row>
    <row r="2172" spans="6:6" outlineLevel="1">
      <c r="F2172"/>
    </row>
    <row r="2173" spans="6:6" outlineLevel="1">
      <c r="F2173"/>
    </row>
    <row r="2174" spans="6:6" outlineLevel="1">
      <c r="F2174"/>
    </row>
    <row r="2175" spans="6:6" outlineLevel="1">
      <c r="F2175"/>
    </row>
    <row r="2176" spans="6:6" outlineLevel="1">
      <c r="F2176"/>
    </row>
    <row r="2177" spans="6:6" outlineLevel="1">
      <c r="F2177"/>
    </row>
    <row r="2178" spans="6:6" outlineLevel="1">
      <c r="F2178"/>
    </row>
    <row r="2179" spans="6:6" outlineLevel="1">
      <c r="F2179"/>
    </row>
    <row r="2180" spans="6:6" outlineLevel="1">
      <c r="F2180"/>
    </row>
    <row r="2181" spans="6:6" outlineLevel="1">
      <c r="F2181"/>
    </row>
    <row r="2182" spans="6:6" outlineLevel="1">
      <c r="F2182"/>
    </row>
    <row r="2183" spans="6:6" outlineLevel="1">
      <c r="F2183"/>
    </row>
    <row r="2184" spans="6:6" outlineLevel="1">
      <c r="F2184"/>
    </row>
    <row r="2185" spans="6:6" outlineLevel="1">
      <c r="F2185"/>
    </row>
    <row r="2186" spans="6:6" outlineLevel="1">
      <c r="F2186"/>
    </row>
    <row r="2187" spans="6:6" outlineLevel="1">
      <c r="F2187"/>
    </row>
    <row r="2188" spans="6:6" outlineLevel="1">
      <c r="F2188"/>
    </row>
    <row r="2189" spans="6:6" outlineLevel="1">
      <c r="F2189"/>
    </row>
    <row r="2190" spans="6:6" outlineLevel="1">
      <c r="F2190"/>
    </row>
    <row r="2191" spans="6:6" outlineLevel="1">
      <c r="F2191"/>
    </row>
    <row r="2192" spans="6:6" outlineLevel="1">
      <c r="F2192"/>
    </row>
    <row r="2193" spans="6:6" outlineLevel="1">
      <c r="F2193"/>
    </row>
    <row r="2194" spans="6:6" outlineLevel="1">
      <c r="F2194"/>
    </row>
    <row r="2195" spans="6:6" outlineLevel="1">
      <c r="F2195"/>
    </row>
    <row r="2196" spans="6:6" outlineLevel="1">
      <c r="F2196"/>
    </row>
    <row r="2197" spans="6:6" outlineLevel="1">
      <c r="F2197"/>
    </row>
    <row r="2198" spans="6:6" outlineLevel="1">
      <c r="F2198"/>
    </row>
    <row r="2199" spans="6:6" outlineLevel="1">
      <c r="F2199"/>
    </row>
    <row r="2200" spans="6:6" outlineLevel="1">
      <c r="F2200"/>
    </row>
    <row r="2201" spans="6:6" outlineLevel="1">
      <c r="F2201"/>
    </row>
    <row r="2202" spans="6:6" outlineLevel="1">
      <c r="F2202"/>
    </row>
    <row r="2203" spans="6:6" outlineLevel="1">
      <c r="F2203"/>
    </row>
    <row r="2204" spans="6:6" outlineLevel="1">
      <c r="F2204"/>
    </row>
    <row r="2205" spans="6:6" outlineLevel="1">
      <c r="F2205"/>
    </row>
    <row r="2206" spans="6:6" outlineLevel="1">
      <c r="F2206"/>
    </row>
    <row r="2207" spans="6:6" outlineLevel="1">
      <c r="F2207"/>
    </row>
    <row r="2208" spans="6:6" outlineLevel="1">
      <c r="F2208"/>
    </row>
    <row r="2209" spans="6:6" outlineLevel="1">
      <c r="F2209"/>
    </row>
    <row r="2210" spans="6:6" outlineLevel="1">
      <c r="F2210"/>
    </row>
    <row r="2211" spans="6:6" outlineLevel="1">
      <c r="F2211"/>
    </row>
    <row r="2212" spans="6:6" outlineLevel="1">
      <c r="F2212"/>
    </row>
    <row r="2213" spans="6:6" outlineLevel="1">
      <c r="F2213"/>
    </row>
    <row r="2214" spans="6:6" outlineLevel="1">
      <c r="F2214"/>
    </row>
    <row r="2215" spans="6:6" outlineLevel="1">
      <c r="F2215"/>
    </row>
    <row r="2216" spans="6:6" outlineLevel="1">
      <c r="F2216"/>
    </row>
    <row r="2217" spans="6:6" outlineLevel="1">
      <c r="F2217"/>
    </row>
    <row r="2218" spans="6:6" outlineLevel="1">
      <c r="F2218"/>
    </row>
    <row r="2219" spans="6:6" outlineLevel="1">
      <c r="F2219"/>
    </row>
    <row r="2220" spans="6:6" outlineLevel="1">
      <c r="F2220"/>
    </row>
    <row r="2221" spans="6:6" outlineLevel="1">
      <c r="F2221"/>
    </row>
    <row r="2222" spans="6:6" outlineLevel="1">
      <c r="F2222"/>
    </row>
    <row r="2223" spans="6:6" outlineLevel="1">
      <c r="F2223"/>
    </row>
    <row r="2224" spans="6:6" outlineLevel="1">
      <c r="F2224"/>
    </row>
    <row r="2225" spans="6:6" outlineLevel="1">
      <c r="F2225"/>
    </row>
    <row r="2226" spans="6:6" outlineLevel="1">
      <c r="F2226"/>
    </row>
    <row r="2227" spans="6:6" outlineLevel="1">
      <c r="F2227"/>
    </row>
    <row r="2228" spans="6:6" outlineLevel="1">
      <c r="F2228"/>
    </row>
    <row r="2229" spans="6:6" outlineLevel="1">
      <c r="F2229"/>
    </row>
    <row r="2230" spans="6:6" outlineLevel="1">
      <c r="F2230"/>
    </row>
    <row r="2231" spans="6:6" outlineLevel="1">
      <c r="F2231"/>
    </row>
    <row r="2232" spans="6:6" outlineLevel="1">
      <c r="F2232"/>
    </row>
    <row r="2233" spans="6:6" outlineLevel="1">
      <c r="F2233"/>
    </row>
    <row r="2234" spans="6:6" outlineLevel="1">
      <c r="F2234"/>
    </row>
    <row r="2235" spans="6:6" outlineLevel="1">
      <c r="F2235"/>
    </row>
    <row r="2236" spans="6:6" outlineLevel="1">
      <c r="F2236"/>
    </row>
    <row r="2237" spans="6:6" outlineLevel="1">
      <c r="F2237"/>
    </row>
    <row r="2238" spans="6:6" outlineLevel="1">
      <c r="F2238"/>
    </row>
    <row r="2239" spans="6:6" outlineLevel="1">
      <c r="F2239"/>
    </row>
    <row r="2240" spans="6:6" outlineLevel="1">
      <c r="F2240"/>
    </row>
    <row r="2241" spans="6:6" outlineLevel="1">
      <c r="F2241"/>
    </row>
    <row r="2242" spans="6:6" outlineLevel="1">
      <c r="F2242"/>
    </row>
    <row r="2243" spans="6:6" outlineLevel="1">
      <c r="F2243"/>
    </row>
    <row r="2244" spans="6:6" outlineLevel="1">
      <c r="F2244"/>
    </row>
    <row r="2245" spans="6:6" outlineLevel="1">
      <c r="F2245"/>
    </row>
    <row r="2246" spans="6:6" outlineLevel="1">
      <c r="F2246"/>
    </row>
    <row r="2247" spans="6:6" outlineLevel="1">
      <c r="F2247"/>
    </row>
    <row r="2248" spans="6:6" outlineLevel="1">
      <c r="F2248"/>
    </row>
    <row r="2249" spans="6:6" outlineLevel="1">
      <c r="F2249"/>
    </row>
    <row r="2250" spans="6:6" outlineLevel="1">
      <c r="F2250"/>
    </row>
    <row r="2251" spans="6:6" outlineLevel="1">
      <c r="F2251"/>
    </row>
    <row r="2252" spans="6:6" outlineLevel="1">
      <c r="F2252"/>
    </row>
    <row r="2253" spans="6:6" outlineLevel="1">
      <c r="F2253"/>
    </row>
    <row r="2254" spans="6:6" outlineLevel="1">
      <c r="F2254"/>
    </row>
    <row r="2255" spans="6:6" outlineLevel="1">
      <c r="F2255"/>
    </row>
    <row r="2256" spans="6:6" outlineLevel="1">
      <c r="F2256"/>
    </row>
    <row r="2257" spans="6:6" outlineLevel="1">
      <c r="F2257"/>
    </row>
    <row r="2258" spans="6:6" outlineLevel="1">
      <c r="F2258"/>
    </row>
    <row r="2259" spans="6:6" outlineLevel="1">
      <c r="F2259"/>
    </row>
    <row r="2260" spans="6:6" outlineLevel="1">
      <c r="F2260"/>
    </row>
    <row r="2261" spans="6:6" outlineLevel="1">
      <c r="F2261"/>
    </row>
    <row r="2262" spans="6:6" outlineLevel="1">
      <c r="F2262"/>
    </row>
    <row r="2263" spans="6:6" outlineLevel="1">
      <c r="F2263"/>
    </row>
    <row r="2264" spans="6:6" outlineLevel="1">
      <c r="F2264"/>
    </row>
    <row r="2265" spans="6:6" outlineLevel="1">
      <c r="F2265"/>
    </row>
    <row r="2266" spans="6:6" outlineLevel="1">
      <c r="F2266"/>
    </row>
    <row r="2267" spans="6:6" outlineLevel="1">
      <c r="F2267"/>
    </row>
    <row r="2268" spans="6:6" outlineLevel="1">
      <c r="F2268"/>
    </row>
    <row r="2269" spans="6:6">
      <c r="F2269"/>
    </row>
    <row r="2270" spans="6:6" outlineLevel="1">
      <c r="F2270"/>
    </row>
    <row r="2271" spans="6:6">
      <c r="F2271"/>
    </row>
    <row r="2272" spans="6:6">
      <c r="F2272"/>
    </row>
    <row r="2273" spans="6:6">
      <c r="F2273"/>
    </row>
    <row r="2274" spans="6:6">
      <c r="F2274"/>
    </row>
    <row r="2275" spans="6:6">
      <c r="F2275"/>
    </row>
    <row r="2276" spans="6:6">
      <c r="F2276"/>
    </row>
    <row r="2277" spans="6:6">
      <c r="F2277"/>
    </row>
    <row r="2278" spans="6:6">
      <c r="F2278"/>
    </row>
    <row r="2279" spans="6:6">
      <c r="F2279"/>
    </row>
    <row r="2280" spans="6:6">
      <c r="F2280"/>
    </row>
    <row r="2281" spans="6:6">
      <c r="F2281"/>
    </row>
    <row r="2282" spans="6:6">
      <c r="F2282"/>
    </row>
    <row r="2283" spans="6:6">
      <c r="F2283"/>
    </row>
    <row r="2284" spans="6:6">
      <c r="F2284"/>
    </row>
    <row r="2285" spans="6:6">
      <c r="F2285"/>
    </row>
    <row r="2286" spans="6:6">
      <c r="F2286"/>
    </row>
    <row r="2287" spans="6:6">
      <c r="F2287"/>
    </row>
    <row r="2288" spans="6:6">
      <c r="F2288"/>
    </row>
    <row r="2289" spans="6:6">
      <c r="F2289"/>
    </row>
    <row r="2290" spans="6:6">
      <c r="F2290"/>
    </row>
    <row r="2291" spans="6:6">
      <c r="F2291"/>
    </row>
    <row r="2292" spans="6:6">
      <c r="F2292"/>
    </row>
    <row r="2293" spans="6:6">
      <c r="F2293"/>
    </row>
    <row r="2294" spans="6:6">
      <c r="F2294"/>
    </row>
    <row r="2295" spans="6:6">
      <c r="F2295"/>
    </row>
    <row r="2296" spans="6:6">
      <c r="F2296"/>
    </row>
    <row r="2297" spans="6:6">
      <c r="F2297"/>
    </row>
    <row r="2298" spans="6:6">
      <c r="F2298"/>
    </row>
    <row r="2299" spans="6:6">
      <c r="F2299"/>
    </row>
    <row r="2300" spans="6:6">
      <c r="F2300"/>
    </row>
    <row r="2301" spans="6:6">
      <c r="F2301"/>
    </row>
    <row r="2302" spans="6:6">
      <c r="F2302"/>
    </row>
    <row r="2303" spans="6:6">
      <c r="F2303"/>
    </row>
    <row r="2304" spans="6:6">
      <c r="F2304"/>
    </row>
    <row r="2305" spans="6:6">
      <c r="F2305"/>
    </row>
    <row r="2306" spans="6:6">
      <c r="F2306"/>
    </row>
    <row r="2307" spans="6:6">
      <c r="F2307"/>
    </row>
    <row r="2308" spans="6:6">
      <c r="F2308"/>
    </row>
    <row r="2309" spans="6:6">
      <c r="F2309"/>
    </row>
    <row r="2310" spans="6:6">
      <c r="F2310"/>
    </row>
    <row r="2311" spans="6:6">
      <c r="F2311"/>
    </row>
    <row r="2312" spans="6:6">
      <c r="F2312"/>
    </row>
    <row r="2313" spans="6:6">
      <c r="F2313"/>
    </row>
    <row r="2314" spans="6:6">
      <c r="F2314"/>
    </row>
    <row r="2315" spans="6:6">
      <c r="F2315"/>
    </row>
    <row r="2316" spans="6:6">
      <c r="F2316"/>
    </row>
    <row r="2317" spans="6:6">
      <c r="F2317"/>
    </row>
    <row r="2318" spans="6:6">
      <c r="F2318"/>
    </row>
    <row r="2319" spans="6:6">
      <c r="F2319"/>
    </row>
    <row r="2320" spans="6:6">
      <c r="F2320"/>
    </row>
    <row r="2321" spans="6:6">
      <c r="F2321"/>
    </row>
    <row r="2322" spans="6:6">
      <c r="F2322"/>
    </row>
    <row r="2323" spans="6:6">
      <c r="F2323"/>
    </row>
    <row r="2324" spans="6:6">
      <c r="F2324"/>
    </row>
    <row r="2325" spans="6:6">
      <c r="F2325"/>
    </row>
    <row r="2326" spans="6:6">
      <c r="F2326"/>
    </row>
    <row r="2327" spans="6:6">
      <c r="F2327"/>
    </row>
    <row r="2328" spans="6:6">
      <c r="F2328"/>
    </row>
    <row r="2329" spans="6:6">
      <c r="F2329"/>
    </row>
    <row r="2330" spans="6:6">
      <c r="F2330"/>
    </row>
    <row r="2331" spans="6:6">
      <c r="F2331"/>
    </row>
    <row r="2332" spans="6:6">
      <c r="F2332"/>
    </row>
    <row r="2333" spans="6:6">
      <c r="F2333"/>
    </row>
    <row r="2334" spans="6:6">
      <c r="F2334"/>
    </row>
    <row r="2335" spans="6:6">
      <c r="F2335"/>
    </row>
    <row r="2336" spans="6:6">
      <c r="F2336"/>
    </row>
    <row r="2337" spans="6:6">
      <c r="F2337"/>
    </row>
    <row r="2338" spans="6:6">
      <c r="F2338"/>
    </row>
    <row r="2339" spans="6:6">
      <c r="F2339"/>
    </row>
    <row r="2340" spans="6:6">
      <c r="F2340"/>
    </row>
    <row r="2341" spans="6:6">
      <c r="F2341"/>
    </row>
    <row r="2342" spans="6:6">
      <c r="F2342"/>
    </row>
    <row r="2343" spans="6:6">
      <c r="F2343"/>
    </row>
    <row r="2344" spans="6:6">
      <c r="F2344"/>
    </row>
    <row r="2345" spans="6:6">
      <c r="F2345"/>
    </row>
    <row r="2346" spans="6:6">
      <c r="F2346"/>
    </row>
    <row r="2347" spans="6:6">
      <c r="F2347"/>
    </row>
    <row r="2348" spans="6:6">
      <c r="F2348"/>
    </row>
    <row r="2349" spans="6:6">
      <c r="F2349"/>
    </row>
    <row r="2350" spans="6:6">
      <c r="F2350"/>
    </row>
    <row r="2351" spans="6:6">
      <c r="F2351"/>
    </row>
    <row r="2352" spans="6:6">
      <c r="F2352"/>
    </row>
    <row r="2353" spans="6:6">
      <c r="F2353"/>
    </row>
    <row r="2354" spans="6:6">
      <c r="F2354"/>
    </row>
    <row r="2355" spans="6:6">
      <c r="F2355"/>
    </row>
    <row r="2356" spans="6:6">
      <c r="F2356"/>
    </row>
    <row r="2357" spans="6:6">
      <c r="F2357"/>
    </row>
    <row r="2358" spans="6:6">
      <c r="F2358"/>
    </row>
    <row r="2359" spans="6:6">
      <c r="F2359"/>
    </row>
    <row r="2360" spans="6:6">
      <c r="F2360"/>
    </row>
    <row r="2361" spans="6:6">
      <c r="F2361"/>
    </row>
    <row r="2362" spans="6:6">
      <c r="F2362"/>
    </row>
    <row r="2363" spans="6:6">
      <c r="F2363"/>
    </row>
    <row r="2364" spans="6:6">
      <c r="F2364"/>
    </row>
    <row r="2365" spans="6:6">
      <c r="F2365"/>
    </row>
    <row r="2366" spans="6:6">
      <c r="F2366"/>
    </row>
    <row r="2367" spans="6:6">
      <c r="F2367"/>
    </row>
    <row r="2368" spans="6:6">
      <c r="F2368"/>
    </row>
    <row r="2369" spans="6:6">
      <c r="F2369"/>
    </row>
    <row r="2370" spans="6:6">
      <c r="F2370"/>
    </row>
    <row r="2371" spans="6:6" outlineLevel="1">
      <c r="F2371"/>
    </row>
    <row r="2372" spans="6:6" outlineLevel="1">
      <c r="F2372"/>
    </row>
    <row r="2373" spans="6:6" outlineLevel="1">
      <c r="F2373"/>
    </row>
    <row r="2374" spans="6:6" outlineLevel="1">
      <c r="F2374"/>
    </row>
    <row r="2375" spans="6:6" outlineLevel="1">
      <c r="F2375"/>
    </row>
    <row r="2376" spans="6:6" outlineLevel="1">
      <c r="F2376"/>
    </row>
    <row r="2377" spans="6:6" outlineLevel="1">
      <c r="F2377"/>
    </row>
    <row r="2378" spans="6:6" outlineLevel="1">
      <c r="F2378"/>
    </row>
    <row r="2379" spans="6:6" outlineLevel="1">
      <c r="F2379"/>
    </row>
    <row r="2380" spans="6:6" outlineLevel="1">
      <c r="F2380"/>
    </row>
    <row r="2381" spans="6:6" outlineLevel="1">
      <c r="F2381"/>
    </row>
    <row r="2382" spans="6:6" outlineLevel="1">
      <c r="F2382"/>
    </row>
    <row r="2383" spans="6:6" outlineLevel="1">
      <c r="F2383"/>
    </row>
    <row r="2384" spans="6:6" outlineLevel="1">
      <c r="F2384"/>
    </row>
    <row r="2385" spans="6:6" outlineLevel="1">
      <c r="F2385"/>
    </row>
    <row r="2386" spans="6:6" outlineLevel="1">
      <c r="F2386"/>
    </row>
    <row r="2387" spans="6:6" outlineLevel="1">
      <c r="F2387"/>
    </row>
    <row r="2388" spans="6:6" outlineLevel="1">
      <c r="F2388"/>
    </row>
    <row r="2389" spans="6:6" outlineLevel="1">
      <c r="F2389"/>
    </row>
    <row r="2390" spans="6:6" outlineLevel="1">
      <c r="F2390"/>
    </row>
    <row r="2391" spans="6:6" outlineLevel="1">
      <c r="F2391"/>
    </row>
    <row r="2392" spans="6:6" outlineLevel="1">
      <c r="F2392"/>
    </row>
    <row r="2393" spans="6:6" outlineLevel="1">
      <c r="F2393"/>
    </row>
    <row r="2394" spans="6:6" outlineLevel="1">
      <c r="F2394"/>
    </row>
    <row r="2395" spans="6:6" outlineLevel="1">
      <c r="F2395"/>
    </row>
    <row r="2396" spans="6:6" outlineLevel="1">
      <c r="F2396"/>
    </row>
    <row r="2397" spans="6:6" outlineLevel="1">
      <c r="F2397"/>
    </row>
    <row r="2398" spans="6:6" outlineLevel="1">
      <c r="F2398"/>
    </row>
    <row r="2399" spans="6:6" outlineLevel="1">
      <c r="F2399"/>
    </row>
    <row r="2400" spans="6:6" outlineLevel="1">
      <c r="F2400"/>
    </row>
    <row r="2401" spans="6:6" outlineLevel="1">
      <c r="F2401"/>
    </row>
    <row r="2402" spans="6:6" outlineLevel="1">
      <c r="F2402"/>
    </row>
    <row r="2403" spans="6:6" outlineLevel="1">
      <c r="F2403"/>
    </row>
    <row r="2404" spans="6:6" outlineLevel="1">
      <c r="F2404"/>
    </row>
    <row r="2405" spans="6:6" outlineLevel="1">
      <c r="F2405"/>
    </row>
    <row r="2406" spans="6:6" outlineLevel="1">
      <c r="F2406"/>
    </row>
    <row r="2407" spans="6:6" outlineLevel="1">
      <c r="F2407"/>
    </row>
    <row r="2408" spans="6:6" outlineLevel="1">
      <c r="F2408"/>
    </row>
    <row r="2409" spans="6:6" outlineLevel="1">
      <c r="F2409"/>
    </row>
    <row r="2410" spans="6:6" outlineLevel="1">
      <c r="F2410"/>
    </row>
    <row r="2411" spans="6:6" outlineLevel="1">
      <c r="F2411"/>
    </row>
    <row r="2412" spans="6:6" outlineLevel="1">
      <c r="F2412"/>
    </row>
    <row r="2413" spans="6:6" outlineLevel="1">
      <c r="F2413"/>
    </row>
    <row r="2414" spans="6:6" outlineLevel="1">
      <c r="F2414"/>
    </row>
    <row r="2415" spans="6:6" outlineLevel="1">
      <c r="F2415"/>
    </row>
    <row r="2416" spans="6:6" outlineLevel="1">
      <c r="F2416"/>
    </row>
    <row r="2417" spans="6:6" outlineLevel="1">
      <c r="F2417"/>
    </row>
    <row r="2418" spans="6:6" outlineLevel="1">
      <c r="F2418"/>
    </row>
    <row r="2419" spans="6:6" outlineLevel="1">
      <c r="F2419"/>
    </row>
    <row r="2420" spans="6:6" outlineLevel="1">
      <c r="F2420"/>
    </row>
    <row r="2421" spans="6:6" outlineLevel="1">
      <c r="F2421"/>
    </row>
    <row r="2422" spans="6:6" outlineLevel="1">
      <c r="F2422"/>
    </row>
    <row r="2423" spans="6:6" outlineLevel="1">
      <c r="F2423"/>
    </row>
    <row r="2424" spans="6:6" outlineLevel="1">
      <c r="F2424"/>
    </row>
    <row r="2425" spans="6:6" outlineLevel="1">
      <c r="F2425"/>
    </row>
    <row r="2426" spans="6:6" outlineLevel="1">
      <c r="F2426"/>
    </row>
    <row r="2427" spans="6:6" outlineLevel="1">
      <c r="F2427"/>
    </row>
    <row r="2428" spans="6:6" outlineLevel="1">
      <c r="F2428"/>
    </row>
    <row r="2429" spans="6:6" outlineLevel="1">
      <c r="F2429"/>
    </row>
    <row r="2430" spans="6:6" outlineLevel="1">
      <c r="F2430"/>
    </row>
    <row r="2431" spans="6:6" outlineLevel="1">
      <c r="F2431"/>
    </row>
    <row r="2432" spans="6:6" outlineLevel="1">
      <c r="F2432"/>
    </row>
    <row r="2433" spans="6:6" outlineLevel="1">
      <c r="F2433"/>
    </row>
    <row r="2434" spans="6:6" outlineLevel="1">
      <c r="F2434"/>
    </row>
    <row r="2435" spans="6:6" outlineLevel="1">
      <c r="F2435"/>
    </row>
    <row r="2436" spans="6:6" outlineLevel="1">
      <c r="F2436"/>
    </row>
    <row r="2437" spans="6:6" outlineLevel="1">
      <c r="F2437"/>
    </row>
    <row r="2438" spans="6:6" outlineLevel="1">
      <c r="F2438"/>
    </row>
    <row r="2439" spans="6:6" outlineLevel="1">
      <c r="F2439"/>
    </row>
    <row r="2440" spans="6:6" outlineLevel="1">
      <c r="F2440"/>
    </row>
    <row r="2441" spans="6:6" outlineLevel="1">
      <c r="F2441"/>
    </row>
    <row r="2442" spans="6:6" outlineLevel="1">
      <c r="F2442"/>
    </row>
    <row r="2443" spans="6:6" outlineLevel="1">
      <c r="F2443"/>
    </row>
    <row r="2444" spans="6:6" outlineLevel="1">
      <c r="F2444"/>
    </row>
    <row r="2445" spans="6:6" outlineLevel="1">
      <c r="F2445"/>
    </row>
    <row r="2446" spans="6:6" outlineLevel="1">
      <c r="F2446"/>
    </row>
    <row r="2447" spans="6:6" outlineLevel="1">
      <c r="F2447"/>
    </row>
    <row r="2448" spans="6:6" outlineLevel="1">
      <c r="F2448"/>
    </row>
    <row r="2449" spans="6:6" outlineLevel="1">
      <c r="F2449"/>
    </row>
    <row r="2450" spans="6:6" outlineLevel="1">
      <c r="F2450"/>
    </row>
    <row r="2451" spans="6:6" outlineLevel="1">
      <c r="F2451"/>
    </row>
    <row r="2452" spans="6:6" outlineLevel="1">
      <c r="F2452"/>
    </row>
    <row r="2453" spans="6:6" outlineLevel="1">
      <c r="F2453"/>
    </row>
    <row r="2454" spans="6:6" outlineLevel="1">
      <c r="F2454"/>
    </row>
    <row r="2455" spans="6:6" outlineLevel="1">
      <c r="F2455"/>
    </row>
    <row r="2456" spans="6:6" outlineLevel="1">
      <c r="F2456"/>
    </row>
    <row r="2457" spans="6:6" outlineLevel="1">
      <c r="F2457"/>
    </row>
    <row r="2458" spans="6:6" outlineLevel="1">
      <c r="F2458"/>
    </row>
    <row r="2459" spans="6:6" outlineLevel="1">
      <c r="F2459"/>
    </row>
    <row r="2460" spans="6:6" outlineLevel="1">
      <c r="F2460"/>
    </row>
    <row r="2461" spans="6:6" outlineLevel="1">
      <c r="F2461"/>
    </row>
    <row r="2462" spans="6:6" outlineLevel="1">
      <c r="F2462"/>
    </row>
    <row r="2463" spans="6:6" outlineLevel="1">
      <c r="F2463"/>
    </row>
    <row r="2464" spans="6:6" outlineLevel="1">
      <c r="F2464"/>
    </row>
    <row r="2465" spans="6:6" outlineLevel="1">
      <c r="F2465"/>
    </row>
    <row r="2466" spans="6:6" outlineLevel="1">
      <c r="F2466"/>
    </row>
    <row r="2467" spans="6:6" outlineLevel="1">
      <c r="F2467"/>
    </row>
    <row r="2468" spans="6:6" outlineLevel="1">
      <c r="F2468"/>
    </row>
    <row r="2469" spans="6:6" outlineLevel="1">
      <c r="F2469"/>
    </row>
    <row r="2470" spans="6:6" outlineLevel="1">
      <c r="F2470"/>
    </row>
    <row r="2471" spans="6:6" outlineLevel="1">
      <c r="F2471"/>
    </row>
    <row r="2472" spans="6:6" outlineLevel="1">
      <c r="F2472"/>
    </row>
    <row r="2473" spans="6:6" outlineLevel="1">
      <c r="F2473"/>
    </row>
    <row r="2474" spans="6:6" outlineLevel="1">
      <c r="F2474"/>
    </row>
    <row r="2475" spans="6:6" outlineLevel="1">
      <c r="F2475"/>
    </row>
    <row r="2476" spans="6:6" outlineLevel="1">
      <c r="F2476"/>
    </row>
    <row r="2477" spans="6:6" outlineLevel="1">
      <c r="F2477"/>
    </row>
    <row r="2478" spans="6:6" outlineLevel="1">
      <c r="F2478"/>
    </row>
    <row r="2479" spans="6:6" outlineLevel="1">
      <c r="F2479"/>
    </row>
    <row r="2480" spans="6:6" outlineLevel="1">
      <c r="F2480"/>
    </row>
    <row r="2481" spans="6:6" outlineLevel="1">
      <c r="F2481"/>
    </row>
    <row r="2482" spans="6:6" outlineLevel="1">
      <c r="F2482"/>
    </row>
    <row r="2483" spans="6:6" outlineLevel="1">
      <c r="F2483"/>
    </row>
    <row r="2484" spans="6:6" outlineLevel="1">
      <c r="F2484"/>
    </row>
    <row r="2485" spans="6:6" outlineLevel="1">
      <c r="F2485"/>
    </row>
    <row r="2486" spans="6:6" outlineLevel="1">
      <c r="F2486"/>
    </row>
    <row r="2487" spans="6:6" outlineLevel="1">
      <c r="F2487"/>
    </row>
    <row r="2488" spans="6:6" outlineLevel="1">
      <c r="F2488"/>
    </row>
    <row r="2489" spans="6:6" outlineLevel="1">
      <c r="F2489"/>
    </row>
    <row r="2490" spans="6:6" outlineLevel="1">
      <c r="F2490"/>
    </row>
    <row r="2491" spans="6:6" outlineLevel="1">
      <c r="F2491"/>
    </row>
    <row r="2492" spans="6:6" outlineLevel="1">
      <c r="F2492"/>
    </row>
    <row r="2493" spans="6:6" outlineLevel="1">
      <c r="F2493"/>
    </row>
    <row r="2494" spans="6:6" outlineLevel="1">
      <c r="F2494"/>
    </row>
    <row r="2495" spans="6:6" outlineLevel="1">
      <c r="F2495"/>
    </row>
    <row r="2496" spans="6:6" outlineLevel="1">
      <c r="F2496"/>
    </row>
    <row r="2497" spans="6:6" outlineLevel="1">
      <c r="F2497"/>
    </row>
    <row r="2498" spans="6:6" outlineLevel="1">
      <c r="F2498"/>
    </row>
    <row r="2499" spans="6:6" outlineLevel="1">
      <c r="F2499"/>
    </row>
    <row r="2500" spans="6:6" outlineLevel="1">
      <c r="F2500"/>
    </row>
    <row r="2501" spans="6:6" outlineLevel="1">
      <c r="F2501"/>
    </row>
    <row r="2502" spans="6:6" outlineLevel="1">
      <c r="F2502"/>
    </row>
    <row r="2503" spans="6:6" outlineLevel="1">
      <c r="F2503"/>
    </row>
    <row r="2504" spans="6:6" outlineLevel="1">
      <c r="F2504"/>
    </row>
    <row r="2505" spans="6:6" outlineLevel="1">
      <c r="F2505"/>
    </row>
    <row r="2506" spans="6:6" outlineLevel="1">
      <c r="F2506"/>
    </row>
    <row r="2507" spans="6:6" outlineLevel="1">
      <c r="F2507"/>
    </row>
    <row r="2508" spans="6:6" outlineLevel="1">
      <c r="F2508"/>
    </row>
    <row r="2509" spans="6:6" outlineLevel="1">
      <c r="F2509"/>
    </row>
    <row r="2510" spans="6:6" outlineLevel="1">
      <c r="F2510"/>
    </row>
    <row r="2511" spans="6:6" outlineLevel="1">
      <c r="F2511"/>
    </row>
    <row r="2512" spans="6:6" outlineLevel="1">
      <c r="F2512"/>
    </row>
    <row r="2513" spans="6:6" outlineLevel="1">
      <c r="F2513"/>
    </row>
    <row r="2514" spans="6:6" outlineLevel="1">
      <c r="F2514"/>
    </row>
    <row r="2515" spans="6:6" outlineLevel="1">
      <c r="F2515"/>
    </row>
    <row r="2516" spans="6:6" outlineLevel="1">
      <c r="F2516"/>
    </row>
    <row r="2517" spans="6:6" outlineLevel="1">
      <c r="F2517"/>
    </row>
    <row r="2518" spans="6:6" outlineLevel="1">
      <c r="F2518"/>
    </row>
    <row r="2519" spans="6:6" outlineLevel="1">
      <c r="F2519"/>
    </row>
    <row r="2520" spans="6:6" outlineLevel="1">
      <c r="F2520"/>
    </row>
    <row r="2521" spans="6:6" outlineLevel="1">
      <c r="F2521"/>
    </row>
    <row r="2522" spans="6:6" outlineLevel="1">
      <c r="F2522"/>
    </row>
    <row r="2523" spans="6:6" outlineLevel="1">
      <c r="F2523"/>
    </row>
    <row r="2524" spans="6:6" outlineLevel="1">
      <c r="F2524"/>
    </row>
    <row r="2525" spans="6:6" outlineLevel="1">
      <c r="F2525"/>
    </row>
    <row r="2526" spans="6:6" outlineLevel="1">
      <c r="F2526"/>
    </row>
    <row r="2527" spans="6:6" outlineLevel="1">
      <c r="F2527"/>
    </row>
    <row r="2528" spans="6:6" outlineLevel="1">
      <c r="F2528"/>
    </row>
    <row r="2529" spans="6:6" outlineLevel="1">
      <c r="F2529"/>
    </row>
    <row r="2530" spans="6:6" outlineLevel="1">
      <c r="F2530"/>
    </row>
    <row r="2531" spans="6:6" outlineLevel="1">
      <c r="F2531"/>
    </row>
    <row r="2532" spans="6:6" outlineLevel="1">
      <c r="F2532"/>
    </row>
    <row r="2533" spans="6:6" outlineLevel="1">
      <c r="F2533"/>
    </row>
    <row r="2534" spans="6:6" outlineLevel="1">
      <c r="F2534"/>
    </row>
    <row r="2535" spans="6:6" outlineLevel="1">
      <c r="F2535"/>
    </row>
    <row r="2536" spans="6:6" outlineLevel="1">
      <c r="F2536"/>
    </row>
    <row r="2537" spans="6:6" outlineLevel="1">
      <c r="F2537"/>
    </row>
    <row r="2538" spans="6:6">
      <c r="F2538"/>
    </row>
    <row r="2539" spans="6:6" outlineLevel="1">
      <c r="F2539"/>
    </row>
    <row r="2540" spans="6:6" outlineLevel="1">
      <c r="F2540"/>
    </row>
    <row r="2541" spans="6:6" outlineLevel="1">
      <c r="F2541"/>
    </row>
    <row r="2542" spans="6:6" outlineLevel="1">
      <c r="F2542"/>
    </row>
    <row r="2543" spans="6:6" outlineLevel="1">
      <c r="F2543"/>
    </row>
    <row r="2544" spans="6:6" outlineLevel="1">
      <c r="F2544"/>
    </row>
    <row r="2545" spans="6:6" outlineLevel="1">
      <c r="F2545"/>
    </row>
    <row r="2546" spans="6:6" outlineLevel="1">
      <c r="F2546"/>
    </row>
    <row r="2547" spans="6:6" outlineLevel="1">
      <c r="F2547"/>
    </row>
    <row r="2548" spans="6:6" outlineLevel="1">
      <c r="F2548"/>
    </row>
    <row r="2549" spans="6:6" outlineLevel="1">
      <c r="F2549"/>
    </row>
    <row r="2550" spans="6:6" outlineLevel="1">
      <c r="F2550"/>
    </row>
    <row r="2551" spans="6:6" outlineLevel="1">
      <c r="F2551"/>
    </row>
    <row r="2552" spans="6:6" outlineLevel="1">
      <c r="F2552"/>
    </row>
    <row r="2553" spans="6:6" outlineLevel="1">
      <c r="F2553"/>
    </row>
    <row r="2554" spans="6:6" outlineLevel="1">
      <c r="F2554"/>
    </row>
    <row r="2555" spans="6:6" outlineLevel="1">
      <c r="F2555"/>
    </row>
    <row r="2556" spans="6:6" outlineLevel="1">
      <c r="F2556"/>
    </row>
    <row r="2557" spans="6:6" outlineLevel="1">
      <c r="F2557"/>
    </row>
    <row r="2558" spans="6:6" outlineLevel="1">
      <c r="F2558"/>
    </row>
    <row r="2559" spans="6:6" outlineLevel="1">
      <c r="F2559"/>
    </row>
    <row r="2560" spans="6:6" outlineLevel="1">
      <c r="F2560"/>
    </row>
    <row r="2561" spans="6:6" outlineLevel="1">
      <c r="F2561"/>
    </row>
    <row r="2562" spans="6:6" outlineLevel="1">
      <c r="F2562"/>
    </row>
    <row r="2563" spans="6:6" outlineLevel="1">
      <c r="F2563"/>
    </row>
    <row r="2564" spans="6:6" outlineLevel="1">
      <c r="F2564"/>
    </row>
    <row r="2565" spans="6:6" outlineLevel="1">
      <c r="F2565"/>
    </row>
    <row r="2566" spans="6:6" outlineLevel="1">
      <c r="F2566"/>
    </row>
    <row r="2567" spans="6:6" outlineLevel="1">
      <c r="F2567"/>
    </row>
    <row r="2568" spans="6:6" outlineLevel="1">
      <c r="F2568"/>
    </row>
    <row r="2569" spans="6:6" outlineLevel="1">
      <c r="F2569"/>
    </row>
    <row r="2570" spans="6:6" outlineLevel="1">
      <c r="F2570"/>
    </row>
    <row r="2571" spans="6:6" outlineLevel="1">
      <c r="F2571"/>
    </row>
    <row r="2572" spans="6:6" outlineLevel="1">
      <c r="F2572"/>
    </row>
    <row r="2573" spans="6:6" outlineLevel="1">
      <c r="F2573"/>
    </row>
    <row r="2574" spans="6:6" outlineLevel="1">
      <c r="F2574"/>
    </row>
    <row r="2575" spans="6:6" outlineLevel="1">
      <c r="F2575"/>
    </row>
    <row r="2576" spans="6:6" outlineLevel="1">
      <c r="F2576"/>
    </row>
    <row r="2577" spans="6:6" outlineLevel="1">
      <c r="F2577"/>
    </row>
    <row r="2578" spans="6:6" outlineLevel="1">
      <c r="F2578"/>
    </row>
    <row r="2579" spans="6:6" outlineLevel="1">
      <c r="F2579"/>
    </row>
    <row r="2580" spans="6:6" outlineLevel="1">
      <c r="F2580"/>
    </row>
    <row r="2581" spans="6:6" outlineLevel="1">
      <c r="F2581"/>
    </row>
    <row r="2582" spans="6:6" outlineLevel="1">
      <c r="F2582"/>
    </row>
    <row r="2583" spans="6:6" outlineLevel="1">
      <c r="F2583"/>
    </row>
    <row r="2584" spans="6:6" outlineLevel="1">
      <c r="F2584"/>
    </row>
    <row r="2585" spans="6:6" outlineLevel="1">
      <c r="F2585"/>
    </row>
    <row r="2586" spans="6:6" outlineLevel="1">
      <c r="F2586"/>
    </row>
    <row r="2587" spans="6:6" outlineLevel="1">
      <c r="F2587"/>
    </row>
    <row r="2588" spans="6:6" outlineLevel="1">
      <c r="F2588"/>
    </row>
    <row r="2589" spans="6:6" outlineLevel="1">
      <c r="F2589"/>
    </row>
    <row r="2590" spans="6:6" outlineLevel="1">
      <c r="F2590"/>
    </row>
    <row r="2591" spans="6:6" outlineLevel="1">
      <c r="F2591"/>
    </row>
    <row r="2592" spans="6:6" outlineLevel="1">
      <c r="F2592"/>
    </row>
    <row r="2593" spans="6:6" outlineLevel="1">
      <c r="F2593"/>
    </row>
    <row r="2594" spans="6:6" outlineLevel="1">
      <c r="F2594"/>
    </row>
    <row r="2595" spans="6:6" outlineLevel="1">
      <c r="F2595"/>
    </row>
    <row r="2596" spans="6:6" outlineLevel="1">
      <c r="F2596"/>
    </row>
    <row r="2597" spans="6:6" outlineLevel="1">
      <c r="F2597"/>
    </row>
    <row r="2598" spans="6:6" outlineLevel="1">
      <c r="F2598"/>
    </row>
    <row r="2599" spans="6:6" outlineLevel="1">
      <c r="F2599"/>
    </row>
    <row r="2600" spans="6:6" outlineLevel="1">
      <c r="F2600"/>
    </row>
    <row r="2601" spans="6:6" outlineLevel="1">
      <c r="F2601"/>
    </row>
    <row r="2602" spans="6:6" outlineLevel="1">
      <c r="F2602"/>
    </row>
    <row r="2603" spans="6:6" outlineLevel="1">
      <c r="F2603"/>
    </row>
    <row r="2604" spans="6:6" outlineLevel="1">
      <c r="F2604"/>
    </row>
    <row r="2605" spans="6:6" outlineLevel="1">
      <c r="F2605"/>
    </row>
    <row r="2606" spans="6:6" outlineLevel="1">
      <c r="F2606"/>
    </row>
    <row r="2607" spans="6:6" outlineLevel="1">
      <c r="F2607"/>
    </row>
    <row r="2608" spans="6:6" outlineLevel="1">
      <c r="F2608"/>
    </row>
    <row r="2609" spans="6:6" outlineLevel="1">
      <c r="F2609"/>
    </row>
    <row r="2610" spans="6:6" outlineLevel="1">
      <c r="F2610"/>
    </row>
    <row r="2611" spans="6:6" outlineLevel="1">
      <c r="F2611"/>
    </row>
    <row r="2612" spans="6:6" outlineLevel="1">
      <c r="F2612"/>
    </row>
    <row r="2613" spans="6:6" outlineLevel="1">
      <c r="F2613"/>
    </row>
    <row r="2614" spans="6:6" outlineLevel="1">
      <c r="F2614"/>
    </row>
    <row r="2615" spans="6:6" outlineLevel="1">
      <c r="F2615"/>
    </row>
    <row r="2616" spans="6:6" outlineLevel="1">
      <c r="F2616"/>
    </row>
    <row r="2617" spans="6:6" outlineLevel="1">
      <c r="F2617"/>
    </row>
    <row r="2618" spans="6:6" outlineLevel="1">
      <c r="F2618"/>
    </row>
    <row r="2619" spans="6:6" outlineLevel="1">
      <c r="F2619"/>
    </row>
    <row r="2620" spans="6:6" outlineLevel="1">
      <c r="F2620"/>
    </row>
    <row r="2621" spans="6:6" outlineLevel="1">
      <c r="F2621"/>
    </row>
    <row r="2622" spans="6:6" outlineLevel="1">
      <c r="F2622"/>
    </row>
    <row r="2623" spans="6:6" outlineLevel="1">
      <c r="F2623"/>
    </row>
    <row r="2624" spans="6:6" outlineLevel="1">
      <c r="F2624"/>
    </row>
    <row r="2625" spans="6:6" outlineLevel="1">
      <c r="F2625"/>
    </row>
    <row r="2626" spans="6:6" outlineLevel="1">
      <c r="F2626"/>
    </row>
    <row r="2627" spans="6:6">
      <c r="F2627"/>
    </row>
    <row r="2628" spans="6:6" outlineLevel="1">
      <c r="F2628"/>
    </row>
    <row r="2629" spans="6:6" outlineLevel="1">
      <c r="F2629"/>
    </row>
    <row r="2630" spans="6:6" outlineLevel="1">
      <c r="F2630"/>
    </row>
    <row r="2631" spans="6:6" outlineLevel="1">
      <c r="F2631"/>
    </row>
    <row r="2632" spans="6:6" outlineLevel="1">
      <c r="F2632"/>
    </row>
    <row r="2633" spans="6:6" outlineLevel="1">
      <c r="F2633"/>
    </row>
    <row r="2634" spans="6:6" outlineLevel="1">
      <c r="F2634"/>
    </row>
    <row r="2635" spans="6:6" outlineLevel="1">
      <c r="F2635"/>
    </row>
    <row r="2636" spans="6:6" outlineLevel="1">
      <c r="F2636"/>
    </row>
    <row r="2637" spans="6:6" outlineLevel="1">
      <c r="F2637"/>
    </row>
    <row r="2638" spans="6:6" outlineLevel="1">
      <c r="F2638"/>
    </row>
    <row r="2639" spans="6:6" outlineLevel="1">
      <c r="F2639"/>
    </row>
    <row r="2640" spans="6:6" outlineLevel="1">
      <c r="F2640"/>
    </row>
    <row r="2641" spans="6:6" outlineLevel="1">
      <c r="F2641"/>
    </row>
    <row r="2642" spans="6:6" outlineLevel="1">
      <c r="F2642"/>
    </row>
    <row r="2643" spans="6:6" outlineLevel="1">
      <c r="F2643"/>
    </row>
    <row r="2644" spans="6:6" outlineLevel="1">
      <c r="F2644"/>
    </row>
    <row r="2645" spans="6:6" outlineLevel="1">
      <c r="F2645"/>
    </row>
    <row r="2646" spans="6:6" outlineLevel="1">
      <c r="F2646"/>
    </row>
    <row r="2647" spans="6:6" outlineLevel="1">
      <c r="F2647"/>
    </row>
    <row r="2648" spans="6:6" outlineLevel="1">
      <c r="F2648"/>
    </row>
    <row r="2649" spans="6:6" outlineLevel="1">
      <c r="F2649"/>
    </row>
    <row r="2650" spans="6:6" outlineLevel="1">
      <c r="F2650"/>
    </row>
    <row r="2651" spans="6:6" outlineLevel="1">
      <c r="F2651"/>
    </row>
    <row r="2652" spans="6:6" outlineLevel="1">
      <c r="F2652"/>
    </row>
    <row r="2653" spans="6:6" outlineLevel="1">
      <c r="F2653"/>
    </row>
    <row r="2654" spans="6:6" outlineLevel="1">
      <c r="F2654"/>
    </row>
    <row r="2655" spans="6:6" outlineLevel="1">
      <c r="F2655"/>
    </row>
    <row r="2656" spans="6:6" outlineLevel="1">
      <c r="F2656"/>
    </row>
    <row r="2657" spans="6:6" outlineLevel="1">
      <c r="F2657"/>
    </row>
    <row r="2658" spans="6:6" outlineLevel="1">
      <c r="F2658"/>
    </row>
    <row r="2659" spans="6:6" outlineLevel="1">
      <c r="F2659"/>
    </row>
    <row r="2660" spans="6:6" outlineLevel="1">
      <c r="F2660"/>
    </row>
    <row r="2661" spans="6:6" outlineLevel="1">
      <c r="F2661"/>
    </row>
    <row r="2662" spans="6:6" outlineLevel="1">
      <c r="F2662"/>
    </row>
    <row r="2663" spans="6:6" outlineLevel="1">
      <c r="F2663"/>
    </row>
    <row r="2664" spans="6:6" outlineLevel="1">
      <c r="F2664"/>
    </row>
    <row r="2665" spans="6:6" outlineLevel="1">
      <c r="F2665"/>
    </row>
    <row r="2666" spans="6:6" outlineLevel="1">
      <c r="F2666"/>
    </row>
    <row r="2667" spans="6:6" outlineLevel="1">
      <c r="F2667"/>
    </row>
    <row r="2668" spans="6:6" outlineLevel="1">
      <c r="F2668"/>
    </row>
    <row r="2669" spans="6:6" outlineLevel="1">
      <c r="F2669"/>
    </row>
    <row r="2670" spans="6:6" outlineLevel="1">
      <c r="F2670"/>
    </row>
    <row r="2671" spans="6:6" outlineLevel="1">
      <c r="F2671"/>
    </row>
    <row r="2672" spans="6:6" outlineLevel="1">
      <c r="F2672"/>
    </row>
    <row r="2673" spans="6:6" outlineLevel="1">
      <c r="F2673"/>
    </row>
    <row r="2674" spans="6:6" outlineLevel="1">
      <c r="F2674"/>
    </row>
    <row r="2675" spans="6:6" outlineLevel="1">
      <c r="F2675"/>
    </row>
    <row r="2676" spans="6:6" outlineLevel="1">
      <c r="F2676"/>
    </row>
    <row r="2677" spans="6:6" outlineLevel="1">
      <c r="F2677"/>
    </row>
    <row r="2678" spans="6:6" outlineLevel="1">
      <c r="F2678"/>
    </row>
    <row r="2679" spans="6:6" outlineLevel="1">
      <c r="F2679"/>
    </row>
    <row r="2680" spans="6:6" outlineLevel="1">
      <c r="F2680"/>
    </row>
    <row r="2681" spans="6:6" outlineLevel="1">
      <c r="F2681"/>
    </row>
    <row r="2682" spans="6:6" outlineLevel="1">
      <c r="F2682"/>
    </row>
    <row r="2683" spans="6:6" outlineLevel="1">
      <c r="F2683"/>
    </row>
    <row r="2684" spans="6:6" outlineLevel="1">
      <c r="F2684"/>
    </row>
    <row r="2685" spans="6:6" outlineLevel="1">
      <c r="F2685"/>
    </row>
    <row r="2686" spans="6:6" outlineLevel="1">
      <c r="F2686"/>
    </row>
    <row r="2687" spans="6:6" outlineLevel="1">
      <c r="F2687"/>
    </row>
    <row r="2688" spans="6:6" outlineLevel="1">
      <c r="F2688"/>
    </row>
    <row r="2689" spans="6:6" outlineLevel="1">
      <c r="F2689"/>
    </row>
    <row r="2690" spans="6:6" outlineLevel="1">
      <c r="F2690"/>
    </row>
    <row r="2691" spans="6:6" outlineLevel="1">
      <c r="F2691"/>
    </row>
    <row r="2692" spans="6:6" outlineLevel="1">
      <c r="F2692"/>
    </row>
    <row r="2693" spans="6:6" outlineLevel="1">
      <c r="F2693"/>
    </row>
    <row r="2694" spans="6:6" outlineLevel="1">
      <c r="F2694"/>
    </row>
    <row r="2695" spans="6:6" outlineLevel="1">
      <c r="F2695"/>
    </row>
    <row r="2696" spans="6:6" outlineLevel="1">
      <c r="F2696"/>
    </row>
    <row r="2697" spans="6:6" outlineLevel="1">
      <c r="F2697"/>
    </row>
    <row r="2698" spans="6:6" outlineLevel="1">
      <c r="F2698"/>
    </row>
    <row r="2699" spans="6:6" outlineLevel="1">
      <c r="F2699"/>
    </row>
    <row r="2700" spans="6:6" outlineLevel="1">
      <c r="F2700"/>
    </row>
    <row r="2701" spans="6:6" outlineLevel="1">
      <c r="F2701"/>
    </row>
    <row r="2702" spans="6:6" outlineLevel="1">
      <c r="F2702"/>
    </row>
    <row r="2703" spans="6:6" outlineLevel="1">
      <c r="F2703"/>
    </row>
    <row r="2704" spans="6:6" outlineLevel="1">
      <c r="F2704"/>
    </row>
    <row r="2705" spans="6:6" outlineLevel="1">
      <c r="F2705"/>
    </row>
    <row r="2706" spans="6:6" outlineLevel="1">
      <c r="F2706"/>
    </row>
    <row r="2707" spans="6:6" outlineLevel="1">
      <c r="F2707"/>
    </row>
    <row r="2708" spans="6:6" outlineLevel="1">
      <c r="F2708"/>
    </row>
    <row r="2709" spans="6:6" outlineLevel="1">
      <c r="F2709"/>
    </row>
    <row r="2710" spans="6:6" outlineLevel="1">
      <c r="F2710"/>
    </row>
    <row r="2711" spans="6:6" outlineLevel="1">
      <c r="F2711"/>
    </row>
    <row r="2712" spans="6:6" outlineLevel="1">
      <c r="F2712"/>
    </row>
    <row r="2713" spans="6:6" outlineLevel="1">
      <c r="F2713"/>
    </row>
    <row r="2714" spans="6:6" outlineLevel="1">
      <c r="F2714"/>
    </row>
    <row r="2715" spans="6:6" outlineLevel="1">
      <c r="F2715"/>
    </row>
    <row r="2716" spans="6:6" outlineLevel="1">
      <c r="F2716"/>
    </row>
    <row r="2717" spans="6:6" outlineLevel="1">
      <c r="F2717"/>
    </row>
    <row r="2718" spans="6:6" outlineLevel="1">
      <c r="F2718"/>
    </row>
    <row r="2719" spans="6:6" outlineLevel="1">
      <c r="F2719"/>
    </row>
    <row r="2720" spans="6:6" outlineLevel="1">
      <c r="F2720"/>
    </row>
    <row r="2721" spans="6:6" outlineLevel="1">
      <c r="F2721"/>
    </row>
    <row r="2722" spans="6:6" outlineLevel="1">
      <c r="F2722"/>
    </row>
    <row r="2723" spans="6:6" outlineLevel="1">
      <c r="F2723"/>
    </row>
    <row r="2724" spans="6:6" outlineLevel="1">
      <c r="F2724"/>
    </row>
    <row r="2725" spans="6:6" outlineLevel="1">
      <c r="F2725"/>
    </row>
    <row r="2726" spans="6:6" outlineLevel="1">
      <c r="F2726"/>
    </row>
    <row r="2727" spans="6:6" outlineLevel="1">
      <c r="F2727"/>
    </row>
    <row r="2728" spans="6:6" outlineLevel="1">
      <c r="F2728"/>
    </row>
    <row r="2729" spans="6:6" outlineLevel="1">
      <c r="F2729"/>
    </row>
    <row r="2730" spans="6:6" outlineLevel="1">
      <c r="F2730"/>
    </row>
    <row r="2731" spans="6:6" outlineLevel="1">
      <c r="F2731"/>
    </row>
    <row r="2732" spans="6:6" outlineLevel="1">
      <c r="F2732"/>
    </row>
    <row r="2733" spans="6:6" outlineLevel="1">
      <c r="F2733"/>
    </row>
    <row r="2734" spans="6:6" outlineLevel="1">
      <c r="F2734"/>
    </row>
    <row r="2735" spans="6:6" outlineLevel="1">
      <c r="F2735"/>
    </row>
    <row r="2736" spans="6:6" outlineLevel="1">
      <c r="F2736"/>
    </row>
    <row r="2737" spans="6:6" outlineLevel="1">
      <c r="F2737"/>
    </row>
    <row r="2738" spans="6:6" outlineLevel="1">
      <c r="F2738"/>
    </row>
    <row r="2739" spans="6:6" outlineLevel="1">
      <c r="F2739"/>
    </row>
    <row r="2740" spans="6:6" outlineLevel="1">
      <c r="F2740"/>
    </row>
    <row r="2741" spans="6:6" outlineLevel="1">
      <c r="F2741"/>
    </row>
    <row r="2742" spans="6:6" outlineLevel="1">
      <c r="F2742"/>
    </row>
    <row r="2743" spans="6:6" outlineLevel="1">
      <c r="F2743"/>
    </row>
    <row r="2744" spans="6:6" outlineLevel="1">
      <c r="F2744"/>
    </row>
    <row r="2745" spans="6:6" outlineLevel="1">
      <c r="F2745"/>
    </row>
    <row r="2746" spans="6:6" outlineLevel="1">
      <c r="F2746"/>
    </row>
    <row r="2747" spans="6:6" outlineLevel="1">
      <c r="F2747"/>
    </row>
    <row r="2748" spans="6:6" outlineLevel="1">
      <c r="F2748"/>
    </row>
    <row r="2749" spans="6:6" outlineLevel="1">
      <c r="F2749"/>
    </row>
    <row r="2750" spans="6:6" outlineLevel="1">
      <c r="F2750"/>
    </row>
    <row r="2751" spans="6:6" outlineLevel="1">
      <c r="F2751"/>
    </row>
    <row r="2752" spans="6:6" outlineLevel="1">
      <c r="F2752"/>
    </row>
    <row r="2753" spans="6:6" outlineLevel="1">
      <c r="F2753"/>
    </row>
    <row r="2754" spans="6:6" outlineLevel="1">
      <c r="F2754"/>
    </row>
    <row r="2755" spans="6:6" outlineLevel="1">
      <c r="F2755"/>
    </row>
    <row r="2756" spans="6:6" outlineLevel="1">
      <c r="F2756"/>
    </row>
    <row r="2757" spans="6:6" outlineLevel="1">
      <c r="F2757"/>
    </row>
    <row r="2758" spans="6:6" outlineLevel="1">
      <c r="F2758"/>
    </row>
    <row r="2759" spans="6:6" outlineLevel="1">
      <c r="F2759"/>
    </row>
    <row r="2760" spans="6:6" outlineLevel="1">
      <c r="F2760"/>
    </row>
    <row r="2761" spans="6:6" outlineLevel="1">
      <c r="F2761"/>
    </row>
    <row r="2762" spans="6:6" outlineLevel="1">
      <c r="F2762"/>
    </row>
    <row r="2763" spans="6:6" outlineLevel="1">
      <c r="F2763"/>
    </row>
    <row r="2764" spans="6:6" outlineLevel="1">
      <c r="F2764"/>
    </row>
    <row r="2765" spans="6:6" outlineLevel="1">
      <c r="F2765"/>
    </row>
    <row r="2766" spans="6:6" outlineLevel="1">
      <c r="F2766"/>
    </row>
    <row r="2767" spans="6:6" outlineLevel="1">
      <c r="F2767"/>
    </row>
    <row r="2768" spans="6:6" outlineLevel="1">
      <c r="F2768"/>
    </row>
    <row r="2769" spans="6:6" outlineLevel="1">
      <c r="F2769"/>
    </row>
    <row r="2770" spans="6:6" outlineLevel="1">
      <c r="F2770"/>
    </row>
    <row r="2771" spans="6:6" outlineLevel="1">
      <c r="F2771"/>
    </row>
    <row r="2772" spans="6:6" outlineLevel="1">
      <c r="F2772"/>
    </row>
    <row r="2773" spans="6:6" outlineLevel="1">
      <c r="F2773"/>
    </row>
    <row r="2774" spans="6:6" outlineLevel="1">
      <c r="F2774"/>
    </row>
    <row r="2775" spans="6:6" outlineLevel="1">
      <c r="F2775"/>
    </row>
    <row r="2776" spans="6:6" outlineLevel="1">
      <c r="F2776"/>
    </row>
    <row r="2777" spans="6:6" outlineLevel="1">
      <c r="F2777"/>
    </row>
    <row r="2778" spans="6:6" outlineLevel="1">
      <c r="F2778"/>
    </row>
    <row r="2779" spans="6:6" outlineLevel="1">
      <c r="F2779"/>
    </row>
    <row r="2780" spans="6:6" outlineLevel="1">
      <c r="F2780"/>
    </row>
    <row r="2781" spans="6:6" outlineLevel="1">
      <c r="F2781"/>
    </row>
    <row r="2782" spans="6:6" outlineLevel="1">
      <c r="F2782"/>
    </row>
    <row r="2783" spans="6:6" outlineLevel="1">
      <c r="F2783"/>
    </row>
    <row r="2784" spans="6:6" outlineLevel="1">
      <c r="F2784"/>
    </row>
    <row r="2785" spans="6:6" outlineLevel="1">
      <c r="F2785"/>
    </row>
    <row r="2786" spans="6:6" outlineLevel="1">
      <c r="F2786"/>
    </row>
    <row r="2787" spans="6:6" outlineLevel="1">
      <c r="F2787"/>
    </row>
    <row r="2788" spans="6:6" outlineLevel="1">
      <c r="F2788"/>
    </row>
    <row r="2789" spans="6:6" outlineLevel="1">
      <c r="F2789"/>
    </row>
    <row r="2790" spans="6:6" outlineLevel="1">
      <c r="F2790"/>
    </row>
    <row r="2791" spans="6:6" outlineLevel="1">
      <c r="F2791"/>
    </row>
    <row r="2792" spans="6:6" outlineLevel="1">
      <c r="F2792"/>
    </row>
    <row r="2793" spans="6:6" outlineLevel="1">
      <c r="F2793"/>
    </row>
    <row r="2794" spans="6:6" outlineLevel="1">
      <c r="F2794"/>
    </row>
    <row r="2795" spans="6:6" outlineLevel="1">
      <c r="F2795"/>
    </row>
    <row r="2796" spans="6:6" outlineLevel="1">
      <c r="F2796"/>
    </row>
    <row r="2797" spans="6:6" outlineLevel="1">
      <c r="F2797"/>
    </row>
    <row r="2798" spans="6:6">
      <c r="F2798"/>
    </row>
    <row r="2799" spans="6:6" outlineLevel="1">
      <c r="F2799"/>
    </row>
    <row r="2800" spans="6:6" outlineLevel="1">
      <c r="F2800"/>
    </row>
    <row r="2801" spans="6:6" outlineLevel="1">
      <c r="F2801"/>
    </row>
    <row r="2802" spans="6:6" outlineLevel="1">
      <c r="F2802"/>
    </row>
    <row r="2803" spans="6:6" outlineLevel="1">
      <c r="F2803"/>
    </row>
    <row r="2804" spans="6:6" outlineLevel="1">
      <c r="F2804"/>
    </row>
    <row r="2805" spans="6:6" outlineLevel="1">
      <c r="F2805"/>
    </row>
    <row r="2806" spans="6:6" outlineLevel="1">
      <c r="F2806"/>
    </row>
    <row r="2807" spans="6:6" outlineLevel="1">
      <c r="F2807"/>
    </row>
    <row r="2808" spans="6:6" outlineLevel="1">
      <c r="F2808"/>
    </row>
    <row r="2809" spans="6:6" outlineLevel="1">
      <c r="F2809"/>
    </row>
    <row r="2810" spans="6:6" outlineLevel="1">
      <c r="F2810"/>
    </row>
    <row r="2811" spans="6:6" outlineLevel="1">
      <c r="F2811"/>
    </row>
    <row r="2812" spans="6:6" outlineLevel="1">
      <c r="F2812"/>
    </row>
    <row r="2813" spans="6:6" outlineLevel="1">
      <c r="F2813"/>
    </row>
    <row r="2814" spans="6:6" outlineLevel="1">
      <c r="F2814"/>
    </row>
    <row r="2815" spans="6:6" outlineLevel="1">
      <c r="F2815"/>
    </row>
    <row r="2816" spans="6:6" outlineLevel="1">
      <c r="F2816"/>
    </row>
    <row r="2817" spans="6:6" outlineLevel="1">
      <c r="F2817"/>
    </row>
    <row r="2818" spans="6:6" outlineLevel="1">
      <c r="F2818"/>
    </row>
    <row r="2819" spans="6:6" outlineLevel="1">
      <c r="F2819"/>
    </row>
    <row r="2820" spans="6:6" outlineLevel="1">
      <c r="F2820"/>
    </row>
    <row r="2821" spans="6:6" outlineLevel="1">
      <c r="F2821"/>
    </row>
    <row r="2822" spans="6:6" outlineLevel="1">
      <c r="F2822"/>
    </row>
    <row r="2823" spans="6:6" outlineLevel="1">
      <c r="F2823"/>
    </row>
    <row r="2824" spans="6:6" outlineLevel="1">
      <c r="F2824"/>
    </row>
    <row r="2825" spans="6:6" outlineLevel="1">
      <c r="F2825"/>
    </row>
    <row r="2826" spans="6:6" outlineLevel="1">
      <c r="F2826"/>
    </row>
    <row r="2827" spans="6:6" outlineLevel="1">
      <c r="F2827"/>
    </row>
    <row r="2828" spans="6:6" outlineLevel="1">
      <c r="F2828"/>
    </row>
    <row r="2829" spans="6:6" outlineLevel="1">
      <c r="F2829"/>
    </row>
    <row r="2830" spans="6:6" outlineLevel="1">
      <c r="F2830"/>
    </row>
    <row r="2831" spans="6:6" outlineLevel="1">
      <c r="F2831"/>
    </row>
    <row r="2832" spans="6:6" outlineLevel="1">
      <c r="F2832"/>
    </row>
    <row r="2833" spans="6:6" outlineLevel="1">
      <c r="F2833"/>
    </row>
    <row r="2834" spans="6:6" outlineLevel="1">
      <c r="F2834"/>
    </row>
    <row r="2835" spans="6:6" outlineLevel="1">
      <c r="F2835"/>
    </row>
    <row r="2836" spans="6:6" outlineLevel="1">
      <c r="F2836"/>
    </row>
    <row r="2837" spans="6:6" outlineLevel="1">
      <c r="F2837"/>
    </row>
    <row r="2838" spans="6:6" outlineLevel="1">
      <c r="F2838"/>
    </row>
    <row r="2839" spans="6:6" outlineLevel="1">
      <c r="F2839"/>
    </row>
    <row r="2840" spans="6:6" outlineLevel="1">
      <c r="F2840"/>
    </row>
    <row r="2841" spans="6:6" outlineLevel="1">
      <c r="F2841"/>
    </row>
    <row r="2842" spans="6:6" outlineLevel="1">
      <c r="F2842"/>
    </row>
    <row r="2843" spans="6:6" outlineLevel="1">
      <c r="F2843"/>
    </row>
    <row r="2844" spans="6:6" outlineLevel="1">
      <c r="F2844"/>
    </row>
    <row r="2845" spans="6:6" outlineLevel="1">
      <c r="F2845"/>
    </row>
    <row r="2846" spans="6:6" outlineLevel="1">
      <c r="F2846"/>
    </row>
    <row r="2847" spans="6:6" outlineLevel="1">
      <c r="F2847"/>
    </row>
    <row r="2848" spans="6:6" outlineLevel="1">
      <c r="F2848"/>
    </row>
    <row r="2849" spans="6:6" outlineLevel="1">
      <c r="F2849"/>
    </row>
    <row r="2850" spans="6:6" outlineLevel="1">
      <c r="F2850"/>
    </row>
    <row r="2851" spans="6:6" outlineLevel="1">
      <c r="F2851"/>
    </row>
    <row r="2852" spans="6:6" outlineLevel="1">
      <c r="F2852"/>
    </row>
    <row r="2853" spans="6:6" outlineLevel="1">
      <c r="F2853"/>
    </row>
    <row r="2854" spans="6:6" outlineLevel="1">
      <c r="F2854"/>
    </row>
    <row r="2855" spans="6:6" outlineLevel="1">
      <c r="F2855"/>
    </row>
    <row r="2856" spans="6:6" outlineLevel="1">
      <c r="F2856"/>
    </row>
    <row r="2857" spans="6:6" outlineLevel="1">
      <c r="F2857"/>
    </row>
    <row r="2858" spans="6:6" outlineLevel="1">
      <c r="F2858"/>
    </row>
    <row r="2859" spans="6:6" outlineLevel="1">
      <c r="F2859"/>
    </row>
    <row r="2860" spans="6:6" outlineLevel="1">
      <c r="F2860"/>
    </row>
    <row r="2861" spans="6:6" outlineLevel="1">
      <c r="F2861"/>
    </row>
    <row r="2862" spans="6:6" outlineLevel="1">
      <c r="F2862"/>
    </row>
    <row r="2863" spans="6:6" outlineLevel="1">
      <c r="F2863"/>
    </row>
    <row r="2864" spans="6:6" outlineLevel="1">
      <c r="F2864"/>
    </row>
    <row r="2865" spans="6:6" outlineLevel="1">
      <c r="F2865"/>
    </row>
    <row r="2866" spans="6:6" outlineLevel="1">
      <c r="F2866"/>
    </row>
    <row r="2867" spans="6:6" outlineLevel="1">
      <c r="F2867"/>
    </row>
    <row r="2868" spans="6:6" outlineLevel="1">
      <c r="F2868"/>
    </row>
    <row r="2869" spans="6:6" outlineLevel="1">
      <c r="F2869"/>
    </row>
    <row r="2870" spans="6:6" outlineLevel="1">
      <c r="F2870"/>
    </row>
    <row r="2871" spans="6:6" outlineLevel="1">
      <c r="F2871"/>
    </row>
    <row r="2872" spans="6:6" outlineLevel="1">
      <c r="F2872"/>
    </row>
    <row r="2873" spans="6:6" outlineLevel="1">
      <c r="F2873"/>
    </row>
    <row r="2874" spans="6:6" outlineLevel="1">
      <c r="F2874"/>
    </row>
    <row r="2875" spans="6:6" outlineLevel="1">
      <c r="F2875"/>
    </row>
    <row r="2876" spans="6:6" outlineLevel="1">
      <c r="F2876"/>
    </row>
    <row r="2877" spans="6:6" outlineLevel="1">
      <c r="F2877"/>
    </row>
    <row r="2878" spans="6:6" outlineLevel="1">
      <c r="F2878"/>
    </row>
    <row r="2879" spans="6:6" outlineLevel="1">
      <c r="F2879"/>
    </row>
    <row r="2880" spans="6:6" outlineLevel="1">
      <c r="F2880"/>
    </row>
    <row r="2881" spans="6:6" outlineLevel="1">
      <c r="F2881"/>
    </row>
    <row r="2882" spans="6:6" outlineLevel="1">
      <c r="F2882"/>
    </row>
    <row r="2883" spans="6:6" outlineLevel="1">
      <c r="F2883"/>
    </row>
    <row r="2884" spans="6:6" outlineLevel="1">
      <c r="F2884"/>
    </row>
    <row r="2885" spans="6:6" outlineLevel="1">
      <c r="F2885"/>
    </row>
    <row r="2886" spans="6:6" outlineLevel="1">
      <c r="F2886"/>
    </row>
    <row r="2887" spans="6:6" outlineLevel="1">
      <c r="F2887"/>
    </row>
    <row r="2888" spans="6:6" outlineLevel="1">
      <c r="F2888"/>
    </row>
    <row r="2889" spans="6:6" outlineLevel="1">
      <c r="F2889"/>
    </row>
    <row r="2890" spans="6:6" outlineLevel="1">
      <c r="F2890"/>
    </row>
    <row r="2891" spans="6:6" outlineLevel="1">
      <c r="F2891"/>
    </row>
    <row r="2892" spans="6:6" outlineLevel="1">
      <c r="F2892"/>
    </row>
    <row r="2893" spans="6:6" outlineLevel="1">
      <c r="F2893"/>
    </row>
    <row r="2894" spans="6:6" outlineLevel="1">
      <c r="F2894"/>
    </row>
    <row r="2895" spans="6:6" outlineLevel="1">
      <c r="F2895"/>
    </row>
    <row r="2896" spans="6:6" outlineLevel="1">
      <c r="F2896"/>
    </row>
    <row r="2897" spans="6:6" outlineLevel="1">
      <c r="F2897"/>
    </row>
    <row r="2898" spans="6:6" outlineLevel="1">
      <c r="F2898"/>
    </row>
    <row r="2899" spans="6:6" outlineLevel="1">
      <c r="F2899"/>
    </row>
    <row r="2900" spans="6:6" outlineLevel="1">
      <c r="F2900"/>
    </row>
    <row r="2901" spans="6:6" outlineLevel="1">
      <c r="F2901"/>
    </row>
    <row r="2902" spans="6:6" outlineLevel="1">
      <c r="F2902"/>
    </row>
    <row r="2903" spans="6:6" outlineLevel="1">
      <c r="F2903"/>
    </row>
    <row r="2904" spans="6:6" outlineLevel="1">
      <c r="F2904"/>
    </row>
    <row r="2905" spans="6:6" outlineLevel="1">
      <c r="F2905"/>
    </row>
    <row r="2906" spans="6:6" outlineLevel="1">
      <c r="F2906"/>
    </row>
    <row r="2907" spans="6:6" outlineLevel="1">
      <c r="F2907"/>
    </row>
    <row r="2908" spans="6:6" outlineLevel="1">
      <c r="F2908"/>
    </row>
    <row r="2909" spans="6:6" outlineLevel="1">
      <c r="F2909"/>
    </row>
    <row r="2910" spans="6:6" outlineLevel="1">
      <c r="F2910"/>
    </row>
    <row r="2911" spans="6:6" outlineLevel="1">
      <c r="F2911"/>
    </row>
    <row r="2912" spans="6:6" outlineLevel="1">
      <c r="F2912"/>
    </row>
    <row r="2913" spans="6:6" outlineLevel="1">
      <c r="F2913"/>
    </row>
    <row r="2914" spans="6:6" outlineLevel="1">
      <c r="F2914"/>
    </row>
    <row r="2915" spans="6:6" outlineLevel="1">
      <c r="F2915"/>
    </row>
    <row r="2916" spans="6:6" outlineLevel="1">
      <c r="F2916"/>
    </row>
    <row r="2917" spans="6:6" outlineLevel="1">
      <c r="F2917"/>
    </row>
    <row r="2918" spans="6:6" outlineLevel="1">
      <c r="F2918"/>
    </row>
    <row r="2919" spans="6:6" outlineLevel="1">
      <c r="F2919"/>
    </row>
    <row r="2920" spans="6:6" outlineLevel="1">
      <c r="F2920"/>
    </row>
    <row r="2921" spans="6:6" outlineLevel="1">
      <c r="F2921"/>
    </row>
    <row r="2922" spans="6:6" outlineLevel="1">
      <c r="F2922"/>
    </row>
    <row r="2923" spans="6:6" outlineLevel="1">
      <c r="F2923"/>
    </row>
    <row r="2924" spans="6:6" outlineLevel="1">
      <c r="F2924"/>
    </row>
    <row r="2925" spans="6:6" outlineLevel="1">
      <c r="F2925"/>
    </row>
    <row r="2926" spans="6:6" outlineLevel="1">
      <c r="F2926"/>
    </row>
    <row r="2927" spans="6:6" outlineLevel="1">
      <c r="F2927"/>
    </row>
    <row r="2928" spans="6:6" outlineLevel="1">
      <c r="F2928"/>
    </row>
    <row r="2929" spans="6:6" outlineLevel="1">
      <c r="F2929"/>
    </row>
    <row r="2930" spans="6:6" outlineLevel="1">
      <c r="F2930"/>
    </row>
    <row r="2931" spans="6:6" outlineLevel="1">
      <c r="F2931"/>
    </row>
    <row r="2932" spans="6:6" outlineLevel="1">
      <c r="F2932"/>
    </row>
    <row r="2933" spans="6:6" outlineLevel="1">
      <c r="F2933"/>
    </row>
    <row r="2934" spans="6:6" outlineLevel="1">
      <c r="F2934"/>
    </row>
    <row r="2935" spans="6:6" outlineLevel="1">
      <c r="F2935"/>
    </row>
    <row r="2936" spans="6:6" outlineLevel="1">
      <c r="F2936"/>
    </row>
    <row r="2937" spans="6:6" outlineLevel="1">
      <c r="F2937"/>
    </row>
    <row r="2938" spans="6:6" outlineLevel="1">
      <c r="F2938"/>
    </row>
    <row r="2939" spans="6:6" outlineLevel="1">
      <c r="F2939"/>
    </row>
    <row r="2940" spans="6:6" outlineLevel="1">
      <c r="F2940"/>
    </row>
    <row r="2941" spans="6:6" outlineLevel="1">
      <c r="F2941"/>
    </row>
    <row r="2942" spans="6:6" outlineLevel="1">
      <c r="F2942"/>
    </row>
    <row r="2943" spans="6:6" outlineLevel="1">
      <c r="F2943"/>
    </row>
    <row r="2944" spans="6:6" outlineLevel="1">
      <c r="F2944"/>
    </row>
    <row r="2945" spans="6:6" outlineLevel="1">
      <c r="F2945"/>
    </row>
    <row r="2946" spans="6:6" outlineLevel="1">
      <c r="F2946"/>
    </row>
    <row r="2947" spans="6:6" outlineLevel="1">
      <c r="F2947"/>
    </row>
    <row r="2948" spans="6:6" outlineLevel="1">
      <c r="F2948"/>
    </row>
    <row r="2949" spans="6:6" outlineLevel="1">
      <c r="F2949"/>
    </row>
    <row r="2950" spans="6:6" outlineLevel="1">
      <c r="F2950"/>
    </row>
    <row r="2951" spans="6:6" outlineLevel="1">
      <c r="F2951"/>
    </row>
    <row r="2952" spans="6:6" outlineLevel="1">
      <c r="F2952"/>
    </row>
    <row r="2953" spans="6:6" outlineLevel="1">
      <c r="F2953"/>
    </row>
    <row r="2954" spans="6:6" outlineLevel="1">
      <c r="F2954"/>
    </row>
    <row r="2955" spans="6:6" outlineLevel="1">
      <c r="F2955"/>
    </row>
    <row r="2956" spans="6:6" outlineLevel="1">
      <c r="F2956"/>
    </row>
    <row r="2957" spans="6:6" outlineLevel="1">
      <c r="F2957"/>
    </row>
    <row r="2958" spans="6:6" outlineLevel="1">
      <c r="F2958"/>
    </row>
    <row r="2959" spans="6:6" outlineLevel="1">
      <c r="F2959"/>
    </row>
    <row r="2960" spans="6:6" outlineLevel="1">
      <c r="F2960"/>
    </row>
    <row r="2961" spans="6:6" outlineLevel="1">
      <c r="F2961"/>
    </row>
    <row r="2962" spans="6:6" outlineLevel="1">
      <c r="F2962"/>
    </row>
    <row r="2963" spans="6:6" outlineLevel="1">
      <c r="F2963"/>
    </row>
    <row r="2964" spans="6:6" outlineLevel="1">
      <c r="F2964"/>
    </row>
    <row r="2965" spans="6:6" outlineLevel="1">
      <c r="F2965"/>
    </row>
    <row r="2966" spans="6:6" outlineLevel="1">
      <c r="F2966"/>
    </row>
    <row r="2967" spans="6:6" outlineLevel="1">
      <c r="F2967"/>
    </row>
    <row r="2968" spans="6:6" outlineLevel="1">
      <c r="F2968"/>
    </row>
    <row r="2969" spans="6:6" outlineLevel="1">
      <c r="F2969"/>
    </row>
    <row r="2970" spans="6:6" outlineLevel="1">
      <c r="F2970"/>
    </row>
    <row r="2971" spans="6:6" outlineLevel="1">
      <c r="F2971"/>
    </row>
    <row r="2972" spans="6:6" outlineLevel="1">
      <c r="F2972"/>
    </row>
    <row r="2973" spans="6:6" outlineLevel="1">
      <c r="F2973"/>
    </row>
    <row r="2974" spans="6:6" outlineLevel="1">
      <c r="F2974"/>
    </row>
    <row r="2975" spans="6:6" outlineLevel="1">
      <c r="F2975"/>
    </row>
    <row r="2976" spans="6:6" outlineLevel="1">
      <c r="F2976"/>
    </row>
    <row r="2977" spans="6:6" outlineLevel="1">
      <c r="F2977"/>
    </row>
    <row r="2978" spans="6:6" outlineLevel="1">
      <c r="F2978"/>
    </row>
    <row r="2979" spans="6:6" outlineLevel="1">
      <c r="F2979"/>
    </row>
    <row r="2980" spans="6:6" outlineLevel="1">
      <c r="F2980"/>
    </row>
    <row r="2981" spans="6:6" outlineLevel="1">
      <c r="F2981"/>
    </row>
    <row r="2982" spans="6:6" outlineLevel="1">
      <c r="F2982"/>
    </row>
    <row r="2983" spans="6:6" outlineLevel="1">
      <c r="F2983"/>
    </row>
    <row r="2984" spans="6:6" outlineLevel="1">
      <c r="F2984"/>
    </row>
    <row r="2985" spans="6:6" outlineLevel="1">
      <c r="F2985"/>
    </row>
    <row r="2986" spans="6:6" outlineLevel="1">
      <c r="F2986"/>
    </row>
    <row r="2987" spans="6:6" outlineLevel="1">
      <c r="F2987"/>
    </row>
    <row r="2988" spans="6:6">
      <c r="F2988"/>
    </row>
    <row r="2989" spans="6:6" outlineLevel="1">
      <c r="F2989"/>
    </row>
    <row r="2990" spans="6:6" outlineLevel="1">
      <c r="F2990"/>
    </row>
    <row r="2991" spans="6:6" outlineLevel="1">
      <c r="F2991"/>
    </row>
    <row r="2992" spans="6:6" outlineLevel="1">
      <c r="F2992"/>
    </row>
    <row r="2993" spans="6:6" outlineLevel="1">
      <c r="F2993"/>
    </row>
    <row r="2994" spans="6:6" outlineLevel="1">
      <c r="F2994"/>
    </row>
    <row r="2995" spans="6:6" outlineLevel="1">
      <c r="F2995"/>
    </row>
    <row r="2996" spans="6:6" outlineLevel="1">
      <c r="F2996"/>
    </row>
    <row r="2997" spans="6:6" outlineLevel="1">
      <c r="F2997"/>
    </row>
    <row r="2998" spans="6:6" outlineLevel="1">
      <c r="F2998"/>
    </row>
    <row r="2999" spans="6:6" outlineLevel="1">
      <c r="F2999"/>
    </row>
    <row r="3000" spans="6:6" outlineLevel="1">
      <c r="F3000"/>
    </row>
    <row r="3001" spans="6:6" outlineLevel="1">
      <c r="F3001"/>
    </row>
    <row r="3002" spans="6:6" outlineLevel="1">
      <c r="F3002"/>
    </row>
    <row r="3003" spans="6:6" outlineLevel="1">
      <c r="F3003"/>
    </row>
    <row r="3004" spans="6:6" outlineLevel="1">
      <c r="F3004"/>
    </row>
    <row r="3005" spans="6:6" outlineLevel="1">
      <c r="F3005"/>
    </row>
    <row r="3006" spans="6:6" outlineLevel="1">
      <c r="F3006"/>
    </row>
    <row r="3007" spans="6:6" outlineLevel="1">
      <c r="F3007"/>
    </row>
    <row r="3008" spans="6:6" outlineLevel="1">
      <c r="F3008"/>
    </row>
    <row r="3009" spans="6:6" outlineLevel="1">
      <c r="F3009"/>
    </row>
    <row r="3010" spans="6:6" outlineLevel="1">
      <c r="F3010"/>
    </row>
    <row r="3011" spans="6:6" outlineLevel="1">
      <c r="F3011"/>
    </row>
    <row r="3012" spans="6:6" outlineLevel="1">
      <c r="F3012"/>
    </row>
    <row r="3013" spans="6:6" outlineLevel="1">
      <c r="F3013"/>
    </row>
    <row r="3014" spans="6:6" outlineLevel="1">
      <c r="F3014"/>
    </row>
    <row r="3015" spans="6:6" outlineLevel="1">
      <c r="F3015"/>
    </row>
    <row r="3016" spans="6:6" outlineLevel="1">
      <c r="F3016"/>
    </row>
    <row r="3017" spans="6:6" outlineLevel="1">
      <c r="F3017"/>
    </row>
    <row r="3018" spans="6:6" outlineLevel="1">
      <c r="F3018"/>
    </row>
    <row r="3019" spans="6:6" outlineLevel="1">
      <c r="F3019"/>
    </row>
    <row r="3020" spans="6:6" outlineLevel="1">
      <c r="F3020"/>
    </row>
    <row r="3021" spans="6:6" outlineLevel="1">
      <c r="F3021"/>
    </row>
    <row r="3022" spans="6:6" outlineLevel="1">
      <c r="F3022"/>
    </row>
    <row r="3023" spans="6:6" outlineLevel="1">
      <c r="F3023"/>
    </row>
    <row r="3024" spans="6:6" outlineLevel="1">
      <c r="F3024"/>
    </row>
    <row r="3025" spans="6:6" outlineLevel="1">
      <c r="F3025"/>
    </row>
    <row r="3026" spans="6:6" outlineLevel="1">
      <c r="F3026"/>
    </row>
    <row r="3027" spans="6:6" outlineLevel="1">
      <c r="F3027"/>
    </row>
    <row r="3028" spans="6:6" outlineLevel="1">
      <c r="F3028"/>
    </row>
    <row r="3029" spans="6:6" outlineLevel="1">
      <c r="F3029"/>
    </row>
    <row r="3030" spans="6:6" outlineLevel="1">
      <c r="F3030"/>
    </row>
    <row r="3031" spans="6:6" outlineLevel="1">
      <c r="F3031"/>
    </row>
    <row r="3032" spans="6:6" outlineLevel="1">
      <c r="F3032"/>
    </row>
    <row r="3033" spans="6:6" outlineLevel="1">
      <c r="F3033"/>
    </row>
    <row r="3034" spans="6:6" outlineLevel="1">
      <c r="F3034"/>
    </row>
    <row r="3035" spans="6:6" outlineLevel="1">
      <c r="F3035"/>
    </row>
    <row r="3036" spans="6:6" outlineLevel="1">
      <c r="F3036"/>
    </row>
    <row r="3037" spans="6:6" outlineLevel="1">
      <c r="F3037"/>
    </row>
    <row r="3038" spans="6:6" outlineLevel="1">
      <c r="F3038"/>
    </row>
    <row r="3039" spans="6:6" outlineLevel="1">
      <c r="F3039"/>
    </row>
    <row r="3040" spans="6:6" outlineLevel="1">
      <c r="F3040"/>
    </row>
    <row r="3041" spans="6:6" outlineLevel="1">
      <c r="F3041"/>
    </row>
    <row r="3042" spans="6:6" outlineLevel="1">
      <c r="F3042"/>
    </row>
    <row r="3043" spans="6:6" outlineLevel="1">
      <c r="F3043"/>
    </row>
    <row r="3044" spans="6:6" outlineLevel="1">
      <c r="F3044"/>
    </row>
    <row r="3045" spans="6:6" outlineLevel="1">
      <c r="F3045"/>
    </row>
    <row r="3046" spans="6:6" outlineLevel="1">
      <c r="F3046"/>
    </row>
    <row r="3047" spans="6:6" outlineLevel="1">
      <c r="F3047"/>
    </row>
    <row r="3048" spans="6:6" outlineLevel="1">
      <c r="F3048"/>
    </row>
    <row r="3049" spans="6:6" outlineLevel="1">
      <c r="F3049"/>
    </row>
    <row r="3050" spans="6:6" outlineLevel="1">
      <c r="F3050"/>
    </row>
    <row r="3051" spans="6:6" outlineLevel="1">
      <c r="F3051"/>
    </row>
    <row r="3052" spans="6:6" outlineLevel="1">
      <c r="F3052"/>
    </row>
    <row r="3053" spans="6:6" outlineLevel="1">
      <c r="F3053"/>
    </row>
    <row r="3054" spans="6:6" outlineLevel="1">
      <c r="F3054"/>
    </row>
    <row r="3055" spans="6:6" outlineLevel="1">
      <c r="F3055"/>
    </row>
    <row r="3056" spans="6:6" outlineLevel="1">
      <c r="F3056"/>
    </row>
    <row r="3057" spans="6:6" outlineLevel="1">
      <c r="F3057"/>
    </row>
    <row r="3058" spans="6:6" outlineLevel="1">
      <c r="F3058"/>
    </row>
    <row r="3059" spans="6:6" outlineLevel="1">
      <c r="F3059"/>
    </row>
    <row r="3060" spans="6:6" outlineLevel="1">
      <c r="F3060"/>
    </row>
    <row r="3061" spans="6:6" outlineLevel="1">
      <c r="F3061"/>
    </row>
    <row r="3062" spans="6:6" outlineLevel="1">
      <c r="F3062"/>
    </row>
    <row r="3063" spans="6:6" outlineLevel="1">
      <c r="F3063"/>
    </row>
    <row r="3064" spans="6:6" outlineLevel="1">
      <c r="F3064"/>
    </row>
    <row r="3065" spans="6:6" outlineLevel="1">
      <c r="F3065"/>
    </row>
    <row r="3066" spans="6:6" outlineLevel="1">
      <c r="F3066"/>
    </row>
    <row r="3067" spans="6:6" outlineLevel="1">
      <c r="F3067"/>
    </row>
    <row r="3068" spans="6:6" outlineLevel="1">
      <c r="F3068"/>
    </row>
    <row r="3069" spans="6:6" outlineLevel="1">
      <c r="F3069"/>
    </row>
    <row r="3070" spans="6:6" outlineLevel="1">
      <c r="F3070"/>
    </row>
    <row r="3071" spans="6:6" outlineLevel="1">
      <c r="F3071"/>
    </row>
    <row r="3072" spans="6:6" outlineLevel="1">
      <c r="F3072"/>
    </row>
    <row r="3073" spans="6:6" outlineLevel="1">
      <c r="F3073"/>
    </row>
    <row r="3074" spans="6:6" outlineLevel="1">
      <c r="F3074"/>
    </row>
    <row r="3075" spans="6:6" outlineLevel="1">
      <c r="F3075"/>
    </row>
    <row r="3076" spans="6:6" outlineLevel="1">
      <c r="F3076"/>
    </row>
    <row r="3077" spans="6:6" outlineLevel="1">
      <c r="F3077"/>
    </row>
    <row r="3078" spans="6:6" outlineLevel="1">
      <c r="F3078"/>
    </row>
    <row r="3079" spans="6:6" outlineLevel="1">
      <c r="F3079"/>
    </row>
    <row r="3080" spans="6:6" outlineLevel="1">
      <c r="F3080"/>
    </row>
    <row r="3081" spans="6:6" outlineLevel="1">
      <c r="F3081"/>
    </row>
    <row r="3082" spans="6:6" outlineLevel="1">
      <c r="F3082"/>
    </row>
    <row r="3083" spans="6:6" outlineLevel="1">
      <c r="F3083"/>
    </row>
    <row r="3084" spans="6:6" outlineLevel="1">
      <c r="F3084"/>
    </row>
    <row r="3085" spans="6:6" outlineLevel="1">
      <c r="F3085"/>
    </row>
    <row r="3086" spans="6:6" outlineLevel="1">
      <c r="F3086"/>
    </row>
    <row r="3087" spans="6:6" outlineLevel="1">
      <c r="F3087"/>
    </row>
    <row r="3088" spans="6:6" outlineLevel="1">
      <c r="F3088"/>
    </row>
    <row r="3089" spans="6:6" outlineLevel="1">
      <c r="F3089"/>
    </row>
    <row r="3090" spans="6:6" outlineLevel="1">
      <c r="F3090"/>
    </row>
    <row r="3091" spans="6:6" outlineLevel="1">
      <c r="F3091"/>
    </row>
    <row r="3092" spans="6:6" outlineLevel="1">
      <c r="F3092"/>
    </row>
    <row r="3093" spans="6:6" outlineLevel="1">
      <c r="F3093"/>
    </row>
    <row r="3094" spans="6:6" outlineLevel="1">
      <c r="F3094"/>
    </row>
    <row r="3095" spans="6:6" outlineLevel="1">
      <c r="F3095"/>
    </row>
    <row r="3096" spans="6:6" outlineLevel="1">
      <c r="F3096"/>
    </row>
    <row r="3097" spans="6:6" outlineLevel="1">
      <c r="F3097"/>
    </row>
    <row r="3098" spans="6:6" outlineLevel="1">
      <c r="F3098"/>
    </row>
    <row r="3099" spans="6:6" outlineLevel="1">
      <c r="F3099"/>
    </row>
    <row r="3100" spans="6:6" outlineLevel="1">
      <c r="F3100"/>
    </row>
    <row r="3101" spans="6:6" outlineLevel="1">
      <c r="F3101"/>
    </row>
    <row r="3102" spans="6:6" outlineLevel="1">
      <c r="F3102"/>
    </row>
    <row r="3103" spans="6:6" outlineLevel="1">
      <c r="F3103"/>
    </row>
    <row r="3104" spans="6:6" outlineLevel="1">
      <c r="F3104"/>
    </row>
    <row r="3105" spans="6:6" outlineLevel="1">
      <c r="F3105"/>
    </row>
    <row r="3106" spans="6:6" outlineLevel="1">
      <c r="F3106"/>
    </row>
    <row r="3107" spans="6:6" outlineLevel="1">
      <c r="F3107"/>
    </row>
    <row r="3108" spans="6:6" outlineLevel="1">
      <c r="F3108"/>
    </row>
    <row r="3109" spans="6:6" outlineLevel="1">
      <c r="F3109"/>
    </row>
    <row r="3110" spans="6:6" outlineLevel="1">
      <c r="F3110"/>
    </row>
    <row r="3111" spans="6:6" outlineLevel="1">
      <c r="F3111"/>
    </row>
    <row r="3112" spans="6:6" outlineLevel="1">
      <c r="F3112"/>
    </row>
    <row r="3113" spans="6:6" outlineLevel="1">
      <c r="F3113"/>
    </row>
    <row r="3114" spans="6:6" outlineLevel="1">
      <c r="F3114"/>
    </row>
    <row r="3115" spans="6:6" outlineLevel="1">
      <c r="F3115"/>
    </row>
    <row r="3116" spans="6:6" outlineLevel="1">
      <c r="F3116"/>
    </row>
    <row r="3117" spans="6:6" outlineLevel="1">
      <c r="F3117"/>
    </row>
    <row r="3118" spans="6:6" outlineLevel="1">
      <c r="F3118"/>
    </row>
    <row r="3119" spans="6:6" outlineLevel="1">
      <c r="F3119"/>
    </row>
    <row r="3120" spans="6:6" outlineLevel="1">
      <c r="F3120"/>
    </row>
    <row r="3121" spans="6:6" outlineLevel="1">
      <c r="F3121"/>
    </row>
    <row r="3122" spans="6:6" outlineLevel="1">
      <c r="F3122"/>
    </row>
    <row r="3123" spans="6:6" outlineLevel="1">
      <c r="F3123"/>
    </row>
    <row r="3124" spans="6:6" outlineLevel="1">
      <c r="F3124"/>
    </row>
    <row r="3125" spans="6:6" outlineLevel="1">
      <c r="F3125"/>
    </row>
    <row r="3126" spans="6:6" outlineLevel="1">
      <c r="F3126"/>
    </row>
    <row r="3127" spans="6:6" outlineLevel="1">
      <c r="F3127"/>
    </row>
    <row r="3128" spans="6:6" outlineLevel="1">
      <c r="F3128"/>
    </row>
    <row r="3129" spans="6:6" outlineLevel="1">
      <c r="F3129"/>
    </row>
    <row r="3130" spans="6:6" outlineLevel="1">
      <c r="F3130"/>
    </row>
    <row r="3131" spans="6:6" outlineLevel="1">
      <c r="F3131"/>
    </row>
    <row r="3132" spans="6:6" outlineLevel="1">
      <c r="F3132"/>
    </row>
    <row r="3133" spans="6:6" outlineLevel="1">
      <c r="F3133"/>
    </row>
    <row r="3134" spans="6:6" outlineLevel="1">
      <c r="F3134"/>
    </row>
    <row r="3135" spans="6:6" outlineLevel="1">
      <c r="F3135"/>
    </row>
    <row r="3136" spans="6:6" outlineLevel="1">
      <c r="F3136"/>
    </row>
    <row r="3137" spans="6:6" outlineLevel="1">
      <c r="F3137"/>
    </row>
    <row r="3138" spans="6:6" outlineLevel="1">
      <c r="F3138"/>
    </row>
    <row r="3139" spans="6:6" outlineLevel="1">
      <c r="F3139"/>
    </row>
    <row r="3140" spans="6:6" outlineLevel="1">
      <c r="F3140"/>
    </row>
    <row r="3141" spans="6:6" outlineLevel="1">
      <c r="F3141"/>
    </row>
    <row r="3142" spans="6:6" outlineLevel="1">
      <c r="F3142"/>
    </row>
    <row r="3143" spans="6:6" outlineLevel="1">
      <c r="F3143"/>
    </row>
    <row r="3144" spans="6:6" outlineLevel="1">
      <c r="F3144"/>
    </row>
    <row r="3145" spans="6:6" outlineLevel="1">
      <c r="F3145"/>
    </row>
    <row r="3146" spans="6:6" outlineLevel="1">
      <c r="F3146"/>
    </row>
    <row r="3147" spans="6:6" outlineLevel="1">
      <c r="F3147"/>
    </row>
    <row r="3148" spans="6:6" outlineLevel="1">
      <c r="F3148"/>
    </row>
    <row r="3149" spans="6:6" outlineLevel="1">
      <c r="F3149"/>
    </row>
    <row r="3150" spans="6:6" outlineLevel="1">
      <c r="F3150"/>
    </row>
    <row r="3151" spans="6:6" outlineLevel="1">
      <c r="F3151"/>
    </row>
    <row r="3152" spans="6:6" outlineLevel="1">
      <c r="F3152"/>
    </row>
    <row r="3153" spans="6:6" outlineLevel="1">
      <c r="F3153"/>
    </row>
    <row r="3154" spans="6:6" outlineLevel="1">
      <c r="F3154"/>
    </row>
    <row r="3155" spans="6:6" outlineLevel="1">
      <c r="F3155"/>
    </row>
    <row r="3156" spans="6:6" outlineLevel="1">
      <c r="F3156"/>
    </row>
    <row r="3157" spans="6:6" outlineLevel="1">
      <c r="F3157"/>
    </row>
    <row r="3158" spans="6:6" outlineLevel="1">
      <c r="F3158"/>
    </row>
    <row r="3159" spans="6:6" outlineLevel="1">
      <c r="F3159"/>
    </row>
    <row r="3160" spans="6:6" outlineLevel="1">
      <c r="F3160"/>
    </row>
    <row r="3161" spans="6:6" outlineLevel="1">
      <c r="F3161"/>
    </row>
    <row r="3162" spans="6:6" outlineLevel="1">
      <c r="F3162"/>
    </row>
    <row r="3163" spans="6:6" outlineLevel="1">
      <c r="F3163"/>
    </row>
    <row r="3164" spans="6:6" outlineLevel="1">
      <c r="F3164"/>
    </row>
    <row r="3165" spans="6:6" outlineLevel="1">
      <c r="F3165"/>
    </row>
    <row r="3166" spans="6:6" outlineLevel="1">
      <c r="F3166"/>
    </row>
    <row r="3167" spans="6:6" outlineLevel="1">
      <c r="F3167"/>
    </row>
    <row r="3168" spans="6:6" outlineLevel="1">
      <c r="F3168"/>
    </row>
    <row r="3169" spans="6:6" outlineLevel="1">
      <c r="F3169"/>
    </row>
    <row r="3170" spans="6:6" outlineLevel="1">
      <c r="F3170"/>
    </row>
    <row r="3171" spans="6:6" outlineLevel="1">
      <c r="F3171"/>
    </row>
    <row r="3172" spans="6:6" outlineLevel="1">
      <c r="F3172"/>
    </row>
    <row r="3173" spans="6:6" outlineLevel="1">
      <c r="F3173"/>
    </row>
    <row r="3174" spans="6:6" outlineLevel="1">
      <c r="F3174"/>
    </row>
    <row r="3175" spans="6:6">
      <c r="F3175"/>
    </row>
    <row r="3176" spans="6:6" outlineLevel="1">
      <c r="F3176"/>
    </row>
    <row r="3177" spans="6:6" outlineLevel="1">
      <c r="F3177"/>
    </row>
    <row r="3178" spans="6:6" outlineLevel="1">
      <c r="F3178"/>
    </row>
    <row r="3179" spans="6:6" outlineLevel="1">
      <c r="F3179"/>
    </row>
    <row r="3180" spans="6:6" outlineLevel="1">
      <c r="F3180"/>
    </row>
    <row r="3181" spans="6:6" outlineLevel="1">
      <c r="F3181"/>
    </row>
    <row r="3182" spans="6:6" outlineLevel="1">
      <c r="F3182"/>
    </row>
    <row r="3183" spans="6:6" outlineLevel="1">
      <c r="F3183"/>
    </row>
    <row r="3184" spans="6:6" outlineLevel="1">
      <c r="F3184"/>
    </row>
    <row r="3185" spans="6:6" outlineLevel="1">
      <c r="F3185"/>
    </row>
    <row r="3186" spans="6:6" outlineLevel="1">
      <c r="F3186"/>
    </row>
    <row r="3187" spans="6:6" outlineLevel="1">
      <c r="F3187"/>
    </row>
    <row r="3188" spans="6:6" outlineLevel="1">
      <c r="F3188"/>
    </row>
    <row r="3189" spans="6:6" outlineLevel="1">
      <c r="F3189"/>
    </row>
    <row r="3190" spans="6:6" outlineLevel="1">
      <c r="F3190"/>
    </row>
    <row r="3191" spans="6:6" outlineLevel="1">
      <c r="F3191"/>
    </row>
    <row r="3192" spans="6:6" outlineLevel="1">
      <c r="F3192"/>
    </row>
    <row r="3193" spans="6:6" outlineLevel="1">
      <c r="F3193"/>
    </row>
    <row r="3194" spans="6:6" outlineLevel="1">
      <c r="F3194"/>
    </row>
    <row r="3195" spans="6:6" outlineLevel="1">
      <c r="F3195"/>
    </row>
    <row r="3196" spans="6:6" outlineLevel="1">
      <c r="F3196"/>
    </row>
    <row r="3197" spans="6:6" outlineLevel="1">
      <c r="F3197"/>
    </row>
    <row r="3198" spans="6:6" outlineLevel="1">
      <c r="F3198"/>
    </row>
    <row r="3199" spans="6:6" outlineLevel="1">
      <c r="F3199"/>
    </row>
    <row r="3200" spans="6:6" outlineLevel="1">
      <c r="F3200"/>
    </row>
    <row r="3201" spans="6:6" outlineLevel="1">
      <c r="F3201"/>
    </row>
    <row r="3202" spans="6:6" outlineLevel="1">
      <c r="F3202"/>
    </row>
    <row r="3203" spans="6:6" outlineLevel="1">
      <c r="F3203"/>
    </row>
    <row r="3204" spans="6:6" outlineLevel="1">
      <c r="F3204"/>
    </row>
    <row r="3205" spans="6:6" outlineLevel="1">
      <c r="F3205"/>
    </row>
    <row r="3206" spans="6:6" outlineLevel="1">
      <c r="F3206"/>
    </row>
    <row r="3207" spans="6:6" outlineLevel="1">
      <c r="F3207"/>
    </row>
    <row r="3208" spans="6:6" outlineLevel="1">
      <c r="F3208"/>
    </row>
    <row r="3209" spans="6:6" outlineLevel="1">
      <c r="F3209"/>
    </row>
    <row r="3210" spans="6:6" outlineLevel="1">
      <c r="F3210"/>
    </row>
    <row r="3211" spans="6:6" outlineLevel="1">
      <c r="F3211"/>
    </row>
    <row r="3212" spans="6:6" outlineLevel="1">
      <c r="F3212"/>
    </row>
    <row r="3213" spans="6:6" outlineLevel="1">
      <c r="F3213"/>
    </row>
    <row r="3214" spans="6:6" outlineLevel="1">
      <c r="F3214"/>
    </row>
    <row r="3215" spans="6:6" outlineLevel="1">
      <c r="F3215"/>
    </row>
    <row r="3216" spans="6:6" outlineLevel="1">
      <c r="F3216"/>
    </row>
    <row r="3217" spans="6:6" outlineLevel="1">
      <c r="F3217"/>
    </row>
    <row r="3218" spans="6:6" outlineLevel="1">
      <c r="F3218"/>
    </row>
    <row r="3219" spans="6:6" outlineLevel="1">
      <c r="F3219"/>
    </row>
    <row r="3220" spans="6:6" outlineLevel="1">
      <c r="F3220"/>
    </row>
    <row r="3221" spans="6:6" outlineLevel="1">
      <c r="F3221"/>
    </row>
    <row r="3222" spans="6:6" outlineLevel="1">
      <c r="F3222"/>
    </row>
    <row r="3223" spans="6:6" outlineLevel="1">
      <c r="F3223"/>
    </row>
    <row r="3224" spans="6:6" outlineLevel="1">
      <c r="F3224"/>
    </row>
    <row r="3225" spans="6:6" outlineLevel="1">
      <c r="F3225"/>
    </row>
    <row r="3226" spans="6:6" outlineLevel="1">
      <c r="F3226"/>
    </row>
    <row r="3227" spans="6:6" outlineLevel="1">
      <c r="F3227"/>
    </row>
    <row r="3228" spans="6:6" outlineLevel="1">
      <c r="F3228"/>
    </row>
    <row r="3229" spans="6:6" outlineLevel="1">
      <c r="F3229"/>
    </row>
    <row r="3230" spans="6:6" outlineLevel="1">
      <c r="F3230"/>
    </row>
    <row r="3231" spans="6:6" outlineLevel="1">
      <c r="F3231"/>
    </row>
    <row r="3232" spans="6:6" outlineLevel="1">
      <c r="F3232"/>
    </row>
    <row r="3233" spans="6:6" outlineLevel="1">
      <c r="F3233"/>
    </row>
    <row r="3234" spans="6:6" outlineLevel="1">
      <c r="F3234"/>
    </row>
    <row r="3235" spans="6:6" outlineLevel="1">
      <c r="F3235"/>
    </row>
    <row r="3236" spans="6:6" outlineLevel="1">
      <c r="F3236"/>
    </row>
    <row r="3237" spans="6:6" outlineLevel="1">
      <c r="F3237"/>
    </row>
    <row r="3238" spans="6:6" outlineLevel="1">
      <c r="F3238"/>
    </row>
    <row r="3239" spans="6:6" outlineLevel="1">
      <c r="F3239"/>
    </row>
    <row r="3240" spans="6:6" outlineLevel="1">
      <c r="F3240"/>
    </row>
    <row r="3241" spans="6:6" outlineLevel="1">
      <c r="F3241"/>
    </row>
    <row r="3242" spans="6:6" outlineLevel="1">
      <c r="F3242"/>
    </row>
    <row r="3243" spans="6:6" outlineLevel="1">
      <c r="F3243"/>
    </row>
    <row r="3244" spans="6:6" outlineLevel="1">
      <c r="F3244"/>
    </row>
    <row r="3245" spans="6:6" outlineLevel="1">
      <c r="F3245"/>
    </row>
    <row r="3246" spans="6:6" outlineLevel="1">
      <c r="F3246"/>
    </row>
    <row r="3247" spans="6:6" outlineLevel="1">
      <c r="F3247"/>
    </row>
    <row r="3248" spans="6:6" outlineLevel="1">
      <c r="F3248"/>
    </row>
    <row r="3249" spans="6:6" outlineLevel="1">
      <c r="F3249"/>
    </row>
    <row r="3250" spans="6:6" outlineLevel="1">
      <c r="F3250"/>
    </row>
    <row r="3251" spans="6:6" outlineLevel="1">
      <c r="F3251"/>
    </row>
    <row r="3252" spans="6:6" outlineLevel="1">
      <c r="F3252"/>
    </row>
    <row r="3253" spans="6:6" outlineLevel="1">
      <c r="F3253"/>
    </row>
    <row r="3254" spans="6:6" outlineLevel="1">
      <c r="F3254"/>
    </row>
    <row r="3255" spans="6:6" outlineLevel="1">
      <c r="F3255"/>
    </row>
    <row r="3256" spans="6:6" outlineLevel="1">
      <c r="F3256"/>
    </row>
    <row r="3257" spans="6:6" outlineLevel="1">
      <c r="F3257"/>
    </row>
    <row r="3258" spans="6:6" outlineLevel="1">
      <c r="F3258"/>
    </row>
    <row r="3259" spans="6:6" outlineLevel="1">
      <c r="F3259"/>
    </row>
    <row r="3260" spans="6:6" outlineLevel="1">
      <c r="F3260"/>
    </row>
    <row r="3261" spans="6:6" outlineLevel="1">
      <c r="F3261"/>
    </row>
    <row r="3262" spans="6:6" outlineLevel="1">
      <c r="F3262"/>
    </row>
    <row r="3263" spans="6:6" outlineLevel="1">
      <c r="F3263"/>
    </row>
    <row r="3264" spans="6:6" outlineLevel="1">
      <c r="F3264"/>
    </row>
    <row r="3265" spans="6:6" outlineLevel="1">
      <c r="F3265"/>
    </row>
    <row r="3266" spans="6:6" outlineLevel="1">
      <c r="F3266"/>
    </row>
    <row r="3267" spans="6:6" outlineLevel="1">
      <c r="F3267"/>
    </row>
    <row r="3268" spans="6:6" outlineLevel="1">
      <c r="F3268"/>
    </row>
    <row r="3269" spans="6:6" outlineLevel="1">
      <c r="F3269"/>
    </row>
    <row r="3270" spans="6:6" outlineLevel="1">
      <c r="F3270"/>
    </row>
    <row r="3271" spans="6:6" outlineLevel="1">
      <c r="F3271"/>
    </row>
    <row r="3272" spans="6:6" outlineLevel="1">
      <c r="F3272"/>
    </row>
    <row r="3273" spans="6:6" outlineLevel="1">
      <c r="F3273"/>
    </row>
    <row r="3274" spans="6:6" outlineLevel="1">
      <c r="F3274"/>
    </row>
    <row r="3275" spans="6:6" outlineLevel="1">
      <c r="F3275"/>
    </row>
    <row r="3276" spans="6:6" outlineLevel="1">
      <c r="F3276"/>
    </row>
    <row r="3277" spans="6:6" outlineLevel="1">
      <c r="F3277"/>
    </row>
    <row r="3278" spans="6:6" outlineLevel="1">
      <c r="F3278"/>
    </row>
    <row r="3279" spans="6:6" outlineLevel="1">
      <c r="F3279"/>
    </row>
    <row r="3280" spans="6:6" outlineLevel="1">
      <c r="F3280"/>
    </row>
    <row r="3281" spans="6:6" outlineLevel="1">
      <c r="F3281"/>
    </row>
    <row r="3282" spans="6:6" outlineLevel="1">
      <c r="F3282"/>
    </row>
    <row r="3283" spans="6:6" outlineLevel="1">
      <c r="F3283"/>
    </row>
    <row r="3284" spans="6:6" outlineLevel="1">
      <c r="F3284"/>
    </row>
    <row r="3285" spans="6:6" outlineLevel="1">
      <c r="F3285"/>
    </row>
    <row r="3286" spans="6:6" outlineLevel="1">
      <c r="F3286"/>
    </row>
    <row r="3287" spans="6:6" outlineLevel="1">
      <c r="F3287"/>
    </row>
    <row r="3288" spans="6:6" outlineLevel="1">
      <c r="F3288"/>
    </row>
    <row r="3289" spans="6:6" outlineLevel="1">
      <c r="F3289"/>
    </row>
    <row r="3290" spans="6:6" outlineLevel="1">
      <c r="F3290"/>
    </row>
    <row r="3291" spans="6:6" outlineLevel="1">
      <c r="F3291"/>
    </row>
    <row r="3292" spans="6:6" outlineLevel="1">
      <c r="F3292"/>
    </row>
    <row r="3293" spans="6:6" outlineLevel="1">
      <c r="F3293"/>
    </row>
    <row r="3294" spans="6:6" outlineLevel="1">
      <c r="F3294"/>
    </row>
    <row r="3295" spans="6:6" outlineLevel="1">
      <c r="F3295"/>
    </row>
    <row r="3296" spans="6:6" outlineLevel="1">
      <c r="F3296"/>
    </row>
    <row r="3297" spans="6:6">
      <c r="F3297"/>
    </row>
    <row r="3298" spans="6:6" outlineLevel="1">
      <c r="F3298"/>
    </row>
    <row r="3299" spans="6:6" outlineLevel="1">
      <c r="F3299"/>
    </row>
    <row r="3300" spans="6:6" outlineLevel="1">
      <c r="F3300"/>
    </row>
    <row r="3301" spans="6:6" outlineLevel="1">
      <c r="F3301"/>
    </row>
    <row r="3302" spans="6:6" outlineLevel="1">
      <c r="F3302"/>
    </row>
    <row r="3303" spans="6:6" outlineLevel="1">
      <c r="F3303"/>
    </row>
    <row r="3304" spans="6:6" outlineLevel="1">
      <c r="F3304"/>
    </row>
    <row r="3305" spans="6:6" outlineLevel="1">
      <c r="F3305"/>
    </row>
    <row r="3306" spans="6:6" outlineLevel="1">
      <c r="F3306"/>
    </row>
    <row r="3307" spans="6:6" outlineLevel="1">
      <c r="F3307"/>
    </row>
    <row r="3308" spans="6:6" outlineLevel="1">
      <c r="F3308"/>
    </row>
    <row r="3309" spans="6:6" outlineLevel="1">
      <c r="F3309"/>
    </row>
    <row r="3310" spans="6:6" outlineLevel="1">
      <c r="F3310"/>
    </row>
    <row r="3311" spans="6:6" outlineLevel="1">
      <c r="F3311"/>
    </row>
    <row r="3312" spans="6:6" outlineLevel="1">
      <c r="F3312"/>
    </row>
    <row r="3313" spans="6:6" outlineLevel="1">
      <c r="F3313"/>
    </row>
    <row r="3314" spans="6:6" outlineLevel="1">
      <c r="F3314"/>
    </row>
    <row r="3315" spans="6:6" outlineLevel="1">
      <c r="F3315"/>
    </row>
    <row r="3316" spans="6:6" outlineLevel="1">
      <c r="F3316"/>
    </row>
    <row r="3317" spans="6:6" outlineLevel="1">
      <c r="F3317"/>
    </row>
    <row r="3318" spans="6:6" outlineLevel="1">
      <c r="F3318"/>
    </row>
    <row r="3319" spans="6:6" outlineLevel="1">
      <c r="F3319"/>
    </row>
    <row r="3320" spans="6:6" outlineLevel="1">
      <c r="F3320"/>
    </row>
    <row r="3321" spans="6:6" outlineLevel="1">
      <c r="F3321"/>
    </row>
    <row r="3322" spans="6:6" outlineLevel="1">
      <c r="F3322"/>
    </row>
    <row r="3323" spans="6:6" outlineLevel="1">
      <c r="F3323"/>
    </row>
    <row r="3324" spans="6:6" outlineLevel="1">
      <c r="F3324"/>
    </row>
    <row r="3325" spans="6:6" outlineLevel="1">
      <c r="F3325"/>
    </row>
    <row r="3326" spans="6:6" outlineLevel="1">
      <c r="F3326"/>
    </row>
    <row r="3327" spans="6:6" outlineLevel="1">
      <c r="F3327"/>
    </row>
    <row r="3328" spans="6:6" outlineLevel="1">
      <c r="F3328"/>
    </row>
    <row r="3329" spans="6:6" outlineLevel="1">
      <c r="F3329"/>
    </row>
    <row r="3330" spans="6:6" outlineLevel="1">
      <c r="F3330"/>
    </row>
    <row r="3331" spans="6:6" outlineLevel="1">
      <c r="F3331"/>
    </row>
    <row r="3332" spans="6:6" outlineLevel="1">
      <c r="F3332"/>
    </row>
    <row r="3333" spans="6:6" outlineLevel="1">
      <c r="F3333"/>
    </row>
    <row r="3334" spans="6:6" outlineLevel="1">
      <c r="F3334"/>
    </row>
    <row r="3335" spans="6:6" outlineLevel="1">
      <c r="F3335"/>
    </row>
    <row r="3336" spans="6:6" outlineLevel="1">
      <c r="F3336"/>
    </row>
    <row r="3337" spans="6:6" outlineLevel="1">
      <c r="F3337"/>
    </row>
    <row r="3338" spans="6:6" outlineLevel="1">
      <c r="F3338"/>
    </row>
    <row r="3339" spans="6:6" outlineLevel="1">
      <c r="F3339"/>
    </row>
    <row r="3340" spans="6:6" outlineLevel="1">
      <c r="F3340"/>
    </row>
    <row r="3341" spans="6:6" outlineLevel="1">
      <c r="F3341"/>
    </row>
    <row r="3342" spans="6:6" outlineLevel="1">
      <c r="F3342"/>
    </row>
    <row r="3343" spans="6:6" outlineLevel="1">
      <c r="F3343"/>
    </row>
    <row r="3344" spans="6:6" outlineLevel="1">
      <c r="F3344"/>
    </row>
    <row r="3345" spans="6:6" outlineLevel="1">
      <c r="F3345"/>
    </row>
    <row r="3346" spans="6:6" outlineLevel="1">
      <c r="F3346"/>
    </row>
    <row r="3347" spans="6:6" outlineLevel="1">
      <c r="F3347"/>
    </row>
    <row r="3348" spans="6:6" outlineLevel="1">
      <c r="F3348"/>
    </row>
    <row r="3349" spans="6:6" outlineLevel="1">
      <c r="F3349"/>
    </row>
    <row r="3350" spans="6:6" outlineLevel="1">
      <c r="F3350"/>
    </row>
    <row r="3351" spans="6:6" outlineLevel="1">
      <c r="F3351"/>
    </row>
    <row r="3352" spans="6:6" outlineLevel="1">
      <c r="F3352"/>
    </row>
    <row r="3353" spans="6:6" outlineLevel="1">
      <c r="F3353"/>
    </row>
    <row r="3354" spans="6:6" outlineLevel="1">
      <c r="F3354"/>
    </row>
    <row r="3355" spans="6:6" outlineLevel="1">
      <c r="F3355"/>
    </row>
    <row r="3356" spans="6:6" outlineLevel="1">
      <c r="F3356"/>
    </row>
    <row r="3357" spans="6:6" outlineLevel="1">
      <c r="F3357"/>
    </row>
    <row r="3358" spans="6:6" outlineLevel="1">
      <c r="F3358"/>
    </row>
    <row r="3359" spans="6:6" outlineLevel="1">
      <c r="F3359"/>
    </row>
    <row r="3360" spans="6:6" outlineLevel="1">
      <c r="F3360"/>
    </row>
    <row r="3361" spans="6:6" outlineLevel="1">
      <c r="F3361"/>
    </row>
    <row r="3362" spans="6:6" outlineLevel="1">
      <c r="F3362"/>
    </row>
    <row r="3363" spans="6:6" outlineLevel="1">
      <c r="F3363"/>
    </row>
    <row r="3364" spans="6:6" outlineLevel="1">
      <c r="F3364"/>
    </row>
    <row r="3365" spans="6:6" outlineLevel="1">
      <c r="F3365"/>
    </row>
    <row r="3366" spans="6:6" outlineLevel="1">
      <c r="F3366"/>
    </row>
    <row r="3367" spans="6:6" outlineLevel="1">
      <c r="F3367"/>
    </row>
    <row r="3368" spans="6:6" outlineLevel="1">
      <c r="F3368"/>
    </row>
    <row r="3369" spans="6:6" outlineLevel="1">
      <c r="F3369"/>
    </row>
    <row r="3370" spans="6:6" outlineLevel="1">
      <c r="F3370"/>
    </row>
    <row r="3371" spans="6:6" outlineLevel="1">
      <c r="F3371"/>
    </row>
    <row r="3372" spans="6:6" outlineLevel="1">
      <c r="F3372"/>
    </row>
    <row r="3373" spans="6:6" outlineLevel="1">
      <c r="F3373"/>
    </row>
    <row r="3374" spans="6:6" outlineLevel="1">
      <c r="F3374"/>
    </row>
    <row r="3375" spans="6:6" outlineLevel="1">
      <c r="F3375"/>
    </row>
    <row r="3376" spans="6:6" outlineLevel="1">
      <c r="F3376"/>
    </row>
    <row r="3377" spans="6:6" outlineLevel="1">
      <c r="F3377"/>
    </row>
    <row r="3378" spans="6:6" outlineLevel="1">
      <c r="F3378"/>
    </row>
    <row r="3379" spans="6:6" outlineLevel="1">
      <c r="F3379"/>
    </row>
    <row r="3380" spans="6:6" outlineLevel="1">
      <c r="F3380"/>
    </row>
    <row r="3381" spans="6:6" outlineLevel="1">
      <c r="F3381"/>
    </row>
    <row r="3382" spans="6:6" outlineLevel="1">
      <c r="F3382"/>
    </row>
    <row r="3383" spans="6:6" outlineLevel="1">
      <c r="F3383"/>
    </row>
    <row r="3384" spans="6:6" outlineLevel="1">
      <c r="F3384"/>
    </row>
    <row r="3385" spans="6:6" outlineLevel="1">
      <c r="F3385"/>
    </row>
    <row r="3386" spans="6:6" outlineLevel="1">
      <c r="F3386"/>
    </row>
    <row r="3387" spans="6:6" outlineLevel="1">
      <c r="F3387"/>
    </row>
    <row r="3388" spans="6:6" outlineLevel="1">
      <c r="F3388"/>
    </row>
    <row r="3389" spans="6:6" outlineLevel="1">
      <c r="F3389"/>
    </row>
    <row r="3390" spans="6:6" outlineLevel="1">
      <c r="F3390"/>
    </row>
    <row r="3391" spans="6:6" outlineLevel="1">
      <c r="F3391"/>
    </row>
    <row r="3392" spans="6:6" outlineLevel="1">
      <c r="F3392"/>
    </row>
    <row r="3393" spans="6:6" outlineLevel="1">
      <c r="F3393"/>
    </row>
    <row r="3394" spans="6:6" outlineLevel="1">
      <c r="F3394"/>
    </row>
    <row r="3395" spans="6:6" outlineLevel="1">
      <c r="F3395"/>
    </row>
    <row r="3396" spans="6:6" outlineLevel="1">
      <c r="F3396"/>
    </row>
    <row r="3397" spans="6:6" outlineLevel="1">
      <c r="F3397"/>
    </row>
    <row r="3398" spans="6:6" outlineLevel="1">
      <c r="F3398"/>
    </row>
    <row r="3399" spans="6:6" outlineLevel="1">
      <c r="F3399"/>
    </row>
    <row r="3400" spans="6:6" outlineLevel="1">
      <c r="F3400"/>
    </row>
    <row r="3401" spans="6:6" outlineLevel="1">
      <c r="F3401"/>
    </row>
    <row r="3402" spans="6:6" outlineLevel="1">
      <c r="F3402"/>
    </row>
    <row r="3403" spans="6:6" outlineLevel="1">
      <c r="F3403"/>
    </row>
    <row r="3404" spans="6:6" outlineLevel="1">
      <c r="F3404"/>
    </row>
    <row r="3405" spans="6:6" outlineLevel="1">
      <c r="F3405"/>
    </row>
    <row r="3406" spans="6:6" outlineLevel="1">
      <c r="F3406"/>
    </row>
    <row r="3407" spans="6:6" outlineLevel="1">
      <c r="F3407"/>
    </row>
    <row r="3408" spans="6:6" outlineLevel="1">
      <c r="F3408"/>
    </row>
    <row r="3409" spans="6:6" outlineLevel="1">
      <c r="F3409"/>
    </row>
    <row r="3410" spans="6:6" outlineLevel="1">
      <c r="F3410"/>
    </row>
    <row r="3411" spans="6:6" outlineLevel="1">
      <c r="F3411"/>
    </row>
    <row r="3412" spans="6:6" outlineLevel="1">
      <c r="F3412"/>
    </row>
    <row r="3413" spans="6:6" outlineLevel="1">
      <c r="F3413"/>
    </row>
    <row r="3414" spans="6:6" outlineLevel="1">
      <c r="F3414"/>
    </row>
    <row r="3415" spans="6:6" outlineLevel="1">
      <c r="F3415"/>
    </row>
    <row r="3416" spans="6:6" outlineLevel="1">
      <c r="F3416"/>
    </row>
    <row r="3417" spans="6:6" outlineLevel="1">
      <c r="F3417"/>
    </row>
    <row r="3418" spans="6:6" outlineLevel="1">
      <c r="F3418"/>
    </row>
    <row r="3419" spans="6:6" outlineLevel="1">
      <c r="F3419"/>
    </row>
    <row r="3420" spans="6:6" outlineLevel="1">
      <c r="F3420"/>
    </row>
    <row r="3421" spans="6:6" outlineLevel="1">
      <c r="F3421"/>
    </row>
    <row r="3422" spans="6:6" outlineLevel="1">
      <c r="F3422"/>
    </row>
    <row r="3423" spans="6:6" outlineLevel="1">
      <c r="F3423"/>
    </row>
    <row r="3424" spans="6:6" outlineLevel="1">
      <c r="F3424"/>
    </row>
    <row r="3425" spans="6:6" outlineLevel="1">
      <c r="F3425"/>
    </row>
    <row r="3426" spans="6:6" outlineLevel="1">
      <c r="F3426"/>
    </row>
    <row r="3427" spans="6:6" outlineLevel="1">
      <c r="F3427"/>
    </row>
    <row r="3428" spans="6:6" outlineLevel="1">
      <c r="F3428"/>
    </row>
    <row r="3429" spans="6:6" outlineLevel="1">
      <c r="F3429"/>
    </row>
    <row r="3430" spans="6:6" outlineLevel="1">
      <c r="F3430"/>
    </row>
    <row r="3431" spans="6:6" outlineLevel="1">
      <c r="F3431"/>
    </row>
    <row r="3432" spans="6:6" outlineLevel="1">
      <c r="F3432"/>
    </row>
    <row r="3433" spans="6:6" outlineLevel="1">
      <c r="F3433"/>
    </row>
    <row r="3434" spans="6:6" outlineLevel="1">
      <c r="F3434"/>
    </row>
    <row r="3435" spans="6:6" outlineLevel="1">
      <c r="F3435"/>
    </row>
    <row r="3436" spans="6:6" outlineLevel="1">
      <c r="F3436"/>
    </row>
    <row r="3437" spans="6:6" outlineLevel="1">
      <c r="F3437"/>
    </row>
    <row r="3438" spans="6:6" outlineLevel="1">
      <c r="F3438"/>
    </row>
    <row r="3439" spans="6:6" outlineLevel="1">
      <c r="F3439"/>
    </row>
    <row r="3440" spans="6:6" outlineLevel="1">
      <c r="F3440"/>
    </row>
    <row r="3441" spans="6:6" outlineLevel="1">
      <c r="F3441"/>
    </row>
    <row r="3442" spans="6:6" outlineLevel="1">
      <c r="F3442"/>
    </row>
    <row r="3443" spans="6:6" outlineLevel="1">
      <c r="F3443"/>
    </row>
    <row r="3444" spans="6:6" outlineLevel="1">
      <c r="F3444"/>
    </row>
    <row r="3445" spans="6:6" outlineLevel="1">
      <c r="F3445"/>
    </row>
    <row r="3446" spans="6:6" outlineLevel="1">
      <c r="F3446"/>
    </row>
    <row r="3447" spans="6:6" outlineLevel="1">
      <c r="F3447"/>
    </row>
    <row r="3448" spans="6:6" outlineLevel="1">
      <c r="F3448"/>
    </row>
    <row r="3449" spans="6:6" outlineLevel="1">
      <c r="F3449"/>
    </row>
    <row r="3450" spans="6:6" outlineLevel="1">
      <c r="F3450"/>
    </row>
    <row r="3451" spans="6:6" outlineLevel="1">
      <c r="F3451"/>
    </row>
    <row r="3452" spans="6:6" outlineLevel="1">
      <c r="F3452"/>
    </row>
    <row r="3453" spans="6:6" outlineLevel="1">
      <c r="F3453"/>
    </row>
    <row r="3454" spans="6:6" outlineLevel="1">
      <c r="F3454"/>
    </row>
    <row r="3455" spans="6:6" outlineLevel="1">
      <c r="F3455"/>
    </row>
    <row r="3456" spans="6:6" outlineLevel="1">
      <c r="F3456"/>
    </row>
    <row r="3457" spans="6:6" outlineLevel="1">
      <c r="F3457"/>
    </row>
    <row r="3458" spans="6:6" outlineLevel="1">
      <c r="F3458"/>
    </row>
    <row r="3459" spans="6:6" outlineLevel="1">
      <c r="F3459"/>
    </row>
    <row r="3460" spans="6:6" outlineLevel="1">
      <c r="F3460"/>
    </row>
    <row r="3461" spans="6:6" outlineLevel="1">
      <c r="F3461"/>
    </row>
    <row r="3462" spans="6:6" outlineLevel="1">
      <c r="F3462"/>
    </row>
    <row r="3463" spans="6:6" outlineLevel="1">
      <c r="F3463"/>
    </row>
    <row r="3464" spans="6:6" outlineLevel="1">
      <c r="F3464"/>
    </row>
    <row r="3465" spans="6:6" outlineLevel="1">
      <c r="F3465"/>
    </row>
    <row r="3466" spans="6:6" outlineLevel="1">
      <c r="F3466"/>
    </row>
    <row r="3467" spans="6:6" outlineLevel="1">
      <c r="F3467"/>
    </row>
    <row r="3468" spans="6:6" outlineLevel="1">
      <c r="F3468"/>
    </row>
    <row r="3469" spans="6:6" outlineLevel="1">
      <c r="F3469"/>
    </row>
    <row r="3470" spans="6:6" outlineLevel="1">
      <c r="F3470"/>
    </row>
    <row r="3471" spans="6:6" outlineLevel="1">
      <c r="F3471"/>
    </row>
    <row r="3472" spans="6:6" outlineLevel="1">
      <c r="F3472"/>
    </row>
    <row r="3473" spans="6:6">
      <c r="F3473"/>
    </row>
    <row r="3474" spans="6:6" outlineLevel="1">
      <c r="F3474"/>
    </row>
    <row r="3475" spans="6:6" outlineLevel="1">
      <c r="F3475"/>
    </row>
    <row r="3476" spans="6:6" outlineLevel="1">
      <c r="F3476"/>
    </row>
    <row r="3477" spans="6:6" outlineLevel="1">
      <c r="F3477"/>
    </row>
    <row r="3478" spans="6:6" outlineLevel="1">
      <c r="F3478"/>
    </row>
    <row r="3479" spans="6:6" outlineLevel="1">
      <c r="F3479"/>
    </row>
    <row r="3480" spans="6:6" outlineLevel="1">
      <c r="F3480"/>
    </row>
    <row r="3481" spans="6:6" outlineLevel="1">
      <c r="F3481"/>
    </row>
    <row r="3482" spans="6:6" outlineLevel="1">
      <c r="F3482"/>
    </row>
    <row r="3483" spans="6:6" outlineLevel="1">
      <c r="F3483"/>
    </row>
    <row r="3484" spans="6:6" outlineLevel="1">
      <c r="F3484"/>
    </row>
    <row r="3485" spans="6:6" outlineLevel="1">
      <c r="F3485"/>
    </row>
    <row r="3486" spans="6:6" outlineLevel="1">
      <c r="F3486"/>
    </row>
    <row r="3487" spans="6:6" outlineLevel="1">
      <c r="F3487"/>
    </row>
    <row r="3488" spans="6:6" outlineLevel="1">
      <c r="F3488"/>
    </row>
    <row r="3489" spans="6:6" outlineLevel="1">
      <c r="F3489"/>
    </row>
    <row r="3490" spans="6:6" outlineLevel="1">
      <c r="F3490"/>
    </row>
    <row r="3491" spans="6:6" outlineLevel="1">
      <c r="F3491"/>
    </row>
    <row r="3492" spans="6:6" outlineLevel="1">
      <c r="F3492"/>
    </row>
    <row r="3493" spans="6:6" outlineLevel="1">
      <c r="F3493"/>
    </row>
    <row r="3494" spans="6:6" outlineLevel="1">
      <c r="F3494"/>
    </row>
    <row r="3495" spans="6:6" outlineLevel="1">
      <c r="F3495"/>
    </row>
    <row r="3496" spans="6:6" outlineLevel="1">
      <c r="F3496"/>
    </row>
    <row r="3497" spans="6:6" outlineLevel="1">
      <c r="F3497"/>
    </row>
    <row r="3498" spans="6:6" outlineLevel="1">
      <c r="F3498"/>
    </row>
    <row r="3499" spans="6:6" outlineLevel="1">
      <c r="F3499"/>
    </row>
    <row r="3500" spans="6:6" outlineLevel="1">
      <c r="F3500"/>
    </row>
    <row r="3501" spans="6:6" outlineLevel="1">
      <c r="F3501"/>
    </row>
    <row r="3502" spans="6:6" outlineLevel="1">
      <c r="F3502"/>
    </row>
    <row r="3503" spans="6:6" outlineLevel="1">
      <c r="F3503"/>
    </row>
    <row r="3504" spans="6:6" outlineLevel="1">
      <c r="F3504"/>
    </row>
    <row r="3505" spans="6:6" outlineLevel="1">
      <c r="F3505"/>
    </row>
    <row r="3506" spans="6:6" outlineLevel="1">
      <c r="F3506"/>
    </row>
    <row r="3507" spans="6:6" outlineLevel="1">
      <c r="F3507"/>
    </row>
    <row r="3508" spans="6:6" outlineLevel="1">
      <c r="F3508"/>
    </row>
    <row r="3509" spans="6:6" outlineLevel="1">
      <c r="F3509"/>
    </row>
    <row r="3510" spans="6:6" outlineLevel="1">
      <c r="F3510"/>
    </row>
    <row r="3511" spans="6:6" outlineLevel="1">
      <c r="F3511"/>
    </row>
    <row r="3512" spans="6:6" outlineLevel="1">
      <c r="F3512"/>
    </row>
    <row r="3513" spans="6:6" outlineLevel="1">
      <c r="F3513"/>
    </row>
    <row r="3514" spans="6:6" outlineLevel="1">
      <c r="F3514"/>
    </row>
    <row r="3515" spans="6:6" outlineLevel="1">
      <c r="F3515"/>
    </row>
    <row r="3516" spans="6:6" outlineLevel="1">
      <c r="F3516"/>
    </row>
    <row r="3517" spans="6:6" outlineLevel="1">
      <c r="F3517"/>
    </row>
    <row r="3518" spans="6:6" outlineLevel="1">
      <c r="F3518"/>
    </row>
    <row r="3519" spans="6:6" outlineLevel="1">
      <c r="F3519"/>
    </row>
    <row r="3520" spans="6:6" outlineLevel="1">
      <c r="F3520"/>
    </row>
    <row r="3521" spans="6:6" outlineLevel="1">
      <c r="F3521"/>
    </row>
    <row r="3522" spans="6:6" outlineLevel="1">
      <c r="F3522"/>
    </row>
    <row r="3523" spans="6:6" outlineLevel="1">
      <c r="F3523"/>
    </row>
    <row r="3524" spans="6:6" outlineLevel="1">
      <c r="F3524"/>
    </row>
    <row r="3525" spans="6:6" outlineLevel="1">
      <c r="F3525"/>
    </row>
    <row r="3526" spans="6:6" outlineLevel="1">
      <c r="F3526"/>
    </row>
    <row r="3527" spans="6:6" outlineLevel="1">
      <c r="F3527"/>
    </row>
    <row r="3528" spans="6:6" outlineLevel="1">
      <c r="F3528"/>
    </row>
    <row r="3529" spans="6:6" outlineLevel="1">
      <c r="F3529"/>
    </row>
    <row r="3530" spans="6:6" outlineLevel="1">
      <c r="F3530"/>
    </row>
    <row r="3531" spans="6:6" outlineLevel="1">
      <c r="F3531"/>
    </row>
    <row r="3532" spans="6:6" outlineLevel="1">
      <c r="F3532"/>
    </row>
    <row r="3533" spans="6:6" outlineLevel="1">
      <c r="F3533"/>
    </row>
    <row r="3534" spans="6:6" outlineLevel="1">
      <c r="F3534"/>
    </row>
    <row r="3535" spans="6:6" outlineLevel="1">
      <c r="F3535"/>
    </row>
    <row r="3536" spans="6:6" outlineLevel="1">
      <c r="F3536"/>
    </row>
    <row r="3537" spans="6:6" outlineLevel="1">
      <c r="F3537"/>
    </row>
    <row r="3538" spans="6:6" outlineLevel="1">
      <c r="F3538"/>
    </row>
    <row r="3539" spans="6:6" outlineLevel="1">
      <c r="F3539"/>
    </row>
    <row r="3540" spans="6:6" outlineLevel="1">
      <c r="F3540"/>
    </row>
    <row r="3541" spans="6:6" outlineLevel="1">
      <c r="F3541"/>
    </row>
    <row r="3542" spans="6:6" outlineLevel="1">
      <c r="F3542"/>
    </row>
    <row r="3543" spans="6:6" outlineLevel="1">
      <c r="F3543"/>
    </row>
    <row r="3544" spans="6:6" outlineLevel="1">
      <c r="F3544"/>
    </row>
    <row r="3545" spans="6:6" outlineLevel="1">
      <c r="F3545"/>
    </row>
    <row r="3546" spans="6:6" outlineLevel="1">
      <c r="F3546"/>
    </row>
    <row r="3547" spans="6:6" outlineLevel="1">
      <c r="F3547"/>
    </row>
    <row r="3548" spans="6:6" outlineLevel="1">
      <c r="F3548"/>
    </row>
    <row r="3549" spans="6:6" outlineLevel="1">
      <c r="F3549"/>
    </row>
    <row r="3550" spans="6:6" outlineLevel="1">
      <c r="F3550"/>
    </row>
    <row r="3551" spans="6:6" outlineLevel="1">
      <c r="F3551"/>
    </row>
    <row r="3552" spans="6:6" outlineLevel="1">
      <c r="F3552"/>
    </row>
    <row r="3553" spans="6:6" outlineLevel="1">
      <c r="F3553"/>
    </row>
    <row r="3554" spans="6:6" outlineLevel="1">
      <c r="F3554"/>
    </row>
    <row r="3555" spans="6:6" outlineLevel="1">
      <c r="F3555"/>
    </row>
    <row r="3556" spans="6:6" outlineLevel="1">
      <c r="F3556"/>
    </row>
    <row r="3557" spans="6:6" outlineLevel="1">
      <c r="F3557"/>
    </row>
    <row r="3558" spans="6:6" outlineLevel="1">
      <c r="F3558"/>
    </row>
    <row r="3559" spans="6:6" outlineLevel="1">
      <c r="F3559"/>
    </row>
    <row r="3560" spans="6:6" outlineLevel="1">
      <c r="F3560"/>
    </row>
    <row r="3561" spans="6:6">
      <c r="F3561"/>
    </row>
    <row r="3562" spans="6:6" outlineLevel="1">
      <c r="F3562"/>
    </row>
    <row r="3563" spans="6:6" outlineLevel="1">
      <c r="F3563"/>
    </row>
    <row r="3564" spans="6:6" outlineLevel="1">
      <c r="F3564"/>
    </row>
    <row r="3565" spans="6:6" outlineLevel="1">
      <c r="F3565"/>
    </row>
    <row r="3566" spans="6:6" outlineLevel="1">
      <c r="F3566"/>
    </row>
    <row r="3567" spans="6:6" outlineLevel="1">
      <c r="F3567"/>
    </row>
    <row r="3568" spans="6:6" outlineLevel="1">
      <c r="F3568"/>
    </row>
    <row r="3569" spans="6:6" outlineLevel="1">
      <c r="F3569"/>
    </row>
    <row r="3570" spans="6:6" outlineLevel="1">
      <c r="F3570"/>
    </row>
    <row r="3571" spans="6:6" outlineLevel="1">
      <c r="F3571"/>
    </row>
    <row r="3572" spans="6:6" outlineLevel="1">
      <c r="F3572"/>
    </row>
    <row r="3573" spans="6:6" outlineLevel="1">
      <c r="F3573"/>
    </row>
    <row r="3574" spans="6:6" outlineLevel="1">
      <c r="F3574"/>
    </row>
    <row r="3575" spans="6:6" outlineLevel="1">
      <c r="F3575"/>
    </row>
    <row r="3576" spans="6:6" outlineLevel="1">
      <c r="F3576"/>
    </row>
    <row r="3577" spans="6:6" outlineLevel="1">
      <c r="F3577"/>
    </row>
    <row r="3578" spans="6:6" outlineLevel="1">
      <c r="F3578"/>
    </row>
    <row r="3579" spans="6:6" outlineLevel="1">
      <c r="F3579"/>
    </row>
    <row r="3580" spans="6:6" outlineLevel="1">
      <c r="F3580"/>
    </row>
    <row r="3581" spans="6:6" outlineLevel="1">
      <c r="F3581"/>
    </row>
    <row r="3582" spans="6:6" outlineLevel="1">
      <c r="F3582"/>
    </row>
    <row r="3583" spans="6:6" outlineLevel="1">
      <c r="F3583"/>
    </row>
    <row r="3584" spans="6:6" outlineLevel="1">
      <c r="F3584"/>
    </row>
    <row r="3585" spans="6:6" outlineLevel="1">
      <c r="F3585"/>
    </row>
    <row r="3586" spans="6:6" outlineLevel="1">
      <c r="F3586"/>
    </row>
    <row r="3587" spans="6:6" outlineLevel="1">
      <c r="F3587"/>
    </row>
    <row r="3588" spans="6:6" outlineLevel="1">
      <c r="F3588"/>
    </row>
    <row r="3589" spans="6:6" outlineLevel="1">
      <c r="F3589"/>
    </row>
    <row r="3590" spans="6:6" outlineLevel="1">
      <c r="F3590"/>
    </row>
    <row r="3591" spans="6:6" outlineLevel="1">
      <c r="F3591"/>
    </row>
    <row r="3592" spans="6:6" outlineLevel="1">
      <c r="F3592"/>
    </row>
    <row r="3593" spans="6:6" outlineLevel="1">
      <c r="F3593"/>
    </row>
    <row r="3594" spans="6:6" outlineLevel="1">
      <c r="F3594"/>
    </row>
    <row r="3595" spans="6:6" outlineLevel="1">
      <c r="F3595"/>
    </row>
    <row r="3596" spans="6:6" outlineLevel="1">
      <c r="F3596"/>
    </row>
    <row r="3597" spans="6:6" outlineLevel="1">
      <c r="F3597"/>
    </row>
    <row r="3598" spans="6:6" outlineLevel="1">
      <c r="F3598"/>
    </row>
    <row r="3599" spans="6:6" outlineLevel="1">
      <c r="F3599"/>
    </row>
    <row r="3600" spans="6:6" outlineLevel="1">
      <c r="F3600"/>
    </row>
    <row r="3601" spans="6:6" outlineLevel="1">
      <c r="F3601"/>
    </row>
    <row r="3602" spans="6:6" outlineLevel="1">
      <c r="F3602"/>
    </row>
    <row r="3603" spans="6:6" outlineLevel="1">
      <c r="F3603"/>
    </row>
    <row r="3604" spans="6:6" outlineLevel="1">
      <c r="F3604"/>
    </row>
    <row r="3605" spans="6:6" outlineLevel="1">
      <c r="F3605"/>
    </row>
    <row r="3606" spans="6:6" outlineLevel="1">
      <c r="F3606"/>
    </row>
    <row r="3607" spans="6:6" outlineLevel="1">
      <c r="F3607"/>
    </row>
    <row r="3608" spans="6:6" outlineLevel="1">
      <c r="F3608"/>
    </row>
    <row r="3609" spans="6:6" outlineLevel="1">
      <c r="F3609"/>
    </row>
    <row r="3610" spans="6:6" outlineLevel="1">
      <c r="F3610"/>
    </row>
    <row r="3611" spans="6:6" outlineLevel="1">
      <c r="F3611"/>
    </row>
    <row r="3612" spans="6:6" outlineLevel="1">
      <c r="F3612"/>
    </row>
    <row r="3613" spans="6:6" outlineLevel="1">
      <c r="F3613"/>
    </row>
    <row r="3614" spans="6:6" outlineLevel="1">
      <c r="F3614"/>
    </row>
    <row r="3615" spans="6:6" outlineLevel="1">
      <c r="F3615"/>
    </row>
    <row r="3616" spans="6:6" outlineLevel="1">
      <c r="F3616"/>
    </row>
    <row r="3617" spans="6:6" outlineLevel="1">
      <c r="F3617"/>
    </row>
    <row r="3618" spans="6:6" outlineLevel="1">
      <c r="F3618"/>
    </row>
    <row r="3619" spans="6:6" outlineLevel="1">
      <c r="F3619"/>
    </row>
    <row r="3620" spans="6:6" outlineLevel="1">
      <c r="F3620"/>
    </row>
    <row r="3621" spans="6:6" outlineLevel="1">
      <c r="F3621"/>
    </row>
    <row r="3622" spans="6:6" outlineLevel="1">
      <c r="F3622"/>
    </row>
    <row r="3623" spans="6:6" outlineLevel="1">
      <c r="F3623"/>
    </row>
    <row r="3624" spans="6:6" outlineLevel="1">
      <c r="F3624"/>
    </row>
    <row r="3625" spans="6:6" outlineLevel="1">
      <c r="F3625"/>
    </row>
    <row r="3626" spans="6:6" outlineLevel="1">
      <c r="F3626"/>
    </row>
    <row r="3627" spans="6:6" outlineLevel="1">
      <c r="F3627"/>
    </row>
    <row r="3628" spans="6:6" outlineLevel="1">
      <c r="F3628"/>
    </row>
    <row r="3629" spans="6:6" outlineLevel="1">
      <c r="F3629"/>
    </row>
    <row r="3630" spans="6:6" outlineLevel="1">
      <c r="F3630"/>
    </row>
    <row r="3631" spans="6:6" outlineLevel="1">
      <c r="F3631"/>
    </row>
    <row r="3632" spans="6:6" outlineLevel="1">
      <c r="F3632"/>
    </row>
    <row r="3633" spans="6:6" outlineLevel="1">
      <c r="F3633"/>
    </row>
    <row r="3634" spans="6:6" outlineLevel="1">
      <c r="F3634"/>
    </row>
    <row r="3635" spans="6:6" outlineLevel="1">
      <c r="F3635"/>
    </row>
    <row r="3636" spans="6:6" outlineLevel="1">
      <c r="F3636"/>
    </row>
    <row r="3637" spans="6:6" outlineLevel="1">
      <c r="F3637"/>
    </row>
    <row r="3638" spans="6:6" outlineLevel="1">
      <c r="F3638"/>
    </row>
    <row r="3639" spans="6:6" outlineLevel="1">
      <c r="F3639"/>
    </row>
    <row r="3640" spans="6:6" outlineLevel="1">
      <c r="F3640"/>
    </row>
    <row r="3641" spans="6:6" outlineLevel="1">
      <c r="F3641"/>
    </row>
    <row r="3642" spans="6:6" outlineLevel="1">
      <c r="F3642"/>
    </row>
    <row r="3643" spans="6:6" outlineLevel="1">
      <c r="F3643"/>
    </row>
    <row r="3644" spans="6:6" outlineLevel="1">
      <c r="F3644"/>
    </row>
    <row r="3645" spans="6:6" outlineLevel="1">
      <c r="F3645"/>
    </row>
    <row r="3646" spans="6:6" outlineLevel="1">
      <c r="F3646"/>
    </row>
    <row r="3647" spans="6:6" outlineLevel="1">
      <c r="F3647"/>
    </row>
    <row r="3648" spans="6:6" outlineLevel="1">
      <c r="F3648"/>
    </row>
    <row r="3649" spans="6:6" outlineLevel="1">
      <c r="F3649"/>
    </row>
    <row r="3650" spans="6:6" outlineLevel="1">
      <c r="F3650"/>
    </row>
    <row r="3651" spans="6:6" outlineLevel="1">
      <c r="F3651"/>
    </row>
    <row r="3652" spans="6:6" outlineLevel="1">
      <c r="F3652"/>
    </row>
    <row r="3653" spans="6:6" outlineLevel="1">
      <c r="F3653"/>
    </row>
    <row r="3654" spans="6:6" outlineLevel="1">
      <c r="F3654"/>
    </row>
    <row r="3655" spans="6:6" outlineLevel="1">
      <c r="F3655"/>
    </row>
    <row r="3656" spans="6:6" outlineLevel="1">
      <c r="F3656"/>
    </row>
    <row r="3657" spans="6:6" outlineLevel="1">
      <c r="F3657"/>
    </row>
    <row r="3658" spans="6:6" outlineLevel="1">
      <c r="F3658"/>
    </row>
    <row r="3659" spans="6:6" outlineLevel="1">
      <c r="F3659"/>
    </row>
    <row r="3660" spans="6:6" outlineLevel="1">
      <c r="F3660"/>
    </row>
    <row r="3661" spans="6:6" outlineLevel="1">
      <c r="F3661"/>
    </row>
    <row r="3662" spans="6:6" outlineLevel="1">
      <c r="F3662"/>
    </row>
    <row r="3663" spans="6:6" outlineLevel="1">
      <c r="F3663"/>
    </row>
    <row r="3664" spans="6:6" outlineLevel="1">
      <c r="F3664"/>
    </row>
    <row r="3665" spans="6:6" outlineLevel="1">
      <c r="F3665"/>
    </row>
    <row r="3666" spans="6:6" outlineLevel="1">
      <c r="F3666"/>
    </row>
    <row r="3667" spans="6:6" outlineLevel="1">
      <c r="F3667"/>
    </row>
    <row r="3668" spans="6:6" outlineLevel="1">
      <c r="F3668"/>
    </row>
    <row r="3669" spans="6:6" outlineLevel="1">
      <c r="F3669"/>
    </row>
    <row r="3670" spans="6:6" outlineLevel="1">
      <c r="F3670"/>
    </row>
    <row r="3671" spans="6:6" outlineLevel="1">
      <c r="F3671"/>
    </row>
    <row r="3672" spans="6:6" outlineLevel="1">
      <c r="F3672"/>
    </row>
    <row r="3673" spans="6:6" outlineLevel="1">
      <c r="F3673"/>
    </row>
    <row r="3674" spans="6:6" outlineLevel="1">
      <c r="F3674"/>
    </row>
    <row r="3675" spans="6:6" outlineLevel="1">
      <c r="F3675"/>
    </row>
    <row r="3676" spans="6:6" outlineLevel="1">
      <c r="F3676"/>
    </row>
    <row r="3677" spans="6:6" outlineLevel="1">
      <c r="F3677"/>
    </row>
    <row r="3678" spans="6:6" outlineLevel="1">
      <c r="F3678"/>
    </row>
    <row r="3679" spans="6:6" outlineLevel="1">
      <c r="F3679"/>
    </row>
    <row r="3680" spans="6:6" outlineLevel="1">
      <c r="F3680"/>
    </row>
    <row r="3681" spans="6:6" outlineLevel="1">
      <c r="F3681"/>
    </row>
    <row r="3682" spans="6:6" outlineLevel="1">
      <c r="F3682"/>
    </row>
    <row r="3683" spans="6:6" outlineLevel="1">
      <c r="F3683"/>
    </row>
    <row r="3684" spans="6:6" outlineLevel="1">
      <c r="F3684"/>
    </row>
    <row r="3685" spans="6:6" outlineLevel="1">
      <c r="F3685"/>
    </row>
    <row r="3686" spans="6:6" outlineLevel="1">
      <c r="F3686"/>
    </row>
    <row r="3687" spans="6:6" outlineLevel="1">
      <c r="F3687"/>
    </row>
    <row r="3688" spans="6:6" outlineLevel="1">
      <c r="F3688"/>
    </row>
    <row r="3689" spans="6:6" outlineLevel="1">
      <c r="F3689"/>
    </row>
    <row r="3690" spans="6:6" outlineLevel="1">
      <c r="F3690"/>
    </row>
    <row r="3691" spans="6:6" outlineLevel="1">
      <c r="F3691"/>
    </row>
    <row r="3692" spans="6:6" outlineLevel="1">
      <c r="F3692"/>
    </row>
    <row r="3693" spans="6:6" outlineLevel="1">
      <c r="F3693"/>
    </row>
    <row r="3694" spans="6:6" outlineLevel="1">
      <c r="F3694"/>
    </row>
    <row r="3695" spans="6:6" outlineLevel="1">
      <c r="F3695"/>
    </row>
    <row r="3696" spans="6:6" outlineLevel="1">
      <c r="F3696"/>
    </row>
    <row r="3697" spans="6:6" outlineLevel="1">
      <c r="F3697"/>
    </row>
    <row r="3698" spans="6:6" outlineLevel="1">
      <c r="F3698"/>
    </row>
    <row r="3699" spans="6:6" outlineLevel="1">
      <c r="F3699"/>
    </row>
    <row r="3700" spans="6:6" outlineLevel="1">
      <c r="F3700"/>
    </row>
    <row r="3701" spans="6:6" outlineLevel="1">
      <c r="F3701"/>
    </row>
    <row r="3702" spans="6:6" outlineLevel="1">
      <c r="F3702"/>
    </row>
    <row r="3703" spans="6:6" outlineLevel="1">
      <c r="F3703"/>
    </row>
    <row r="3704" spans="6:6" outlineLevel="1">
      <c r="F3704"/>
    </row>
    <row r="3705" spans="6:6" outlineLevel="1">
      <c r="F3705"/>
    </row>
    <row r="3706" spans="6:6" outlineLevel="1">
      <c r="F3706"/>
    </row>
    <row r="3707" spans="6:6" outlineLevel="1">
      <c r="F3707"/>
    </row>
    <row r="3708" spans="6:6" outlineLevel="1">
      <c r="F3708"/>
    </row>
    <row r="3709" spans="6:6" outlineLevel="1">
      <c r="F3709"/>
    </row>
    <row r="3710" spans="6:6" outlineLevel="1">
      <c r="F3710"/>
    </row>
    <row r="3711" spans="6:6" outlineLevel="1">
      <c r="F3711"/>
    </row>
    <row r="3712" spans="6:6" outlineLevel="1">
      <c r="F3712"/>
    </row>
    <row r="3713" spans="6:6" outlineLevel="1">
      <c r="F3713"/>
    </row>
    <row r="3714" spans="6:6" outlineLevel="1">
      <c r="F3714"/>
    </row>
    <row r="3715" spans="6:6" outlineLevel="1">
      <c r="F3715"/>
    </row>
    <row r="3716" spans="6:6" outlineLevel="1">
      <c r="F3716"/>
    </row>
    <row r="3717" spans="6:6" outlineLevel="1">
      <c r="F3717"/>
    </row>
    <row r="3718" spans="6:6" outlineLevel="1">
      <c r="F3718"/>
    </row>
    <row r="3719" spans="6:6" outlineLevel="1">
      <c r="F3719"/>
    </row>
    <row r="3720" spans="6:6" outlineLevel="1">
      <c r="F3720"/>
    </row>
    <row r="3721" spans="6:6" outlineLevel="1">
      <c r="F3721"/>
    </row>
    <row r="3722" spans="6:6" outlineLevel="1">
      <c r="F3722"/>
    </row>
    <row r="3723" spans="6:6" outlineLevel="1">
      <c r="F3723"/>
    </row>
    <row r="3724" spans="6:6" outlineLevel="1">
      <c r="F3724"/>
    </row>
    <row r="3725" spans="6:6">
      <c r="F3725"/>
    </row>
    <row r="3726" spans="6:6" outlineLevel="1">
      <c r="F3726"/>
    </row>
    <row r="3727" spans="6:6" outlineLevel="1">
      <c r="F3727"/>
    </row>
    <row r="3728" spans="6:6" outlineLevel="1">
      <c r="F3728"/>
    </row>
    <row r="3729" spans="6:6" outlineLevel="1">
      <c r="F3729"/>
    </row>
    <row r="3730" spans="6:6" outlineLevel="1">
      <c r="F3730"/>
    </row>
    <row r="3731" spans="6:6" outlineLevel="1">
      <c r="F3731"/>
    </row>
    <row r="3732" spans="6:6" outlineLevel="1">
      <c r="F3732"/>
    </row>
    <row r="3733" spans="6:6" outlineLevel="1">
      <c r="F3733"/>
    </row>
    <row r="3734" spans="6:6" outlineLevel="1">
      <c r="F3734"/>
    </row>
    <row r="3735" spans="6:6" outlineLevel="1">
      <c r="F3735"/>
    </row>
    <row r="3736" spans="6:6" outlineLevel="1">
      <c r="F3736"/>
    </row>
    <row r="3737" spans="6:6" outlineLevel="1">
      <c r="F3737"/>
    </row>
    <row r="3738" spans="6:6" outlineLevel="1">
      <c r="F3738"/>
    </row>
    <row r="3739" spans="6:6" outlineLevel="1">
      <c r="F3739"/>
    </row>
    <row r="3740" spans="6:6" outlineLevel="1">
      <c r="F3740"/>
    </row>
    <row r="3741" spans="6:6" outlineLevel="1">
      <c r="F3741"/>
    </row>
    <row r="3742" spans="6:6" outlineLevel="1">
      <c r="F3742"/>
    </row>
    <row r="3743" spans="6:6" outlineLevel="1">
      <c r="F3743"/>
    </row>
    <row r="3744" spans="6:6" outlineLevel="1">
      <c r="F3744"/>
    </row>
    <row r="3745" spans="6:6" outlineLevel="1">
      <c r="F3745"/>
    </row>
    <row r="3746" spans="6:6" outlineLevel="1">
      <c r="F3746"/>
    </row>
    <row r="3747" spans="6:6" outlineLevel="1">
      <c r="F3747"/>
    </row>
    <row r="3748" spans="6:6" outlineLevel="1">
      <c r="F3748"/>
    </row>
    <row r="3749" spans="6:6" outlineLevel="1">
      <c r="F3749"/>
    </row>
    <row r="3750" spans="6:6" outlineLevel="1">
      <c r="F3750"/>
    </row>
    <row r="3751" spans="6:6" outlineLevel="1">
      <c r="F3751"/>
    </row>
    <row r="3752" spans="6:6" outlineLevel="1">
      <c r="F3752"/>
    </row>
    <row r="3753" spans="6:6" outlineLevel="1">
      <c r="F3753"/>
    </row>
    <row r="3754" spans="6:6" outlineLevel="1">
      <c r="F3754"/>
    </row>
    <row r="3755" spans="6:6" outlineLevel="1">
      <c r="F3755"/>
    </row>
    <row r="3756" spans="6:6" outlineLevel="1">
      <c r="F3756"/>
    </row>
    <row r="3757" spans="6:6" outlineLevel="1">
      <c r="F3757"/>
    </row>
    <row r="3758" spans="6:6" outlineLevel="1">
      <c r="F3758"/>
    </row>
    <row r="3759" spans="6:6" outlineLevel="1">
      <c r="F3759"/>
    </row>
    <row r="3760" spans="6:6" outlineLevel="1">
      <c r="F3760"/>
    </row>
    <row r="3761" spans="6:6" outlineLevel="1">
      <c r="F3761"/>
    </row>
    <row r="3762" spans="6:6" outlineLevel="1">
      <c r="F3762"/>
    </row>
    <row r="3763" spans="6:6" outlineLevel="1">
      <c r="F3763"/>
    </row>
    <row r="3764" spans="6:6" outlineLevel="1">
      <c r="F3764"/>
    </row>
    <row r="3765" spans="6:6" outlineLevel="1">
      <c r="F3765"/>
    </row>
    <row r="3766" spans="6:6" outlineLevel="1">
      <c r="F3766"/>
    </row>
    <row r="3767" spans="6:6" outlineLevel="1">
      <c r="F3767"/>
    </row>
    <row r="3768" spans="6:6" outlineLevel="1">
      <c r="F3768"/>
    </row>
    <row r="3769" spans="6:6" outlineLevel="1">
      <c r="F3769"/>
    </row>
    <row r="3770" spans="6:6" outlineLevel="1">
      <c r="F3770"/>
    </row>
    <row r="3771" spans="6:6" outlineLevel="1">
      <c r="F3771"/>
    </row>
    <row r="3772" spans="6:6" outlineLevel="1">
      <c r="F3772"/>
    </row>
    <row r="3773" spans="6:6" outlineLevel="1">
      <c r="F3773"/>
    </row>
    <row r="3774" spans="6:6" outlineLevel="1">
      <c r="F3774"/>
    </row>
    <row r="3775" spans="6:6" outlineLevel="1">
      <c r="F3775"/>
    </row>
    <row r="3776" spans="6:6" outlineLevel="1">
      <c r="F3776"/>
    </row>
    <row r="3777" spans="6:6" outlineLevel="1">
      <c r="F3777"/>
    </row>
    <row r="3778" spans="6:6" outlineLevel="1">
      <c r="F3778"/>
    </row>
    <row r="3779" spans="6:6" outlineLevel="1">
      <c r="F3779"/>
    </row>
    <row r="3780" spans="6:6" outlineLevel="1">
      <c r="F3780"/>
    </row>
    <row r="3781" spans="6:6" outlineLevel="1">
      <c r="F3781"/>
    </row>
    <row r="3782" spans="6:6" outlineLevel="1">
      <c r="F3782"/>
    </row>
    <row r="3783" spans="6:6" outlineLevel="1">
      <c r="F3783"/>
    </row>
    <row r="3784" spans="6:6" outlineLevel="1">
      <c r="F3784"/>
    </row>
    <row r="3785" spans="6:6" outlineLevel="1">
      <c r="F3785"/>
    </row>
    <row r="3786" spans="6:6" outlineLevel="1">
      <c r="F3786"/>
    </row>
    <row r="3787" spans="6:6" outlineLevel="1">
      <c r="F3787"/>
    </row>
    <row r="3788" spans="6:6" outlineLevel="1">
      <c r="F3788"/>
    </row>
    <row r="3789" spans="6:6" outlineLevel="1">
      <c r="F3789"/>
    </row>
    <row r="3790" spans="6:6" outlineLevel="1">
      <c r="F3790"/>
    </row>
    <row r="3791" spans="6:6" outlineLevel="1">
      <c r="F3791"/>
    </row>
    <row r="3792" spans="6:6" outlineLevel="1">
      <c r="F3792"/>
    </row>
    <row r="3793" spans="6:6" outlineLevel="1">
      <c r="F3793"/>
    </row>
    <row r="3794" spans="6:6" outlineLevel="1">
      <c r="F3794"/>
    </row>
    <row r="3795" spans="6:6" outlineLevel="1">
      <c r="F3795"/>
    </row>
    <row r="3796" spans="6:6" outlineLevel="1">
      <c r="F3796"/>
    </row>
    <row r="3797" spans="6:6" outlineLevel="1">
      <c r="F3797"/>
    </row>
    <row r="3798" spans="6:6" outlineLevel="1">
      <c r="F3798"/>
    </row>
    <row r="3799" spans="6:6" outlineLevel="1">
      <c r="F3799"/>
    </row>
    <row r="3800" spans="6:6" outlineLevel="1">
      <c r="F3800"/>
    </row>
    <row r="3801" spans="6:6" outlineLevel="1">
      <c r="F3801"/>
    </row>
    <row r="3802" spans="6:6" outlineLevel="1">
      <c r="F3802"/>
    </row>
    <row r="3803" spans="6:6" outlineLevel="1">
      <c r="F3803"/>
    </row>
    <row r="3804" spans="6:6" outlineLevel="1">
      <c r="F3804"/>
    </row>
    <row r="3805" spans="6:6" outlineLevel="1">
      <c r="F3805"/>
    </row>
    <row r="3806" spans="6:6" outlineLevel="1">
      <c r="F3806"/>
    </row>
    <row r="3807" spans="6:6" outlineLevel="1">
      <c r="F3807"/>
    </row>
    <row r="3808" spans="6:6" outlineLevel="1">
      <c r="F3808"/>
    </row>
    <row r="3809" spans="6:6" outlineLevel="1">
      <c r="F3809"/>
    </row>
    <row r="3810" spans="6:6" outlineLevel="1">
      <c r="F3810"/>
    </row>
    <row r="3811" spans="6:6" outlineLevel="1">
      <c r="F3811"/>
    </row>
    <row r="3812" spans="6:6" outlineLevel="1">
      <c r="F3812"/>
    </row>
    <row r="3813" spans="6:6" outlineLevel="1">
      <c r="F3813"/>
    </row>
    <row r="3814" spans="6:6" outlineLevel="1">
      <c r="F3814"/>
    </row>
    <row r="3815" spans="6:6" outlineLevel="1">
      <c r="F3815"/>
    </row>
    <row r="3816" spans="6:6" outlineLevel="1">
      <c r="F3816"/>
    </row>
    <row r="3817" spans="6:6" outlineLevel="1">
      <c r="F3817"/>
    </row>
    <row r="3818" spans="6:6" outlineLevel="1">
      <c r="F3818"/>
    </row>
    <row r="3819" spans="6:6" outlineLevel="1">
      <c r="F3819"/>
    </row>
    <row r="3820" spans="6:6" outlineLevel="1">
      <c r="F3820"/>
    </row>
    <row r="3821" spans="6:6" outlineLevel="1">
      <c r="F3821"/>
    </row>
    <row r="3822" spans="6:6" outlineLevel="1">
      <c r="F3822"/>
    </row>
    <row r="3823" spans="6:6" outlineLevel="1">
      <c r="F3823"/>
    </row>
    <row r="3824" spans="6:6" outlineLevel="1">
      <c r="F3824"/>
    </row>
    <row r="3825" spans="6:6" outlineLevel="1">
      <c r="F3825"/>
    </row>
    <row r="3826" spans="6:6" outlineLevel="1">
      <c r="F3826"/>
    </row>
    <row r="3827" spans="6:6" outlineLevel="1">
      <c r="F3827"/>
    </row>
    <row r="3828" spans="6:6" outlineLevel="1">
      <c r="F3828"/>
    </row>
    <row r="3829" spans="6:6" outlineLevel="1">
      <c r="F3829"/>
    </row>
    <row r="3830" spans="6:6" outlineLevel="1">
      <c r="F3830"/>
    </row>
    <row r="3831" spans="6:6" outlineLevel="1">
      <c r="F3831"/>
    </row>
    <row r="3832" spans="6:6" outlineLevel="1">
      <c r="F3832"/>
    </row>
    <row r="3833" spans="6:6" outlineLevel="1">
      <c r="F3833"/>
    </row>
    <row r="3834" spans="6:6" outlineLevel="1">
      <c r="F3834"/>
    </row>
    <row r="3835" spans="6:6" outlineLevel="1">
      <c r="F3835"/>
    </row>
    <row r="3836" spans="6:6" outlineLevel="1">
      <c r="F3836"/>
    </row>
    <row r="3837" spans="6:6" outlineLevel="1">
      <c r="F3837"/>
    </row>
    <row r="3838" spans="6:6" outlineLevel="1">
      <c r="F3838"/>
    </row>
    <row r="3839" spans="6:6">
      <c r="F3839"/>
    </row>
    <row r="3840" spans="6:6" outlineLevel="1">
      <c r="F3840"/>
    </row>
    <row r="3841" spans="6:6" outlineLevel="1">
      <c r="F3841"/>
    </row>
    <row r="3842" spans="6:6" outlineLevel="1">
      <c r="F3842"/>
    </row>
    <row r="3843" spans="6:6" outlineLevel="1">
      <c r="F3843"/>
    </row>
    <row r="3844" spans="6:6" outlineLevel="1">
      <c r="F3844"/>
    </row>
    <row r="3845" spans="6:6" outlineLevel="1">
      <c r="F3845"/>
    </row>
    <row r="3846" spans="6:6" outlineLevel="1">
      <c r="F3846"/>
    </row>
    <row r="3847" spans="6:6" outlineLevel="1">
      <c r="F3847"/>
    </row>
    <row r="3848" spans="6:6" outlineLevel="1">
      <c r="F3848"/>
    </row>
    <row r="3849" spans="6:6" outlineLevel="1">
      <c r="F3849"/>
    </row>
    <row r="3850" spans="6:6" outlineLevel="1">
      <c r="F3850"/>
    </row>
    <row r="3851" spans="6:6" outlineLevel="1">
      <c r="F3851"/>
    </row>
    <row r="3852" spans="6:6" outlineLevel="1">
      <c r="F3852"/>
    </row>
    <row r="3853" spans="6:6" outlineLevel="1">
      <c r="F3853"/>
    </row>
    <row r="3854" spans="6:6" outlineLevel="1">
      <c r="F3854"/>
    </row>
    <row r="3855" spans="6:6" outlineLevel="1">
      <c r="F3855"/>
    </row>
    <row r="3856" spans="6:6" outlineLevel="1">
      <c r="F3856"/>
    </row>
    <row r="3857" spans="6:6" outlineLevel="1">
      <c r="F3857"/>
    </row>
    <row r="3858" spans="6:6" outlineLevel="1">
      <c r="F3858"/>
    </row>
    <row r="3859" spans="6:6" outlineLevel="1">
      <c r="F3859"/>
    </row>
    <row r="3860" spans="6:6" outlineLevel="1">
      <c r="F3860"/>
    </row>
    <row r="3861" spans="6:6" outlineLevel="1">
      <c r="F3861"/>
    </row>
    <row r="3862" spans="6:6" outlineLevel="1">
      <c r="F3862"/>
    </row>
    <row r="3863" spans="6:6" outlineLevel="1">
      <c r="F3863"/>
    </row>
    <row r="3864" spans="6:6" outlineLevel="1">
      <c r="F3864"/>
    </row>
    <row r="3865" spans="6:6" outlineLevel="1">
      <c r="F3865"/>
    </row>
    <row r="3866" spans="6:6" outlineLevel="1">
      <c r="F3866"/>
    </row>
    <row r="3867" spans="6:6" outlineLevel="1">
      <c r="F3867"/>
    </row>
    <row r="3868" spans="6:6" outlineLevel="1">
      <c r="F3868"/>
    </row>
    <row r="3869" spans="6:6" outlineLevel="1">
      <c r="F3869"/>
    </row>
    <row r="3870" spans="6:6" outlineLevel="1">
      <c r="F3870"/>
    </row>
    <row r="3871" spans="6:6" outlineLevel="1">
      <c r="F3871"/>
    </row>
    <row r="3872" spans="6:6" outlineLevel="1">
      <c r="F3872"/>
    </row>
    <row r="3873" spans="6:6" outlineLevel="1">
      <c r="F3873"/>
    </row>
    <row r="3874" spans="6:6" outlineLevel="1">
      <c r="F3874"/>
    </row>
    <row r="3875" spans="6:6" outlineLevel="1">
      <c r="F3875"/>
    </row>
    <row r="3876" spans="6:6" outlineLevel="1">
      <c r="F3876"/>
    </row>
    <row r="3877" spans="6:6" outlineLevel="1">
      <c r="F3877"/>
    </row>
    <row r="3878" spans="6:6" outlineLevel="1">
      <c r="F3878"/>
    </row>
    <row r="3879" spans="6:6" outlineLevel="1">
      <c r="F3879"/>
    </row>
    <row r="3880" spans="6:6" outlineLevel="1">
      <c r="F3880"/>
    </row>
    <row r="3881" spans="6:6" outlineLevel="1">
      <c r="F3881"/>
    </row>
    <row r="3882" spans="6:6" outlineLevel="1">
      <c r="F3882"/>
    </row>
    <row r="3883" spans="6:6" outlineLevel="1">
      <c r="F3883"/>
    </row>
    <row r="3884" spans="6:6" outlineLevel="1">
      <c r="F3884"/>
    </row>
    <row r="3885" spans="6:6" outlineLevel="1">
      <c r="F3885"/>
    </row>
    <row r="3886" spans="6:6" outlineLevel="1">
      <c r="F3886"/>
    </row>
    <row r="3887" spans="6:6" outlineLevel="1">
      <c r="F3887"/>
    </row>
    <row r="3888" spans="6:6" outlineLevel="1">
      <c r="F3888"/>
    </row>
    <row r="3889" spans="6:6" outlineLevel="1">
      <c r="F3889"/>
    </row>
    <row r="3890" spans="6:6" outlineLevel="1">
      <c r="F3890"/>
    </row>
    <row r="3891" spans="6:6" outlineLevel="1">
      <c r="F3891"/>
    </row>
    <row r="3892" spans="6:6" outlineLevel="1">
      <c r="F3892"/>
    </row>
    <row r="3893" spans="6:6" outlineLevel="1">
      <c r="F3893"/>
    </row>
    <row r="3894" spans="6:6" outlineLevel="1">
      <c r="F3894"/>
    </row>
    <row r="3895" spans="6:6" outlineLevel="1">
      <c r="F3895"/>
    </row>
    <row r="3896" spans="6:6" outlineLevel="1">
      <c r="F3896"/>
    </row>
    <row r="3897" spans="6:6" outlineLevel="1">
      <c r="F3897"/>
    </row>
    <row r="3898" spans="6:6" outlineLevel="1">
      <c r="F3898"/>
    </row>
    <row r="3899" spans="6:6" outlineLevel="1">
      <c r="F3899"/>
    </row>
    <row r="3900" spans="6:6" outlineLevel="1">
      <c r="F3900"/>
    </row>
    <row r="3901" spans="6:6" outlineLevel="1">
      <c r="F3901"/>
    </row>
    <row r="3902" spans="6:6" outlineLevel="1">
      <c r="F3902"/>
    </row>
    <row r="3903" spans="6:6" outlineLevel="1">
      <c r="F3903"/>
    </row>
    <row r="3904" spans="6:6" outlineLevel="1">
      <c r="F3904"/>
    </row>
    <row r="3905" spans="6:6" outlineLevel="1">
      <c r="F3905"/>
    </row>
    <row r="3906" spans="6:6" outlineLevel="1">
      <c r="F3906"/>
    </row>
    <row r="3907" spans="6:6" outlineLevel="1">
      <c r="F3907"/>
    </row>
    <row r="3908" spans="6:6" outlineLevel="1">
      <c r="F3908"/>
    </row>
    <row r="3909" spans="6:6" outlineLevel="1">
      <c r="F3909"/>
    </row>
    <row r="3910" spans="6:6" outlineLevel="1">
      <c r="F3910"/>
    </row>
    <row r="3911" spans="6:6" outlineLevel="1">
      <c r="F3911"/>
    </row>
    <row r="3912" spans="6:6" outlineLevel="1">
      <c r="F3912"/>
    </row>
    <row r="3913" spans="6:6" outlineLevel="1">
      <c r="F3913"/>
    </row>
    <row r="3914" spans="6:6" outlineLevel="1">
      <c r="F3914"/>
    </row>
    <row r="3915" spans="6:6" outlineLevel="1">
      <c r="F3915"/>
    </row>
    <row r="3916" spans="6:6" outlineLevel="1">
      <c r="F3916"/>
    </row>
    <row r="3917" spans="6:6" outlineLevel="1">
      <c r="F3917"/>
    </row>
    <row r="3918" spans="6:6" outlineLevel="1">
      <c r="F3918"/>
    </row>
    <row r="3919" spans="6:6" outlineLevel="1">
      <c r="F3919"/>
    </row>
    <row r="3920" spans="6:6" outlineLevel="1">
      <c r="F3920"/>
    </row>
    <row r="3921" spans="6:6" outlineLevel="1">
      <c r="F3921"/>
    </row>
    <row r="3922" spans="6:6" outlineLevel="1">
      <c r="F3922"/>
    </row>
    <row r="3923" spans="6:6" outlineLevel="1">
      <c r="F3923"/>
    </row>
    <row r="3924" spans="6:6" outlineLevel="1">
      <c r="F3924"/>
    </row>
    <row r="3925" spans="6:6" outlineLevel="1">
      <c r="F3925"/>
    </row>
    <row r="3926" spans="6:6" outlineLevel="1">
      <c r="F3926"/>
    </row>
    <row r="3927" spans="6:6" outlineLevel="1">
      <c r="F3927"/>
    </row>
    <row r="3928" spans="6:6" outlineLevel="1">
      <c r="F3928"/>
    </row>
    <row r="3929" spans="6:6" outlineLevel="1">
      <c r="F3929"/>
    </row>
    <row r="3930" spans="6:6" outlineLevel="1">
      <c r="F3930"/>
    </row>
    <row r="3931" spans="6:6" outlineLevel="1">
      <c r="F3931"/>
    </row>
    <row r="3932" spans="6:6" outlineLevel="1">
      <c r="F3932"/>
    </row>
    <row r="3933" spans="6:6" outlineLevel="1">
      <c r="F3933"/>
    </row>
    <row r="3934" spans="6:6" outlineLevel="1">
      <c r="F3934"/>
    </row>
    <row r="3935" spans="6:6" outlineLevel="1">
      <c r="F3935"/>
    </row>
    <row r="3936" spans="6:6" outlineLevel="1">
      <c r="F3936"/>
    </row>
    <row r="3937" spans="6:6" outlineLevel="1">
      <c r="F3937"/>
    </row>
    <row r="3938" spans="6:6" outlineLevel="1">
      <c r="F3938"/>
    </row>
    <row r="3939" spans="6:6" outlineLevel="1">
      <c r="F3939"/>
    </row>
    <row r="3940" spans="6:6" outlineLevel="1">
      <c r="F3940"/>
    </row>
    <row r="3941" spans="6:6" outlineLevel="1">
      <c r="F3941"/>
    </row>
    <row r="3942" spans="6:6" outlineLevel="1">
      <c r="F3942"/>
    </row>
    <row r="3943" spans="6:6" outlineLevel="1">
      <c r="F3943"/>
    </row>
    <row r="3944" spans="6:6" outlineLevel="1">
      <c r="F3944"/>
    </row>
    <row r="3945" spans="6:6" outlineLevel="1">
      <c r="F3945"/>
    </row>
    <row r="3946" spans="6:6" outlineLevel="1">
      <c r="F3946"/>
    </row>
    <row r="3947" spans="6:6" outlineLevel="1">
      <c r="F3947"/>
    </row>
    <row r="3948" spans="6:6" outlineLevel="1">
      <c r="F3948"/>
    </row>
    <row r="3949" spans="6:6" outlineLevel="1">
      <c r="F3949"/>
    </row>
    <row r="3950" spans="6:6" outlineLevel="1">
      <c r="F3950"/>
    </row>
    <row r="3951" spans="6:6" outlineLevel="1">
      <c r="F3951"/>
    </row>
    <row r="3952" spans="6:6" outlineLevel="1">
      <c r="F3952"/>
    </row>
    <row r="3953" spans="6:6" outlineLevel="1">
      <c r="F3953"/>
    </row>
    <row r="3954" spans="6:6" outlineLevel="1">
      <c r="F3954"/>
    </row>
    <row r="3955" spans="6:6" outlineLevel="1">
      <c r="F3955"/>
    </row>
    <row r="3956" spans="6:6" outlineLevel="1">
      <c r="F3956"/>
    </row>
    <row r="3957" spans="6:6" outlineLevel="1">
      <c r="F3957"/>
    </row>
    <row r="3958" spans="6:6" outlineLevel="1">
      <c r="F3958"/>
    </row>
    <row r="3959" spans="6:6" outlineLevel="1">
      <c r="F3959"/>
    </row>
    <row r="3960" spans="6:6" outlineLevel="1">
      <c r="F3960"/>
    </row>
    <row r="3961" spans="6:6" outlineLevel="1">
      <c r="F3961"/>
    </row>
    <row r="3962" spans="6:6" outlineLevel="1">
      <c r="F3962"/>
    </row>
    <row r="3963" spans="6:6" outlineLevel="1">
      <c r="F3963"/>
    </row>
    <row r="3964" spans="6:6" outlineLevel="1">
      <c r="F3964"/>
    </row>
    <row r="3965" spans="6:6" outlineLevel="1">
      <c r="F3965"/>
    </row>
    <row r="3966" spans="6:6" outlineLevel="1">
      <c r="F3966"/>
    </row>
    <row r="3967" spans="6:6" outlineLevel="1">
      <c r="F3967"/>
    </row>
    <row r="3968" spans="6:6" outlineLevel="1">
      <c r="F3968"/>
    </row>
    <row r="3969" spans="6:6" outlineLevel="1">
      <c r="F3969"/>
    </row>
    <row r="3970" spans="6:6" outlineLevel="1">
      <c r="F3970"/>
    </row>
    <row r="3971" spans="6:6" outlineLevel="1">
      <c r="F3971"/>
    </row>
    <row r="3972" spans="6:6" outlineLevel="1">
      <c r="F3972"/>
    </row>
    <row r="3973" spans="6:6" outlineLevel="1">
      <c r="F3973"/>
    </row>
    <row r="3974" spans="6:6" outlineLevel="1">
      <c r="F3974"/>
    </row>
    <row r="3975" spans="6:6" outlineLevel="1">
      <c r="F3975"/>
    </row>
    <row r="3976" spans="6:6" outlineLevel="1">
      <c r="F3976"/>
    </row>
    <row r="3977" spans="6:6" outlineLevel="1">
      <c r="F3977"/>
    </row>
    <row r="3978" spans="6:6" outlineLevel="1">
      <c r="F3978"/>
    </row>
    <row r="3979" spans="6:6" outlineLevel="1">
      <c r="F3979"/>
    </row>
    <row r="3980" spans="6:6" outlineLevel="1">
      <c r="F3980"/>
    </row>
    <row r="3981" spans="6:6" outlineLevel="1">
      <c r="F3981"/>
    </row>
    <row r="3982" spans="6:6" outlineLevel="1">
      <c r="F3982"/>
    </row>
    <row r="3983" spans="6:6" outlineLevel="1">
      <c r="F3983"/>
    </row>
    <row r="3984" spans="6:6" outlineLevel="1">
      <c r="F3984"/>
    </row>
    <row r="3985" spans="6:6" outlineLevel="1">
      <c r="F3985"/>
    </row>
    <row r="3986" spans="6:6" outlineLevel="1">
      <c r="F3986"/>
    </row>
    <row r="3987" spans="6:6" outlineLevel="1">
      <c r="F3987"/>
    </row>
    <row r="3988" spans="6:6" outlineLevel="1">
      <c r="F3988"/>
    </row>
    <row r="3989" spans="6:6" outlineLevel="1">
      <c r="F3989"/>
    </row>
    <row r="3990" spans="6:6" outlineLevel="1">
      <c r="F3990"/>
    </row>
    <row r="3991" spans="6:6" outlineLevel="1">
      <c r="F3991"/>
    </row>
    <row r="3992" spans="6:6" outlineLevel="1">
      <c r="F3992"/>
    </row>
    <row r="3993" spans="6:6" outlineLevel="1">
      <c r="F3993"/>
    </row>
    <row r="3994" spans="6:6" outlineLevel="1">
      <c r="F3994"/>
    </row>
    <row r="3995" spans="6:6" outlineLevel="1">
      <c r="F3995"/>
    </row>
    <row r="3996" spans="6:6" outlineLevel="1">
      <c r="F3996"/>
    </row>
    <row r="3997" spans="6:6" outlineLevel="1">
      <c r="F3997"/>
    </row>
    <row r="3998" spans="6:6" outlineLevel="1">
      <c r="F3998"/>
    </row>
    <row r="3999" spans="6:6" outlineLevel="1">
      <c r="F3999"/>
    </row>
    <row r="4000" spans="6:6" outlineLevel="1">
      <c r="F4000"/>
    </row>
    <row r="4001" spans="6:6" outlineLevel="1">
      <c r="F4001"/>
    </row>
    <row r="4002" spans="6:6" outlineLevel="1">
      <c r="F4002"/>
    </row>
    <row r="4003" spans="6:6" outlineLevel="1">
      <c r="F4003"/>
    </row>
    <row r="4004" spans="6:6" outlineLevel="1">
      <c r="F4004"/>
    </row>
    <row r="4005" spans="6:6" outlineLevel="1">
      <c r="F4005"/>
    </row>
    <row r="4006" spans="6:6">
      <c r="F4006"/>
    </row>
    <row r="4007" spans="6:6" outlineLevel="1">
      <c r="F4007"/>
    </row>
    <row r="4008" spans="6:6" outlineLevel="1">
      <c r="F4008"/>
    </row>
    <row r="4009" spans="6:6" outlineLevel="1">
      <c r="F4009"/>
    </row>
    <row r="4010" spans="6:6" outlineLevel="1">
      <c r="F4010"/>
    </row>
    <row r="4011" spans="6:6" outlineLevel="1">
      <c r="F4011"/>
    </row>
    <row r="4012" spans="6:6" outlineLevel="1">
      <c r="F4012"/>
    </row>
    <row r="4013" spans="6:6" outlineLevel="1">
      <c r="F4013"/>
    </row>
    <row r="4014" spans="6:6" outlineLevel="1">
      <c r="F4014"/>
    </row>
    <row r="4015" spans="6:6" outlineLevel="1">
      <c r="F4015"/>
    </row>
    <row r="4016" spans="6:6" outlineLevel="1">
      <c r="F4016"/>
    </row>
    <row r="4017" spans="6:6" outlineLevel="1">
      <c r="F4017"/>
    </row>
    <row r="4018" spans="6:6" outlineLevel="1">
      <c r="F4018"/>
    </row>
    <row r="4019" spans="6:6" outlineLevel="1">
      <c r="F4019"/>
    </row>
    <row r="4020" spans="6:6" outlineLevel="1">
      <c r="F4020"/>
    </row>
    <row r="4021" spans="6:6" outlineLevel="1">
      <c r="F4021"/>
    </row>
    <row r="4022" spans="6:6" outlineLevel="1">
      <c r="F4022"/>
    </row>
    <row r="4023" spans="6:6" outlineLevel="1">
      <c r="F4023"/>
    </row>
    <row r="4024" spans="6:6" outlineLevel="1">
      <c r="F4024"/>
    </row>
    <row r="4025" spans="6:6" outlineLevel="1">
      <c r="F4025"/>
    </row>
    <row r="4026" spans="6:6" outlineLevel="1">
      <c r="F4026"/>
    </row>
    <row r="4027" spans="6:6" outlineLevel="1">
      <c r="F4027"/>
    </row>
    <row r="4028" spans="6:6" outlineLevel="1">
      <c r="F4028"/>
    </row>
    <row r="4029" spans="6:6" outlineLevel="1">
      <c r="F4029"/>
    </row>
    <row r="4030" spans="6:6" outlineLevel="1">
      <c r="F4030"/>
    </row>
    <row r="4031" spans="6:6" outlineLevel="1">
      <c r="F4031"/>
    </row>
    <row r="4032" spans="6:6" outlineLevel="1">
      <c r="F4032"/>
    </row>
    <row r="4033" spans="6:6" outlineLevel="1">
      <c r="F4033"/>
    </row>
    <row r="4034" spans="6:6" outlineLevel="1">
      <c r="F4034"/>
    </row>
    <row r="4035" spans="6:6" outlineLevel="1">
      <c r="F4035"/>
    </row>
    <row r="4036" spans="6:6" outlineLevel="1">
      <c r="F4036"/>
    </row>
    <row r="4037" spans="6:6" outlineLevel="1">
      <c r="F4037"/>
    </row>
    <row r="4038" spans="6:6" outlineLevel="1">
      <c r="F4038"/>
    </row>
    <row r="4039" spans="6:6" outlineLevel="1">
      <c r="F4039"/>
    </row>
    <row r="4040" spans="6:6" outlineLevel="1">
      <c r="F4040"/>
    </row>
    <row r="4041" spans="6:6" outlineLevel="1">
      <c r="F4041"/>
    </row>
    <row r="4042" spans="6:6" outlineLevel="1">
      <c r="F4042"/>
    </row>
    <row r="4043" spans="6:6" outlineLevel="1">
      <c r="F4043"/>
    </row>
    <row r="4044" spans="6:6" outlineLevel="1">
      <c r="F4044"/>
    </row>
    <row r="4045" spans="6:6" outlineLevel="1">
      <c r="F4045"/>
    </row>
    <row r="4046" spans="6:6" outlineLevel="1">
      <c r="F4046"/>
    </row>
    <row r="4047" spans="6:6" outlineLevel="1">
      <c r="F4047"/>
    </row>
    <row r="4048" spans="6:6" outlineLevel="1">
      <c r="F4048"/>
    </row>
    <row r="4049" spans="6:6" outlineLevel="1">
      <c r="F4049"/>
    </row>
    <row r="4050" spans="6:6" outlineLevel="1">
      <c r="F4050"/>
    </row>
    <row r="4051" spans="6:6" outlineLevel="1">
      <c r="F4051"/>
    </row>
    <row r="4052" spans="6:6" outlineLevel="1">
      <c r="F4052"/>
    </row>
    <row r="4053" spans="6:6" outlineLevel="1">
      <c r="F4053"/>
    </row>
    <row r="4054" spans="6:6" outlineLevel="1">
      <c r="F4054"/>
    </row>
    <row r="4055" spans="6:6" outlineLevel="1">
      <c r="F4055"/>
    </row>
    <row r="4056" spans="6:6" outlineLevel="1">
      <c r="F4056"/>
    </row>
    <row r="4057" spans="6:6" outlineLevel="1">
      <c r="F4057"/>
    </row>
    <row r="4058" spans="6:6" outlineLevel="1">
      <c r="F4058"/>
    </row>
    <row r="4059" spans="6:6" outlineLevel="1">
      <c r="F4059"/>
    </row>
    <row r="4060" spans="6:6" outlineLevel="1">
      <c r="F4060"/>
    </row>
    <row r="4061" spans="6:6" outlineLevel="1">
      <c r="F4061"/>
    </row>
    <row r="4062" spans="6:6" outlineLevel="1">
      <c r="F4062"/>
    </row>
    <row r="4063" spans="6:6" outlineLevel="1">
      <c r="F4063"/>
    </row>
    <row r="4064" spans="6:6" outlineLevel="1">
      <c r="F4064"/>
    </row>
    <row r="4065" spans="6:6" outlineLevel="1">
      <c r="F4065"/>
    </row>
    <row r="4066" spans="6:6" outlineLevel="1">
      <c r="F4066"/>
    </row>
    <row r="4067" spans="6:6" outlineLevel="1">
      <c r="F4067"/>
    </row>
    <row r="4068" spans="6:6" outlineLevel="1">
      <c r="F4068"/>
    </row>
    <row r="4069" spans="6:6" outlineLevel="1">
      <c r="F4069"/>
    </row>
    <row r="4070" spans="6:6" outlineLevel="1">
      <c r="F4070"/>
    </row>
    <row r="4071" spans="6:6" outlineLevel="1">
      <c r="F4071"/>
    </row>
    <row r="4072" spans="6:6" outlineLevel="1">
      <c r="F4072"/>
    </row>
    <row r="4073" spans="6:6" outlineLevel="1">
      <c r="F4073"/>
    </row>
    <row r="4074" spans="6:6" outlineLevel="1">
      <c r="F4074"/>
    </row>
    <row r="4075" spans="6:6" outlineLevel="1">
      <c r="F4075"/>
    </row>
    <row r="4076" spans="6:6" outlineLevel="1">
      <c r="F4076"/>
    </row>
    <row r="4077" spans="6:6" outlineLevel="1">
      <c r="F4077"/>
    </row>
    <row r="4078" spans="6:6" outlineLevel="1">
      <c r="F4078"/>
    </row>
    <row r="4079" spans="6:6" outlineLevel="1">
      <c r="F4079"/>
    </row>
    <row r="4080" spans="6:6" outlineLevel="1">
      <c r="F4080"/>
    </row>
    <row r="4081" spans="6:6" outlineLevel="1">
      <c r="F4081"/>
    </row>
    <row r="4082" spans="6:6" outlineLevel="1">
      <c r="F4082"/>
    </row>
    <row r="4083" spans="6:6" outlineLevel="1">
      <c r="F4083"/>
    </row>
    <row r="4084" spans="6:6" outlineLevel="1">
      <c r="F4084"/>
    </row>
    <row r="4085" spans="6:6" outlineLevel="1">
      <c r="F4085"/>
    </row>
    <row r="4086" spans="6:6" outlineLevel="1">
      <c r="F4086"/>
    </row>
    <row r="4087" spans="6:6" outlineLevel="1">
      <c r="F4087"/>
    </row>
    <row r="4088" spans="6:6" outlineLevel="1">
      <c r="F4088"/>
    </row>
    <row r="4089" spans="6:6" outlineLevel="1">
      <c r="F4089"/>
    </row>
    <row r="4090" spans="6:6" outlineLevel="1">
      <c r="F4090"/>
    </row>
    <row r="4091" spans="6:6" outlineLevel="1">
      <c r="F4091"/>
    </row>
    <row r="4092" spans="6:6" outlineLevel="1">
      <c r="F4092"/>
    </row>
    <row r="4093" spans="6:6" outlineLevel="1">
      <c r="F4093"/>
    </row>
    <row r="4094" spans="6:6" outlineLevel="1">
      <c r="F4094"/>
    </row>
    <row r="4095" spans="6:6" outlineLevel="1">
      <c r="F4095"/>
    </row>
    <row r="4096" spans="6:6" outlineLevel="1">
      <c r="F4096"/>
    </row>
    <row r="4097" spans="6:6" outlineLevel="1">
      <c r="F4097"/>
    </row>
    <row r="4098" spans="6:6" outlineLevel="1">
      <c r="F4098"/>
    </row>
    <row r="4099" spans="6:6" outlineLevel="1">
      <c r="F4099"/>
    </row>
    <row r="4100" spans="6:6" outlineLevel="1">
      <c r="F4100"/>
    </row>
    <row r="4101" spans="6:6" outlineLevel="1">
      <c r="F4101"/>
    </row>
    <row r="4102" spans="6:6">
      <c r="F4102"/>
    </row>
    <row r="4103" spans="6:6" outlineLevel="1">
      <c r="F4103"/>
    </row>
    <row r="4104" spans="6:6" outlineLevel="1">
      <c r="F4104"/>
    </row>
    <row r="4105" spans="6:6" outlineLevel="1">
      <c r="F4105"/>
    </row>
    <row r="4106" spans="6:6" outlineLevel="1">
      <c r="F4106"/>
    </row>
    <row r="4107" spans="6:6" outlineLevel="1">
      <c r="F4107"/>
    </row>
    <row r="4108" spans="6:6" outlineLevel="1">
      <c r="F4108"/>
    </row>
    <row r="4109" spans="6:6" outlineLevel="1">
      <c r="F4109"/>
    </row>
    <row r="4110" spans="6:6" outlineLevel="1">
      <c r="F4110"/>
    </row>
    <row r="4111" spans="6:6" outlineLevel="1">
      <c r="F4111"/>
    </row>
    <row r="4112" spans="6:6" outlineLevel="1">
      <c r="F4112"/>
    </row>
    <row r="4113" spans="6:6" outlineLevel="1">
      <c r="F4113"/>
    </row>
    <row r="4114" spans="6:6" outlineLevel="1">
      <c r="F4114"/>
    </row>
    <row r="4115" spans="6:6" outlineLevel="1">
      <c r="F4115"/>
    </row>
    <row r="4116" spans="6:6" outlineLevel="1">
      <c r="F4116"/>
    </row>
    <row r="4117" spans="6:6" outlineLevel="1">
      <c r="F4117"/>
    </row>
    <row r="4118" spans="6:6" outlineLevel="1">
      <c r="F4118"/>
    </row>
    <row r="4119" spans="6:6" outlineLevel="1">
      <c r="F4119"/>
    </row>
    <row r="4120" spans="6:6" outlineLevel="1">
      <c r="F4120"/>
    </row>
    <row r="4121" spans="6:6" outlineLevel="1">
      <c r="F4121"/>
    </row>
    <row r="4122" spans="6:6" outlineLevel="1">
      <c r="F4122"/>
    </row>
    <row r="4123" spans="6:6" outlineLevel="1">
      <c r="F4123"/>
    </row>
    <row r="4124" spans="6:6" outlineLevel="1">
      <c r="F4124"/>
    </row>
    <row r="4125" spans="6:6" outlineLevel="1">
      <c r="F4125"/>
    </row>
    <row r="4126" spans="6:6" outlineLevel="1">
      <c r="F4126"/>
    </row>
    <row r="4127" spans="6:6" outlineLevel="1">
      <c r="F4127"/>
    </row>
    <row r="4128" spans="6:6" outlineLevel="1">
      <c r="F4128"/>
    </row>
    <row r="4129" spans="6:6" outlineLevel="1">
      <c r="F4129"/>
    </row>
    <row r="4130" spans="6:6" outlineLevel="1">
      <c r="F4130"/>
    </row>
    <row r="4131" spans="6:6" outlineLevel="1">
      <c r="F4131"/>
    </row>
    <row r="4132" spans="6:6" outlineLevel="1">
      <c r="F4132"/>
    </row>
    <row r="4133" spans="6:6" outlineLevel="1">
      <c r="F4133"/>
    </row>
    <row r="4134" spans="6:6" outlineLevel="1">
      <c r="F4134"/>
    </row>
    <row r="4135" spans="6:6" outlineLevel="1">
      <c r="F4135"/>
    </row>
    <row r="4136" spans="6:6" outlineLevel="1">
      <c r="F4136"/>
    </row>
    <row r="4137" spans="6:6" outlineLevel="1">
      <c r="F4137"/>
    </row>
    <row r="4138" spans="6:6" outlineLevel="1">
      <c r="F4138"/>
    </row>
    <row r="4139" spans="6:6" outlineLevel="1">
      <c r="F4139"/>
    </row>
    <row r="4140" spans="6:6" outlineLevel="1">
      <c r="F4140"/>
    </row>
    <row r="4141" spans="6:6" outlineLevel="1">
      <c r="F4141"/>
    </row>
    <row r="4142" spans="6:6" outlineLevel="1">
      <c r="F4142"/>
    </row>
    <row r="4143" spans="6:6" outlineLevel="1">
      <c r="F4143"/>
    </row>
    <row r="4144" spans="6:6" outlineLevel="1">
      <c r="F4144"/>
    </row>
    <row r="4145" spans="6:6" outlineLevel="1">
      <c r="F4145"/>
    </row>
    <row r="4146" spans="6:6" outlineLevel="1">
      <c r="F4146"/>
    </row>
    <row r="4147" spans="6:6" outlineLevel="1">
      <c r="F4147"/>
    </row>
    <row r="4148" spans="6:6" outlineLevel="1">
      <c r="F4148"/>
    </row>
    <row r="4149" spans="6:6" outlineLevel="1">
      <c r="F4149"/>
    </row>
    <row r="4150" spans="6:6" outlineLevel="1">
      <c r="F4150"/>
    </row>
    <row r="4151" spans="6:6" outlineLevel="1">
      <c r="F4151"/>
    </row>
    <row r="4152" spans="6:6" outlineLevel="1">
      <c r="F4152"/>
    </row>
    <row r="4153" spans="6:6" outlineLevel="1">
      <c r="F4153"/>
    </row>
    <row r="4154" spans="6:6" outlineLevel="1">
      <c r="F4154"/>
    </row>
    <row r="4155" spans="6:6" outlineLevel="1">
      <c r="F4155"/>
    </row>
    <row r="4156" spans="6:6" outlineLevel="1">
      <c r="F4156"/>
    </row>
    <row r="4157" spans="6:6" outlineLevel="1">
      <c r="F4157"/>
    </row>
    <row r="4158" spans="6:6" outlineLevel="1">
      <c r="F4158"/>
    </row>
    <row r="4159" spans="6:6" outlineLevel="1">
      <c r="F4159"/>
    </row>
    <row r="4160" spans="6:6" outlineLevel="1">
      <c r="F4160"/>
    </row>
    <row r="4161" spans="6:6" outlineLevel="1">
      <c r="F4161"/>
    </row>
    <row r="4162" spans="6:6" outlineLevel="1">
      <c r="F4162"/>
    </row>
    <row r="4163" spans="6:6" outlineLevel="1">
      <c r="F4163"/>
    </row>
    <row r="4164" spans="6:6" outlineLevel="1">
      <c r="F4164"/>
    </row>
    <row r="4165" spans="6:6" outlineLevel="1">
      <c r="F4165"/>
    </row>
    <row r="4166" spans="6:6" outlineLevel="1">
      <c r="F4166"/>
    </row>
    <row r="4167" spans="6:6" outlineLevel="1">
      <c r="F4167"/>
    </row>
    <row r="4168" spans="6:6" outlineLevel="1">
      <c r="F4168"/>
    </row>
    <row r="4169" spans="6:6" outlineLevel="1">
      <c r="F4169"/>
    </row>
    <row r="4170" spans="6:6" outlineLevel="1">
      <c r="F4170"/>
    </row>
    <row r="4171" spans="6:6" outlineLevel="1">
      <c r="F4171"/>
    </row>
    <row r="4172" spans="6:6" outlineLevel="1">
      <c r="F4172"/>
    </row>
    <row r="4173" spans="6:6" outlineLevel="1">
      <c r="F4173"/>
    </row>
    <row r="4174" spans="6:6" outlineLevel="1">
      <c r="F4174"/>
    </row>
    <row r="4175" spans="6:6" outlineLevel="1">
      <c r="F4175"/>
    </row>
    <row r="4176" spans="6:6" outlineLevel="1">
      <c r="F4176"/>
    </row>
    <row r="4177" spans="6:6" outlineLevel="1">
      <c r="F4177"/>
    </row>
    <row r="4178" spans="6:6" outlineLevel="1">
      <c r="F4178"/>
    </row>
    <row r="4179" spans="6:6" outlineLevel="1">
      <c r="F4179"/>
    </row>
    <row r="4180" spans="6:6" outlineLevel="1">
      <c r="F4180"/>
    </row>
    <row r="4181" spans="6:6" outlineLevel="1">
      <c r="F4181"/>
    </row>
    <row r="4182" spans="6:6" outlineLevel="1">
      <c r="F4182"/>
    </row>
    <row r="4183" spans="6:6" outlineLevel="1">
      <c r="F4183"/>
    </row>
    <row r="4184" spans="6:6" outlineLevel="1">
      <c r="F4184"/>
    </row>
    <row r="4185" spans="6:6" outlineLevel="1">
      <c r="F4185"/>
    </row>
    <row r="4186" spans="6:6" outlineLevel="1">
      <c r="F4186"/>
    </row>
    <row r="4187" spans="6:6" outlineLevel="1">
      <c r="F4187"/>
    </row>
    <row r="4188" spans="6:6" outlineLevel="1">
      <c r="F4188"/>
    </row>
    <row r="4189" spans="6:6" outlineLevel="1">
      <c r="F4189"/>
    </row>
    <row r="4190" spans="6:6" outlineLevel="1">
      <c r="F4190"/>
    </row>
    <row r="4191" spans="6:6" outlineLevel="1">
      <c r="F4191"/>
    </row>
    <row r="4192" spans="6:6" outlineLevel="1">
      <c r="F4192"/>
    </row>
    <row r="4193" spans="6:6" outlineLevel="1">
      <c r="F4193"/>
    </row>
    <row r="4194" spans="6:6" outlineLevel="1">
      <c r="F4194"/>
    </row>
    <row r="4195" spans="6:6" outlineLevel="1">
      <c r="F4195"/>
    </row>
    <row r="4196" spans="6:6" outlineLevel="1">
      <c r="F4196"/>
    </row>
    <row r="4197" spans="6:6" outlineLevel="1">
      <c r="F4197"/>
    </row>
    <row r="4198" spans="6:6" outlineLevel="1">
      <c r="F4198"/>
    </row>
    <row r="4199" spans="6:6" outlineLevel="1">
      <c r="F4199"/>
    </row>
    <row r="4200" spans="6:6" outlineLevel="1">
      <c r="F4200"/>
    </row>
    <row r="4201" spans="6:6" outlineLevel="1">
      <c r="F4201"/>
    </row>
    <row r="4202" spans="6:6" outlineLevel="1">
      <c r="F4202"/>
    </row>
    <row r="4203" spans="6:6" outlineLevel="1">
      <c r="F4203"/>
    </row>
    <row r="4204" spans="6:6" outlineLevel="1">
      <c r="F4204"/>
    </row>
    <row r="4205" spans="6:6" outlineLevel="1">
      <c r="F4205"/>
    </row>
    <row r="4206" spans="6:6" outlineLevel="1">
      <c r="F4206"/>
    </row>
    <row r="4207" spans="6:6" outlineLevel="1">
      <c r="F4207"/>
    </row>
    <row r="4208" spans="6:6" outlineLevel="1">
      <c r="F4208"/>
    </row>
    <row r="4209" spans="6:6" outlineLevel="1">
      <c r="F4209"/>
    </row>
    <row r="4210" spans="6:6" outlineLevel="1">
      <c r="F4210"/>
    </row>
    <row r="4211" spans="6:6" outlineLevel="1">
      <c r="F4211"/>
    </row>
    <row r="4212" spans="6:6" outlineLevel="1">
      <c r="F4212"/>
    </row>
    <row r="4213" spans="6:6" outlineLevel="1">
      <c r="F4213"/>
    </row>
    <row r="4214" spans="6:6" outlineLevel="1">
      <c r="F4214"/>
    </row>
    <row r="4215" spans="6:6" outlineLevel="1">
      <c r="F4215"/>
    </row>
    <row r="4216" spans="6:6" outlineLevel="1">
      <c r="F4216"/>
    </row>
    <row r="4217" spans="6:6" outlineLevel="1">
      <c r="F4217"/>
    </row>
    <row r="4218" spans="6:6" outlineLevel="1">
      <c r="F4218"/>
    </row>
    <row r="4219" spans="6:6" outlineLevel="1">
      <c r="F4219"/>
    </row>
    <row r="4220" spans="6:6" outlineLevel="1">
      <c r="F4220"/>
    </row>
    <row r="4221" spans="6:6" outlineLevel="1">
      <c r="F4221"/>
    </row>
    <row r="4222" spans="6:6" outlineLevel="1">
      <c r="F4222"/>
    </row>
    <row r="4223" spans="6:6" outlineLevel="1">
      <c r="F4223"/>
    </row>
    <row r="4224" spans="6:6" outlineLevel="1">
      <c r="F4224"/>
    </row>
    <row r="4225" spans="6:6" outlineLevel="1">
      <c r="F4225"/>
    </row>
    <row r="4226" spans="6:6" outlineLevel="1">
      <c r="F4226"/>
    </row>
    <row r="4227" spans="6:6" outlineLevel="1">
      <c r="F4227"/>
    </row>
    <row r="4228" spans="6:6" outlineLevel="1">
      <c r="F4228"/>
    </row>
    <row r="4229" spans="6:6" outlineLevel="1">
      <c r="F4229"/>
    </row>
    <row r="4230" spans="6:6" outlineLevel="1">
      <c r="F4230"/>
    </row>
    <row r="4231" spans="6:6" outlineLevel="1">
      <c r="F4231"/>
    </row>
    <row r="4232" spans="6:6" outlineLevel="1">
      <c r="F4232"/>
    </row>
    <row r="4233" spans="6:6" outlineLevel="1">
      <c r="F4233"/>
    </row>
    <row r="4234" spans="6:6" outlineLevel="1">
      <c r="F4234"/>
    </row>
    <row r="4235" spans="6:6" outlineLevel="1">
      <c r="F4235"/>
    </row>
    <row r="4236" spans="6:6" outlineLevel="1">
      <c r="F4236"/>
    </row>
    <row r="4237" spans="6:6" outlineLevel="1">
      <c r="F4237"/>
    </row>
    <row r="4238" spans="6:6" outlineLevel="1">
      <c r="F4238"/>
    </row>
    <row r="4239" spans="6:6" outlineLevel="1">
      <c r="F4239"/>
    </row>
    <row r="4240" spans="6:6" outlineLevel="1">
      <c r="F4240"/>
    </row>
    <row r="4241" spans="6:6" outlineLevel="1">
      <c r="F4241"/>
    </row>
    <row r="4242" spans="6:6" outlineLevel="1">
      <c r="F4242"/>
    </row>
    <row r="4243" spans="6:6" outlineLevel="1">
      <c r="F4243"/>
    </row>
    <row r="4244" spans="6:6" outlineLevel="1">
      <c r="F4244"/>
    </row>
    <row r="4245" spans="6:6" outlineLevel="1">
      <c r="F4245"/>
    </row>
    <row r="4246" spans="6:6" outlineLevel="1">
      <c r="F4246"/>
    </row>
    <row r="4247" spans="6:6" outlineLevel="1">
      <c r="F4247"/>
    </row>
    <row r="4248" spans="6:6" outlineLevel="1">
      <c r="F4248"/>
    </row>
    <row r="4249" spans="6:6" outlineLevel="1">
      <c r="F4249"/>
    </row>
    <row r="4250" spans="6:6" outlineLevel="1">
      <c r="F4250"/>
    </row>
    <row r="4251" spans="6:6" outlineLevel="1">
      <c r="F4251"/>
    </row>
    <row r="4252" spans="6:6" outlineLevel="1">
      <c r="F4252"/>
    </row>
    <row r="4253" spans="6:6" outlineLevel="1">
      <c r="F4253"/>
    </row>
    <row r="4254" spans="6:6" outlineLevel="1">
      <c r="F4254"/>
    </row>
    <row r="4255" spans="6:6" outlineLevel="1">
      <c r="F4255"/>
    </row>
    <row r="4256" spans="6:6" outlineLevel="1">
      <c r="F4256"/>
    </row>
    <row r="4257" spans="6:6" outlineLevel="1">
      <c r="F4257"/>
    </row>
    <row r="4258" spans="6:6" outlineLevel="1">
      <c r="F4258"/>
    </row>
    <row r="4259" spans="6:6" outlineLevel="1">
      <c r="F4259"/>
    </row>
    <row r="4260" spans="6:6" outlineLevel="1">
      <c r="F4260"/>
    </row>
    <row r="4261" spans="6:6" outlineLevel="1">
      <c r="F4261"/>
    </row>
    <row r="4262" spans="6:6" outlineLevel="1">
      <c r="F4262"/>
    </row>
    <row r="4263" spans="6:6" outlineLevel="1">
      <c r="F4263"/>
    </row>
    <row r="4264" spans="6:6" outlineLevel="1">
      <c r="F4264"/>
    </row>
    <row r="4265" spans="6:6" outlineLevel="1">
      <c r="F4265"/>
    </row>
    <row r="4266" spans="6:6" outlineLevel="1">
      <c r="F4266"/>
    </row>
    <row r="4267" spans="6:6" outlineLevel="1">
      <c r="F4267"/>
    </row>
    <row r="4268" spans="6:6" outlineLevel="1">
      <c r="F4268"/>
    </row>
    <row r="4269" spans="6:6" outlineLevel="1">
      <c r="F4269"/>
    </row>
    <row r="4270" spans="6:6" outlineLevel="1">
      <c r="F4270"/>
    </row>
    <row r="4271" spans="6:6" outlineLevel="1">
      <c r="F4271"/>
    </row>
    <row r="4272" spans="6:6" outlineLevel="1">
      <c r="F4272"/>
    </row>
    <row r="4273" spans="6:6" outlineLevel="1">
      <c r="F4273"/>
    </row>
    <row r="4274" spans="6:6" outlineLevel="1">
      <c r="F4274"/>
    </row>
    <row r="4275" spans="6:6" outlineLevel="1">
      <c r="F4275"/>
    </row>
    <row r="4276" spans="6:6" outlineLevel="1">
      <c r="F4276"/>
    </row>
    <row r="4277" spans="6:6" outlineLevel="1">
      <c r="F4277"/>
    </row>
    <row r="4278" spans="6:6" outlineLevel="1">
      <c r="F4278"/>
    </row>
    <row r="4279" spans="6:6" outlineLevel="1">
      <c r="F4279"/>
    </row>
    <row r="4280" spans="6:6" outlineLevel="1">
      <c r="F4280"/>
    </row>
    <row r="4281" spans="6:6" outlineLevel="1">
      <c r="F4281"/>
    </row>
    <row r="4282" spans="6:6">
      <c r="F4282"/>
    </row>
    <row r="4283" spans="6:6" outlineLevel="1">
      <c r="F4283"/>
    </row>
    <row r="4284" spans="6:6" outlineLevel="1">
      <c r="F4284"/>
    </row>
    <row r="4285" spans="6:6" outlineLevel="1">
      <c r="F4285"/>
    </row>
    <row r="4286" spans="6:6" outlineLevel="1">
      <c r="F4286"/>
    </row>
    <row r="4287" spans="6:6" outlineLevel="1">
      <c r="F4287"/>
    </row>
    <row r="4288" spans="6:6" outlineLevel="1">
      <c r="F4288"/>
    </row>
    <row r="4289" spans="6:6" outlineLevel="1">
      <c r="F4289"/>
    </row>
    <row r="4290" spans="6:6" outlineLevel="1">
      <c r="F4290"/>
    </row>
    <row r="4291" spans="6:6" outlineLevel="1">
      <c r="F4291"/>
    </row>
    <row r="4292" spans="6:6" outlineLevel="1">
      <c r="F4292"/>
    </row>
    <row r="4293" spans="6:6" outlineLevel="1">
      <c r="F4293"/>
    </row>
    <row r="4294" spans="6:6" outlineLevel="1">
      <c r="F4294"/>
    </row>
    <row r="4295" spans="6:6" outlineLevel="1">
      <c r="F4295"/>
    </row>
    <row r="4296" spans="6:6" outlineLevel="1">
      <c r="F4296"/>
    </row>
    <row r="4297" spans="6:6" outlineLevel="1">
      <c r="F4297"/>
    </row>
    <row r="4298" spans="6:6" outlineLevel="1">
      <c r="F4298"/>
    </row>
    <row r="4299" spans="6:6" outlineLevel="1">
      <c r="F4299"/>
    </row>
    <row r="4300" spans="6:6" outlineLevel="1">
      <c r="F4300"/>
    </row>
    <row r="4301" spans="6:6" outlineLevel="1">
      <c r="F4301"/>
    </row>
    <row r="4302" spans="6:6" outlineLevel="1">
      <c r="F4302"/>
    </row>
    <row r="4303" spans="6:6" outlineLevel="1">
      <c r="F4303"/>
    </row>
    <row r="4304" spans="6:6" outlineLevel="1">
      <c r="F4304"/>
    </row>
    <row r="4305" spans="6:6" outlineLevel="1">
      <c r="F4305"/>
    </row>
    <row r="4306" spans="6:6" outlineLevel="1">
      <c r="F4306"/>
    </row>
    <row r="4307" spans="6:6" outlineLevel="1">
      <c r="F4307"/>
    </row>
    <row r="4308" spans="6:6" outlineLevel="1">
      <c r="F4308"/>
    </row>
    <row r="4309" spans="6:6" outlineLevel="1">
      <c r="F4309"/>
    </row>
    <row r="4310" spans="6:6" outlineLevel="1">
      <c r="F4310"/>
    </row>
    <row r="4311" spans="6:6" outlineLevel="1">
      <c r="F4311"/>
    </row>
    <row r="4312" spans="6:6" outlineLevel="1">
      <c r="F4312"/>
    </row>
    <row r="4313" spans="6:6" outlineLevel="1">
      <c r="F4313"/>
    </row>
    <row r="4314" spans="6:6" outlineLevel="1">
      <c r="F4314"/>
    </row>
    <row r="4315" spans="6:6" outlineLevel="1">
      <c r="F4315"/>
    </row>
    <row r="4316" spans="6:6" outlineLevel="1">
      <c r="F4316"/>
    </row>
    <row r="4317" spans="6:6" outlineLevel="1">
      <c r="F4317"/>
    </row>
    <row r="4318" spans="6:6" outlineLevel="1">
      <c r="F4318"/>
    </row>
    <row r="4319" spans="6:6" outlineLevel="1">
      <c r="F4319"/>
    </row>
    <row r="4320" spans="6:6" outlineLevel="1">
      <c r="F4320"/>
    </row>
    <row r="4321" spans="6:6" outlineLevel="1">
      <c r="F4321"/>
    </row>
    <row r="4322" spans="6:6" outlineLevel="1">
      <c r="F4322"/>
    </row>
    <row r="4323" spans="6:6" outlineLevel="1">
      <c r="F4323"/>
    </row>
    <row r="4324" spans="6:6" outlineLevel="1">
      <c r="F4324"/>
    </row>
    <row r="4325" spans="6:6" outlineLevel="1">
      <c r="F4325"/>
    </row>
    <row r="4326" spans="6:6" outlineLevel="1">
      <c r="F4326"/>
    </row>
    <row r="4327" spans="6:6" outlineLevel="1">
      <c r="F4327"/>
    </row>
    <row r="4328" spans="6:6" outlineLevel="1">
      <c r="F4328"/>
    </row>
    <row r="4329" spans="6:6" outlineLevel="1">
      <c r="F4329"/>
    </row>
    <row r="4330" spans="6:6" outlineLevel="1">
      <c r="F4330"/>
    </row>
    <row r="4331" spans="6:6" outlineLevel="1">
      <c r="F4331"/>
    </row>
    <row r="4332" spans="6:6" outlineLevel="1">
      <c r="F4332"/>
    </row>
    <row r="4333" spans="6:6" outlineLevel="1">
      <c r="F4333"/>
    </row>
    <row r="4334" spans="6:6" outlineLevel="1">
      <c r="F4334"/>
    </row>
    <row r="4335" spans="6:6" outlineLevel="1">
      <c r="F4335"/>
    </row>
    <row r="4336" spans="6:6" outlineLevel="1">
      <c r="F4336"/>
    </row>
    <row r="4337" spans="6:6" outlineLevel="1">
      <c r="F4337"/>
    </row>
    <row r="4338" spans="6:6" outlineLevel="1">
      <c r="F4338"/>
    </row>
    <row r="4339" spans="6:6" outlineLevel="1">
      <c r="F4339"/>
    </row>
    <row r="4340" spans="6:6" outlineLevel="1">
      <c r="F4340"/>
    </row>
    <row r="4341" spans="6:6" outlineLevel="1">
      <c r="F4341"/>
    </row>
    <row r="4342" spans="6:6" outlineLevel="1">
      <c r="F4342"/>
    </row>
    <row r="4343" spans="6:6" outlineLevel="1">
      <c r="F4343"/>
    </row>
    <row r="4344" spans="6:6" outlineLevel="1">
      <c r="F4344"/>
    </row>
    <row r="4345" spans="6:6" outlineLevel="1">
      <c r="F4345"/>
    </row>
    <row r="4346" spans="6:6" outlineLevel="1">
      <c r="F4346"/>
    </row>
    <row r="4347" spans="6:6" outlineLevel="1">
      <c r="F4347"/>
    </row>
    <row r="4348" spans="6:6" outlineLevel="1">
      <c r="F4348"/>
    </row>
    <row r="4349" spans="6:6" outlineLevel="1">
      <c r="F4349"/>
    </row>
    <row r="4350" spans="6:6" outlineLevel="1">
      <c r="F4350"/>
    </row>
    <row r="4351" spans="6:6" outlineLevel="1">
      <c r="F4351"/>
    </row>
    <row r="4352" spans="6:6" outlineLevel="1">
      <c r="F4352"/>
    </row>
    <row r="4353" spans="6:6" outlineLevel="1">
      <c r="F4353"/>
    </row>
    <row r="4354" spans="6:6" outlineLevel="1">
      <c r="F4354"/>
    </row>
    <row r="4355" spans="6:6" outlineLevel="1">
      <c r="F4355"/>
    </row>
    <row r="4356" spans="6:6" outlineLevel="1">
      <c r="F4356"/>
    </row>
    <row r="4357" spans="6:6" outlineLevel="1">
      <c r="F4357"/>
    </row>
    <row r="4358" spans="6:6" outlineLevel="1">
      <c r="F4358"/>
    </row>
    <row r="4359" spans="6:6" outlineLevel="1">
      <c r="F4359"/>
    </row>
    <row r="4360" spans="6:6" outlineLevel="1">
      <c r="F4360"/>
    </row>
    <row r="4361" spans="6:6" outlineLevel="1">
      <c r="F4361"/>
    </row>
    <row r="4362" spans="6:6" outlineLevel="1">
      <c r="F4362"/>
    </row>
    <row r="4363" spans="6:6" outlineLevel="1">
      <c r="F4363"/>
    </row>
    <row r="4364" spans="6:6" outlineLevel="1">
      <c r="F4364"/>
    </row>
    <row r="4365" spans="6:6" outlineLevel="1">
      <c r="F4365"/>
    </row>
    <row r="4366" spans="6:6" outlineLevel="1">
      <c r="F4366"/>
    </row>
    <row r="4367" spans="6:6" outlineLevel="1">
      <c r="F4367"/>
    </row>
    <row r="4368" spans="6:6" outlineLevel="1">
      <c r="F4368"/>
    </row>
    <row r="4369" spans="6:6" outlineLevel="1">
      <c r="F4369"/>
    </row>
    <row r="4370" spans="6:6" outlineLevel="1">
      <c r="F4370"/>
    </row>
    <row r="4371" spans="6:6" outlineLevel="1">
      <c r="F4371"/>
    </row>
    <row r="4372" spans="6:6" outlineLevel="1">
      <c r="F4372"/>
    </row>
    <row r="4373" spans="6:6" outlineLevel="1">
      <c r="F4373"/>
    </row>
    <row r="4374" spans="6:6" outlineLevel="1">
      <c r="F4374"/>
    </row>
    <row r="4375" spans="6:6" outlineLevel="1">
      <c r="F4375"/>
    </row>
    <row r="4376" spans="6:6" outlineLevel="1">
      <c r="F4376"/>
    </row>
    <row r="4377" spans="6:6" outlineLevel="1">
      <c r="F4377"/>
    </row>
    <row r="4378" spans="6:6" outlineLevel="1">
      <c r="F4378"/>
    </row>
    <row r="4379" spans="6:6" outlineLevel="1">
      <c r="F4379"/>
    </row>
    <row r="4380" spans="6:6" outlineLevel="1">
      <c r="F4380"/>
    </row>
    <row r="4381" spans="6:6" outlineLevel="1">
      <c r="F4381"/>
    </row>
    <row r="4382" spans="6:6" outlineLevel="1">
      <c r="F4382"/>
    </row>
    <row r="4383" spans="6:6" outlineLevel="1">
      <c r="F4383"/>
    </row>
    <row r="4384" spans="6:6" outlineLevel="1">
      <c r="F4384"/>
    </row>
    <row r="4385" spans="6:6" outlineLevel="1">
      <c r="F4385"/>
    </row>
    <row r="4386" spans="6:6" outlineLevel="1">
      <c r="F4386"/>
    </row>
    <row r="4387" spans="6:6" outlineLevel="1">
      <c r="F4387"/>
    </row>
    <row r="4388" spans="6:6" outlineLevel="1">
      <c r="F4388"/>
    </row>
    <row r="4389" spans="6:6" outlineLevel="1">
      <c r="F4389"/>
    </row>
    <row r="4390" spans="6:6" outlineLevel="1">
      <c r="F4390"/>
    </row>
    <row r="4391" spans="6:6" outlineLevel="1">
      <c r="F4391"/>
    </row>
    <row r="4392" spans="6:6" outlineLevel="1">
      <c r="F4392"/>
    </row>
    <row r="4393" spans="6:6" outlineLevel="1">
      <c r="F4393"/>
    </row>
    <row r="4394" spans="6:6" outlineLevel="1">
      <c r="F4394"/>
    </row>
    <row r="4395" spans="6:6" outlineLevel="1">
      <c r="F4395"/>
    </row>
    <row r="4396" spans="6:6" outlineLevel="1">
      <c r="F4396"/>
    </row>
    <row r="4397" spans="6:6" outlineLevel="1">
      <c r="F4397"/>
    </row>
    <row r="4398" spans="6:6" outlineLevel="1">
      <c r="F4398"/>
    </row>
    <row r="4399" spans="6:6" outlineLevel="1">
      <c r="F4399"/>
    </row>
    <row r="4400" spans="6:6" outlineLevel="1">
      <c r="F4400"/>
    </row>
    <row r="4401" spans="6:6" outlineLevel="1">
      <c r="F4401"/>
    </row>
    <row r="4402" spans="6:6" outlineLevel="1">
      <c r="F4402"/>
    </row>
    <row r="4403" spans="6:6" outlineLevel="1">
      <c r="F4403"/>
    </row>
    <row r="4404" spans="6:6" outlineLevel="1">
      <c r="F4404"/>
    </row>
    <row r="4405" spans="6:6" outlineLevel="1">
      <c r="F4405"/>
    </row>
    <row r="4406" spans="6:6" outlineLevel="1">
      <c r="F4406"/>
    </row>
    <row r="4407" spans="6:6" outlineLevel="1">
      <c r="F4407"/>
    </row>
    <row r="4408" spans="6:6" outlineLevel="1">
      <c r="F4408"/>
    </row>
    <row r="4409" spans="6:6" outlineLevel="1">
      <c r="F4409"/>
    </row>
    <row r="4410" spans="6:6" outlineLevel="1">
      <c r="F4410"/>
    </row>
    <row r="4411" spans="6:6" outlineLevel="1">
      <c r="F4411"/>
    </row>
    <row r="4412" spans="6:6" outlineLevel="1">
      <c r="F4412"/>
    </row>
    <row r="4413" spans="6:6" outlineLevel="1">
      <c r="F4413"/>
    </row>
    <row r="4414" spans="6:6" outlineLevel="1">
      <c r="F4414"/>
    </row>
    <row r="4415" spans="6:6" outlineLevel="1">
      <c r="F4415"/>
    </row>
    <row r="4416" spans="6:6" outlineLevel="1">
      <c r="F4416"/>
    </row>
    <row r="4417" spans="6:6" outlineLevel="1">
      <c r="F4417"/>
    </row>
    <row r="4418" spans="6:6" outlineLevel="1">
      <c r="F4418"/>
    </row>
    <row r="4419" spans="6:6" outlineLevel="1">
      <c r="F4419"/>
    </row>
    <row r="4420" spans="6:6" outlineLevel="1">
      <c r="F4420"/>
    </row>
    <row r="4421" spans="6:6" outlineLevel="1">
      <c r="F4421"/>
    </row>
    <row r="4422" spans="6:6" outlineLevel="1">
      <c r="F4422"/>
    </row>
    <row r="4423" spans="6:6" outlineLevel="1">
      <c r="F4423"/>
    </row>
    <row r="4424" spans="6:6" outlineLevel="1">
      <c r="F4424"/>
    </row>
    <row r="4425" spans="6:6" outlineLevel="1">
      <c r="F4425"/>
    </row>
    <row r="4426" spans="6:6" outlineLevel="1">
      <c r="F4426"/>
    </row>
    <row r="4427" spans="6:6" outlineLevel="1">
      <c r="F4427"/>
    </row>
    <row r="4428" spans="6:6" outlineLevel="1">
      <c r="F4428"/>
    </row>
    <row r="4429" spans="6:6" outlineLevel="1">
      <c r="F4429"/>
    </row>
    <row r="4430" spans="6:6" outlineLevel="1">
      <c r="F4430"/>
    </row>
    <row r="4431" spans="6:6" outlineLevel="1">
      <c r="F4431"/>
    </row>
    <row r="4432" spans="6:6" outlineLevel="1">
      <c r="F4432"/>
    </row>
    <row r="4433" spans="6:6" outlineLevel="1">
      <c r="F4433"/>
    </row>
    <row r="4434" spans="6:6" outlineLevel="1">
      <c r="F4434"/>
    </row>
    <row r="4435" spans="6:6" outlineLevel="1">
      <c r="F4435"/>
    </row>
    <row r="4436" spans="6:6" outlineLevel="1">
      <c r="F4436"/>
    </row>
    <row r="4437" spans="6:6" outlineLevel="1">
      <c r="F4437"/>
    </row>
    <row r="4438" spans="6:6" outlineLevel="1">
      <c r="F4438"/>
    </row>
    <row r="4439" spans="6:6" outlineLevel="1">
      <c r="F4439"/>
    </row>
    <row r="4440" spans="6:6" outlineLevel="1">
      <c r="F4440"/>
    </row>
    <row r="4441" spans="6:6" outlineLevel="1">
      <c r="F4441"/>
    </row>
    <row r="4442" spans="6:6" outlineLevel="1">
      <c r="F4442"/>
    </row>
    <row r="4443" spans="6:6" outlineLevel="1">
      <c r="F4443"/>
    </row>
    <row r="4444" spans="6:6" outlineLevel="1">
      <c r="F4444"/>
    </row>
    <row r="4445" spans="6:6" outlineLevel="1">
      <c r="F4445"/>
    </row>
    <row r="4446" spans="6:6" outlineLevel="1">
      <c r="F4446"/>
    </row>
    <row r="4447" spans="6:6" outlineLevel="1">
      <c r="F4447"/>
    </row>
    <row r="4448" spans="6:6" outlineLevel="1">
      <c r="F4448"/>
    </row>
    <row r="4449" spans="6:6" outlineLevel="1">
      <c r="F4449"/>
    </row>
    <row r="4450" spans="6:6" outlineLevel="1">
      <c r="F4450"/>
    </row>
    <row r="4451" spans="6:6" outlineLevel="1">
      <c r="F4451"/>
    </row>
    <row r="4452" spans="6:6" outlineLevel="1">
      <c r="F4452"/>
    </row>
    <row r="4453" spans="6:6" outlineLevel="1">
      <c r="F4453"/>
    </row>
    <row r="4454" spans="6:6" outlineLevel="1">
      <c r="F4454"/>
    </row>
    <row r="4455" spans="6:6" outlineLevel="1">
      <c r="F4455"/>
    </row>
    <row r="4456" spans="6:6" outlineLevel="1">
      <c r="F4456"/>
    </row>
    <row r="4457" spans="6:6" outlineLevel="1">
      <c r="F4457"/>
    </row>
    <row r="4458" spans="6:6" outlineLevel="1">
      <c r="F4458"/>
    </row>
    <row r="4459" spans="6:6" outlineLevel="1">
      <c r="F4459"/>
    </row>
    <row r="4460" spans="6:6" outlineLevel="1">
      <c r="F4460"/>
    </row>
    <row r="4461" spans="6:6" outlineLevel="1">
      <c r="F4461"/>
    </row>
    <row r="4462" spans="6:6" outlineLevel="1">
      <c r="F4462"/>
    </row>
    <row r="4463" spans="6:6" outlineLevel="1">
      <c r="F4463"/>
    </row>
    <row r="4464" spans="6:6" outlineLevel="1">
      <c r="F4464"/>
    </row>
    <row r="4465" spans="6:6" outlineLevel="1">
      <c r="F4465"/>
    </row>
    <row r="4466" spans="6:6" outlineLevel="1">
      <c r="F4466"/>
    </row>
    <row r="4467" spans="6:6" outlineLevel="1">
      <c r="F4467"/>
    </row>
    <row r="4468" spans="6:6">
      <c r="F4468"/>
    </row>
    <row r="4469" spans="6:6" outlineLevel="1">
      <c r="F4469"/>
    </row>
    <row r="4470" spans="6:6" outlineLevel="1">
      <c r="F4470"/>
    </row>
    <row r="4471" spans="6:6" outlineLevel="1">
      <c r="F4471"/>
    </row>
    <row r="4472" spans="6:6" outlineLevel="1">
      <c r="F4472"/>
    </row>
    <row r="4473" spans="6:6" outlineLevel="1">
      <c r="F4473"/>
    </row>
    <row r="4474" spans="6:6" outlineLevel="1">
      <c r="F4474"/>
    </row>
    <row r="4475" spans="6:6" outlineLevel="1">
      <c r="F4475"/>
    </row>
    <row r="4476" spans="6:6" outlineLevel="1">
      <c r="F4476"/>
    </row>
    <row r="4477" spans="6:6" outlineLevel="1">
      <c r="F4477"/>
    </row>
    <row r="4478" spans="6:6" outlineLevel="1">
      <c r="F4478"/>
    </row>
    <row r="4479" spans="6:6" outlineLevel="1">
      <c r="F4479"/>
    </row>
    <row r="4480" spans="6:6" outlineLevel="1">
      <c r="F4480"/>
    </row>
    <row r="4481" spans="6:6" outlineLevel="1">
      <c r="F4481"/>
    </row>
    <row r="4482" spans="6:6" outlineLevel="1">
      <c r="F4482"/>
    </row>
    <row r="4483" spans="6:6" outlineLevel="1">
      <c r="F4483"/>
    </row>
    <row r="4484" spans="6:6" outlineLevel="1">
      <c r="F4484"/>
    </row>
    <row r="4485" spans="6:6" outlineLevel="1">
      <c r="F4485"/>
    </row>
    <row r="4486" spans="6:6" outlineLevel="1">
      <c r="F4486"/>
    </row>
    <row r="4487" spans="6:6" outlineLevel="1">
      <c r="F4487"/>
    </row>
    <row r="4488" spans="6:6" outlineLevel="1">
      <c r="F4488"/>
    </row>
    <row r="4489" spans="6:6" outlineLevel="1">
      <c r="F4489"/>
    </row>
    <row r="4490" spans="6:6" outlineLevel="1">
      <c r="F4490"/>
    </row>
    <row r="4491" spans="6:6" outlineLevel="1">
      <c r="F4491"/>
    </row>
    <row r="4492" spans="6:6" outlineLevel="1">
      <c r="F4492"/>
    </row>
    <row r="4493" spans="6:6" outlineLevel="1">
      <c r="F4493"/>
    </row>
    <row r="4494" spans="6:6" outlineLevel="1">
      <c r="F4494"/>
    </row>
    <row r="4495" spans="6:6" outlineLevel="1">
      <c r="F4495"/>
    </row>
    <row r="4496" spans="6:6" outlineLevel="1">
      <c r="F4496"/>
    </row>
    <row r="4497" spans="6:6" outlineLevel="1">
      <c r="F4497"/>
    </row>
    <row r="4498" spans="6:6" outlineLevel="1">
      <c r="F4498"/>
    </row>
    <row r="4499" spans="6:6" outlineLevel="1">
      <c r="F4499"/>
    </row>
    <row r="4500" spans="6:6" outlineLevel="1">
      <c r="F4500"/>
    </row>
    <row r="4501" spans="6:6" outlineLevel="1">
      <c r="F4501"/>
    </row>
    <row r="4502" spans="6:6" outlineLevel="1">
      <c r="F4502"/>
    </row>
    <row r="4503" spans="6:6" outlineLevel="1">
      <c r="F4503"/>
    </row>
    <row r="4504" spans="6:6" outlineLevel="1">
      <c r="F4504"/>
    </row>
    <row r="4505" spans="6:6" outlineLevel="1">
      <c r="F4505"/>
    </row>
    <row r="4506" spans="6:6" outlineLevel="1">
      <c r="F4506"/>
    </row>
    <row r="4507" spans="6:6" outlineLevel="1">
      <c r="F4507"/>
    </row>
    <row r="4508" spans="6:6" outlineLevel="1">
      <c r="F4508"/>
    </row>
    <row r="4509" spans="6:6" outlineLevel="1">
      <c r="F4509"/>
    </row>
    <row r="4510" spans="6:6" outlineLevel="1">
      <c r="F4510"/>
    </row>
    <row r="4511" spans="6:6" outlineLevel="1">
      <c r="F4511"/>
    </row>
    <row r="4512" spans="6:6" outlineLevel="1">
      <c r="F4512"/>
    </row>
    <row r="4513" spans="6:6" outlineLevel="1">
      <c r="F4513"/>
    </row>
    <row r="4514" spans="6:6" outlineLevel="1">
      <c r="F4514"/>
    </row>
    <row r="4515" spans="6:6" outlineLevel="1">
      <c r="F4515"/>
    </row>
    <row r="4516" spans="6:6" outlineLevel="1">
      <c r="F4516"/>
    </row>
    <row r="4517" spans="6:6" outlineLevel="1">
      <c r="F4517"/>
    </row>
    <row r="4518" spans="6:6" outlineLevel="1">
      <c r="F4518"/>
    </row>
    <row r="4519" spans="6:6" outlineLevel="1">
      <c r="F4519"/>
    </row>
    <row r="4520" spans="6:6" outlineLevel="1">
      <c r="F4520"/>
    </row>
    <row r="4521" spans="6:6" outlineLevel="1">
      <c r="F4521"/>
    </row>
    <row r="4522" spans="6:6" outlineLevel="1">
      <c r="F4522"/>
    </row>
    <row r="4523" spans="6:6" outlineLevel="1">
      <c r="F4523"/>
    </row>
    <row r="4524" spans="6:6" outlineLevel="1">
      <c r="F4524"/>
    </row>
    <row r="4525" spans="6:6" outlineLevel="1">
      <c r="F4525"/>
    </row>
    <row r="4526" spans="6:6" outlineLevel="1">
      <c r="F4526"/>
    </row>
    <row r="4527" spans="6:6" outlineLevel="1">
      <c r="F4527"/>
    </row>
    <row r="4528" spans="6:6" outlineLevel="1">
      <c r="F4528"/>
    </row>
    <row r="4529" spans="6:6" outlineLevel="1">
      <c r="F4529"/>
    </row>
    <row r="4530" spans="6:6" outlineLevel="1">
      <c r="F4530"/>
    </row>
    <row r="4531" spans="6:6" outlineLevel="1">
      <c r="F4531"/>
    </row>
    <row r="4532" spans="6:6" outlineLevel="1">
      <c r="F4532"/>
    </row>
    <row r="4533" spans="6:6" outlineLevel="1">
      <c r="F4533"/>
    </row>
    <row r="4534" spans="6:6" outlineLevel="1">
      <c r="F4534"/>
    </row>
    <row r="4535" spans="6:6" outlineLevel="1">
      <c r="F4535"/>
    </row>
    <row r="4536" spans="6:6" outlineLevel="1">
      <c r="F4536"/>
    </row>
    <row r="4537" spans="6:6" outlineLevel="1">
      <c r="F4537"/>
    </row>
    <row r="4538" spans="6:6" outlineLevel="1">
      <c r="F4538"/>
    </row>
    <row r="4539" spans="6:6" outlineLevel="1">
      <c r="F4539"/>
    </row>
    <row r="4540" spans="6:6" outlineLevel="1">
      <c r="F4540"/>
    </row>
    <row r="4541" spans="6:6" outlineLevel="1">
      <c r="F4541"/>
    </row>
    <row r="4542" spans="6:6" outlineLevel="1">
      <c r="F4542"/>
    </row>
    <row r="4543" spans="6:6" outlineLevel="1">
      <c r="F4543"/>
    </row>
    <row r="4544" spans="6:6" outlineLevel="1">
      <c r="F4544"/>
    </row>
    <row r="4545" spans="6:6" outlineLevel="1">
      <c r="F4545"/>
    </row>
    <row r="4546" spans="6:6" outlineLevel="1">
      <c r="F4546"/>
    </row>
    <row r="4547" spans="6:6" outlineLevel="1">
      <c r="F4547"/>
    </row>
    <row r="4548" spans="6:6" outlineLevel="1">
      <c r="F4548"/>
    </row>
    <row r="4549" spans="6:6" outlineLevel="1">
      <c r="F4549"/>
    </row>
    <row r="4550" spans="6:6" outlineLevel="1">
      <c r="F4550"/>
    </row>
    <row r="4551" spans="6:6" outlineLevel="1">
      <c r="F4551"/>
    </row>
    <row r="4552" spans="6:6" outlineLevel="1">
      <c r="F4552"/>
    </row>
    <row r="4553" spans="6:6" outlineLevel="1">
      <c r="F4553"/>
    </row>
    <row r="4554" spans="6:6" outlineLevel="1">
      <c r="F4554"/>
    </row>
    <row r="4555" spans="6:6" outlineLevel="1">
      <c r="F4555"/>
    </row>
    <row r="4556" spans="6:6" outlineLevel="1">
      <c r="F4556"/>
    </row>
    <row r="4557" spans="6:6" outlineLevel="1">
      <c r="F4557"/>
    </row>
    <row r="4558" spans="6:6" outlineLevel="1">
      <c r="F4558"/>
    </row>
    <row r="4559" spans="6:6" outlineLevel="1">
      <c r="F4559"/>
    </row>
    <row r="4560" spans="6:6" outlineLevel="1">
      <c r="F4560"/>
    </row>
    <row r="4561" spans="6:6" outlineLevel="1">
      <c r="F4561"/>
    </row>
    <row r="4562" spans="6:6" outlineLevel="1">
      <c r="F4562"/>
    </row>
    <row r="4563" spans="6:6" outlineLevel="1">
      <c r="F4563"/>
    </row>
    <row r="4564" spans="6:6" outlineLevel="1">
      <c r="F4564"/>
    </row>
    <row r="4565" spans="6:6" outlineLevel="1">
      <c r="F4565"/>
    </row>
    <row r="4566" spans="6:6" outlineLevel="1">
      <c r="F4566"/>
    </row>
    <row r="4567" spans="6:6" outlineLevel="1">
      <c r="F4567"/>
    </row>
    <row r="4568" spans="6:6" outlineLevel="1">
      <c r="F4568"/>
    </row>
    <row r="4569" spans="6:6" outlineLevel="1">
      <c r="F4569"/>
    </row>
    <row r="4570" spans="6:6" outlineLevel="1">
      <c r="F4570"/>
    </row>
    <row r="4571" spans="6:6" outlineLevel="1">
      <c r="F4571"/>
    </row>
    <row r="4572" spans="6:6" outlineLevel="1">
      <c r="F4572"/>
    </row>
    <row r="4573" spans="6:6" outlineLevel="1">
      <c r="F4573"/>
    </row>
    <row r="4574" spans="6:6" outlineLevel="1">
      <c r="F4574"/>
    </row>
    <row r="4575" spans="6:6" outlineLevel="1">
      <c r="F4575"/>
    </row>
    <row r="4576" spans="6:6" outlineLevel="1">
      <c r="F4576"/>
    </row>
    <row r="4577" spans="6:6" outlineLevel="1">
      <c r="F4577"/>
    </row>
    <row r="4578" spans="6:6" outlineLevel="1">
      <c r="F4578"/>
    </row>
    <row r="4579" spans="6:6" outlineLevel="1">
      <c r="F4579"/>
    </row>
    <row r="4580" spans="6:6" outlineLevel="1">
      <c r="F4580"/>
    </row>
    <row r="4581" spans="6:6" outlineLevel="1">
      <c r="F4581"/>
    </row>
    <row r="4582" spans="6:6" outlineLevel="1">
      <c r="F4582"/>
    </row>
    <row r="4583" spans="6:6" outlineLevel="1">
      <c r="F4583"/>
    </row>
    <row r="4584" spans="6:6" outlineLevel="1">
      <c r="F4584"/>
    </row>
    <row r="4585" spans="6:6" outlineLevel="1">
      <c r="F4585"/>
    </row>
    <row r="4586" spans="6:6" outlineLevel="1">
      <c r="F4586"/>
    </row>
    <row r="4587" spans="6:6" outlineLevel="1">
      <c r="F4587"/>
    </row>
    <row r="4588" spans="6:6" outlineLevel="1">
      <c r="F4588"/>
    </row>
    <row r="4589" spans="6:6" outlineLevel="1">
      <c r="F4589"/>
    </row>
    <row r="4590" spans="6:6" outlineLevel="1">
      <c r="F4590"/>
    </row>
    <row r="4591" spans="6:6" outlineLevel="1">
      <c r="F4591"/>
    </row>
    <row r="4592" spans="6:6" outlineLevel="1">
      <c r="F4592"/>
    </row>
    <row r="4593" spans="6:6" outlineLevel="1">
      <c r="F4593"/>
    </row>
    <row r="4594" spans="6:6" outlineLevel="1">
      <c r="F4594"/>
    </row>
    <row r="4595" spans="6:6" outlineLevel="1">
      <c r="F4595"/>
    </row>
    <row r="4596" spans="6:6" outlineLevel="1">
      <c r="F4596"/>
    </row>
    <row r="4597" spans="6:6" outlineLevel="1">
      <c r="F4597"/>
    </row>
    <row r="4598" spans="6:6" outlineLevel="1">
      <c r="F4598"/>
    </row>
    <row r="4599" spans="6:6" outlineLevel="1">
      <c r="F4599"/>
    </row>
    <row r="4600" spans="6:6" outlineLevel="1">
      <c r="F4600"/>
    </row>
    <row r="4601" spans="6:6" outlineLevel="1">
      <c r="F4601"/>
    </row>
    <row r="4602" spans="6:6" outlineLevel="1">
      <c r="F4602"/>
    </row>
    <row r="4603" spans="6:6" outlineLevel="1">
      <c r="F4603"/>
    </row>
    <row r="4604" spans="6:6" outlineLevel="1">
      <c r="F4604"/>
    </row>
    <row r="4605" spans="6:6" outlineLevel="1">
      <c r="F4605"/>
    </row>
    <row r="4606" spans="6:6" outlineLevel="1">
      <c r="F4606"/>
    </row>
    <row r="4607" spans="6:6" outlineLevel="1">
      <c r="F4607"/>
    </row>
    <row r="4608" spans="6:6" outlineLevel="1">
      <c r="F4608"/>
    </row>
    <row r="4609" spans="6:6" outlineLevel="1">
      <c r="F4609"/>
    </row>
    <row r="4610" spans="6:6" outlineLevel="1">
      <c r="F4610"/>
    </row>
    <row r="4611" spans="6:6" outlineLevel="1">
      <c r="F4611"/>
    </row>
    <row r="4612" spans="6:6" outlineLevel="1">
      <c r="F4612"/>
    </row>
    <row r="4613" spans="6:6" outlineLevel="1">
      <c r="F4613"/>
    </row>
    <row r="4614" spans="6:6" outlineLevel="1">
      <c r="F4614"/>
    </row>
    <row r="4615" spans="6:6" outlineLevel="1">
      <c r="F4615"/>
    </row>
    <row r="4616" spans="6:6" outlineLevel="1">
      <c r="F4616"/>
    </row>
    <row r="4617" spans="6:6" outlineLevel="1">
      <c r="F4617"/>
    </row>
    <row r="4618" spans="6:6" outlineLevel="1">
      <c r="F4618"/>
    </row>
    <row r="4619" spans="6:6" outlineLevel="1">
      <c r="F4619"/>
    </row>
    <row r="4620" spans="6:6" outlineLevel="1">
      <c r="F4620"/>
    </row>
    <row r="4621" spans="6:6" outlineLevel="1">
      <c r="F4621"/>
    </row>
    <row r="4622" spans="6:6" outlineLevel="1">
      <c r="F4622"/>
    </row>
    <row r="4623" spans="6:6" outlineLevel="1">
      <c r="F4623"/>
    </row>
    <row r="4624" spans="6:6" outlineLevel="1">
      <c r="F4624"/>
    </row>
    <row r="4625" spans="6:6" outlineLevel="1">
      <c r="F4625"/>
    </row>
    <row r="4626" spans="6:6" outlineLevel="1">
      <c r="F4626"/>
    </row>
    <row r="4627" spans="6:6" outlineLevel="1">
      <c r="F4627"/>
    </row>
    <row r="4628" spans="6:6" outlineLevel="1">
      <c r="F4628"/>
    </row>
    <row r="4629" spans="6:6" outlineLevel="1">
      <c r="F4629"/>
    </row>
    <row r="4630" spans="6:6" outlineLevel="1">
      <c r="F4630"/>
    </row>
    <row r="4631" spans="6:6">
      <c r="F4631"/>
    </row>
    <row r="4632" spans="6:6" outlineLevel="1">
      <c r="F4632"/>
    </row>
    <row r="4633" spans="6:6" outlineLevel="1">
      <c r="F4633"/>
    </row>
    <row r="4634" spans="6:6" outlineLevel="1">
      <c r="F4634"/>
    </row>
    <row r="4635" spans="6:6" outlineLevel="1">
      <c r="F4635"/>
    </row>
    <row r="4636" spans="6:6" outlineLevel="1">
      <c r="F4636"/>
    </row>
    <row r="4637" spans="6:6" outlineLevel="1">
      <c r="F4637"/>
    </row>
    <row r="4638" spans="6:6" outlineLevel="1">
      <c r="F4638"/>
    </row>
    <row r="4639" spans="6:6" outlineLevel="1">
      <c r="F4639"/>
    </row>
    <row r="4640" spans="6:6" outlineLevel="1">
      <c r="F4640"/>
    </row>
    <row r="4641" spans="6:6" outlineLevel="1">
      <c r="F4641"/>
    </row>
    <row r="4642" spans="6:6" outlineLevel="1">
      <c r="F4642"/>
    </row>
    <row r="4643" spans="6:6" outlineLevel="1">
      <c r="F4643"/>
    </row>
    <row r="4644" spans="6:6" outlineLevel="1">
      <c r="F4644"/>
    </row>
    <row r="4645" spans="6:6" outlineLevel="1">
      <c r="F4645"/>
    </row>
    <row r="4646" spans="6:6" outlineLevel="1">
      <c r="F4646"/>
    </row>
    <row r="4647" spans="6:6" outlineLevel="1">
      <c r="F4647"/>
    </row>
    <row r="4648" spans="6:6" outlineLevel="1">
      <c r="F4648"/>
    </row>
    <row r="4649" spans="6:6" outlineLevel="1">
      <c r="F4649"/>
    </row>
    <row r="4650" spans="6:6" outlineLevel="1">
      <c r="F4650"/>
    </row>
    <row r="4651" spans="6:6" outlineLevel="1">
      <c r="F4651"/>
    </row>
    <row r="4652" spans="6:6" outlineLevel="1">
      <c r="F4652"/>
    </row>
    <row r="4653" spans="6:6" outlineLevel="1">
      <c r="F4653"/>
    </row>
    <row r="4654" spans="6:6" outlineLevel="1">
      <c r="F4654"/>
    </row>
    <row r="4655" spans="6:6" outlineLevel="1">
      <c r="F4655"/>
    </row>
    <row r="4656" spans="6:6" outlineLevel="1">
      <c r="F4656"/>
    </row>
    <row r="4657" spans="6:6" outlineLevel="1">
      <c r="F4657"/>
    </row>
    <row r="4658" spans="6:6" outlineLevel="1">
      <c r="F4658"/>
    </row>
    <row r="4659" spans="6:6" outlineLevel="1">
      <c r="F4659"/>
    </row>
    <row r="4660" spans="6:6" outlineLevel="1">
      <c r="F4660"/>
    </row>
    <row r="4661" spans="6:6" outlineLevel="1">
      <c r="F4661"/>
    </row>
    <row r="4662" spans="6:6" outlineLevel="1">
      <c r="F4662"/>
    </row>
    <row r="4663" spans="6:6" outlineLevel="1">
      <c r="F4663"/>
    </row>
    <row r="4664" spans="6:6" outlineLevel="1">
      <c r="F4664"/>
    </row>
    <row r="4665" spans="6:6" outlineLevel="1">
      <c r="F4665"/>
    </row>
    <row r="4666" spans="6:6" outlineLevel="1">
      <c r="F4666"/>
    </row>
    <row r="4667" spans="6:6" outlineLevel="1">
      <c r="F4667"/>
    </row>
    <row r="4668" spans="6:6" outlineLevel="1">
      <c r="F4668"/>
    </row>
    <row r="4669" spans="6:6" outlineLevel="1">
      <c r="F4669"/>
    </row>
    <row r="4670" spans="6:6" outlineLevel="1">
      <c r="F4670"/>
    </row>
    <row r="4671" spans="6:6" outlineLevel="1">
      <c r="F4671"/>
    </row>
    <row r="4672" spans="6:6" outlineLevel="1">
      <c r="F4672"/>
    </row>
    <row r="4673" spans="6:6" outlineLevel="1">
      <c r="F4673"/>
    </row>
    <row r="4674" spans="6:6" outlineLevel="1">
      <c r="F4674"/>
    </row>
    <row r="4675" spans="6:6" outlineLevel="1">
      <c r="F4675"/>
    </row>
    <row r="4676" spans="6:6" outlineLevel="1">
      <c r="F4676"/>
    </row>
    <row r="4677" spans="6:6" outlineLevel="1">
      <c r="F4677"/>
    </row>
    <row r="4678" spans="6:6" outlineLevel="1">
      <c r="F4678"/>
    </row>
    <row r="4679" spans="6:6" outlineLevel="1">
      <c r="F4679"/>
    </row>
    <row r="4680" spans="6:6" outlineLevel="1">
      <c r="F4680"/>
    </row>
    <row r="4681" spans="6:6" outlineLevel="1">
      <c r="F4681"/>
    </row>
    <row r="4682" spans="6:6" outlineLevel="1">
      <c r="F4682"/>
    </row>
    <row r="4683" spans="6:6" outlineLevel="1">
      <c r="F4683"/>
    </row>
    <row r="4684" spans="6:6" outlineLevel="1">
      <c r="F4684"/>
    </row>
    <row r="4685" spans="6:6" outlineLevel="1">
      <c r="F4685"/>
    </row>
    <row r="4686" spans="6:6" outlineLevel="1">
      <c r="F4686"/>
    </row>
    <row r="4687" spans="6:6" outlineLevel="1">
      <c r="F4687"/>
    </row>
    <row r="4688" spans="6:6" outlineLevel="1">
      <c r="F4688"/>
    </row>
    <row r="4689" spans="6:6" outlineLevel="1">
      <c r="F4689"/>
    </row>
    <row r="4690" spans="6:6" outlineLevel="1">
      <c r="F4690"/>
    </row>
    <row r="4691" spans="6:6" outlineLevel="1">
      <c r="F4691"/>
    </row>
    <row r="4692" spans="6:6" outlineLevel="1">
      <c r="F4692"/>
    </row>
    <row r="4693" spans="6:6" outlineLevel="1">
      <c r="F4693"/>
    </row>
    <row r="4694" spans="6:6" outlineLevel="1">
      <c r="F4694"/>
    </row>
    <row r="4695" spans="6:6" outlineLevel="1">
      <c r="F4695"/>
    </row>
    <row r="4696" spans="6:6" outlineLevel="1">
      <c r="F4696"/>
    </row>
    <row r="4697" spans="6:6" outlineLevel="1">
      <c r="F4697"/>
    </row>
    <row r="4698" spans="6:6" outlineLevel="1">
      <c r="F4698"/>
    </row>
    <row r="4699" spans="6:6" outlineLevel="1">
      <c r="F4699"/>
    </row>
    <row r="4700" spans="6:6" outlineLevel="1">
      <c r="F4700"/>
    </row>
    <row r="4701" spans="6:6" outlineLevel="1">
      <c r="F4701"/>
    </row>
    <row r="4702" spans="6:6" outlineLevel="1">
      <c r="F4702"/>
    </row>
    <row r="4703" spans="6:6" outlineLevel="1">
      <c r="F4703"/>
    </row>
    <row r="4704" spans="6:6" outlineLevel="1">
      <c r="F4704"/>
    </row>
    <row r="4705" spans="6:6" outlineLevel="1">
      <c r="F4705"/>
    </row>
    <row r="4706" spans="6:6" outlineLevel="1">
      <c r="F4706"/>
    </row>
    <row r="4707" spans="6:6" outlineLevel="1">
      <c r="F4707"/>
    </row>
    <row r="4708" spans="6:6" outlineLevel="1">
      <c r="F4708"/>
    </row>
    <row r="4709" spans="6:6" outlineLevel="1">
      <c r="F4709"/>
    </row>
    <row r="4710" spans="6:6" outlineLevel="1">
      <c r="F4710"/>
    </row>
    <row r="4711" spans="6:6" outlineLevel="1">
      <c r="F4711"/>
    </row>
    <row r="4712" spans="6:6" outlineLevel="1">
      <c r="F4712"/>
    </row>
    <row r="4713" spans="6:6" outlineLevel="1">
      <c r="F4713"/>
    </row>
    <row r="4714" spans="6:6" outlineLevel="1">
      <c r="F4714"/>
    </row>
    <row r="4715" spans="6:6" outlineLevel="1">
      <c r="F4715"/>
    </row>
    <row r="4716" spans="6:6" outlineLevel="1">
      <c r="F4716"/>
    </row>
    <row r="4717" spans="6:6" outlineLevel="1">
      <c r="F4717"/>
    </row>
    <row r="4718" spans="6:6" outlineLevel="1">
      <c r="F4718"/>
    </row>
    <row r="4719" spans="6:6" outlineLevel="1">
      <c r="F4719"/>
    </row>
    <row r="4720" spans="6:6" outlineLevel="1">
      <c r="F4720"/>
    </row>
    <row r="4721" spans="6:6" outlineLevel="1">
      <c r="F4721"/>
    </row>
    <row r="4722" spans="6:6" outlineLevel="1">
      <c r="F4722"/>
    </row>
    <row r="4723" spans="6:6" outlineLevel="1">
      <c r="F4723"/>
    </row>
    <row r="4724" spans="6:6" outlineLevel="1">
      <c r="F4724"/>
    </row>
    <row r="4725" spans="6:6" outlineLevel="1">
      <c r="F4725"/>
    </row>
    <row r="4726" spans="6:6" outlineLevel="1">
      <c r="F4726"/>
    </row>
    <row r="4727" spans="6:6" outlineLevel="1">
      <c r="F4727"/>
    </row>
    <row r="4728" spans="6:6" outlineLevel="1">
      <c r="F4728"/>
    </row>
    <row r="4729" spans="6:6" outlineLevel="1">
      <c r="F4729"/>
    </row>
    <row r="4730" spans="6:6" outlineLevel="1">
      <c r="F4730"/>
    </row>
    <row r="4731" spans="6:6" outlineLevel="1">
      <c r="F4731"/>
    </row>
    <row r="4732" spans="6:6" outlineLevel="1">
      <c r="F4732"/>
    </row>
    <row r="4733" spans="6:6" outlineLevel="1">
      <c r="F4733"/>
    </row>
    <row r="4734" spans="6:6" outlineLevel="1">
      <c r="F4734"/>
    </row>
    <row r="4735" spans="6:6" outlineLevel="1">
      <c r="F4735"/>
    </row>
    <row r="4736" spans="6:6" outlineLevel="1">
      <c r="F4736"/>
    </row>
    <row r="4737" spans="6:6" outlineLevel="1">
      <c r="F4737"/>
    </row>
    <row r="4738" spans="6:6" outlineLevel="1">
      <c r="F4738"/>
    </row>
    <row r="4739" spans="6:6" outlineLevel="1">
      <c r="F4739"/>
    </row>
    <row r="4740" spans="6:6" outlineLevel="1">
      <c r="F4740"/>
    </row>
    <row r="4741" spans="6:6" outlineLevel="1">
      <c r="F4741"/>
    </row>
    <row r="4742" spans="6:6" outlineLevel="1">
      <c r="F4742"/>
    </row>
    <row r="4743" spans="6:6" outlineLevel="1">
      <c r="F4743"/>
    </row>
    <row r="4744" spans="6:6" outlineLevel="1">
      <c r="F4744"/>
    </row>
    <row r="4745" spans="6:6" outlineLevel="1">
      <c r="F4745"/>
    </row>
    <row r="4746" spans="6:6" outlineLevel="1">
      <c r="F4746"/>
    </row>
    <row r="4747" spans="6:6" outlineLevel="1">
      <c r="F4747"/>
    </row>
    <row r="4748" spans="6:6" outlineLevel="1">
      <c r="F4748"/>
    </row>
    <row r="4749" spans="6:6" outlineLevel="1">
      <c r="F4749"/>
    </row>
    <row r="4750" spans="6:6" outlineLevel="1">
      <c r="F4750"/>
    </row>
    <row r="4751" spans="6:6" outlineLevel="1">
      <c r="F4751"/>
    </row>
    <row r="4752" spans="6:6" outlineLevel="1">
      <c r="F4752"/>
    </row>
    <row r="4753" spans="6:6" outlineLevel="1">
      <c r="F4753"/>
    </row>
    <row r="4754" spans="6:6" outlineLevel="1">
      <c r="F4754"/>
    </row>
    <row r="4755" spans="6:6" outlineLevel="1">
      <c r="F4755"/>
    </row>
    <row r="4756" spans="6:6" outlineLevel="1">
      <c r="F4756"/>
    </row>
    <row r="4757" spans="6:6" outlineLevel="1">
      <c r="F4757"/>
    </row>
    <row r="4758" spans="6:6" outlineLevel="1">
      <c r="F4758"/>
    </row>
    <row r="4759" spans="6:6" outlineLevel="1">
      <c r="F4759"/>
    </row>
    <row r="4760" spans="6:6" outlineLevel="1">
      <c r="F4760"/>
    </row>
    <row r="4761" spans="6:6" outlineLevel="1">
      <c r="F4761"/>
    </row>
    <row r="4762" spans="6:6" outlineLevel="1">
      <c r="F4762"/>
    </row>
    <row r="4763" spans="6:6" outlineLevel="1">
      <c r="F4763"/>
    </row>
    <row r="4764" spans="6:6" outlineLevel="1">
      <c r="F4764"/>
    </row>
    <row r="4765" spans="6:6" outlineLevel="1">
      <c r="F4765"/>
    </row>
    <row r="4766" spans="6:6" outlineLevel="1">
      <c r="F4766"/>
    </row>
    <row r="4767" spans="6:6" outlineLevel="1">
      <c r="F4767"/>
    </row>
    <row r="4768" spans="6:6" outlineLevel="1">
      <c r="F4768"/>
    </row>
    <row r="4769" spans="6:6" outlineLevel="1">
      <c r="F4769"/>
    </row>
    <row r="4770" spans="6:6" outlineLevel="1">
      <c r="F4770"/>
    </row>
    <row r="4771" spans="6:6">
      <c r="F4771"/>
    </row>
    <row r="4772" spans="6:6" outlineLevel="1">
      <c r="F4772"/>
    </row>
    <row r="4773" spans="6:6" outlineLevel="1">
      <c r="F4773"/>
    </row>
    <row r="4774" spans="6:6" outlineLevel="1">
      <c r="F4774"/>
    </row>
    <row r="4775" spans="6:6" outlineLevel="1">
      <c r="F4775"/>
    </row>
    <row r="4776" spans="6:6" outlineLevel="1">
      <c r="F4776"/>
    </row>
    <row r="4777" spans="6:6" outlineLevel="1">
      <c r="F4777"/>
    </row>
    <row r="4778" spans="6:6" outlineLevel="1">
      <c r="F4778"/>
    </row>
    <row r="4779" spans="6:6" outlineLevel="1">
      <c r="F4779"/>
    </row>
    <row r="4780" spans="6:6" outlineLevel="1">
      <c r="F4780"/>
    </row>
    <row r="4781" spans="6:6" outlineLevel="1">
      <c r="F4781"/>
    </row>
    <row r="4782" spans="6:6" outlineLevel="1">
      <c r="F4782"/>
    </row>
    <row r="4783" spans="6:6" outlineLevel="1">
      <c r="F4783"/>
    </row>
    <row r="4784" spans="6:6" outlineLevel="1">
      <c r="F4784"/>
    </row>
    <row r="4785" spans="6:6" outlineLevel="1">
      <c r="F4785"/>
    </row>
    <row r="4786" spans="6:6" outlineLevel="1">
      <c r="F4786"/>
    </row>
    <row r="4787" spans="6:6" outlineLevel="1">
      <c r="F4787"/>
    </row>
    <row r="4788" spans="6:6" outlineLevel="1">
      <c r="F4788"/>
    </row>
    <row r="4789" spans="6:6" outlineLevel="1">
      <c r="F4789"/>
    </row>
    <row r="4790" spans="6:6" outlineLevel="1">
      <c r="F4790"/>
    </row>
    <row r="4791" spans="6:6" outlineLevel="1">
      <c r="F4791"/>
    </row>
    <row r="4792" spans="6:6" outlineLevel="1">
      <c r="F4792"/>
    </row>
    <row r="4793" spans="6:6" outlineLevel="1">
      <c r="F4793"/>
    </row>
    <row r="4794" spans="6:6" outlineLevel="1">
      <c r="F4794"/>
    </row>
    <row r="4795" spans="6:6" outlineLevel="1">
      <c r="F4795"/>
    </row>
    <row r="4796" spans="6:6" outlineLevel="1">
      <c r="F4796"/>
    </row>
    <row r="4797" spans="6:6" outlineLevel="1">
      <c r="F4797"/>
    </row>
    <row r="4798" spans="6:6" outlineLevel="1">
      <c r="F4798"/>
    </row>
    <row r="4799" spans="6:6" outlineLevel="1">
      <c r="F4799"/>
    </row>
    <row r="4800" spans="6:6" outlineLevel="1">
      <c r="F4800"/>
    </row>
    <row r="4801" spans="6:6" outlineLevel="1">
      <c r="F4801"/>
    </row>
    <row r="4802" spans="6:6" outlineLevel="1">
      <c r="F4802"/>
    </row>
    <row r="4803" spans="6:6" outlineLevel="1">
      <c r="F4803"/>
    </row>
    <row r="4804" spans="6:6" outlineLevel="1">
      <c r="F4804"/>
    </row>
    <row r="4805" spans="6:6" outlineLevel="1">
      <c r="F4805"/>
    </row>
    <row r="4806" spans="6:6" outlineLevel="1">
      <c r="F4806"/>
    </row>
    <row r="4807" spans="6:6" outlineLevel="1">
      <c r="F4807"/>
    </row>
    <row r="4808" spans="6:6" outlineLevel="1">
      <c r="F4808"/>
    </row>
    <row r="4809" spans="6:6" outlineLevel="1">
      <c r="F4809"/>
    </row>
    <row r="4810" spans="6:6" outlineLevel="1">
      <c r="F4810"/>
    </row>
    <row r="4811" spans="6:6" outlineLevel="1">
      <c r="F4811"/>
    </row>
    <row r="4812" spans="6:6" outlineLevel="1">
      <c r="F4812"/>
    </row>
    <row r="4813" spans="6:6" outlineLevel="1">
      <c r="F4813"/>
    </row>
    <row r="4814" spans="6:6" outlineLevel="1">
      <c r="F4814"/>
    </row>
    <row r="4815" spans="6:6" outlineLevel="1">
      <c r="F4815"/>
    </row>
    <row r="4816" spans="6:6" outlineLevel="1">
      <c r="F4816"/>
    </row>
    <row r="4817" spans="6:6" outlineLevel="1">
      <c r="F4817"/>
    </row>
    <row r="4818" spans="6:6" outlineLevel="1">
      <c r="F4818"/>
    </row>
    <row r="4819" spans="6:6" outlineLevel="1">
      <c r="F4819"/>
    </row>
    <row r="4820" spans="6:6" outlineLevel="1">
      <c r="F4820"/>
    </row>
    <row r="4821" spans="6:6" outlineLevel="1">
      <c r="F4821"/>
    </row>
    <row r="4822" spans="6:6" outlineLevel="1">
      <c r="F4822"/>
    </row>
    <row r="4823" spans="6:6" outlineLevel="1">
      <c r="F4823"/>
    </row>
    <row r="4824" spans="6:6" outlineLevel="1">
      <c r="F4824"/>
    </row>
    <row r="4825" spans="6:6" outlineLevel="1">
      <c r="F4825"/>
    </row>
    <row r="4826" spans="6:6" outlineLevel="1">
      <c r="F4826"/>
    </row>
    <row r="4827" spans="6:6" outlineLevel="1">
      <c r="F4827"/>
    </row>
    <row r="4828" spans="6:6" outlineLevel="1">
      <c r="F4828"/>
    </row>
    <row r="4829" spans="6:6" outlineLevel="1">
      <c r="F4829"/>
    </row>
    <row r="4830" spans="6:6" outlineLevel="1">
      <c r="F4830"/>
    </row>
    <row r="4831" spans="6:6" outlineLevel="1">
      <c r="F4831"/>
    </row>
    <row r="4832" spans="6:6" outlineLevel="1">
      <c r="F4832"/>
    </row>
    <row r="4833" spans="6:6" outlineLevel="1">
      <c r="F4833"/>
    </row>
    <row r="4834" spans="6:6" outlineLevel="1">
      <c r="F4834"/>
    </row>
    <row r="4835" spans="6:6" outlineLevel="1">
      <c r="F4835"/>
    </row>
    <row r="4836" spans="6:6" outlineLevel="1">
      <c r="F4836"/>
    </row>
    <row r="4837" spans="6:6" outlineLevel="1">
      <c r="F4837"/>
    </row>
    <row r="4838" spans="6:6" outlineLevel="1">
      <c r="F4838"/>
    </row>
    <row r="4839" spans="6:6" outlineLevel="1">
      <c r="F4839"/>
    </row>
    <row r="4840" spans="6:6" outlineLevel="1">
      <c r="F4840"/>
    </row>
    <row r="4841" spans="6:6" outlineLevel="1">
      <c r="F4841"/>
    </row>
    <row r="4842" spans="6:6" outlineLevel="1">
      <c r="F4842"/>
    </row>
    <row r="4843" spans="6:6" outlineLevel="1">
      <c r="F4843"/>
    </row>
    <row r="4844" spans="6:6" outlineLevel="1">
      <c r="F4844"/>
    </row>
    <row r="4845" spans="6:6" outlineLevel="1">
      <c r="F4845"/>
    </row>
    <row r="4846" spans="6:6" outlineLevel="1">
      <c r="F4846"/>
    </row>
    <row r="4847" spans="6:6" outlineLevel="1">
      <c r="F4847"/>
    </row>
    <row r="4848" spans="6:6" outlineLevel="1">
      <c r="F4848"/>
    </row>
    <row r="4849" spans="6:6" outlineLevel="1">
      <c r="F4849"/>
    </row>
    <row r="4850" spans="6:6" outlineLevel="1">
      <c r="F4850"/>
    </row>
    <row r="4851" spans="6:6" outlineLevel="1">
      <c r="F4851"/>
    </row>
    <row r="4852" spans="6:6" outlineLevel="1">
      <c r="F4852"/>
    </row>
    <row r="4853" spans="6:6" outlineLevel="1">
      <c r="F4853"/>
    </row>
    <row r="4854" spans="6:6" outlineLevel="1">
      <c r="F4854"/>
    </row>
    <row r="4855" spans="6:6" outlineLevel="1">
      <c r="F4855"/>
    </row>
    <row r="4856" spans="6:6" outlineLevel="1">
      <c r="F4856"/>
    </row>
    <row r="4857" spans="6:6" outlineLevel="1">
      <c r="F4857"/>
    </row>
    <row r="4858" spans="6:6" outlineLevel="1">
      <c r="F4858"/>
    </row>
    <row r="4859" spans="6:6" outlineLevel="1">
      <c r="F4859"/>
    </row>
    <row r="4860" spans="6:6" outlineLevel="1">
      <c r="F4860"/>
    </row>
    <row r="4861" spans="6:6" outlineLevel="1">
      <c r="F4861"/>
    </row>
    <row r="4862" spans="6:6" outlineLevel="1">
      <c r="F4862"/>
    </row>
    <row r="4863" spans="6:6" outlineLevel="1">
      <c r="F4863"/>
    </row>
    <row r="4864" spans="6:6" outlineLevel="1">
      <c r="F4864"/>
    </row>
    <row r="4865" spans="6:6" outlineLevel="1">
      <c r="F4865"/>
    </row>
    <row r="4866" spans="6:6" outlineLevel="1">
      <c r="F4866"/>
    </row>
    <row r="4867" spans="6:6" outlineLevel="1">
      <c r="F4867"/>
    </row>
    <row r="4868" spans="6:6" outlineLevel="1">
      <c r="F4868"/>
    </row>
    <row r="4869" spans="6:6" outlineLevel="1">
      <c r="F4869"/>
    </row>
    <row r="4870" spans="6:6" outlineLevel="1">
      <c r="F4870"/>
    </row>
    <row r="4871" spans="6:6" outlineLevel="1">
      <c r="F4871"/>
    </row>
    <row r="4872" spans="6:6" outlineLevel="1">
      <c r="F4872"/>
    </row>
    <row r="4873" spans="6:6" outlineLevel="1">
      <c r="F4873"/>
    </row>
    <row r="4874" spans="6:6" outlineLevel="1">
      <c r="F4874"/>
    </row>
    <row r="4875" spans="6:6" outlineLevel="1">
      <c r="F4875"/>
    </row>
    <row r="4876" spans="6:6" outlineLevel="1">
      <c r="F4876"/>
    </row>
    <row r="4877" spans="6:6" outlineLevel="1">
      <c r="F4877"/>
    </row>
    <row r="4878" spans="6:6" outlineLevel="1">
      <c r="F4878"/>
    </row>
    <row r="4879" spans="6:6" outlineLevel="1">
      <c r="F4879"/>
    </row>
    <row r="4880" spans="6:6" outlineLevel="1">
      <c r="F4880"/>
    </row>
    <row r="4881" spans="6:6" outlineLevel="1">
      <c r="F4881"/>
    </row>
    <row r="4882" spans="6:6" outlineLevel="1">
      <c r="F4882"/>
    </row>
    <row r="4883" spans="6:6" outlineLevel="1">
      <c r="F4883"/>
    </row>
    <row r="4884" spans="6:6" outlineLevel="1">
      <c r="F4884"/>
    </row>
    <row r="4885" spans="6:6" outlineLevel="1">
      <c r="F4885"/>
    </row>
    <row r="4886" spans="6:6" outlineLevel="1">
      <c r="F4886"/>
    </row>
    <row r="4887" spans="6:6" outlineLevel="1">
      <c r="F4887"/>
    </row>
    <row r="4888" spans="6:6" outlineLevel="1">
      <c r="F4888"/>
    </row>
    <row r="4889" spans="6:6" outlineLevel="1">
      <c r="F4889"/>
    </row>
    <row r="4890" spans="6:6" outlineLevel="1">
      <c r="F4890"/>
    </row>
    <row r="4891" spans="6:6" outlineLevel="1">
      <c r="F4891"/>
    </row>
    <row r="4892" spans="6:6" outlineLevel="1">
      <c r="F4892"/>
    </row>
    <row r="4893" spans="6:6" outlineLevel="1">
      <c r="F4893"/>
    </row>
    <row r="4894" spans="6:6" outlineLevel="1">
      <c r="F4894"/>
    </row>
    <row r="4895" spans="6:6" outlineLevel="1">
      <c r="F4895"/>
    </row>
    <row r="4896" spans="6:6" outlineLevel="1">
      <c r="F4896"/>
    </row>
    <row r="4897" spans="6:6" outlineLevel="1">
      <c r="F4897"/>
    </row>
    <row r="4898" spans="6:6" outlineLevel="1">
      <c r="F4898"/>
    </row>
    <row r="4899" spans="6:6" outlineLevel="1">
      <c r="F4899"/>
    </row>
    <row r="4900" spans="6:6" outlineLevel="1">
      <c r="F4900"/>
    </row>
    <row r="4901" spans="6:6">
      <c r="F4901"/>
    </row>
    <row r="4902" spans="6:6" outlineLevel="1">
      <c r="F4902"/>
    </row>
    <row r="4903" spans="6:6" outlineLevel="1">
      <c r="F4903"/>
    </row>
    <row r="4904" spans="6:6" outlineLevel="1">
      <c r="F4904"/>
    </row>
    <row r="4905" spans="6:6" outlineLevel="1">
      <c r="F4905"/>
    </row>
    <row r="4906" spans="6:6" outlineLevel="1">
      <c r="F4906"/>
    </row>
    <row r="4907" spans="6:6" outlineLevel="1">
      <c r="F4907"/>
    </row>
    <row r="4908" spans="6:6" outlineLevel="1">
      <c r="F4908"/>
    </row>
    <row r="4909" spans="6:6" outlineLevel="1">
      <c r="F4909"/>
    </row>
    <row r="4910" spans="6:6" outlineLevel="1">
      <c r="F4910"/>
    </row>
    <row r="4911" spans="6:6" outlineLevel="1">
      <c r="F4911"/>
    </row>
    <row r="4912" spans="6:6" outlineLevel="1">
      <c r="F4912"/>
    </row>
    <row r="4913" spans="6:6" outlineLevel="1">
      <c r="F4913"/>
    </row>
    <row r="4914" spans="6:6" outlineLevel="1">
      <c r="F4914"/>
    </row>
    <row r="4915" spans="6:6" outlineLevel="1">
      <c r="F4915"/>
    </row>
    <row r="4916" spans="6:6" outlineLevel="1">
      <c r="F4916"/>
    </row>
    <row r="4917" spans="6:6" outlineLevel="1">
      <c r="F4917"/>
    </row>
    <row r="4918" spans="6:6" outlineLevel="1">
      <c r="F4918"/>
    </row>
    <row r="4919" spans="6:6" outlineLevel="1">
      <c r="F4919"/>
    </row>
    <row r="4920" spans="6:6" outlineLevel="1">
      <c r="F4920"/>
    </row>
    <row r="4921" spans="6:6" outlineLevel="1">
      <c r="F4921"/>
    </row>
    <row r="4922" spans="6:6" outlineLevel="1">
      <c r="F4922"/>
    </row>
    <row r="4923" spans="6:6" outlineLevel="1">
      <c r="F4923"/>
    </row>
    <row r="4924" spans="6:6" outlineLevel="1">
      <c r="F4924"/>
    </row>
    <row r="4925" spans="6:6" outlineLevel="1">
      <c r="F4925"/>
    </row>
    <row r="4926" spans="6:6" outlineLevel="1">
      <c r="F4926"/>
    </row>
    <row r="4927" spans="6:6" outlineLevel="1">
      <c r="F4927"/>
    </row>
    <row r="4928" spans="6:6" outlineLevel="1">
      <c r="F4928"/>
    </row>
    <row r="4929" spans="6:6" outlineLevel="1">
      <c r="F4929"/>
    </row>
    <row r="4930" spans="6:6" outlineLevel="1">
      <c r="F4930"/>
    </row>
    <row r="4931" spans="6:6" outlineLevel="1">
      <c r="F4931"/>
    </row>
    <row r="4932" spans="6:6" outlineLevel="1">
      <c r="F4932"/>
    </row>
    <row r="4933" spans="6:6" outlineLevel="1">
      <c r="F4933"/>
    </row>
    <row r="4934" spans="6:6" outlineLevel="1">
      <c r="F4934"/>
    </row>
    <row r="4935" spans="6:6" outlineLevel="1">
      <c r="F4935"/>
    </row>
    <row r="4936" spans="6:6" outlineLevel="1">
      <c r="F4936"/>
    </row>
    <row r="4937" spans="6:6" outlineLevel="1">
      <c r="F4937"/>
    </row>
    <row r="4938" spans="6:6" outlineLevel="1">
      <c r="F4938"/>
    </row>
    <row r="4939" spans="6:6" outlineLevel="1">
      <c r="F4939"/>
    </row>
    <row r="4940" spans="6:6" outlineLevel="1">
      <c r="F4940"/>
    </row>
    <row r="4941" spans="6:6" outlineLevel="1">
      <c r="F4941"/>
    </row>
    <row r="4942" spans="6:6" outlineLevel="1">
      <c r="F4942"/>
    </row>
    <row r="4943" spans="6:6" outlineLevel="1">
      <c r="F4943"/>
    </row>
    <row r="4944" spans="6:6" outlineLevel="1">
      <c r="F4944"/>
    </row>
    <row r="4945" spans="6:6" outlineLevel="1">
      <c r="F4945"/>
    </row>
    <row r="4946" spans="6:6" outlineLevel="1">
      <c r="F4946"/>
    </row>
    <row r="4947" spans="6:6" outlineLevel="1">
      <c r="F4947"/>
    </row>
    <row r="4948" spans="6:6" outlineLevel="1">
      <c r="F4948"/>
    </row>
    <row r="4949" spans="6:6" outlineLevel="1">
      <c r="F4949"/>
    </row>
    <row r="4950" spans="6:6">
      <c r="F4950"/>
    </row>
    <row r="4951" spans="6:6" outlineLevel="1">
      <c r="F4951"/>
    </row>
    <row r="4952" spans="6:6" outlineLevel="1">
      <c r="F4952"/>
    </row>
    <row r="4953" spans="6:6" outlineLevel="1">
      <c r="F4953"/>
    </row>
    <row r="4954" spans="6:6" outlineLevel="1">
      <c r="F4954"/>
    </row>
    <row r="4955" spans="6:6" outlineLevel="1">
      <c r="F4955"/>
    </row>
    <row r="4956" spans="6:6" outlineLevel="1">
      <c r="F4956"/>
    </row>
    <row r="4957" spans="6:6" outlineLevel="1">
      <c r="F4957"/>
    </row>
    <row r="4958" spans="6:6" outlineLevel="1">
      <c r="F4958"/>
    </row>
    <row r="4959" spans="6:6" outlineLevel="1">
      <c r="F4959"/>
    </row>
    <row r="4960" spans="6:6" outlineLevel="1">
      <c r="F4960"/>
    </row>
    <row r="4961" spans="6:6" outlineLevel="1">
      <c r="F4961"/>
    </row>
    <row r="4962" spans="6:6" outlineLevel="1">
      <c r="F4962"/>
    </row>
    <row r="4963" spans="6:6" outlineLevel="1">
      <c r="F4963"/>
    </row>
    <row r="4964" spans="6:6" outlineLevel="1">
      <c r="F4964"/>
    </row>
    <row r="4965" spans="6:6" outlineLevel="1">
      <c r="F4965"/>
    </row>
    <row r="4966" spans="6:6" outlineLevel="1">
      <c r="F4966"/>
    </row>
    <row r="4967" spans="6:6" outlineLevel="1">
      <c r="F4967"/>
    </row>
    <row r="4968" spans="6:6" outlineLevel="1">
      <c r="F4968"/>
    </row>
    <row r="4969" spans="6:6" outlineLevel="1">
      <c r="F4969"/>
    </row>
    <row r="4970" spans="6:6" outlineLevel="1">
      <c r="F4970"/>
    </row>
    <row r="4971" spans="6:6" outlineLevel="1">
      <c r="F4971"/>
    </row>
    <row r="4972" spans="6:6" outlineLevel="1">
      <c r="F4972"/>
    </row>
    <row r="4973" spans="6:6" outlineLevel="1">
      <c r="F4973"/>
    </row>
    <row r="4974" spans="6:6" outlineLevel="1">
      <c r="F4974"/>
    </row>
    <row r="4975" spans="6:6" outlineLevel="1">
      <c r="F4975"/>
    </row>
    <row r="4976" spans="6:6" outlineLevel="1">
      <c r="F4976"/>
    </row>
    <row r="4977" spans="6:6" outlineLevel="1">
      <c r="F4977"/>
    </row>
    <row r="4978" spans="6:6" outlineLevel="1">
      <c r="F4978"/>
    </row>
    <row r="4979" spans="6:6" outlineLevel="1">
      <c r="F4979"/>
    </row>
    <row r="4980" spans="6:6" outlineLevel="1">
      <c r="F4980"/>
    </row>
    <row r="4981" spans="6:6" outlineLevel="1">
      <c r="F4981"/>
    </row>
    <row r="4982" spans="6:6" outlineLevel="1">
      <c r="F4982"/>
    </row>
    <row r="4983" spans="6:6" outlineLevel="1">
      <c r="F4983"/>
    </row>
    <row r="4984" spans="6:6" outlineLevel="1">
      <c r="F4984"/>
    </row>
    <row r="4985" spans="6:6" outlineLevel="1">
      <c r="F4985"/>
    </row>
    <row r="4986" spans="6:6" outlineLevel="1">
      <c r="F4986"/>
    </row>
    <row r="4987" spans="6:6" outlineLevel="1">
      <c r="F4987"/>
    </row>
    <row r="4988" spans="6:6" outlineLevel="1">
      <c r="F4988"/>
    </row>
    <row r="4989" spans="6:6" outlineLevel="1">
      <c r="F4989"/>
    </row>
    <row r="4990" spans="6:6" outlineLevel="1">
      <c r="F4990"/>
    </row>
    <row r="4991" spans="6:6" outlineLevel="1">
      <c r="F4991"/>
    </row>
    <row r="4992" spans="6:6" outlineLevel="1">
      <c r="F4992"/>
    </row>
    <row r="4993" spans="6:6" outlineLevel="1">
      <c r="F4993"/>
    </row>
    <row r="4994" spans="6:6" outlineLevel="1">
      <c r="F4994"/>
    </row>
    <row r="4995" spans="6:6" outlineLevel="1">
      <c r="F4995"/>
    </row>
    <row r="4996" spans="6:6" outlineLevel="1">
      <c r="F4996"/>
    </row>
    <row r="4997" spans="6:6" outlineLevel="1">
      <c r="F4997"/>
    </row>
    <row r="4998" spans="6:6" outlineLevel="1">
      <c r="F4998"/>
    </row>
    <row r="4999" spans="6:6" outlineLevel="1">
      <c r="F4999"/>
    </row>
    <row r="5000" spans="6:6" outlineLevel="1">
      <c r="F5000"/>
    </row>
    <row r="5001" spans="6:6" outlineLevel="1">
      <c r="F5001"/>
    </row>
    <row r="5002" spans="6:6" outlineLevel="1">
      <c r="F5002"/>
    </row>
    <row r="5003" spans="6:6" outlineLevel="1">
      <c r="F5003"/>
    </row>
    <row r="5004" spans="6:6" outlineLevel="1">
      <c r="F5004"/>
    </row>
    <row r="5005" spans="6:6" outlineLevel="1">
      <c r="F5005"/>
    </row>
    <row r="5006" spans="6:6" outlineLevel="1">
      <c r="F5006"/>
    </row>
    <row r="5007" spans="6:6" outlineLevel="1">
      <c r="F5007"/>
    </row>
    <row r="5008" spans="6:6" outlineLevel="1">
      <c r="F5008"/>
    </row>
    <row r="5009" spans="6:6" outlineLevel="1">
      <c r="F5009"/>
    </row>
    <row r="5010" spans="6:6" outlineLevel="1">
      <c r="F5010"/>
    </row>
    <row r="5011" spans="6:6" outlineLevel="1">
      <c r="F5011"/>
    </row>
    <row r="5012" spans="6:6" outlineLevel="1">
      <c r="F5012"/>
    </row>
    <row r="5013" spans="6:6" outlineLevel="1">
      <c r="F5013"/>
    </row>
    <row r="5014" spans="6:6" outlineLevel="1">
      <c r="F5014"/>
    </row>
    <row r="5015" spans="6:6" outlineLevel="1">
      <c r="F5015"/>
    </row>
    <row r="5016" spans="6:6" outlineLevel="1">
      <c r="F5016"/>
    </row>
    <row r="5017" spans="6:6" outlineLevel="1">
      <c r="F5017"/>
    </row>
    <row r="5018" spans="6:6" outlineLevel="1">
      <c r="F5018"/>
    </row>
    <row r="5019" spans="6:6" outlineLevel="1">
      <c r="F5019"/>
    </row>
    <row r="5020" spans="6:6" outlineLevel="1">
      <c r="F5020"/>
    </row>
    <row r="5021" spans="6:6" outlineLevel="1">
      <c r="F5021"/>
    </row>
    <row r="5022" spans="6:6" outlineLevel="1">
      <c r="F5022"/>
    </row>
    <row r="5023" spans="6:6" outlineLevel="1">
      <c r="F5023"/>
    </row>
    <row r="5024" spans="6:6" outlineLevel="1">
      <c r="F5024"/>
    </row>
    <row r="5025" spans="6:6" outlineLevel="1">
      <c r="F5025"/>
    </row>
    <row r="5026" spans="6:6" outlineLevel="1">
      <c r="F5026"/>
    </row>
    <row r="5027" spans="6:6" outlineLevel="1">
      <c r="F5027"/>
    </row>
    <row r="5028" spans="6:6" outlineLevel="1">
      <c r="F5028"/>
    </row>
    <row r="5029" spans="6:6" outlineLevel="1">
      <c r="F5029"/>
    </row>
    <row r="5030" spans="6:6" outlineLevel="1">
      <c r="F5030"/>
    </row>
    <row r="5031" spans="6:6" outlineLevel="1">
      <c r="F5031"/>
    </row>
    <row r="5032" spans="6:6" outlineLevel="1">
      <c r="F5032"/>
    </row>
    <row r="5033" spans="6:6" outlineLevel="1">
      <c r="F5033"/>
    </row>
    <row r="5034" spans="6:6" outlineLevel="1">
      <c r="F5034"/>
    </row>
    <row r="5035" spans="6:6" outlineLevel="1">
      <c r="F5035"/>
    </row>
    <row r="5036" spans="6:6" outlineLevel="1">
      <c r="F5036"/>
    </row>
    <row r="5037" spans="6:6" outlineLevel="1">
      <c r="F5037"/>
    </row>
    <row r="5038" spans="6:6" outlineLevel="1">
      <c r="F5038"/>
    </row>
    <row r="5039" spans="6:6" outlineLevel="1">
      <c r="F5039"/>
    </row>
    <row r="5040" spans="6:6" outlineLevel="1">
      <c r="F5040"/>
    </row>
    <row r="5041" spans="6:6" outlineLevel="1">
      <c r="F5041"/>
    </row>
    <row r="5042" spans="6:6" outlineLevel="1">
      <c r="F5042"/>
    </row>
    <row r="5043" spans="6:6" outlineLevel="1">
      <c r="F5043"/>
    </row>
    <row r="5044" spans="6:6" outlineLevel="1">
      <c r="F5044"/>
    </row>
    <row r="5045" spans="6:6" outlineLevel="1">
      <c r="F5045"/>
    </row>
    <row r="5046" spans="6:6" outlineLevel="1">
      <c r="F5046"/>
    </row>
    <row r="5047" spans="6:6" outlineLevel="1">
      <c r="F5047"/>
    </row>
    <row r="5048" spans="6:6" outlineLevel="1">
      <c r="F5048"/>
    </row>
    <row r="5049" spans="6:6" outlineLevel="1">
      <c r="F5049"/>
    </row>
    <row r="5050" spans="6:6" outlineLevel="1">
      <c r="F5050"/>
    </row>
    <row r="5051" spans="6:6" outlineLevel="1">
      <c r="F5051"/>
    </row>
    <row r="5052" spans="6:6" outlineLevel="1">
      <c r="F5052"/>
    </row>
    <row r="5053" spans="6:6" outlineLevel="1">
      <c r="F5053"/>
    </row>
    <row r="5054" spans="6:6" outlineLevel="1">
      <c r="F5054"/>
    </row>
    <row r="5055" spans="6:6" outlineLevel="1">
      <c r="F5055"/>
    </row>
    <row r="5056" spans="6:6" outlineLevel="1">
      <c r="F5056"/>
    </row>
    <row r="5057" spans="6:6" outlineLevel="1">
      <c r="F5057"/>
    </row>
    <row r="5058" spans="6:6" outlineLevel="1">
      <c r="F5058"/>
    </row>
    <row r="5059" spans="6:6" outlineLevel="1">
      <c r="F5059"/>
    </row>
    <row r="5060" spans="6:6" outlineLevel="1">
      <c r="F5060"/>
    </row>
    <row r="5061" spans="6:6" outlineLevel="1">
      <c r="F5061"/>
    </row>
    <row r="5062" spans="6:6" outlineLevel="1">
      <c r="F5062"/>
    </row>
    <row r="5063" spans="6:6" outlineLevel="1">
      <c r="F5063"/>
    </row>
    <row r="5064" spans="6:6" outlineLevel="1">
      <c r="F5064"/>
    </row>
    <row r="5065" spans="6:6" outlineLevel="1">
      <c r="F5065"/>
    </row>
    <row r="5066" spans="6:6" outlineLevel="1">
      <c r="F5066"/>
    </row>
    <row r="5067" spans="6:6" outlineLevel="1">
      <c r="F5067"/>
    </row>
    <row r="5068" spans="6:6" outlineLevel="1">
      <c r="F5068"/>
    </row>
    <row r="5069" spans="6:6" outlineLevel="1">
      <c r="F5069"/>
    </row>
    <row r="5070" spans="6:6" outlineLevel="1">
      <c r="F5070"/>
    </row>
    <row r="5071" spans="6:6" outlineLevel="1">
      <c r="F5071"/>
    </row>
    <row r="5072" spans="6:6" outlineLevel="1">
      <c r="F5072"/>
    </row>
    <row r="5073" spans="6:6" outlineLevel="1">
      <c r="F5073"/>
    </row>
    <row r="5074" spans="6:6" outlineLevel="1">
      <c r="F5074"/>
    </row>
    <row r="5075" spans="6:6" outlineLevel="1">
      <c r="F5075"/>
    </row>
    <row r="5076" spans="6:6" outlineLevel="1">
      <c r="F5076"/>
    </row>
    <row r="5077" spans="6:6" outlineLevel="1">
      <c r="F5077"/>
    </row>
    <row r="5078" spans="6:6" outlineLevel="1">
      <c r="F5078"/>
    </row>
    <row r="5079" spans="6:6" outlineLevel="1">
      <c r="F5079"/>
    </row>
    <row r="5080" spans="6:6" outlineLevel="1">
      <c r="F5080"/>
    </row>
    <row r="5081" spans="6:6" outlineLevel="1">
      <c r="F5081"/>
    </row>
    <row r="5082" spans="6:6">
      <c r="F5082"/>
    </row>
    <row r="5083" spans="6:6" outlineLevel="1">
      <c r="F5083"/>
    </row>
    <row r="5084" spans="6:6" outlineLevel="1">
      <c r="F5084"/>
    </row>
    <row r="5085" spans="6:6" outlineLevel="1">
      <c r="F5085"/>
    </row>
    <row r="5086" spans="6:6" outlineLevel="1">
      <c r="F5086"/>
    </row>
    <row r="5087" spans="6:6" outlineLevel="1">
      <c r="F5087"/>
    </row>
    <row r="5088" spans="6:6" outlineLevel="1">
      <c r="F5088"/>
    </row>
    <row r="5089" spans="6:6" outlineLevel="1">
      <c r="F5089"/>
    </row>
    <row r="5090" spans="6:6" outlineLevel="1">
      <c r="F5090"/>
    </row>
    <row r="5091" spans="6:6" outlineLevel="1">
      <c r="F5091"/>
    </row>
    <row r="5092" spans="6:6" outlineLevel="1">
      <c r="F5092"/>
    </row>
    <row r="5093" spans="6:6" outlineLevel="1">
      <c r="F5093"/>
    </row>
    <row r="5094" spans="6:6" outlineLevel="1">
      <c r="F5094"/>
    </row>
    <row r="5095" spans="6:6" outlineLevel="1">
      <c r="F5095"/>
    </row>
    <row r="5096" spans="6:6" outlineLevel="1">
      <c r="F5096"/>
    </row>
    <row r="5097" spans="6:6" outlineLevel="1">
      <c r="F5097"/>
    </row>
    <row r="5098" spans="6:6" outlineLevel="1">
      <c r="F5098"/>
    </row>
    <row r="5099" spans="6:6" outlineLevel="1">
      <c r="F5099"/>
    </row>
    <row r="5100" spans="6:6" outlineLevel="1">
      <c r="F5100"/>
    </row>
    <row r="5101" spans="6:6" outlineLevel="1">
      <c r="F5101"/>
    </row>
    <row r="5102" spans="6:6" outlineLevel="1">
      <c r="F5102"/>
    </row>
    <row r="5103" spans="6:6" outlineLevel="1">
      <c r="F5103"/>
    </row>
    <row r="5104" spans="6:6" outlineLevel="1">
      <c r="F5104"/>
    </row>
    <row r="5105" spans="6:6" outlineLevel="1">
      <c r="F5105"/>
    </row>
    <row r="5106" spans="6:6" outlineLevel="1">
      <c r="F5106"/>
    </row>
    <row r="5107" spans="6:6" outlineLevel="1">
      <c r="F5107"/>
    </row>
    <row r="5108" spans="6:6" outlineLevel="1">
      <c r="F5108"/>
    </row>
    <row r="5109" spans="6:6" outlineLevel="1">
      <c r="F5109"/>
    </row>
    <row r="5110" spans="6:6" outlineLevel="1">
      <c r="F5110"/>
    </row>
    <row r="5111" spans="6:6" outlineLevel="1">
      <c r="F5111"/>
    </row>
    <row r="5112" spans="6:6" outlineLevel="1">
      <c r="F5112"/>
    </row>
    <row r="5113" spans="6:6" outlineLevel="1">
      <c r="F5113"/>
    </row>
    <row r="5114" spans="6:6" outlineLevel="1">
      <c r="F5114"/>
    </row>
    <row r="5115" spans="6:6" outlineLevel="1">
      <c r="F5115"/>
    </row>
    <row r="5116" spans="6:6" outlineLevel="1">
      <c r="F5116"/>
    </row>
    <row r="5117" spans="6:6" outlineLevel="1">
      <c r="F5117"/>
    </row>
    <row r="5118" spans="6:6" outlineLevel="1">
      <c r="F5118"/>
    </row>
    <row r="5119" spans="6:6" outlineLevel="1">
      <c r="F5119"/>
    </row>
    <row r="5120" spans="6:6" outlineLevel="1">
      <c r="F5120"/>
    </row>
    <row r="5121" spans="6:6" outlineLevel="1">
      <c r="F5121"/>
    </row>
    <row r="5122" spans="6:6" outlineLevel="1">
      <c r="F5122"/>
    </row>
    <row r="5123" spans="6:6" outlineLevel="1">
      <c r="F5123"/>
    </row>
    <row r="5124" spans="6:6" outlineLevel="1">
      <c r="F5124"/>
    </row>
    <row r="5125" spans="6:6" outlineLevel="1">
      <c r="F5125"/>
    </row>
    <row r="5126" spans="6:6" outlineLevel="1">
      <c r="F5126"/>
    </row>
    <row r="5127" spans="6:6" outlineLevel="1">
      <c r="F5127"/>
    </row>
    <row r="5128" spans="6:6" outlineLevel="1">
      <c r="F5128"/>
    </row>
    <row r="5129" spans="6:6" outlineLevel="1">
      <c r="F5129"/>
    </row>
    <row r="5130" spans="6:6" outlineLevel="1">
      <c r="F5130"/>
    </row>
    <row r="5131" spans="6:6" outlineLevel="1">
      <c r="F5131"/>
    </row>
    <row r="5132" spans="6:6" outlineLevel="1">
      <c r="F5132"/>
    </row>
    <row r="5133" spans="6:6" outlineLevel="1">
      <c r="F5133"/>
    </row>
    <row r="5134" spans="6:6" outlineLevel="1">
      <c r="F5134"/>
    </row>
    <row r="5135" spans="6:6" outlineLevel="1">
      <c r="F5135"/>
    </row>
    <row r="5136" spans="6:6" outlineLevel="1">
      <c r="F5136"/>
    </row>
    <row r="5137" spans="6:6" outlineLevel="1">
      <c r="F5137"/>
    </row>
    <row r="5138" spans="6:6" outlineLevel="1">
      <c r="F5138"/>
    </row>
    <row r="5139" spans="6:6" outlineLevel="1">
      <c r="F5139"/>
    </row>
    <row r="5140" spans="6:6" outlineLevel="1">
      <c r="F5140"/>
    </row>
    <row r="5141" spans="6:6" outlineLevel="1">
      <c r="F5141"/>
    </row>
    <row r="5142" spans="6:6" outlineLevel="1">
      <c r="F5142"/>
    </row>
    <row r="5143" spans="6:6" outlineLevel="1">
      <c r="F5143"/>
    </row>
    <row r="5144" spans="6:6" outlineLevel="1">
      <c r="F5144"/>
    </row>
    <row r="5145" spans="6:6" outlineLevel="1">
      <c r="F5145"/>
    </row>
    <row r="5146" spans="6:6" outlineLevel="1">
      <c r="F5146"/>
    </row>
    <row r="5147" spans="6:6" outlineLevel="1">
      <c r="F5147"/>
    </row>
    <row r="5148" spans="6:6" outlineLevel="1">
      <c r="F5148"/>
    </row>
    <row r="5149" spans="6:6" outlineLevel="1">
      <c r="F5149"/>
    </row>
    <row r="5150" spans="6:6" outlineLevel="1">
      <c r="F5150"/>
    </row>
    <row r="5151" spans="6:6" outlineLevel="1">
      <c r="F5151"/>
    </row>
    <row r="5152" spans="6:6" outlineLevel="1">
      <c r="F5152"/>
    </row>
    <row r="5153" spans="6:6" outlineLevel="1">
      <c r="F5153"/>
    </row>
    <row r="5154" spans="6:6" outlineLevel="1">
      <c r="F5154"/>
    </row>
    <row r="5155" spans="6:6" outlineLevel="1">
      <c r="F5155"/>
    </row>
    <row r="5156" spans="6:6" outlineLevel="1">
      <c r="F5156"/>
    </row>
    <row r="5157" spans="6:6" outlineLevel="1">
      <c r="F5157"/>
    </row>
    <row r="5158" spans="6:6" outlineLevel="1">
      <c r="F5158"/>
    </row>
    <row r="5159" spans="6:6" outlineLevel="1">
      <c r="F5159"/>
    </row>
    <row r="5160" spans="6:6" outlineLevel="1">
      <c r="F5160"/>
    </row>
    <row r="5161" spans="6:6" outlineLevel="1">
      <c r="F5161"/>
    </row>
    <row r="5162" spans="6:6" outlineLevel="1">
      <c r="F5162"/>
    </row>
    <row r="5163" spans="6:6" outlineLevel="1">
      <c r="F5163"/>
    </row>
    <row r="5164" spans="6:6" outlineLevel="1">
      <c r="F5164"/>
    </row>
    <row r="5165" spans="6:6" outlineLevel="1">
      <c r="F5165"/>
    </row>
    <row r="5166" spans="6:6" outlineLevel="1">
      <c r="F5166"/>
    </row>
    <row r="5167" spans="6:6" outlineLevel="1">
      <c r="F5167"/>
    </row>
    <row r="5168" spans="6:6" outlineLevel="1">
      <c r="F5168"/>
    </row>
    <row r="5169" spans="6:6" outlineLevel="1">
      <c r="F5169"/>
    </row>
    <row r="5170" spans="6:6" outlineLevel="1">
      <c r="F5170"/>
    </row>
    <row r="5171" spans="6:6" outlineLevel="1">
      <c r="F5171"/>
    </row>
    <row r="5172" spans="6:6" outlineLevel="1">
      <c r="F5172"/>
    </row>
    <row r="5173" spans="6:6" outlineLevel="1">
      <c r="F5173"/>
    </row>
    <row r="5174" spans="6:6" outlineLevel="1">
      <c r="F5174"/>
    </row>
    <row r="5175" spans="6:6" outlineLevel="1">
      <c r="F5175"/>
    </row>
    <row r="5176" spans="6:6" outlineLevel="1">
      <c r="F5176"/>
    </row>
    <row r="5177" spans="6:6" outlineLevel="1">
      <c r="F5177"/>
    </row>
    <row r="5178" spans="6:6" outlineLevel="1">
      <c r="F5178"/>
    </row>
    <row r="5179" spans="6:6" outlineLevel="1">
      <c r="F5179"/>
    </row>
    <row r="5180" spans="6:6" outlineLevel="1">
      <c r="F5180"/>
    </row>
    <row r="5181" spans="6:6" outlineLevel="1">
      <c r="F5181"/>
    </row>
    <row r="5182" spans="6:6" outlineLevel="1">
      <c r="F5182"/>
    </row>
    <row r="5183" spans="6:6" outlineLevel="1">
      <c r="F5183"/>
    </row>
    <row r="5184" spans="6:6" outlineLevel="1">
      <c r="F5184"/>
    </row>
    <row r="5185" spans="6:6" outlineLevel="1">
      <c r="F5185"/>
    </row>
    <row r="5186" spans="6:6" outlineLevel="1">
      <c r="F5186"/>
    </row>
    <row r="5187" spans="6:6" outlineLevel="1">
      <c r="F5187"/>
    </row>
    <row r="5188" spans="6:6" outlineLevel="1">
      <c r="F5188"/>
    </row>
    <row r="5189" spans="6:6" outlineLevel="1">
      <c r="F5189"/>
    </row>
    <row r="5190" spans="6:6" outlineLevel="1">
      <c r="F5190"/>
    </row>
    <row r="5191" spans="6:6" outlineLevel="1">
      <c r="F5191"/>
    </row>
    <row r="5192" spans="6:6" outlineLevel="1">
      <c r="F5192"/>
    </row>
    <row r="5193" spans="6:6" outlineLevel="1">
      <c r="F5193"/>
    </row>
    <row r="5194" spans="6:6" outlineLevel="1">
      <c r="F5194"/>
    </row>
    <row r="5195" spans="6:6" outlineLevel="1">
      <c r="F5195"/>
    </row>
    <row r="5196" spans="6:6" outlineLevel="1">
      <c r="F5196"/>
    </row>
    <row r="5197" spans="6:6" outlineLevel="1">
      <c r="F5197"/>
    </row>
    <row r="5198" spans="6:6" outlineLevel="1">
      <c r="F5198"/>
    </row>
    <row r="5199" spans="6:6" outlineLevel="1">
      <c r="F5199"/>
    </row>
    <row r="5200" spans="6:6" outlineLevel="1">
      <c r="F5200"/>
    </row>
    <row r="5201" spans="6:6" outlineLevel="1">
      <c r="F5201"/>
    </row>
    <row r="5202" spans="6:6" outlineLevel="1">
      <c r="F5202"/>
    </row>
    <row r="5203" spans="6:6" outlineLevel="1">
      <c r="F5203"/>
    </row>
    <row r="5204" spans="6:6" outlineLevel="1">
      <c r="F5204"/>
    </row>
    <row r="5205" spans="6:6" outlineLevel="1">
      <c r="F5205"/>
    </row>
    <row r="5206" spans="6:6" outlineLevel="1">
      <c r="F5206"/>
    </row>
    <row r="5207" spans="6:6" outlineLevel="1">
      <c r="F5207"/>
    </row>
    <row r="5208" spans="6:6" outlineLevel="1">
      <c r="F5208"/>
    </row>
    <row r="5209" spans="6:6" outlineLevel="1">
      <c r="F5209"/>
    </row>
    <row r="5210" spans="6:6" outlineLevel="1">
      <c r="F5210"/>
    </row>
    <row r="5211" spans="6:6" outlineLevel="1">
      <c r="F5211"/>
    </row>
    <row r="5212" spans="6:6" outlineLevel="1">
      <c r="F5212"/>
    </row>
    <row r="5213" spans="6:6" outlineLevel="1">
      <c r="F5213"/>
    </row>
    <row r="5214" spans="6:6">
      <c r="F5214"/>
    </row>
    <row r="5215" spans="6:6" outlineLevel="1">
      <c r="F5215"/>
    </row>
    <row r="5216" spans="6:6" outlineLevel="1">
      <c r="F5216"/>
    </row>
    <row r="5217" spans="6:6" outlineLevel="1">
      <c r="F5217"/>
    </row>
    <row r="5218" spans="6:6" outlineLevel="1">
      <c r="F5218"/>
    </row>
    <row r="5219" spans="6:6" outlineLevel="1">
      <c r="F5219"/>
    </row>
    <row r="5220" spans="6:6" outlineLevel="1">
      <c r="F5220"/>
    </row>
    <row r="5221" spans="6:6" outlineLevel="1">
      <c r="F5221"/>
    </row>
    <row r="5222" spans="6:6" outlineLevel="1">
      <c r="F5222"/>
    </row>
    <row r="5223" spans="6:6" outlineLevel="1">
      <c r="F5223"/>
    </row>
    <row r="5224" spans="6:6" outlineLevel="1">
      <c r="F5224"/>
    </row>
    <row r="5225" spans="6:6" outlineLevel="1">
      <c r="F5225"/>
    </row>
    <row r="5226" spans="6:6" outlineLevel="1">
      <c r="F5226"/>
    </row>
    <row r="5227" spans="6:6" outlineLevel="1">
      <c r="F5227"/>
    </row>
    <row r="5228" spans="6:6" outlineLevel="1">
      <c r="F5228"/>
    </row>
    <row r="5229" spans="6:6" outlineLevel="1">
      <c r="F5229"/>
    </row>
    <row r="5230" spans="6:6" outlineLevel="1">
      <c r="F5230"/>
    </row>
    <row r="5231" spans="6:6" outlineLevel="1">
      <c r="F5231"/>
    </row>
    <row r="5232" spans="6:6" outlineLevel="1">
      <c r="F5232"/>
    </row>
    <row r="5233" spans="6:6" outlineLevel="1">
      <c r="F5233"/>
    </row>
    <row r="5234" spans="6:6" outlineLevel="1">
      <c r="F5234"/>
    </row>
    <row r="5235" spans="6:6" outlineLevel="1">
      <c r="F5235"/>
    </row>
    <row r="5236" spans="6:6" outlineLevel="1">
      <c r="F5236"/>
    </row>
    <row r="5237" spans="6:6" outlineLevel="1">
      <c r="F5237"/>
    </row>
    <row r="5238" spans="6:6">
      <c r="F5238"/>
    </row>
    <row r="5239" spans="6:6" outlineLevel="1">
      <c r="F5239"/>
    </row>
    <row r="5240" spans="6:6" outlineLevel="1">
      <c r="F5240"/>
    </row>
    <row r="5241" spans="6:6" outlineLevel="1">
      <c r="F5241"/>
    </row>
    <row r="5242" spans="6:6" outlineLevel="1">
      <c r="F5242"/>
    </row>
    <row r="5243" spans="6:6" outlineLevel="1">
      <c r="F5243"/>
    </row>
    <row r="5244" spans="6:6" outlineLevel="1">
      <c r="F5244"/>
    </row>
    <row r="5245" spans="6:6" outlineLevel="1">
      <c r="F5245"/>
    </row>
    <row r="5246" spans="6:6" outlineLevel="1">
      <c r="F5246"/>
    </row>
    <row r="5247" spans="6:6" outlineLevel="1">
      <c r="F5247"/>
    </row>
    <row r="5248" spans="6:6" outlineLevel="1">
      <c r="F5248"/>
    </row>
    <row r="5249" spans="6:6" outlineLevel="1">
      <c r="F5249"/>
    </row>
    <row r="5250" spans="6:6" outlineLevel="1">
      <c r="F5250"/>
    </row>
    <row r="5251" spans="6:6" outlineLevel="1">
      <c r="F5251"/>
    </row>
    <row r="5252" spans="6:6" outlineLevel="1">
      <c r="F5252"/>
    </row>
    <row r="5253" spans="6:6" outlineLevel="1">
      <c r="F5253"/>
    </row>
    <row r="5254" spans="6:6" outlineLevel="1">
      <c r="F5254"/>
    </row>
    <row r="5255" spans="6:6" outlineLevel="1">
      <c r="F5255"/>
    </row>
    <row r="5256" spans="6:6" outlineLevel="1">
      <c r="F5256"/>
    </row>
    <row r="5257" spans="6:6" outlineLevel="1">
      <c r="F5257"/>
    </row>
    <row r="5258" spans="6:6" outlineLevel="1">
      <c r="F5258"/>
    </row>
    <row r="5259" spans="6:6" outlineLevel="1">
      <c r="F5259"/>
    </row>
    <row r="5260" spans="6:6" outlineLevel="1">
      <c r="F5260"/>
    </row>
    <row r="5261" spans="6:6" outlineLevel="1">
      <c r="F5261"/>
    </row>
    <row r="5262" spans="6:6" outlineLevel="1">
      <c r="F5262"/>
    </row>
    <row r="5263" spans="6:6" outlineLevel="1">
      <c r="F5263"/>
    </row>
    <row r="5264" spans="6:6" outlineLevel="1">
      <c r="F5264"/>
    </row>
    <row r="5265" spans="6:6" outlineLevel="1">
      <c r="F5265"/>
    </row>
    <row r="5266" spans="6:6" outlineLevel="1">
      <c r="F5266"/>
    </row>
    <row r="5267" spans="6:6" outlineLevel="1">
      <c r="F5267"/>
    </row>
    <row r="5268" spans="6:6" outlineLevel="1">
      <c r="F5268"/>
    </row>
    <row r="5269" spans="6:6" outlineLevel="1">
      <c r="F5269"/>
    </row>
    <row r="5270" spans="6:6" outlineLevel="1">
      <c r="F5270"/>
    </row>
    <row r="5271" spans="6:6" outlineLevel="1">
      <c r="F5271"/>
    </row>
    <row r="5272" spans="6:6" outlineLevel="1">
      <c r="F5272"/>
    </row>
    <row r="5273" spans="6:6" outlineLevel="1">
      <c r="F5273"/>
    </row>
    <row r="5274" spans="6:6" outlineLevel="1">
      <c r="F5274"/>
    </row>
    <row r="5275" spans="6:6" outlineLevel="1">
      <c r="F5275"/>
    </row>
    <row r="5276" spans="6:6">
      <c r="F5276"/>
    </row>
    <row r="5277" spans="6:6" outlineLevel="1">
      <c r="F5277"/>
    </row>
    <row r="5278" spans="6:6" outlineLevel="1">
      <c r="F5278"/>
    </row>
    <row r="5279" spans="6:6" outlineLevel="1">
      <c r="F5279"/>
    </row>
    <row r="5280" spans="6:6" outlineLevel="1">
      <c r="F5280"/>
    </row>
    <row r="5281" spans="6:6" outlineLevel="1">
      <c r="F5281"/>
    </row>
    <row r="5282" spans="6:6" outlineLevel="1">
      <c r="F5282"/>
    </row>
    <row r="5283" spans="6:6" outlineLevel="1">
      <c r="F5283"/>
    </row>
    <row r="5284" spans="6:6" outlineLevel="1">
      <c r="F5284"/>
    </row>
    <row r="5285" spans="6:6" outlineLevel="1">
      <c r="F5285"/>
    </row>
    <row r="5286" spans="6:6" outlineLevel="1">
      <c r="F5286"/>
    </row>
    <row r="5287" spans="6:6" outlineLevel="1">
      <c r="F5287"/>
    </row>
    <row r="5288" spans="6:6" outlineLevel="1">
      <c r="F5288"/>
    </row>
    <row r="5289" spans="6:6" outlineLevel="1">
      <c r="F5289"/>
    </row>
    <row r="5290" spans="6:6" outlineLevel="1">
      <c r="F5290"/>
    </row>
    <row r="5291" spans="6:6" outlineLevel="1">
      <c r="F5291"/>
    </row>
    <row r="5292" spans="6:6" outlineLevel="1">
      <c r="F5292"/>
    </row>
    <row r="5293" spans="6:6" outlineLevel="1">
      <c r="F5293"/>
    </row>
    <row r="5294" spans="6:6" outlineLevel="1">
      <c r="F5294"/>
    </row>
    <row r="5295" spans="6:6" outlineLevel="1">
      <c r="F5295"/>
    </row>
    <row r="5296" spans="6:6" outlineLevel="1">
      <c r="F5296"/>
    </row>
    <row r="5297" spans="6:6" outlineLevel="1">
      <c r="F5297"/>
    </row>
    <row r="5298" spans="6:6" outlineLevel="1">
      <c r="F5298"/>
    </row>
    <row r="5299" spans="6:6" outlineLevel="1">
      <c r="F5299"/>
    </row>
    <row r="5300" spans="6:6" outlineLevel="1">
      <c r="F5300"/>
    </row>
    <row r="5301" spans="6:6" outlineLevel="1">
      <c r="F5301"/>
    </row>
    <row r="5302" spans="6:6" outlineLevel="1">
      <c r="F5302"/>
    </row>
    <row r="5303" spans="6:6" outlineLevel="1">
      <c r="F5303"/>
    </row>
    <row r="5304" spans="6:6" outlineLevel="1">
      <c r="F5304"/>
    </row>
    <row r="5305" spans="6:6" outlineLevel="1">
      <c r="F5305"/>
    </row>
    <row r="5306" spans="6:6" outlineLevel="1">
      <c r="F5306"/>
    </row>
    <row r="5307" spans="6:6" outlineLevel="1">
      <c r="F5307"/>
    </row>
    <row r="5308" spans="6:6" outlineLevel="1">
      <c r="F5308"/>
    </row>
    <row r="5309" spans="6:6" outlineLevel="1">
      <c r="F5309"/>
    </row>
    <row r="5310" spans="6:6" outlineLevel="1">
      <c r="F5310"/>
    </row>
    <row r="5311" spans="6:6" outlineLevel="1">
      <c r="F5311"/>
    </row>
    <row r="5312" spans="6:6" outlineLevel="1">
      <c r="F5312"/>
    </row>
    <row r="5313" spans="6:6" outlineLevel="1">
      <c r="F5313"/>
    </row>
    <row r="5314" spans="6:6" outlineLevel="1">
      <c r="F5314"/>
    </row>
    <row r="5315" spans="6:6" outlineLevel="1">
      <c r="F5315"/>
    </row>
    <row r="5316" spans="6:6" outlineLevel="1">
      <c r="F5316"/>
    </row>
    <row r="5317" spans="6:6" outlineLevel="1">
      <c r="F5317"/>
    </row>
    <row r="5318" spans="6:6" outlineLevel="1">
      <c r="F5318"/>
    </row>
    <row r="5319" spans="6:6" outlineLevel="1">
      <c r="F5319"/>
    </row>
    <row r="5320" spans="6:6" outlineLevel="1">
      <c r="F5320"/>
    </row>
    <row r="5321" spans="6:6" outlineLevel="1">
      <c r="F5321"/>
    </row>
    <row r="5322" spans="6:6" outlineLevel="1">
      <c r="F5322"/>
    </row>
    <row r="5323" spans="6:6" outlineLevel="1">
      <c r="F5323"/>
    </row>
    <row r="5324" spans="6:6" outlineLevel="1">
      <c r="F5324"/>
    </row>
    <row r="5325" spans="6:6" outlineLevel="1">
      <c r="F5325"/>
    </row>
    <row r="5326" spans="6:6" outlineLevel="1">
      <c r="F5326"/>
    </row>
    <row r="5327" spans="6:6" outlineLevel="1">
      <c r="F5327"/>
    </row>
    <row r="5328" spans="6:6" outlineLevel="1">
      <c r="F5328"/>
    </row>
    <row r="5329" spans="6:6" outlineLevel="1">
      <c r="F5329"/>
    </row>
    <row r="5330" spans="6:6" outlineLevel="1">
      <c r="F5330"/>
    </row>
    <row r="5331" spans="6:6" outlineLevel="1">
      <c r="F5331"/>
    </row>
    <row r="5332" spans="6:6" outlineLevel="1">
      <c r="F5332"/>
    </row>
    <row r="5333" spans="6:6" outlineLevel="1">
      <c r="F5333"/>
    </row>
    <row r="5334" spans="6:6" outlineLevel="1">
      <c r="F5334"/>
    </row>
    <row r="5335" spans="6:6" outlineLevel="1">
      <c r="F5335"/>
    </row>
    <row r="5336" spans="6:6" outlineLevel="1">
      <c r="F5336"/>
    </row>
    <row r="5337" spans="6:6" outlineLevel="1">
      <c r="F5337"/>
    </row>
    <row r="5338" spans="6:6" outlineLevel="1">
      <c r="F5338"/>
    </row>
    <row r="5339" spans="6:6" outlineLevel="1">
      <c r="F5339"/>
    </row>
    <row r="5340" spans="6:6" outlineLevel="1">
      <c r="F5340"/>
    </row>
    <row r="5341" spans="6:6" outlineLevel="1">
      <c r="F5341"/>
    </row>
    <row r="5342" spans="6:6" outlineLevel="1">
      <c r="F5342"/>
    </row>
    <row r="5343" spans="6:6" outlineLevel="1">
      <c r="F5343"/>
    </row>
    <row r="5344" spans="6:6" outlineLevel="1">
      <c r="F5344"/>
    </row>
    <row r="5345" spans="6:6" outlineLevel="1">
      <c r="F5345"/>
    </row>
    <row r="5346" spans="6:6" outlineLevel="1">
      <c r="F5346"/>
    </row>
    <row r="5347" spans="6:6" outlineLevel="1">
      <c r="F5347"/>
    </row>
    <row r="5348" spans="6:6" outlineLevel="1">
      <c r="F5348"/>
    </row>
    <row r="5349" spans="6:6" outlineLevel="1">
      <c r="F5349"/>
    </row>
    <row r="5350" spans="6:6" outlineLevel="1">
      <c r="F5350"/>
    </row>
    <row r="5351" spans="6:6" outlineLevel="1">
      <c r="F5351"/>
    </row>
    <row r="5352" spans="6:6" outlineLevel="1">
      <c r="F5352"/>
    </row>
    <row r="5353" spans="6:6" outlineLevel="1">
      <c r="F5353"/>
    </row>
    <row r="5354" spans="6:6" outlineLevel="1">
      <c r="F5354"/>
    </row>
    <row r="5355" spans="6:6" outlineLevel="1">
      <c r="F5355"/>
    </row>
    <row r="5356" spans="6:6" outlineLevel="1">
      <c r="F5356"/>
    </row>
    <row r="5357" spans="6:6" outlineLevel="1">
      <c r="F5357"/>
    </row>
    <row r="5358" spans="6:6" outlineLevel="1">
      <c r="F5358"/>
    </row>
    <row r="5359" spans="6:6" outlineLevel="1">
      <c r="F5359"/>
    </row>
    <row r="5360" spans="6:6" outlineLevel="1">
      <c r="F5360"/>
    </row>
    <row r="5361" spans="6:6" outlineLevel="1">
      <c r="F5361"/>
    </row>
    <row r="5362" spans="6:6" outlineLevel="1">
      <c r="F5362"/>
    </row>
    <row r="5363" spans="6:6">
      <c r="F5363"/>
    </row>
    <row r="5364" spans="6:6" outlineLevel="1">
      <c r="F5364"/>
    </row>
    <row r="5365" spans="6:6" outlineLevel="1">
      <c r="F5365"/>
    </row>
    <row r="5366" spans="6:6" outlineLevel="1">
      <c r="F5366"/>
    </row>
    <row r="5367" spans="6:6" outlineLevel="1">
      <c r="F5367"/>
    </row>
    <row r="5368" spans="6:6" outlineLevel="1">
      <c r="F5368"/>
    </row>
    <row r="5369" spans="6:6" outlineLevel="1">
      <c r="F5369"/>
    </row>
    <row r="5370" spans="6:6" outlineLevel="1">
      <c r="F5370"/>
    </row>
    <row r="5371" spans="6:6" outlineLevel="1">
      <c r="F5371"/>
    </row>
    <row r="5372" spans="6:6" outlineLevel="1">
      <c r="F5372"/>
    </row>
    <row r="5373" spans="6:6" outlineLevel="1">
      <c r="F5373"/>
    </row>
    <row r="5374" spans="6:6" outlineLevel="1">
      <c r="F5374"/>
    </row>
    <row r="5375" spans="6:6" outlineLevel="1">
      <c r="F5375"/>
    </row>
    <row r="5376" spans="6:6" outlineLevel="1">
      <c r="F5376"/>
    </row>
    <row r="5377" spans="6:6" outlineLevel="1">
      <c r="F5377"/>
    </row>
    <row r="5378" spans="6:6" outlineLevel="1">
      <c r="F5378"/>
    </row>
    <row r="5379" spans="6:6" outlineLevel="1">
      <c r="F5379"/>
    </row>
    <row r="5380" spans="6:6" outlineLevel="1">
      <c r="F5380"/>
    </row>
    <row r="5381" spans="6:6" outlineLevel="1">
      <c r="F5381"/>
    </row>
    <row r="5382" spans="6:6" outlineLevel="1">
      <c r="F5382"/>
    </row>
    <row r="5383" spans="6:6" outlineLevel="1">
      <c r="F5383"/>
    </row>
    <row r="5384" spans="6:6" outlineLevel="1">
      <c r="F5384"/>
    </row>
    <row r="5385" spans="6:6" outlineLevel="1">
      <c r="F5385"/>
    </row>
    <row r="5386" spans="6:6" outlineLevel="1">
      <c r="F5386"/>
    </row>
    <row r="5387" spans="6:6" outlineLevel="1">
      <c r="F5387"/>
    </row>
    <row r="5388" spans="6:6" outlineLevel="1">
      <c r="F5388"/>
    </row>
    <row r="5389" spans="6:6" outlineLevel="1">
      <c r="F5389"/>
    </row>
    <row r="5390" spans="6:6" outlineLevel="1">
      <c r="F5390"/>
    </row>
    <row r="5391" spans="6:6" outlineLevel="1">
      <c r="F5391"/>
    </row>
    <row r="5392" spans="6:6" outlineLevel="1">
      <c r="F5392"/>
    </row>
    <row r="5393" spans="6:6" outlineLevel="1">
      <c r="F5393"/>
    </row>
    <row r="5394" spans="6:6" outlineLevel="1">
      <c r="F5394"/>
    </row>
    <row r="5395" spans="6:6" outlineLevel="1">
      <c r="F5395"/>
    </row>
    <row r="5396" spans="6:6" outlineLevel="1">
      <c r="F5396"/>
    </row>
    <row r="5397" spans="6:6">
      <c r="F5397"/>
    </row>
    <row r="5398" spans="6:6" outlineLevel="1">
      <c r="F5398"/>
    </row>
    <row r="5399" spans="6:6" outlineLevel="1">
      <c r="F5399"/>
    </row>
    <row r="5400" spans="6:6" outlineLevel="1">
      <c r="F5400"/>
    </row>
    <row r="5401" spans="6:6" outlineLevel="1">
      <c r="F5401"/>
    </row>
    <row r="5402" spans="6:6" outlineLevel="1">
      <c r="F5402"/>
    </row>
    <row r="5403" spans="6:6" outlineLevel="1">
      <c r="F5403"/>
    </row>
    <row r="5404" spans="6:6" outlineLevel="1">
      <c r="F5404"/>
    </row>
    <row r="5405" spans="6:6" outlineLevel="1">
      <c r="F5405"/>
    </row>
    <row r="5406" spans="6:6" outlineLevel="1">
      <c r="F5406"/>
    </row>
    <row r="5407" spans="6:6" outlineLevel="1">
      <c r="F5407"/>
    </row>
    <row r="5408" spans="6:6" outlineLevel="1">
      <c r="F5408"/>
    </row>
    <row r="5409" spans="6:6" outlineLevel="1">
      <c r="F5409"/>
    </row>
    <row r="5410" spans="6:6" outlineLevel="1">
      <c r="F5410"/>
    </row>
    <row r="5411" spans="6:6" outlineLevel="1">
      <c r="F5411"/>
    </row>
    <row r="5412" spans="6:6" outlineLevel="1">
      <c r="F5412"/>
    </row>
    <row r="5413" spans="6:6" outlineLevel="1">
      <c r="F5413"/>
    </row>
    <row r="5414" spans="6:6" outlineLevel="1">
      <c r="F5414"/>
    </row>
    <row r="5415" spans="6:6" outlineLevel="1">
      <c r="F5415"/>
    </row>
    <row r="5416" spans="6:6" outlineLevel="1">
      <c r="F5416"/>
    </row>
    <row r="5417" spans="6:6" outlineLevel="1">
      <c r="F5417"/>
    </row>
    <row r="5418" spans="6:6" outlineLevel="1">
      <c r="F5418"/>
    </row>
    <row r="5419" spans="6:6" outlineLevel="1">
      <c r="F5419"/>
    </row>
    <row r="5420" spans="6:6" outlineLevel="1">
      <c r="F5420"/>
    </row>
    <row r="5421" spans="6:6" outlineLevel="1">
      <c r="F5421"/>
    </row>
    <row r="5422" spans="6:6" outlineLevel="1">
      <c r="F5422"/>
    </row>
    <row r="5423" spans="6:6" outlineLevel="1">
      <c r="F5423"/>
    </row>
    <row r="5424" spans="6:6" outlineLevel="1">
      <c r="F5424"/>
    </row>
    <row r="5425" spans="6:6" outlineLevel="1">
      <c r="F5425"/>
    </row>
    <row r="5426" spans="6:6" outlineLevel="1">
      <c r="F5426"/>
    </row>
    <row r="5427" spans="6:6" outlineLevel="1">
      <c r="F5427"/>
    </row>
    <row r="5428" spans="6:6" outlineLevel="1">
      <c r="F5428"/>
    </row>
    <row r="5429" spans="6:6" outlineLevel="1">
      <c r="F5429"/>
    </row>
    <row r="5430" spans="6:6" outlineLevel="1">
      <c r="F5430"/>
    </row>
    <row r="5431" spans="6:6" outlineLevel="1">
      <c r="F5431"/>
    </row>
    <row r="5432" spans="6:6" outlineLevel="1">
      <c r="F5432"/>
    </row>
    <row r="5433" spans="6:6" outlineLevel="1">
      <c r="F5433"/>
    </row>
    <row r="5434" spans="6:6" outlineLevel="1">
      <c r="F5434"/>
    </row>
    <row r="5435" spans="6:6" outlineLevel="1">
      <c r="F5435"/>
    </row>
    <row r="5436" spans="6:6" outlineLevel="1">
      <c r="F5436"/>
    </row>
    <row r="5437" spans="6:6" outlineLevel="1">
      <c r="F5437"/>
    </row>
    <row r="5438" spans="6:6" outlineLevel="1">
      <c r="F5438"/>
    </row>
    <row r="5439" spans="6:6" outlineLevel="1">
      <c r="F5439"/>
    </row>
    <row r="5440" spans="6:6" outlineLevel="1">
      <c r="F5440"/>
    </row>
    <row r="5441" spans="6:6">
      <c r="F5441"/>
    </row>
    <row r="5442" spans="6:6" outlineLevel="1">
      <c r="F5442"/>
    </row>
    <row r="5443" spans="6:6" outlineLevel="1">
      <c r="F5443"/>
    </row>
    <row r="5444" spans="6:6" outlineLevel="1">
      <c r="F5444"/>
    </row>
    <row r="5445" spans="6:6" outlineLevel="1">
      <c r="F5445"/>
    </row>
    <row r="5446" spans="6:6" outlineLevel="1">
      <c r="F5446"/>
    </row>
    <row r="5447" spans="6:6" outlineLevel="1">
      <c r="F5447"/>
    </row>
    <row r="5448" spans="6:6" outlineLevel="1">
      <c r="F5448"/>
    </row>
    <row r="5449" spans="6:6" outlineLevel="1">
      <c r="F5449"/>
    </row>
    <row r="5450" spans="6:6" outlineLevel="1">
      <c r="F5450"/>
    </row>
    <row r="5451" spans="6:6" outlineLevel="1">
      <c r="F5451"/>
    </row>
    <row r="5452" spans="6:6" outlineLevel="1">
      <c r="F5452"/>
    </row>
    <row r="5453" spans="6:6" outlineLevel="1">
      <c r="F5453"/>
    </row>
    <row r="5454" spans="6:6" outlineLevel="1">
      <c r="F5454"/>
    </row>
    <row r="5455" spans="6:6" outlineLevel="1">
      <c r="F5455"/>
    </row>
    <row r="5456" spans="6:6" outlineLevel="1">
      <c r="F5456"/>
    </row>
    <row r="5457" spans="6:6" outlineLevel="1">
      <c r="F5457"/>
    </row>
    <row r="5458" spans="6:6" outlineLevel="1">
      <c r="F5458"/>
    </row>
    <row r="5459" spans="6:6" outlineLevel="1">
      <c r="F5459"/>
    </row>
    <row r="5460" spans="6:6" outlineLevel="1">
      <c r="F5460"/>
    </row>
    <row r="5461" spans="6:6" outlineLevel="1">
      <c r="F5461"/>
    </row>
    <row r="5462" spans="6:6" outlineLevel="1">
      <c r="F5462"/>
    </row>
    <row r="5463" spans="6:6" outlineLevel="1">
      <c r="F5463"/>
    </row>
    <row r="5464" spans="6:6" outlineLevel="1">
      <c r="F5464"/>
    </row>
    <row r="5465" spans="6:6">
      <c r="F5465"/>
    </row>
    <row r="5466" spans="6:6" outlineLevel="1">
      <c r="F5466"/>
    </row>
    <row r="5467" spans="6:6" outlineLevel="1">
      <c r="F5467"/>
    </row>
    <row r="5468" spans="6:6" outlineLevel="1">
      <c r="F5468"/>
    </row>
    <row r="5469" spans="6:6" outlineLevel="1">
      <c r="F5469"/>
    </row>
    <row r="5470" spans="6:6" outlineLevel="1">
      <c r="F5470"/>
    </row>
    <row r="5471" spans="6:6" outlineLevel="1">
      <c r="F5471"/>
    </row>
    <row r="5472" spans="6:6" outlineLevel="1">
      <c r="F5472"/>
    </row>
    <row r="5473" spans="6:6" outlineLevel="1">
      <c r="F5473"/>
    </row>
    <row r="5474" spans="6:6" outlineLevel="1">
      <c r="F5474"/>
    </row>
    <row r="5475" spans="6:6" outlineLevel="1">
      <c r="F5475"/>
    </row>
    <row r="5476" spans="6:6" outlineLevel="1">
      <c r="F5476"/>
    </row>
    <row r="5477" spans="6:6" outlineLevel="1">
      <c r="F5477"/>
    </row>
    <row r="5478" spans="6:6" outlineLevel="1">
      <c r="F5478"/>
    </row>
    <row r="5479" spans="6:6" outlineLevel="1">
      <c r="F5479"/>
    </row>
    <row r="5480" spans="6:6" outlineLevel="1">
      <c r="F5480"/>
    </row>
    <row r="5481" spans="6:6" outlineLevel="1">
      <c r="F5481"/>
    </row>
    <row r="5482" spans="6:6" outlineLevel="1">
      <c r="F5482"/>
    </row>
    <row r="5483" spans="6:6" outlineLevel="1">
      <c r="F5483"/>
    </row>
    <row r="5484" spans="6:6" outlineLevel="1">
      <c r="F5484"/>
    </row>
    <row r="5485" spans="6:6" outlineLevel="1">
      <c r="F5485"/>
    </row>
    <row r="5486" spans="6:6" outlineLevel="1">
      <c r="F5486"/>
    </row>
    <row r="5487" spans="6:6" outlineLevel="1">
      <c r="F5487"/>
    </row>
    <row r="5488" spans="6:6" outlineLevel="1">
      <c r="F5488"/>
    </row>
    <row r="5489" spans="6:6" outlineLevel="1">
      <c r="F5489"/>
    </row>
    <row r="5490" spans="6:6" outlineLevel="1">
      <c r="F5490"/>
    </row>
    <row r="5491" spans="6:6" outlineLevel="1">
      <c r="F5491"/>
    </row>
    <row r="5492" spans="6:6" outlineLevel="1">
      <c r="F5492"/>
    </row>
    <row r="5493" spans="6:6" outlineLevel="1">
      <c r="F5493"/>
    </row>
    <row r="5494" spans="6:6" outlineLevel="1">
      <c r="F5494"/>
    </row>
    <row r="5495" spans="6:6" outlineLevel="1">
      <c r="F5495"/>
    </row>
    <row r="5496" spans="6:6" outlineLevel="1">
      <c r="F5496"/>
    </row>
    <row r="5497" spans="6:6" outlineLevel="1">
      <c r="F5497"/>
    </row>
    <row r="5498" spans="6:6" outlineLevel="1">
      <c r="F5498"/>
    </row>
    <row r="5499" spans="6:6" outlineLevel="1">
      <c r="F5499"/>
    </row>
    <row r="5500" spans="6:6" outlineLevel="1">
      <c r="F5500"/>
    </row>
    <row r="5501" spans="6:6" outlineLevel="1">
      <c r="F5501"/>
    </row>
    <row r="5502" spans="6:6" outlineLevel="1">
      <c r="F5502"/>
    </row>
    <row r="5503" spans="6:6" outlineLevel="1">
      <c r="F5503"/>
    </row>
    <row r="5504" spans="6:6" outlineLevel="1">
      <c r="F5504"/>
    </row>
    <row r="5505" spans="6:6" outlineLevel="1">
      <c r="F5505"/>
    </row>
    <row r="5506" spans="6:6" outlineLevel="1">
      <c r="F5506"/>
    </row>
    <row r="5507" spans="6:6" outlineLevel="1">
      <c r="F5507"/>
    </row>
    <row r="5508" spans="6:6">
      <c r="F5508"/>
    </row>
    <row r="5509" spans="6:6" outlineLevel="1">
      <c r="F5509"/>
    </row>
    <row r="5510" spans="6:6" outlineLevel="1">
      <c r="F5510"/>
    </row>
    <row r="5511" spans="6:6" outlineLevel="1">
      <c r="F5511"/>
    </row>
    <row r="5512" spans="6:6" outlineLevel="1">
      <c r="F5512"/>
    </row>
    <row r="5513" spans="6:6" outlineLevel="1">
      <c r="F5513"/>
    </row>
    <row r="5514" spans="6:6" outlineLevel="1">
      <c r="F5514"/>
    </row>
    <row r="5515" spans="6:6" outlineLevel="1">
      <c r="F5515"/>
    </row>
    <row r="5516" spans="6:6" outlineLevel="1">
      <c r="F5516"/>
    </row>
    <row r="5517" spans="6:6" outlineLevel="1">
      <c r="F5517"/>
    </row>
    <row r="5518" spans="6:6" outlineLevel="1">
      <c r="F5518"/>
    </row>
    <row r="5519" spans="6:6" outlineLevel="1">
      <c r="F5519"/>
    </row>
    <row r="5520" spans="6:6" outlineLevel="1">
      <c r="F5520"/>
    </row>
    <row r="5521" spans="6:6" outlineLevel="1">
      <c r="F5521"/>
    </row>
    <row r="5522" spans="6:6" outlineLevel="1">
      <c r="F5522"/>
    </row>
    <row r="5523" spans="6:6" outlineLevel="1">
      <c r="F5523"/>
    </row>
    <row r="5524" spans="6:6" outlineLevel="1">
      <c r="F5524"/>
    </row>
    <row r="5525" spans="6:6" outlineLevel="1">
      <c r="F5525"/>
    </row>
    <row r="5526" spans="6:6" outlineLevel="1">
      <c r="F5526"/>
    </row>
    <row r="5527" spans="6:6" outlineLevel="1">
      <c r="F5527"/>
    </row>
    <row r="5528" spans="6:6" outlineLevel="1">
      <c r="F5528"/>
    </row>
    <row r="5529" spans="6:6" outlineLevel="1">
      <c r="F5529"/>
    </row>
    <row r="5530" spans="6:6" outlineLevel="1">
      <c r="F5530"/>
    </row>
    <row r="5531" spans="6:6" outlineLevel="1">
      <c r="F5531"/>
    </row>
    <row r="5532" spans="6:6" outlineLevel="1">
      <c r="F5532"/>
    </row>
    <row r="5533" spans="6:6" outlineLevel="1">
      <c r="F5533"/>
    </row>
    <row r="5534" spans="6:6" outlineLevel="1">
      <c r="F5534"/>
    </row>
    <row r="5535" spans="6:6" outlineLevel="1">
      <c r="F5535"/>
    </row>
    <row r="5536" spans="6:6" outlineLevel="1">
      <c r="F5536"/>
    </row>
    <row r="5537" spans="6:6" outlineLevel="1">
      <c r="F5537"/>
    </row>
    <row r="5538" spans="6:6" outlineLevel="1">
      <c r="F5538"/>
    </row>
    <row r="5539" spans="6:6" outlineLevel="1">
      <c r="F5539"/>
    </row>
    <row r="5540" spans="6:6" outlineLevel="1">
      <c r="F5540"/>
    </row>
    <row r="5541" spans="6:6" outlineLevel="1">
      <c r="F5541"/>
    </row>
    <row r="5542" spans="6:6" outlineLevel="1">
      <c r="F5542"/>
    </row>
    <row r="5543" spans="6:6" outlineLevel="1">
      <c r="F5543"/>
    </row>
    <row r="5544" spans="6:6" outlineLevel="1">
      <c r="F5544"/>
    </row>
    <row r="5545" spans="6:6" outlineLevel="1">
      <c r="F5545"/>
    </row>
    <row r="5546" spans="6:6" outlineLevel="1">
      <c r="F5546"/>
    </row>
    <row r="5547" spans="6:6" outlineLevel="1">
      <c r="F5547"/>
    </row>
    <row r="5548" spans="6:6" outlineLevel="1">
      <c r="F5548"/>
    </row>
    <row r="5549" spans="6:6" outlineLevel="1">
      <c r="F5549"/>
    </row>
    <row r="5550" spans="6:6" outlineLevel="1">
      <c r="F5550"/>
    </row>
    <row r="5551" spans="6:6" outlineLevel="1">
      <c r="F5551"/>
    </row>
    <row r="5552" spans="6:6" outlineLevel="1">
      <c r="F5552"/>
    </row>
    <row r="5553" spans="6:6" outlineLevel="1">
      <c r="F5553"/>
    </row>
    <row r="5554" spans="6:6" outlineLevel="1">
      <c r="F5554"/>
    </row>
    <row r="5555" spans="6:6" outlineLevel="1">
      <c r="F5555"/>
    </row>
    <row r="5556" spans="6:6" outlineLevel="1">
      <c r="F5556"/>
    </row>
    <row r="5557" spans="6:6" outlineLevel="1">
      <c r="F5557"/>
    </row>
    <row r="5558" spans="6:6" outlineLevel="1">
      <c r="F5558"/>
    </row>
    <row r="5559" spans="6:6" outlineLevel="1">
      <c r="F5559"/>
    </row>
    <row r="5560" spans="6:6" outlineLevel="1">
      <c r="F5560"/>
    </row>
    <row r="5561" spans="6:6" outlineLevel="1">
      <c r="F5561"/>
    </row>
    <row r="5562" spans="6:6" outlineLevel="1">
      <c r="F5562"/>
    </row>
    <row r="5563" spans="6:6" outlineLevel="1">
      <c r="F5563"/>
    </row>
    <row r="5564" spans="6:6" outlineLevel="1">
      <c r="F5564"/>
    </row>
    <row r="5565" spans="6:6" outlineLevel="1">
      <c r="F5565"/>
    </row>
    <row r="5566" spans="6:6" outlineLevel="1">
      <c r="F5566"/>
    </row>
    <row r="5567" spans="6:6" outlineLevel="1">
      <c r="F5567"/>
    </row>
    <row r="5568" spans="6:6" outlineLevel="1">
      <c r="F5568"/>
    </row>
    <row r="5569" spans="6:6" outlineLevel="1">
      <c r="F5569"/>
    </row>
    <row r="5570" spans="6:6" outlineLevel="1">
      <c r="F5570"/>
    </row>
    <row r="5571" spans="6:6" outlineLevel="1">
      <c r="F5571"/>
    </row>
    <row r="5572" spans="6:6" outlineLevel="1">
      <c r="F5572"/>
    </row>
    <row r="5573" spans="6:6" outlineLevel="1">
      <c r="F5573"/>
    </row>
    <row r="5574" spans="6:6" outlineLevel="1">
      <c r="F5574"/>
    </row>
    <row r="5575" spans="6:6" outlineLevel="1">
      <c r="F5575"/>
    </row>
    <row r="5576" spans="6:6" outlineLevel="1">
      <c r="F5576"/>
    </row>
    <row r="5577" spans="6:6" outlineLevel="1">
      <c r="F5577"/>
    </row>
    <row r="5578" spans="6:6" outlineLevel="1">
      <c r="F5578"/>
    </row>
    <row r="5579" spans="6:6" outlineLevel="1">
      <c r="F5579"/>
    </row>
    <row r="5580" spans="6:6" outlineLevel="1">
      <c r="F5580"/>
    </row>
    <row r="5581" spans="6:6" outlineLevel="1">
      <c r="F5581"/>
    </row>
    <row r="5582" spans="6:6">
      <c r="F5582"/>
    </row>
    <row r="5583" spans="6:6" outlineLevel="1">
      <c r="F5583"/>
    </row>
    <row r="5584" spans="6:6" outlineLevel="1">
      <c r="F5584"/>
    </row>
    <row r="5585" spans="6:6" outlineLevel="1">
      <c r="F5585"/>
    </row>
    <row r="5586" spans="6:6" outlineLevel="1">
      <c r="F5586"/>
    </row>
    <row r="5587" spans="6:6" outlineLevel="1">
      <c r="F5587"/>
    </row>
    <row r="5588" spans="6:6" outlineLevel="1">
      <c r="F5588"/>
    </row>
    <row r="5589" spans="6:6" outlineLevel="1">
      <c r="F5589"/>
    </row>
    <row r="5590" spans="6:6" outlineLevel="1">
      <c r="F5590"/>
    </row>
    <row r="5591" spans="6:6" outlineLevel="1">
      <c r="F5591"/>
    </row>
    <row r="5592" spans="6:6" outlineLevel="1">
      <c r="F5592"/>
    </row>
    <row r="5593" spans="6:6" outlineLevel="1">
      <c r="F5593"/>
    </row>
    <row r="5594" spans="6:6" outlineLevel="1">
      <c r="F5594"/>
    </row>
    <row r="5595" spans="6:6" outlineLevel="1">
      <c r="F5595"/>
    </row>
    <row r="5596" spans="6:6" outlineLevel="1">
      <c r="F5596"/>
    </row>
    <row r="5597" spans="6:6" outlineLevel="1">
      <c r="F5597"/>
    </row>
    <row r="5598" spans="6:6" outlineLevel="1">
      <c r="F5598"/>
    </row>
    <row r="5599" spans="6:6" outlineLevel="1">
      <c r="F5599"/>
    </row>
    <row r="5600" spans="6:6" outlineLevel="1">
      <c r="F5600"/>
    </row>
    <row r="5601" spans="6:6" outlineLevel="1">
      <c r="F5601"/>
    </row>
    <row r="5602" spans="6:6" outlineLevel="1">
      <c r="F5602"/>
    </row>
    <row r="5603" spans="6:6" outlineLevel="1">
      <c r="F5603"/>
    </row>
    <row r="5604" spans="6:6" outlineLevel="1">
      <c r="F5604"/>
    </row>
    <row r="5605" spans="6:6" outlineLevel="1">
      <c r="F5605"/>
    </row>
    <row r="5606" spans="6:6" outlineLevel="1">
      <c r="F5606"/>
    </row>
    <row r="5607" spans="6:6" outlineLevel="1">
      <c r="F5607"/>
    </row>
    <row r="5608" spans="6:6" outlineLevel="1">
      <c r="F5608"/>
    </row>
    <row r="5609" spans="6:6" outlineLevel="1">
      <c r="F5609"/>
    </row>
    <row r="5610" spans="6:6" outlineLevel="1">
      <c r="F5610"/>
    </row>
    <row r="5611" spans="6:6" outlineLevel="1">
      <c r="F5611"/>
    </row>
    <row r="5612" spans="6:6" outlineLevel="1">
      <c r="F5612"/>
    </row>
    <row r="5613" spans="6:6" outlineLevel="1">
      <c r="F5613"/>
    </row>
    <row r="5614" spans="6:6" outlineLevel="1">
      <c r="F5614"/>
    </row>
    <row r="5615" spans="6:6" outlineLevel="1">
      <c r="F5615"/>
    </row>
    <row r="5616" spans="6:6" outlineLevel="1">
      <c r="F5616"/>
    </row>
    <row r="5617" spans="6:6" outlineLevel="1">
      <c r="F5617"/>
    </row>
    <row r="5618" spans="6:6" outlineLevel="1">
      <c r="F5618"/>
    </row>
    <row r="5619" spans="6:6" outlineLevel="1">
      <c r="F5619"/>
    </row>
    <row r="5620" spans="6:6" outlineLevel="1">
      <c r="F5620"/>
    </row>
    <row r="5621" spans="6:6" outlineLevel="1">
      <c r="F5621"/>
    </row>
    <row r="5622" spans="6:6" outlineLevel="1">
      <c r="F5622"/>
    </row>
    <row r="5623" spans="6:6" outlineLevel="1">
      <c r="F5623"/>
    </row>
    <row r="5624" spans="6:6" outlineLevel="1">
      <c r="F5624"/>
    </row>
    <row r="5625" spans="6:6" outlineLevel="1">
      <c r="F5625"/>
    </row>
    <row r="5626" spans="6:6" outlineLevel="1">
      <c r="F5626"/>
    </row>
    <row r="5627" spans="6:6" outlineLevel="1">
      <c r="F5627"/>
    </row>
    <row r="5628" spans="6:6" outlineLevel="1">
      <c r="F5628"/>
    </row>
    <row r="5629" spans="6:6" outlineLevel="1">
      <c r="F5629"/>
    </row>
    <row r="5630" spans="6:6" outlineLevel="1">
      <c r="F5630"/>
    </row>
    <row r="5631" spans="6:6" outlineLevel="1">
      <c r="F5631"/>
    </row>
    <row r="5632" spans="6:6" outlineLevel="1">
      <c r="F5632"/>
    </row>
    <row r="5633" spans="6:6" outlineLevel="1">
      <c r="F5633"/>
    </row>
    <row r="5634" spans="6:6" outlineLevel="1">
      <c r="F5634"/>
    </row>
    <row r="5635" spans="6:6" outlineLevel="1">
      <c r="F5635"/>
    </row>
    <row r="5636" spans="6:6" outlineLevel="1">
      <c r="F5636"/>
    </row>
    <row r="5637" spans="6:6" outlineLevel="1">
      <c r="F5637"/>
    </row>
    <row r="5638" spans="6:6" outlineLevel="1">
      <c r="F5638"/>
    </row>
    <row r="5639" spans="6:6" outlineLevel="1">
      <c r="F5639"/>
    </row>
    <row r="5640" spans="6:6" outlineLevel="1">
      <c r="F5640"/>
    </row>
    <row r="5641" spans="6:6" outlineLevel="1">
      <c r="F5641"/>
    </row>
    <row r="5642" spans="6:6" outlineLevel="1">
      <c r="F5642"/>
    </row>
    <row r="5643" spans="6:6" outlineLevel="1">
      <c r="F5643"/>
    </row>
    <row r="5644" spans="6:6">
      <c r="F5644"/>
    </row>
    <row r="5645" spans="6:6" outlineLevel="1">
      <c r="F5645"/>
    </row>
    <row r="5646" spans="6:6" outlineLevel="1">
      <c r="F5646"/>
    </row>
    <row r="5647" spans="6:6" outlineLevel="1">
      <c r="F5647"/>
    </row>
    <row r="5648" spans="6:6" outlineLevel="1">
      <c r="F5648"/>
    </row>
    <row r="5649" spans="6:6" outlineLevel="1">
      <c r="F5649"/>
    </row>
    <row r="5650" spans="6:6" outlineLevel="1">
      <c r="F5650"/>
    </row>
    <row r="5651" spans="6:6" outlineLevel="1">
      <c r="F5651"/>
    </row>
    <row r="5652" spans="6:6" outlineLevel="1">
      <c r="F5652"/>
    </row>
    <row r="5653" spans="6:6" outlineLevel="1">
      <c r="F5653"/>
    </row>
    <row r="5654" spans="6:6" outlineLevel="1">
      <c r="F5654"/>
    </row>
    <row r="5655" spans="6:6" outlineLevel="1">
      <c r="F5655"/>
    </row>
    <row r="5656" spans="6:6" outlineLevel="1">
      <c r="F5656"/>
    </row>
    <row r="5657" spans="6:6" outlineLevel="1">
      <c r="F5657"/>
    </row>
    <row r="5658" spans="6:6" outlineLevel="1">
      <c r="F5658"/>
    </row>
    <row r="5659" spans="6:6" outlineLevel="1">
      <c r="F5659"/>
    </row>
    <row r="5660" spans="6:6" outlineLevel="1">
      <c r="F5660"/>
    </row>
    <row r="5661" spans="6:6" outlineLevel="1">
      <c r="F5661"/>
    </row>
    <row r="5662" spans="6:6" outlineLevel="1">
      <c r="F5662"/>
    </row>
    <row r="5663" spans="6:6" outlineLevel="1">
      <c r="F5663"/>
    </row>
    <row r="5664" spans="6:6" outlineLevel="1">
      <c r="F5664"/>
    </row>
    <row r="5665" spans="6:6" outlineLevel="1">
      <c r="F5665"/>
    </row>
    <row r="5666" spans="6:6" outlineLevel="1">
      <c r="F5666"/>
    </row>
    <row r="5667" spans="6:6" outlineLevel="1">
      <c r="F5667"/>
    </row>
    <row r="5668" spans="6:6" outlineLevel="1">
      <c r="F5668"/>
    </row>
    <row r="5669" spans="6:6" outlineLevel="1">
      <c r="F5669"/>
    </row>
    <row r="5670" spans="6:6" outlineLevel="1">
      <c r="F5670"/>
    </row>
    <row r="5671" spans="6:6" outlineLevel="1">
      <c r="F5671"/>
    </row>
    <row r="5672" spans="6:6" outlineLevel="1">
      <c r="F5672"/>
    </row>
    <row r="5673" spans="6:6" outlineLevel="1">
      <c r="F5673"/>
    </row>
    <row r="5674" spans="6:6" outlineLevel="1">
      <c r="F5674"/>
    </row>
    <row r="5675" spans="6:6" outlineLevel="1">
      <c r="F5675"/>
    </row>
    <row r="5676" spans="6:6" outlineLevel="1">
      <c r="F5676"/>
    </row>
    <row r="5677" spans="6:6" outlineLevel="1">
      <c r="F5677"/>
    </row>
    <row r="5678" spans="6:6" outlineLevel="1">
      <c r="F5678"/>
    </row>
    <row r="5679" spans="6:6" outlineLevel="1">
      <c r="F5679"/>
    </row>
    <row r="5680" spans="6:6" outlineLevel="1">
      <c r="F5680"/>
    </row>
    <row r="5681" spans="6:6" outlineLevel="1">
      <c r="F5681"/>
    </row>
    <row r="5682" spans="6:6" outlineLevel="1">
      <c r="F5682"/>
    </row>
    <row r="5683" spans="6:6" outlineLevel="1">
      <c r="F5683"/>
    </row>
    <row r="5684" spans="6:6" outlineLevel="1">
      <c r="F5684"/>
    </row>
    <row r="5685" spans="6:6" outlineLevel="1">
      <c r="F5685"/>
    </row>
    <row r="5686" spans="6:6" outlineLevel="1">
      <c r="F5686"/>
    </row>
    <row r="5687" spans="6:6" outlineLevel="1">
      <c r="F5687"/>
    </row>
    <row r="5688" spans="6:6" outlineLevel="1">
      <c r="F5688"/>
    </row>
    <row r="5689" spans="6:6" outlineLevel="1">
      <c r="F5689"/>
    </row>
    <row r="5690" spans="6:6" outlineLevel="1">
      <c r="F5690"/>
    </row>
    <row r="5691" spans="6:6" outlineLevel="1">
      <c r="F5691"/>
    </row>
    <row r="5692" spans="6:6" outlineLevel="1">
      <c r="F5692"/>
    </row>
    <row r="5693" spans="6:6" outlineLevel="1">
      <c r="F5693"/>
    </row>
    <row r="5694" spans="6:6" outlineLevel="1">
      <c r="F5694"/>
    </row>
    <row r="5695" spans="6:6" outlineLevel="1">
      <c r="F5695"/>
    </row>
    <row r="5696" spans="6:6" outlineLevel="1">
      <c r="F5696"/>
    </row>
    <row r="5697" spans="6:6" outlineLevel="1">
      <c r="F5697"/>
    </row>
    <row r="5698" spans="6:6" outlineLevel="1">
      <c r="F5698"/>
    </row>
    <row r="5699" spans="6:6" outlineLevel="1">
      <c r="F5699"/>
    </row>
    <row r="5700" spans="6:6" outlineLevel="1">
      <c r="F5700"/>
    </row>
    <row r="5701" spans="6:6" outlineLevel="1">
      <c r="F5701"/>
    </row>
    <row r="5702" spans="6:6" outlineLevel="1">
      <c r="F5702"/>
    </row>
    <row r="5703" spans="6:6" outlineLevel="1">
      <c r="F5703"/>
    </row>
    <row r="5704" spans="6:6" outlineLevel="1">
      <c r="F5704"/>
    </row>
    <row r="5705" spans="6:6" outlineLevel="1">
      <c r="F5705"/>
    </row>
    <row r="5706" spans="6:6" outlineLevel="1">
      <c r="F5706"/>
    </row>
    <row r="5707" spans="6:6" outlineLevel="1">
      <c r="F5707"/>
    </row>
    <row r="5708" spans="6:6" outlineLevel="1">
      <c r="F5708"/>
    </row>
    <row r="5709" spans="6:6" outlineLevel="1">
      <c r="F5709"/>
    </row>
    <row r="5710" spans="6:6" outlineLevel="1">
      <c r="F5710"/>
    </row>
    <row r="5711" spans="6:6" outlineLevel="1">
      <c r="F5711"/>
    </row>
    <row r="5712" spans="6:6" outlineLevel="1">
      <c r="F5712"/>
    </row>
    <row r="5713" spans="6:6" outlineLevel="1">
      <c r="F5713"/>
    </row>
    <row r="5714" spans="6:6" outlineLevel="1">
      <c r="F5714"/>
    </row>
    <row r="5715" spans="6:6" outlineLevel="1">
      <c r="F5715"/>
    </row>
    <row r="5716" spans="6:6" outlineLevel="1">
      <c r="F5716"/>
    </row>
    <row r="5717" spans="6:6" outlineLevel="1">
      <c r="F5717"/>
    </row>
    <row r="5718" spans="6:6" outlineLevel="1">
      <c r="F5718"/>
    </row>
    <row r="5719" spans="6:6" outlineLevel="1">
      <c r="F5719"/>
    </row>
    <row r="5720" spans="6:6" outlineLevel="1">
      <c r="F5720"/>
    </row>
    <row r="5721" spans="6:6" outlineLevel="1">
      <c r="F5721"/>
    </row>
    <row r="5722" spans="6:6" outlineLevel="1">
      <c r="F5722"/>
    </row>
    <row r="5723" spans="6:6" outlineLevel="1">
      <c r="F5723"/>
    </row>
    <row r="5724" spans="6:6" outlineLevel="1">
      <c r="F5724"/>
    </row>
    <row r="5725" spans="6:6" outlineLevel="1">
      <c r="F5725"/>
    </row>
    <row r="5726" spans="6:6" outlineLevel="1">
      <c r="F5726"/>
    </row>
    <row r="5727" spans="6:6" outlineLevel="1">
      <c r="F5727"/>
    </row>
    <row r="5728" spans="6:6" outlineLevel="1">
      <c r="F5728"/>
    </row>
    <row r="5729" spans="6:6" outlineLevel="1">
      <c r="F5729"/>
    </row>
    <row r="5730" spans="6:6" outlineLevel="1">
      <c r="F5730"/>
    </row>
    <row r="5731" spans="6:6" outlineLevel="1">
      <c r="F5731"/>
    </row>
    <row r="5732" spans="6:6" outlineLevel="1">
      <c r="F5732"/>
    </row>
    <row r="5733" spans="6:6" outlineLevel="1">
      <c r="F5733"/>
    </row>
    <row r="5734" spans="6:6" outlineLevel="1">
      <c r="F5734"/>
    </row>
    <row r="5735" spans="6:6" outlineLevel="1">
      <c r="F5735"/>
    </row>
    <row r="5736" spans="6:6" outlineLevel="1">
      <c r="F5736"/>
    </row>
    <row r="5737" spans="6:6" outlineLevel="1">
      <c r="F5737"/>
    </row>
    <row r="5738" spans="6:6" outlineLevel="1">
      <c r="F5738"/>
    </row>
    <row r="5739" spans="6:6" outlineLevel="1">
      <c r="F5739"/>
    </row>
    <row r="5740" spans="6:6" outlineLevel="1">
      <c r="F5740"/>
    </row>
    <row r="5741" spans="6:6" outlineLevel="1">
      <c r="F5741"/>
    </row>
    <row r="5742" spans="6:6" outlineLevel="1">
      <c r="F5742"/>
    </row>
    <row r="5743" spans="6:6" outlineLevel="1">
      <c r="F5743"/>
    </row>
    <row r="5744" spans="6:6" outlineLevel="1">
      <c r="F5744"/>
    </row>
    <row r="5745" spans="6:6" outlineLevel="1">
      <c r="F5745"/>
    </row>
    <row r="5746" spans="6:6" outlineLevel="1">
      <c r="F5746"/>
    </row>
    <row r="5747" spans="6:6" outlineLevel="1">
      <c r="F5747"/>
    </row>
    <row r="5748" spans="6:6" outlineLevel="1">
      <c r="F5748"/>
    </row>
    <row r="5749" spans="6:6" outlineLevel="1">
      <c r="F5749"/>
    </row>
    <row r="5750" spans="6:6" outlineLevel="1">
      <c r="F5750"/>
    </row>
    <row r="5751" spans="6:6" outlineLevel="1">
      <c r="F5751"/>
    </row>
    <row r="5752" spans="6:6" outlineLevel="1">
      <c r="F5752"/>
    </row>
    <row r="5753" spans="6:6" outlineLevel="1">
      <c r="F5753"/>
    </row>
    <row r="5754" spans="6:6" outlineLevel="1">
      <c r="F5754"/>
    </row>
    <row r="5755" spans="6:6" outlineLevel="1">
      <c r="F5755"/>
    </row>
    <row r="5756" spans="6:6" outlineLevel="1">
      <c r="F5756"/>
    </row>
    <row r="5757" spans="6:6" outlineLevel="1">
      <c r="F5757"/>
    </row>
    <row r="5758" spans="6:6" outlineLevel="1">
      <c r="F5758"/>
    </row>
    <row r="5759" spans="6:6" outlineLevel="1">
      <c r="F5759"/>
    </row>
    <row r="5760" spans="6:6" outlineLevel="1">
      <c r="F5760"/>
    </row>
    <row r="5761" spans="6:6" outlineLevel="1">
      <c r="F5761"/>
    </row>
    <row r="5762" spans="6:6">
      <c r="F5762"/>
    </row>
    <row r="5763" spans="6:6" outlineLevel="1">
      <c r="F5763"/>
    </row>
    <row r="5764" spans="6:6" outlineLevel="1">
      <c r="F5764"/>
    </row>
    <row r="5765" spans="6:6" outlineLevel="1">
      <c r="F5765"/>
    </row>
    <row r="5766" spans="6:6" outlineLevel="1">
      <c r="F5766"/>
    </row>
    <row r="5767" spans="6:6" outlineLevel="1">
      <c r="F5767"/>
    </row>
    <row r="5768" spans="6:6" outlineLevel="1">
      <c r="F5768"/>
    </row>
    <row r="5769" spans="6:6" outlineLevel="1">
      <c r="F5769"/>
    </row>
    <row r="5770" spans="6:6" outlineLevel="1">
      <c r="F5770"/>
    </row>
    <row r="5771" spans="6:6" outlineLevel="1">
      <c r="F5771"/>
    </row>
    <row r="5772" spans="6:6" outlineLevel="1">
      <c r="F5772"/>
    </row>
    <row r="5773" spans="6:6" outlineLevel="1">
      <c r="F5773"/>
    </row>
    <row r="5774" spans="6:6" outlineLevel="1">
      <c r="F5774"/>
    </row>
    <row r="5775" spans="6:6" outlineLevel="1">
      <c r="F5775"/>
    </row>
    <row r="5776" spans="6:6" outlineLevel="1">
      <c r="F5776"/>
    </row>
    <row r="5777" spans="6:6" outlineLevel="1">
      <c r="F5777"/>
    </row>
    <row r="5778" spans="6:6" outlineLevel="1">
      <c r="F5778"/>
    </row>
    <row r="5779" spans="6:6" outlineLevel="1">
      <c r="F5779"/>
    </row>
    <row r="5780" spans="6:6" outlineLevel="1">
      <c r="F5780"/>
    </row>
    <row r="5781" spans="6:6" outlineLevel="1">
      <c r="F5781"/>
    </row>
    <row r="5782" spans="6:6" outlineLevel="1">
      <c r="F5782"/>
    </row>
    <row r="5783" spans="6:6" outlineLevel="1">
      <c r="F5783"/>
    </row>
    <row r="5784" spans="6:6" outlineLevel="1">
      <c r="F5784"/>
    </row>
    <row r="5785" spans="6:6" outlineLevel="1">
      <c r="F5785"/>
    </row>
    <row r="5786" spans="6:6" outlineLevel="1">
      <c r="F5786"/>
    </row>
    <row r="5787" spans="6:6" outlineLevel="1">
      <c r="F5787"/>
    </row>
    <row r="5788" spans="6:6" outlineLevel="1">
      <c r="F5788"/>
    </row>
    <row r="5789" spans="6:6" outlineLevel="1">
      <c r="F5789"/>
    </row>
    <row r="5790" spans="6:6" outlineLevel="1">
      <c r="F5790"/>
    </row>
    <row r="5791" spans="6:6" outlineLevel="1">
      <c r="F5791"/>
    </row>
    <row r="5792" spans="6:6" outlineLevel="1">
      <c r="F5792"/>
    </row>
    <row r="5793" spans="6:6">
      <c r="F5793"/>
    </row>
    <row r="5794" spans="6:6" outlineLevel="1">
      <c r="F5794"/>
    </row>
    <row r="5795" spans="6:6" outlineLevel="1">
      <c r="F5795"/>
    </row>
    <row r="5796" spans="6:6" outlineLevel="1">
      <c r="F5796"/>
    </row>
    <row r="5797" spans="6:6" outlineLevel="1">
      <c r="F5797"/>
    </row>
    <row r="5798" spans="6:6" outlineLevel="1">
      <c r="F5798"/>
    </row>
    <row r="5799" spans="6:6" outlineLevel="1">
      <c r="F5799"/>
    </row>
    <row r="5800" spans="6:6" outlineLevel="1">
      <c r="F5800"/>
    </row>
    <row r="5801" spans="6:6" outlineLevel="1">
      <c r="F5801"/>
    </row>
    <row r="5802" spans="6:6" outlineLevel="1">
      <c r="F5802"/>
    </row>
    <row r="5803" spans="6:6" outlineLevel="1">
      <c r="F5803"/>
    </row>
    <row r="5804" spans="6:6" outlineLevel="1">
      <c r="F5804"/>
    </row>
    <row r="5805" spans="6:6" outlineLevel="1">
      <c r="F5805"/>
    </row>
    <row r="5806" spans="6:6" outlineLevel="1">
      <c r="F5806"/>
    </row>
    <row r="5807" spans="6:6" outlineLevel="1">
      <c r="F5807"/>
    </row>
    <row r="5808" spans="6:6" outlineLevel="1">
      <c r="F5808"/>
    </row>
    <row r="5809" spans="6:6" outlineLevel="1">
      <c r="F5809"/>
    </row>
    <row r="5810" spans="6:6" outlineLevel="1">
      <c r="F5810"/>
    </row>
    <row r="5811" spans="6:6" outlineLevel="1">
      <c r="F5811"/>
    </row>
    <row r="5812" spans="6:6" outlineLevel="1">
      <c r="F5812"/>
    </row>
    <row r="5813" spans="6:6" outlineLevel="1">
      <c r="F5813"/>
    </row>
    <row r="5814" spans="6:6" outlineLevel="1">
      <c r="F5814"/>
    </row>
    <row r="5815" spans="6:6" outlineLevel="1">
      <c r="F5815"/>
    </row>
    <row r="5816" spans="6:6" outlineLevel="1">
      <c r="F5816"/>
    </row>
    <row r="5817" spans="6:6" outlineLevel="1">
      <c r="F5817"/>
    </row>
    <row r="5818" spans="6:6" outlineLevel="1">
      <c r="F5818"/>
    </row>
    <row r="5819" spans="6:6" outlineLevel="1">
      <c r="F5819"/>
    </row>
    <row r="5820" spans="6:6" outlineLevel="1">
      <c r="F5820"/>
    </row>
    <row r="5821" spans="6:6">
      <c r="F5821"/>
    </row>
    <row r="5822" spans="6:6" outlineLevel="1">
      <c r="F5822"/>
    </row>
    <row r="5823" spans="6:6" outlineLevel="1">
      <c r="F5823"/>
    </row>
    <row r="5824" spans="6:6" outlineLevel="1">
      <c r="F5824"/>
    </row>
    <row r="5825" spans="6:6" outlineLevel="1">
      <c r="F5825"/>
    </row>
    <row r="5826" spans="6:6" outlineLevel="1">
      <c r="F5826"/>
    </row>
    <row r="5827" spans="6:6" outlineLevel="1">
      <c r="F5827"/>
    </row>
    <row r="5828" spans="6:6" outlineLevel="1">
      <c r="F5828"/>
    </row>
    <row r="5829" spans="6:6" outlineLevel="1">
      <c r="F5829"/>
    </row>
    <row r="5830" spans="6:6" outlineLevel="1">
      <c r="F5830"/>
    </row>
    <row r="5831" spans="6:6" outlineLevel="1">
      <c r="F5831"/>
    </row>
    <row r="5832" spans="6:6" outlineLevel="1">
      <c r="F5832"/>
    </row>
    <row r="5833" spans="6:6" outlineLevel="1">
      <c r="F5833"/>
    </row>
    <row r="5834" spans="6:6" outlineLevel="1">
      <c r="F5834"/>
    </row>
    <row r="5835" spans="6:6" outlineLevel="1">
      <c r="F5835"/>
    </row>
    <row r="5836" spans="6:6" outlineLevel="1">
      <c r="F5836"/>
    </row>
    <row r="5837" spans="6:6" outlineLevel="1">
      <c r="F5837"/>
    </row>
    <row r="5838" spans="6:6" outlineLevel="1">
      <c r="F5838"/>
    </row>
    <row r="5839" spans="6:6" outlineLevel="1">
      <c r="F5839"/>
    </row>
    <row r="5840" spans="6:6" outlineLevel="1">
      <c r="F5840"/>
    </row>
    <row r="5841" spans="6:6" outlineLevel="1">
      <c r="F5841"/>
    </row>
    <row r="5842" spans="6:6" outlineLevel="1">
      <c r="F5842"/>
    </row>
    <row r="5843" spans="6:6" outlineLevel="1">
      <c r="F5843"/>
    </row>
    <row r="5844" spans="6:6" outlineLevel="1">
      <c r="F5844"/>
    </row>
    <row r="5845" spans="6:6" outlineLevel="1">
      <c r="F5845"/>
    </row>
    <row r="5846" spans="6:6" outlineLevel="1">
      <c r="F5846"/>
    </row>
    <row r="5847" spans="6:6" outlineLevel="1">
      <c r="F5847"/>
    </row>
    <row r="5848" spans="6:6" outlineLevel="1">
      <c r="F5848"/>
    </row>
    <row r="5849" spans="6:6" outlineLevel="1">
      <c r="F5849"/>
    </row>
    <row r="5850" spans="6:6" outlineLevel="1">
      <c r="F5850"/>
    </row>
    <row r="5851" spans="6:6" outlineLevel="1">
      <c r="F5851"/>
    </row>
    <row r="5852" spans="6:6" outlineLevel="1">
      <c r="F5852"/>
    </row>
    <row r="5853" spans="6:6" outlineLevel="1">
      <c r="F5853"/>
    </row>
    <row r="5854" spans="6:6" outlineLevel="1">
      <c r="F5854"/>
    </row>
    <row r="5855" spans="6:6" outlineLevel="1">
      <c r="F5855"/>
    </row>
    <row r="5856" spans="6:6" outlineLevel="1">
      <c r="F5856"/>
    </row>
    <row r="5857" spans="6:6" outlineLevel="1">
      <c r="F5857"/>
    </row>
    <row r="5858" spans="6:6" outlineLevel="1">
      <c r="F5858"/>
    </row>
    <row r="5859" spans="6:6" outlineLevel="1">
      <c r="F5859"/>
    </row>
    <row r="5860" spans="6:6" outlineLevel="1">
      <c r="F5860"/>
    </row>
    <row r="5861" spans="6:6" outlineLevel="1">
      <c r="F5861"/>
    </row>
    <row r="5862" spans="6:6" outlineLevel="1">
      <c r="F5862"/>
    </row>
    <row r="5863" spans="6:6" outlineLevel="1">
      <c r="F5863"/>
    </row>
    <row r="5864" spans="6:6" outlineLevel="1">
      <c r="F5864"/>
    </row>
    <row r="5865" spans="6:6" outlineLevel="1">
      <c r="F5865"/>
    </row>
    <row r="5866" spans="6:6" outlineLevel="1">
      <c r="F5866"/>
    </row>
    <row r="5867" spans="6:6" outlineLevel="1">
      <c r="F5867"/>
    </row>
    <row r="5868" spans="6:6" outlineLevel="1">
      <c r="F5868"/>
    </row>
    <row r="5869" spans="6:6" outlineLevel="1">
      <c r="F5869"/>
    </row>
    <row r="5870" spans="6:6" outlineLevel="1">
      <c r="F5870"/>
    </row>
    <row r="5871" spans="6:6">
      <c r="F5871"/>
    </row>
    <row r="5872" spans="6:6" outlineLevel="1">
      <c r="F5872"/>
    </row>
    <row r="5873" spans="6:6" outlineLevel="1">
      <c r="F5873"/>
    </row>
    <row r="5874" spans="6:6" outlineLevel="1">
      <c r="F5874"/>
    </row>
    <row r="5875" spans="6:6" outlineLevel="1">
      <c r="F5875"/>
    </row>
    <row r="5876" spans="6:6" outlineLevel="1">
      <c r="F5876"/>
    </row>
    <row r="5877" spans="6:6" outlineLevel="1">
      <c r="F5877"/>
    </row>
    <row r="5878" spans="6:6" outlineLevel="1">
      <c r="F5878"/>
    </row>
    <row r="5879" spans="6:6" outlineLevel="1">
      <c r="F5879"/>
    </row>
    <row r="5880" spans="6:6" outlineLevel="1">
      <c r="F5880"/>
    </row>
    <row r="5881" spans="6:6" outlineLevel="1">
      <c r="F5881"/>
    </row>
    <row r="5882" spans="6:6" outlineLevel="1">
      <c r="F5882"/>
    </row>
    <row r="5883" spans="6:6" outlineLevel="1">
      <c r="F5883"/>
    </row>
    <row r="5884" spans="6:6" outlineLevel="1">
      <c r="F5884"/>
    </row>
    <row r="5885" spans="6:6" outlineLevel="1">
      <c r="F5885"/>
    </row>
    <row r="5886" spans="6:6" outlineLevel="1">
      <c r="F5886"/>
    </row>
    <row r="5887" spans="6:6" outlineLevel="1">
      <c r="F5887"/>
    </row>
    <row r="5888" spans="6:6" outlineLevel="1">
      <c r="F5888"/>
    </row>
    <row r="5889" spans="6:6" outlineLevel="1">
      <c r="F5889"/>
    </row>
    <row r="5890" spans="6:6" outlineLevel="1">
      <c r="F5890"/>
    </row>
    <row r="5891" spans="6:6" outlineLevel="1">
      <c r="F5891"/>
    </row>
    <row r="5892" spans="6:6" outlineLevel="1">
      <c r="F5892"/>
    </row>
    <row r="5893" spans="6:6" outlineLevel="1">
      <c r="F5893"/>
    </row>
    <row r="5894" spans="6:6" outlineLevel="1">
      <c r="F5894"/>
    </row>
    <row r="5895" spans="6:6" outlineLevel="1">
      <c r="F5895"/>
    </row>
    <row r="5896" spans="6:6" outlineLevel="1">
      <c r="F5896"/>
    </row>
    <row r="5897" spans="6:6" outlineLevel="1">
      <c r="F5897"/>
    </row>
    <row r="5898" spans="6:6" outlineLevel="1">
      <c r="F5898"/>
    </row>
    <row r="5899" spans="6:6" outlineLevel="1">
      <c r="F5899"/>
    </row>
    <row r="5900" spans="6:6" outlineLevel="1">
      <c r="F5900"/>
    </row>
    <row r="5901" spans="6:6" outlineLevel="1">
      <c r="F5901"/>
    </row>
    <row r="5902" spans="6:6" outlineLevel="1">
      <c r="F5902"/>
    </row>
    <row r="5903" spans="6:6" outlineLevel="1">
      <c r="F5903"/>
    </row>
    <row r="5904" spans="6:6" outlineLevel="1">
      <c r="F5904"/>
    </row>
    <row r="5905" spans="6:6" outlineLevel="1">
      <c r="F5905"/>
    </row>
    <row r="5906" spans="6:6" outlineLevel="1">
      <c r="F5906"/>
    </row>
    <row r="5907" spans="6:6" outlineLevel="1">
      <c r="F5907"/>
    </row>
    <row r="5908" spans="6:6" outlineLevel="1">
      <c r="F5908"/>
    </row>
    <row r="5909" spans="6:6" outlineLevel="1">
      <c r="F5909"/>
    </row>
    <row r="5910" spans="6:6" outlineLevel="1">
      <c r="F5910"/>
    </row>
    <row r="5911" spans="6:6" outlineLevel="1">
      <c r="F5911"/>
    </row>
    <row r="5912" spans="6:6" outlineLevel="1">
      <c r="F5912"/>
    </row>
    <row r="5913" spans="6:6" outlineLevel="1">
      <c r="F5913"/>
    </row>
    <row r="5914" spans="6:6" outlineLevel="1">
      <c r="F5914"/>
    </row>
    <row r="5915" spans="6:6" outlineLevel="1">
      <c r="F5915"/>
    </row>
    <row r="5916" spans="6:6" outlineLevel="1">
      <c r="F5916"/>
    </row>
    <row r="5917" spans="6:6" outlineLevel="1">
      <c r="F5917"/>
    </row>
    <row r="5918" spans="6:6" outlineLevel="1">
      <c r="F5918"/>
    </row>
    <row r="5919" spans="6:6" outlineLevel="1">
      <c r="F5919"/>
    </row>
    <row r="5920" spans="6:6" outlineLevel="1">
      <c r="F5920"/>
    </row>
    <row r="5921" spans="6:6" outlineLevel="1">
      <c r="F5921"/>
    </row>
    <row r="5922" spans="6:6" outlineLevel="1">
      <c r="F5922"/>
    </row>
    <row r="5923" spans="6:6" outlineLevel="1">
      <c r="F5923"/>
    </row>
    <row r="5924" spans="6:6" outlineLevel="1">
      <c r="F5924"/>
    </row>
    <row r="5925" spans="6:6" outlineLevel="1">
      <c r="F5925"/>
    </row>
    <row r="5926" spans="6:6" outlineLevel="1">
      <c r="F5926"/>
    </row>
    <row r="5927" spans="6:6" outlineLevel="1">
      <c r="F5927"/>
    </row>
    <row r="5928" spans="6:6" outlineLevel="1">
      <c r="F5928"/>
    </row>
    <row r="5929" spans="6:6" outlineLevel="1">
      <c r="F5929"/>
    </row>
    <row r="5930" spans="6:6" outlineLevel="1">
      <c r="F5930"/>
    </row>
    <row r="5931" spans="6:6" outlineLevel="1">
      <c r="F5931"/>
    </row>
    <row r="5932" spans="6:6" outlineLevel="1">
      <c r="F5932"/>
    </row>
    <row r="5933" spans="6:6" outlineLevel="1">
      <c r="F5933"/>
    </row>
    <row r="5934" spans="6:6" outlineLevel="1">
      <c r="F5934"/>
    </row>
    <row r="5935" spans="6:6" outlineLevel="1">
      <c r="F5935"/>
    </row>
    <row r="5936" spans="6:6" outlineLevel="1">
      <c r="F5936"/>
    </row>
    <row r="5937" spans="6:6" outlineLevel="1">
      <c r="F5937"/>
    </row>
    <row r="5938" spans="6:6" outlineLevel="1">
      <c r="F5938"/>
    </row>
    <row r="5939" spans="6:6" outlineLevel="1">
      <c r="F5939"/>
    </row>
    <row r="5940" spans="6:6" outlineLevel="1">
      <c r="F5940"/>
    </row>
    <row r="5941" spans="6:6" outlineLevel="1">
      <c r="F5941"/>
    </row>
    <row r="5942" spans="6:6" outlineLevel="1">
      <c r="F5942"/>
    </row>
    <row r="5943" spans="6:6" outlineLevel="1">
      <c r="F5943"/>
    </row>
    <row r="5944" spans="6:6" outlineLevel="1">
      <c r="F5944"/>
    </row>
    <row r="5945" spans="6:6" outlineLevel="1">
      <c r="F5945"/>
    </row>
    <row r="5946" spans="6:6" outlineLevel="1">
      <c r="F5946"/>
    </row>
    <row r="5947" spans="6:6" outlineLevel="1">
      <c r="F5947"/>
    </row>
    <row r="5948" spans="6:6">
      <c r="F5948"/>
    </row>
    <row r="5949" spans="6:6" outlineLevel="1">
      <c r="F5949"/>
    </row>
    <row r="5950" spans="6:6" outlineLevel="1">
      <c r="F5950"/>
    </row>
    <row r="5951" spans="6:6" outlineLevel="1">
      <c r="F5951"/>
    </row>
    <row r="5952" spans="6:6" outlineLevel="1">
      <c r="F5952"/>
    </row>
    <row r="5953" spans="6:6" outlineLevel="1">
      <c r="F5953"/>
    </row>
    <row r="5954" spans="6:6" outlineLevel="1">
      <c r="F5954"/>
    </row>
    <row r="5955" spans="6:6" outlineLevel="1">
      <c r="F5955"/>
    </row>
    <row r="5956" spans="6:6" outlineLevel="1">
      <c r="F5956"/>
    </row>
    <row r="5957" spans="6:6" outlineLevel="1">
      <c r="F5957"/>
    </row>
    <row r="5958" spans="6:6" outlineLevel="1">
      <c r="F5958"/>
    </row>
    <row r="5959" spans="6:6" outlineLevel="1">
      <c r="F5959"/>
    </row>
    <row r="5960" spans="6:6" outlineLevel="1">
      <c r="F5960"/>
    </row>
    <row r="5961" spans="6:6" outlineLevel="1">
      <c r="F5961"/>
    </row>
    <row r="5962" spans="6:6" outlineLevel="1">
      <c r="F5962"/>
    </row>
    <row r="5963" spans="6:6" outlineLevel="1">
      <c r="F5963"/>
    </row>
    <row r="5964" spans="6:6" outlineLevel="1">
      <c r="F5964"/>
    </row>
    <row r="5965" spans="6:6" outlineLevel="1">
      <c r="F5965"/>
    </row>
    <row r="5966" spans="6:6" outlineLevel="1">
      <c r="F5966"/>
    </row>
    <row r="5967" spans="6:6" outlineLevel="1">
      <c r="F5967"/>
    </row>
    <row r="5968" spans="6:6" outlineLevel="1">
      <c r="F5968"/>
    </row>
    <row r="5969" spans="6:6" outlineLevel="1">
      <c r="F5969"/>
    </row>
    <row r="5970" spans="6:6" outlineLevel="1">
      <c r="F5970"/>
    </row>
    <row r="5971" spans="6:6" outlineLevel="1">
      <c r="F5971"/>
    </row>
    <row r="5972" spans="6:6" outlineLevel="1">
      <c r="F5972"/>
    </row>
    <row r="5973" spans="6:6" outlineLevel="1">
      <c r="F5973"/>
    </row>
    <row r="5974" spans="6:6" outlineLevel="1">
      <c r="F5974"/>
    </row>
    <row r="5975" spans="6:6" outlineLevel="1">
      <c r="F5975"/>
    </row>
    <row r="5976" spans="6:6" outlineLevel="1">
      <c r="F5976"/>
    </row>
    <row r="5977" spans="6:6" outlineLevel="1">
      <c r="F5977"/>
    </row>
    <row r="5978" spans="6:6" outlineLevel="1">
      <c r="F5978"/>
    </row>
    <row r="5979" spans="6:6" outlineLevel="1">
      <c r="F5979"/>
    </row>
    <row r="5980" spans="6:6" outlineLevel="1">
      <c r="F5980"/>
    </row>
    <row r="5981" spans="6:6" outlineLevel="1">
      <c r="F5981"/>
    </row>
    <row r="5982" spans="6:6" outlineLevel="1">
      <c r="F5982"/>
    </row>
    <row r="5983" spans="6:6">
      <c r="F5983"/>
    </row>
    <row r="5984" spans="6:6" outlineLevel="1">
      <c r="F5984"/>
    </row>
    <row r="5985" spans="6:6" outlineLevel="1">
      <c r="F5985"/>
    </row>
    <row r="5986" spans="6:6" outlineLevel="1">
      <c r="F5986"/>
    </row>
    <row r="5987" spans="6:6" outlineLevel="1">
      <c r="F5987"/>
    </row>
    <row r="5988" spans="6:6" outlineLevel="1">
      <c r="F5988"/>
    </row>
    <row r="5989" spans="6:6" outlineLevel="1">
      <c r="F5989"/>
    </row>
    <row r="5990" spans="6:6" outlineLevel="1">
      <c r="F5990"/>
    </row>
    <row r="5991" spans="6:6" outlineLevel="1">
      <c r="F5991"/>
    </row>
    <row r="5992" spans="6:6" outlineLevel="1">
      <c r="F5992"/>
    </row>
    <row r="5993" spans="6:6" outlineLevel="1">
      <c r="F5993"/>
    </row>
    <row r="5994" spans="6:6" outlineLevel="1">
      <c r="F5994"/>
    </row>
    <row r="5995" spans="6:6" outlineLevel="1">
      <c r="F5995"/>
    </row>
    <row r="5996" spans="6:6" outlineLevel="1">
      <c r="F5996"/>
    </row>
    <row r="5997" spans="6:6" outlineLevel="1">
      <c r="F5997"/>
    </row>
    <row r="5998" spans="6:6" outlineLevel="1">
      <c r="F5998"/>
    </row>
    <row r="5999" spans="6:6" outlineLevel="1">
      <c r="F5999"/>
    </row>
    <row r="6000" spans="6:6" outlineLevel="1">
      <c r="F6000"/>
    </row>
    <row r="6001" spans="6:6">
      <c r="F6001"/>
    </row>
    <row r="6002" spans="6:6" outlineLevel="1">
      <c r="F6002"/>
    </row>
    <row r="6003" spans="6:6" outlineLevel="1">
      <c r="F6003"/>
    </row>
    <row r="6004" spans="6:6" outlineLevel="1">
      <c r="F6004"/>
    </row>
    <row r="6005" spans="6:6" outlineLevel="1">
      <c r="F6005"/>
    </row>
    <row r="6006" spans="6:6" outlineLevel="1">
      <c r="F6006"/>
    </row>
    <row r="6007" spans="6:6" outlineLevel="1">
      <c r="F6007"/>
    </row>
    <row r="6008" spans="6:6" outlineLevel="1">
      <c r="F6008"/>
    </row>
    <row r="6009" spans="6:6" outlineLevel="1">
      <c r="F6009"/>
    </row>
    <row r="6010" spans="6:6" outlineLevel="1">
      <c r="F6010"/>
    </row>
    <row r="6011" spans="6:6" outlineLevel="1">
      <c r="F6011"/>
    </row>
    <row r="6012" spans="6:6" outlineLevel="1">
      <c r="F6012"/>
    </row>
    <row r="6013" spans="6:6" outlineLevel="1">
      <c r="F6013"/>
    </row>
    <row r="6014" spans="6:6" outlineLevel="1">
      <c r="F6014"/>
    </row>
    <row r="6015" spans="6:6" outlineLevel="1">
      <c r="F6015"/>
    </row>
    <row r="6016" spans="6:6" outlineLevel="1">
      <c r="F6016"/>
    </row>
    <row r="6017" spans="6:6" outlineLevel="1">
      <c r="F6017"/>
    </row>
    <row r="6018" spans="6:6" outlineLevel="1">
      <c r="F6018"/>
    </row>
    <row r="6019" spans="6:6" outlineLevel="1">
      <c r="F6019"/>
    </row>
    <row r="6020" spans="6:6" outlineLevel="1">
      <c r="F6020"/>
    </row>
    <row r="6021" spans="6:6" outlineLevel="1">
      <c r="F6021"/>
    </row>
    <row r="6022" spans="6:6" outlineLevel="1">
      <c r="F6022"/>
    </row>
    <row r="6023" spans="6:6" outlineLevel="1">
      <c r="F6023"/>
    </row>
    <row r="6024" spans="6:6" outlineLevel="1">
      <c r="F6024"/>
    </row>
    <row r="6025" spans="6:6" outlineLevel="1">
      <c r="F6025"/>
    </row>
    <row r="6026" spans="6:6" outlineLevel="1">
      <c r="F6026"/>
    </row>
    <row r="6027" spans="6:6" outlineLevel="1">
      <c r="F6027"/>
    </row>
    <row r="6028" spans="6:6" outlineLevel="1">
      <c r="F6028"/>
    </row>
    <row r="6029" spans="6:6" outlineLevel="1">
      <c r="F6029"/>
    </row>
    <row r="6030" spans="6:6" outlineLevel="1">
      <c r="F6030"/>
    </row>
    <row r="6031" spans="6:6" outlineLevel="1">
      <c r="F6031"/>
    </row>
    <row r="6032" spans="6:6" outlineLevel="1">
      <c r="F6032"/>
    </row>
    <row r="6033" spans="6:6" outlineLevel="1">
      <c r="F6033"/>
    </row>
    <row r="6034" spans="6:6" outlineLevel="1">
      <c r="F6034"/>
    </row>
    <row r="6035" spans="6:6" outlineLevel="1">
      <c r="F6035"/>
    </row>
    <row r="6036" spans="6:6" outlineLevel="1">
      <c r="F6036"/>
    </row>
    <row r="6037" spans="6:6" outlineLevel="1">
      <c r="F6037"/>
    </row>
    <row r="6038" spans="6:6" outlineLevel="1">
      <c r="F6038"/>
    </row>
    <row r="6039" spans="6:6" outlineLevel="1">
      <c r="F6039"/>
    </row>
    <row r="6040" spans="6:6" outlineLevel="1">
      <c r="F6040"/>
    </row>
    <row r="6041" spans="6:6" outlineLevel="1">
      <c r="F6041"/>
    </row>
    <row r="6042" spans="6:6" outlineLevel="1">
      <c r="F6042"/>
    </row>
    <row r="6043" spans="6:6" outlineLevel="1">
      <c r="F6043"/>
    </row>
    <row r="6044" spans="6:6" outlineLevel="1">
      <c r="F6044"/>
    </row>
    <row r="6045" spans="6:6" outlineLevel="1">
      <c r="F6045"/>
    </row>
    <row r="6046" spans="6:6" outlineLevel="1">
      <c r="F6046"/>
    </row>
    <row r="6047" spans="6:6" outlineLevel="1">
      <c r="F6047"/>
    </row>
    <row r="6048" spans="6:6" outlineLevel="1">
      <c r="F6048"/>
    </row>
    <row r="6049" spans="6:6" outlineLevel="1">
      <c r="F6049"/>
    </row>
    <row r="6050" spans="6:6" outlineLevel="1">
      <c r="F6050"/>
    </row>
    <row r="6051" spans="6:6" outlineLevel="1">
      <c r="F6051"/>
    </row>
    <row r="6052" spans="6:6" outlineLevel="1">
      <c r="F6052"/>
    </row>
    <row r="6053" spans="6:6" outlineLevel="1">
      <c r="F6053"/>
    </row>
    <row r="6054" spans="6:6" outlineLevel="1">
      <c r="F6054"/>
    </row>
    <row r="6055" spans="6:6" outlineLevel="1">
      <c r="F6055"/>
    </row>
    <row r="6056" spans="6:6" outlineLevel="1">
      <c r="F6056"/>
    </row>
    <row r="6057" spans="6:6" outlineLevel="1">
      <c r="F6057"/>
    </row>
    <row r="6058" spans="6:6" outlineLevel="1">
      <c r="F6058"/>
    </row>
    <row r="6059" spans="6:6" outlineLevel="1">
      <c r="F6059"/>
    </row>
    <row r="6060" spans="6:6" outlineLevel="1">
      <c r="F6060"/>
    </row>
    <row r="6061" spans="6:6" outlineLevel="1">
      <c r="F6061"/>
    </row>
    <row r="6062" spans="6:6" outlineLevel="1">
      <c r="F6062"/>
    </row>
    <row r="6063" spans="6:6" outlineLevel="1">
      <c r="F6063"/>
    </row>
    <row r="6064" spans="6:6" outlineLevel="1">
      <c r="F6064"/>
    </row>
    <row r="6065" spans="6:6" outlineLevel="1">
      <c r="F6065"/>
    </row>
    <row r="6066" spans="6:6" outlineLevel="1">
      <c r="F6066"/>
    </row>
    <row r="6067" spans="6:6" outlineLevel="1">
      <c r="F6067"/>
    </row>
    <row r="6068" spans="6:6" outlineLevel="1">
      <c r="F6068"/>
    </row>
    <row r="6069" spans="6:6" outlineLevel="1">
      <c r="F6069"/>
    </row>
    <row r="6070" spans="6:6" outlineLevel="1">
      <c r="F6070"/>
    </row>
    <row r="6071" spans="6:6" outlineLevel="1">
      <c r="F6071"/>
    </row>
    <row r="6072" spans="6:6" outlineLevel="1">
      <c r="F6072"/>
    </row>
    <row r="6073" spans="6:6" outlineLevel="1">
      <c r="F6073"/>
    </row>
    <row r="6074" spans="6:6" outlineLevel="1">
      <c r="F6074"/>
    </row>
    <row r="6075" spans="6:6" outlineLevel="1">
      <c r="F6075"/>
    </row>
    <row r="6076" spans="6:6" outlineLevel="1">
      <c r="F6076"/>
    </row>
    <row r="6077" spans="6:6" outlineLevel="1">
      <c r="F6077"/>
    </row>
    <row r="6078" spans="6:6" outlineLevel="1">
      <c r="F6078"/>
    </row>
    <row r="6079" spans="6:6" outlineLevel="1">
      <c r="F6079"/>
    </row>
    <row r="6080" spans="6:6" outlineLevel="1">
      <c r="F6080"/>
    </row>
    <row r="6081" spans="6:6" outlineLevel="1">
      <c r="F6081"/>
    </row>
    <row r="6082" spans="6:6" outlineLevel="1">
      <c r="F6082"/>
    </row>
    <row r="6083" spans="6:6" outlineLevel="1">
      <c r="F6083"/>
    </row>
    <row r="6084" spans="6:6" outlineLevel="1">
      <c r="F6084"/>
    </row>
    <row r="6085" spans="6:6" outlineLevel="1">
      <c r="F6085"/>
    </row>
    <row r="6086" spans="6:6" outlineLevel="1">
      <c r="F6086"/>
    </row>
    <row r="6087" spans="6:6" outlineLevel="1">
      <c r="F6087"/>
    </row>
    <row r="6088" spans="6:6" outlineLevel="1">
      <c r="F6088"/>
    </row>
    <row r="6089" spans="6:6" outlineLevel="1">
      <c r="F6089"/>
    </row>
    <row r="6090" spans="6:6" outlineLevel="1">
      <c r="F6090"/>
    </row>
    <row r="6091" spans="6:6" outlineLevel="1">
      <c r="F6091"/>
    </row>
    <row r="6092" spans="6:6" outlineLevel="1">
      <c r="F6092"/>
    </row>
    <row r="6093" spans="6:6" outlineLevel="1">
      <c r="F6093"/>
    </row>
    <row r="6094" spans="6:6" outlineLevel="1">
      <c r="F6094"/>
    </row>
    <row r="6095" spans="6:6" outlineLevel="1">
      <c r="F6095"/>
    </row>
    <row r="6096" spans="6:6" outlineLevel="1">
      <c r="F6096"/>
    </row>
    <row r="6097" spans="6:6" outlineLevel="1">
      <c r="F6097"/>
    </row>
    <row r="6098" spans="6:6" outlineLevel="1">
      <c r="F6098"/>
    </row>
    <row r="6099" spans="6:6" outlineLevel="1">
      <c r="F6099"/>
    </row>
    <row r="6100" spans="6:6" outlineLevel="1">
      <c r="F6100"/>
    </row>
    <row r="6101" spans="6:6" outlineLevel="1">
      <c r="F6101"/>
    </row>
    <row r="6102" spans="6:6" outlineLevel="1">
      <c r="F6102"/>
    </row>
    <row r="6103" spans="6:6" outlineLevel="1">
      <c r="F6103"/>
    </row>
    <row r="6104" spans="6:6" outlineLevel="1">
      <c r="F6104"/>
    </row>
    <row r="6105" spans="6:6" outlineLevel="1">
      <c r="F6105"/>
    </row>
    <row r="6106" spans="6:6" outlineLevel="1">
      <c r="F6106"/>
    </row>
    <row r="6107" spans="6:6">
      <c r="F6107"/>
    </row>
    <row r="6108" spans="6:6" outlineLevel="1">
      <c r="F6108"/>
    </row>
    <row r="6109" spans="6:6" outlineLevel="1">
      <c r="F6109"/>
    </row>
    <row r="6110" spans="6:6" outlineLevel="1">
      <c r="F6110"/>
    </row>
    <row r="6111" spans="6:6" outlineLevel="1">
      <c r="F6111"/>
    </row>
    <row r="6112" spans="6:6" outlineLevel="1">
      <c r="F6112"/>
    </row>
    <row r="6113" spans="6:6" outlineLevel="1">
      <c r="F6113"/>
    </row>
    <row r="6114" spans="6:6" outlineLevel="1">
      <c r="F6114"/>
    </row>
    <row r="6115" spans="6:6" outlineLevel="1">
      <c r="F6115"/>
    </row>
    <row r="6116" spans="6:6" outlineLevel="1">
      <c r="F6116"/>
    </row>
    <row r="6117" spans="6:6" outlineLevel="1">
      <c r="F6117"/>
    </row>
    <row r="6118" spans="6:6" outlineLevel="1">
      <c r="F6118"/>
    </row>
    <row r="6119" spans="6:6" outlineLevel="1">
      <c r="F6119"/>
    </row>
    <row r="6120" spans="6:6" outlineLevel="1">
      <c r="F6120"/>
    </row>
    <row r="6121" spans="6:6" outlineLevel="1">
      <c r="F6121"/>
    </row>
    <row r="6122" spans="6:6" outlineLevel="1">
      <c r="F6122"/>
    </row>
    <row r="6123" spans="6:6" outlineLevel="1">
      <c r="F6123"/>
    </row>
    <row r="6124" spans="6:6" outlineLevel="1">
      <c r="F6124"/>
    </row>
    <row r="6125" spans="6:6" outlineLevel="1">
      <c r="F6125"/>
    </row>
    <row r="6126" spans="6:6" outlineLevel="1">
      <c r="F6126"/>
    </row>
    <row r="6127" spans="6:6" outlineLevel="1">
      <c r="F6127"/>
    </row>
    <row r="6128" spans="6:6" outlineLevel="1">
      <c r="F6128"/>
    </row>
    <row r="6129" spans="6:6" outlineLevel="1">
      <c r="F6129"/>
    </row>
    <row r="6130" spans="6:6" outlineLevel="1">
      <c r="F6130"/>
    </row>
    <row r="6131" spans="6:6" outlineLevel="1">
      <c r="F6131"/>
    </row>
    <row r="6132" spans="6:6" outlineLevel="1">
      <c r="F6132"/>
    </row>
    <row r="6133" spans="6:6" outlineLevel="1">
      <c r="F6133"/>
    </row>
    <row r="6134" spans="6:6" outlineLevel="1">
      <c r="F6134"/>
    </row>
    <row r="6135" spans="6:6" outlineLevel="1">
      <c r="F6135"/>
    </row>
    <row r="6136" spans="6:6" outlineLevel="1">
      <c r="F6136"/>
    </row>
    <row r="6137" spans="6:6" outlineLevel="1">
      <c r="F6137"/>
    </row>
    <row r="6138" spans="6:6" outlineLevel="1">
      <c r="F6138"/>
    </row>
    <row r="6139" spans="6:6" outlineLevel="1">
      <c r="F6139"/>
    </row>
    <row r="6140" spans="6:6" outlineLevel="1">
      <c r="F6140"/>
    </row>
    <row r="6141" spans="6:6" outlineLevel="1">
      <c r="F6141"/>
    </row>
    <row r="6142" spans="6:6" outlineLevel="1">
      <c r="F6142"/>
    </row>
    <row r="6143" spans="6:6" outlineLevel="1">
      <c r="F6143"/>
    </row>
    <row r="6144" spans="6:6" outlineLevel="1">
      <c r="F6144"/>
    </row>
    <row r="6145" spans="6:6" outlineLevel="1">
      <c r="F6145"/>
    </row>
    <row r="6146" spans="6:6" outlineLevel="1">
      <c r="F6146"/>
    </row>
    <row r="6147" spans="6:6" outlineLevel="1">
      <c r="F6147"/>
    </row>
    <row r="6148" spans="6:6" outlineLevel="1">
      <c r="F6148"/>
    </row>
    <row r="6149" spans="6:6" outlineLevel="1">
      <c r="F6149"/>
    </row>
    <row r="6150" spans="6:6" outlineLevel="1">
      <c r="F6150"/>
    </row>
    <row r="6151" spans="6:6" outlineLevel="1">
      <c r="F6151"/>
    </row>
    <row r="6152" spans="6:6">
      <c r="F6152"/>
    </row>
    <row r="6153" spans="6:6" outlineLevel="1">
      <c r="F6153"/>
    </row>
    <row r="6154" spans="6:6" outlineLevel="1">
      <c r="F6154"/>
    </row>
    <row r="6155" spans="6:6" outlineLevel="1">
      <c r="F6155"/>
    </row>
    <row r="6156" spans="6:6" outlineLevel="1">
      <c r="F6156"/>
    </row>
    <row r="6157" spans="6:6" outlineLevel="1">
      <c r="F6157"/>
    </row>
    <row r="6158" spans="6:6" outlineLevel="1">
      <c r="F6158"/>
    </row>
    <row r="6159" spans="6:6" outlineLevel="1">
      <c r="F6159"/>
    </row>
    <row r="6160" spans="6:6" outlineLevel="1">
      <c r="F6160"/>
    </row>
    <row r="6161" spans="6:6" outlineLevel="1">
      <c r="F6161"/>
    </row>
    <row r="6162" spans="6:6" outlineLevel="1">
      <c r="F6162"/>
    </row>
    <row r="6163" spans="6:6" outlineLevel="1">
      <c r="F6163"/>
    </row>
    <row r="6164" spans="6:6" outlineLevel="1">
      <c r="F6164"/>
    </row>
    <row r="6165" spans="6:6" outlineLevel="1">
      <c r="F6165"/>
    </row>
    <row r="6166" spans="6:6" outlineLevel="1">
      <c r="F6166"/>
    </row>
    <row r="6167" spans="6:6" outlineLevel="1">
      <c r="F6167"/>
    </row>
    <row r="6168" spans="6:6" outlineLevel="1">
      <c r="F6168"/>
    </row>
    <row r="6169" spans="6:6" outlineLevel="1">
      <c r="F6169"/>
    </row>
    <row r="6170" spans="6:6" outlineLevel="1">
      <c r="F6170"/>
    </row>
    <row r="6171" spans="6:6" outlineLevel="1">
      <c r="F6171"/>
    </row>
    <row r="6172" spans="6:6">
      <c r="F6172"/>
    </row>
    <row r="6173" spans="6:6" outlineLevel="1">
      <c r="F6173"/>
    </row>
    <row r="6174" spans="6:6" outlineLevel="1">
      <c r="F6174"/>
    </row>
    <row r="6175" spans="6:6" outlineLevel="1">
      <c r="F6175"/>
    </row>
    <row r="6176" spans="6:6" outlineLevel="1">
      <c r="F6176"/>
    </row>
    <row r="6177" spans="6:6" outlineLevel="1">
      <c r="F6177"/>
    </row>
    <row r="6178" spans="6:6" outlineLevel="1">
      <c r="F6178"/>
    </row>
    <row r="6179" spans="6:6" outlineLevel="1">
      <c r="F6179"/>
    </row>
    <row r="6180" spans="6:6" outlineLevel="1">
      <c r="F6180"/>
    </row>
    <row r="6181" spans="6:6" outlineLevel="1">
      <c r="F6181"/>
    </row>
    <row r="6182" spans="6:6" outlineLevel="1">
      <c r="F6182"/>
    </row>
    <row r="6183" spans="6:6" outlineLevel="1">
      <c r="F6183"/>
    </row>
    <row r="6184" spans="6:6" outlineLevel="1">
      <c r="F6184"/>
    </row>
    <row r="6185" spans="6:6" outlineLevel="1">
      <c r="F6185"/>
    </row>
    <row r="6186" spans="6:6" outlineLevel="1">
      <c r="F6186"/>
    </row>
    <row r="6187" spans="6:6" outlineLevel="1">
      <c r="F6187"/>
    </row>
    <row r="6188" spans="6:6" outlineLevel="1">
      <c r="F6188"/>
    </row>
    <row r="6189" spans="6:6" outlineLevel="1">
      <c r="F6189"/>
    </row>
    <row r="6190" spans="6:6" outlineLevel="1">
      <c r="F6190"/>
    </row>
    <row r="6191" spans="6:6" outlineLevel="1">
      <c r="F6191"/>
    </row>
    <row r="6192" spans="6:6" outlineLevel="1">
      <c r="F6192"/>
    </row>
    <row r="6193" spans="6:6" outlineLevel="1">
      <c r="F6193"/>
    </row>
    <row r="6194" spans="6:6" outlineLevel="1">
      <c r="F6194"/>
    </row>
    <row r="6195" spans="6:6" outlineLevel="1">
      <c r="F6195"/>
    </row>
    <row r="6196" spans="6:6" outlineLevel="1">
      <c r="F6196"/>
    </row>
    <row r="6197" spans="6:6" outlineLevel="1">
      <c r="F6197"/>
    </row>
    <row r="6198" spans="6:6" outlineLevel="1">
      <c r="F6198"/>
    </row>
    <row r="6199" spans="6:6" outlineLevel="1">
      <c r="F6199"/>
    </row>
    <row r="6200" spans="6:6" outlineLevel="1">
      <c r="F6200"/>
    </row>
    <row r="6201" spans="6:6" outlineLevel="1">
      <c r="F6201"/>
    </row>
    <row r="6202" spans="6:6" outlineLevel="1">
      <c r="F6202"/>
    </row>
    <row r="6203" spans="6:6" outlineLevel="1">
      <c r="F6203"/>
    </row>
    <row r="6204" spans="6:6" outlineLevel="1">
      <c r="F6204"/>
    </row>
    <row r="6205" spans="6:6" outlineLevel="1">
      <c r="F6205"/>
    </row>
    <row r="6206" spans="6:6" outlineLevel="1">
      <c r="F6206"/>
    </row>
    <row r="6207" spans="6:6" outlineLevel="1">
      <c r="F6207"/>
    </row>
    <row r="6208" spans="6:6" outlineLevel="1">
      <c r="F6208"/>
    </row>
    <row r="6209" spans="6:6" outlineLevel="1">
      <c r="F6209"/>
    </row>
    <row r="6210" spans="6:6" outlineLevel="1">
      <c r="F6210"/>
    </row>
    <row r="6211" spans="6:6" outlineLevel="1">
      <c r="F6211"/>
    </row>
    <row r="6212" spans="6:6" outlineLevel="1">
      <c r="F6212"/>
    </row>
    <row r="6213" spans="6:6" outlineLevel="1">
      <c r="F6213"/>
    </row>
    <row r="6214" spans="6:6" outlineLevel="1">
      <c r="F6214"/>
    </row>
    <row r="6215" spans="6:6" outlineLevel="1">
      <c r="F6215"/>
    </row>
    <row r="6216" spans="6:6">
      <c r="F6216"/>
    </row>
    <row r="6217" spans="6:6" outlineLevel="1">
      <c r="F6217"/>
    </row>
    <row r="6218" spans="6:6" outlineLevel="1">
      <c r="F6218"/>
    </row>
    <row r="6219" spans="6:6" outlineLevel="1">
      <c r="F6219"/>
    </row>
    <row r="6220" spans="6:6" outlineLevel="1">
      <c r="F6220"/>
    </row>
    <row r="6221" spans="6:6" outlineLevel="1">
      <c r="F6221"/>
    </row>
    <row r="6222" spans="6:6" outlineLevel="1">
      <c r="F6222"/>
    </row>
    <row r="6223" spans="6:6" outlineLevel="1">
      <c r="F6223"/>
    </row>
    <row r="6224" spans="6:6" outlineLevel="1">
      <c r="F6224"/>
    </row>
    <row r="6225" spans="6:6" outlineLevel="1">
      <c r="F6225"/>
    </row>
    <row r="6226" spans="6:6" outlineLevel="1">
      <c r="F6226"/>
    </row>
    <row r="6227" spans="6:6" outlineLevel="1">
      <c r="F6227"/>
    </row>
    <row r="6228" spans="6:6" outlineLevel="1">
      <c r="F6228"/>
    </row>
    <row r="6229" spans="6:6" outlineLevel="1">
      <c r="F6229"/>
    </row>
    <row r="6230" spans="6:6" outlineLevel="1">
      <c r="F6230"/>
    </row>
    <row r="6231" spans="6:6" outlineLevel="1">
      <c r="F6231"/>
    </row>
    <row r="6232" spans="6:6" outlineLevel="1">
      <c r="F6232"/>
    </row>
    <row r="6233" spans="6:6" outlineLevel="1">
      <c r="F6233"/>
    </row>
    <row r="6234" spans="6:6" outlineLevel="1">
      <c r="F6234"/>
    </row>
    <row r="6235" spans="6:6" outlineLevel="1">
      <c r="F6235"/>
    </row>
    <row r="6236" spans="6:6" outlineLevel="1">
      <c r="F6236"/>
    </row>
    <row r="6237" spans="6:6" outlineLevel="1">
      <c r="F6237"/>
    </row>
    <row r="6238" spans="6:6" outlineLevel="1">
      <c r="F6238"/>
    </row>
    <row r="6239" spans="6:6" outlineLevel="1">
      <c r="F6239"/>
    </row>
    <row r="6240" spans="6:6" outlineLevel="1">
      <c r="F6240"/>
    </row>
    <row r="6241" spans="6:6" outlineLevel="1">
      <c r="F6241"/>
    </row>
    <row r="6242" spans="6:6" outlineLevel="1">
      <c r="F6242"/>
    </row>
    <row r="6243" spans="6:6" outlineLevel="1">
      <c r="F6243"/>
    </row>
    <row r="6244" spans="6:6" outlineLevel="1">
      <c r="F6244"/>
    </row>
    <row r="6245" spans="6:6" outlineLevel="1">
      <c r="F6245"/>
    </row>
    <row r="6246" spans="6:6" outlineLevel="1">
      <c r="F6246"/>
    </row>
    <row r="6247" spans="6:6" outlineLevel="1">
      <c r="F6247"/>
    </row>
    <row r="6248" spans="6:6" outlineLevel="1">
      <c r="F6248"/>
    </row>
    <row r="6249" spans="6:6" outlineLevel="1">
      <c r="F6249"/>
    </row>
    <row r="6250" spans="6:6" outlineLevel="1">
      <c r="F6250"/>
    </row>
    <row r="6251" spans="6:6" outlineLevel="1">
      <c r="F6251"/>
    </row>
    <row r="6252" spans="6:6" outlineLevel="1">
      <c r="F6252"/>
    </row>
    <row r="6253" spans="6:6" outlineLevel="1">
      <c r="F6253"/>
    </row>
    <row r="6254" spans="6:6" outlineLevel="1">
      <c r="F6254"/>
    </row>
    <row r="6255" spans="6:6" outlineLevel="1">
      <c r="F6255"/>
    </row>
    <row r="6256" spans="6:6" outlineLevel="1">
      <c r="F6256"/>
    </row>
    <row r="6257" spans="6:6" outlineLevel="1">
      <c r="F6257"/>
    </row>
    <row r="6258" spans="6:6" outlineLevel="1">
      <c r="F6258"/>
    </row>
    <row r="6259" spans="6:6" outlineLevel="1">
      <c r="F6259"/>
    </row>
    <row r="6260" spans="6:6" outlineLevel="1">
      <c r="F6260"/>
    </row>
    <row r="6261" spans="6:6" outlineLevel="1">
      <c r="F6261"/>
    </row>
    <row r="6262" spans="6:6" outlineLevel="1">
      <c r="F6262"/>
    </row>
    <row r="6263" spans="6:6" outlineLevel="1">
      <c r="F6263"/>
    </row>
    <row r="6264" spans="6:6" outlineLevel="1">
      <c r="F6264"/>
    </row>
    <row r="6265" spans="6:6" outlineLevel="1">
      <c r="F6265"/>
    </row>
    <row r="6266" spans="6:6">
      <c r="F6266"/>
    </row>
    <row r="6267" spans="6:6" outlineLevel="1">
      <c r="F6267"/>
    </row>
    <row r="6268" spans="6:6" outlineLevel="1">
      <c r="F6268"/>
    </row>
    <row r="6269" spans="6:6" outlineLevel="1">
      <c r="F6269"/>
    </row>
    <row r="6270" spans="6:6" outlineLevel="1">
      <c r="F6270"/>
    </row>
    <row r="6271" spans="6:6" outlineLevel="1">
      <c r="F6271"/>
    </row>
    <row r="6272" spans="6:6" outlineLevel="1">
      <c r="F6272"/>
    </row>
    <row r="6273" spans="6:6" outlineLevel="1">
      <c r="F6273"/>
    </row>
    <row r="6274" spans="6:6" outlineLevel="1">
      <c r="F6274"/>
    </row>
    <row r="6275" spans="6:6" outlineLevel="1">
      <c r="F6275"/>
    </row>
    <row r="6276" spans="6:6" outlineLevel="1">
      <c r="F6276"/>
    </row>
    <row r="6277" spans="6:6" outlineLevel="1">
      <c r="F6277"/>
    </row>
    <row r="6278" spans="6:6" outlineLevel="1">
      <c r="F6278"/>
    </row>
    <row r="6279" spans="6:6" outlineLevel="1">
      <c r="F6279"/>
    </row>
    <row r="6280" spans="6:6" outlineLevel="1">
      <c r="F6280"/>
    </row>
    <row r="6281" spans="6:6" outlineLevel="1">
      <c r="F6281"/>
    </row>
    <row r="6282" spans="6:6" outlineLevel="1">
      <c r="F6282"/>
    </row>
    <row r="6283" spans="6:6" outlineLevel="1">
      <c r="F6283"/>
    </row>
    <row r="6284" spans="6:6" outlineLevel="1">
      <c r="F6284"/>
    </row>
    <row r="6285" spans="6:6" outlineLevel="1">
      <c r="F6285"/>
    </row>
    <row r="6286" spans="6:6" outlineLevel="1">
      <c r="F6286"/>
    </row>
    <row r="6287" spans="6:6" outlineLevel="1">
      <c r="F6287"/>
    </row>
    <row r="6288" spans="6:6" outlineLevel="1">
      <c r="F6288"/>
    </row>
    <row r="6289" spans="6:6" outlineLevel="1">
      <c r="F6289"/>
    </row>
    <row r="6290" spans="6:6" outlineLevel="1">
      <c r="F6290"/>
    </row>
    <row r="6291" spans="6:6" outlineLevel="1">
      <c r="F6291"/>
    </row>
    <row r="6292" spans="6:6" outlineLevel="1">
      <c r="F6292"/>
    </row>
    <row r="6293" spans="6:6" outlineLevel="1">
      <c r="F6293"/>
    </row>
    <row r="6294" spans="6:6" outlineLevel="1">
      <c r="F6294"/>
    </row>
    <row r="6295" spans="6:6" outlineLevel="1">
      <c r="F6295"/>
    </row>
    <row r="6296" spans="6:6" outlineLevel="1">
      <c r="F6296"/>
    </row>
    <row r="6297" spans="6:6">
      <c r="F6297"/>
    </row>
    <row r="6298" spans="6:6" outlineLevel="1">
      <c r="F6298"/>
    </row>
    <row r="6299" spans="6:6" outlineLevel="1">
      <c r="F6299"/>
    </row>
    <row r="6300" spans="6:6" outlineLevel="1">
      <c r="F6300"/>
    </row>
    <row r="6301" spans="6:6" outlineLevel="1">
      <c r="F6301"/>
    </row>
    <row r="6302" spans="6:6" outlineLevel="1">
      <c r="F6302"/>
    </row>
    <row r="6303" spans="6:6" outlineLevel="1">
      <c r="F6303"/>
    </row>
    <row r="6304" spans="6:6" outlineLevel="1">
      <c r="F6304"/>
    </row>
    <row r="6305" spans="6:6" outlineLevel="1">
      <c r="F6305"/>
    </row>
    <row r="6306" spans="6:6" outlineLevel="1">
      <c r="F6306"/>
    </row>
    <row r="6307" spans="6:6" outlineLevel="1">
      <c r="F6307"/>
    </row>
    <row r="6308" spans="6:6" outlineLevel="1">
      <c r="F6308"/>
    </row>
    <row r="6309" spans="6:6" outlineLevel="1">
      <c r="F6309"/>
    </row>
    <row r="6310" spans="6:6" outlineLevel="1">
      <c r="F6310"/>
    </row>
    <row r="6311" spans="6:6" outlineLevel="1">
      <c r="F6311"/>
    </row>
    <row r="6312" spans="6:6" outlineLevel="1">
      <c r="F6312"/>
    </row>
    <row r="6313" spans="6:6" outlineLevel="1">
      <c r="F6313"/>
    </row>
    <row r="6314" spans="6:6" outlineLevel="1">
      <c r="F6314"/>
    </row>
    <row r="6315" spans="6:6" outlineLevel="1">
      <c r="F6315"/>
    </row>
    <row r="6316" spans="6:6" outlineLevel="1">
      <c r="F6316"/>
    </row>
    <row r="6317" spans="6:6" outlineLevel="1">
      <c r="F6317"/>
    </row>
    <row r="6318" spans="6:6" outlineLevel="1">
      <c r="F6318"/>
    </row>
    <row r="6319" spans="6:6" outlineLevel="1">
      <c r="F6319"/>
    </row>
    <row r="6320" spans="6:6" outlineLevel="1">
      <c r="F6320"/>
    </row>
    <row r="6321" spans="6:6" outlineLevel="1">
      <c r="F6321"/>
    </row>
    <row r="6322" spans="6:6" outlineLevel="1">
      <c r="F6322"/>
    </row>
    <row r="6323" spans="6:6" outlineLevel="1">
      <c r="F6323"/>
    </row>
    <row r="6324" spans="6:6" outlineLevel="1">
      <c r="F6324"/>
    </row>
    <row r="6325" spans="6:6" outlineLevel="1">
      <c r="F6325"/>
    </row>
    <row r="6326" spans="6:6" outlineLevel="1">
      <c r="F6326"/>
    </row>
    <row r="6327" spans="6:6" outlineLevel="1">
      <c r="F6327"/>
    </row>
    <row r="6328" spans="6:6" outlineLevel="1">
      <c r="F6328"/>
    </row>
    <row r="6329" spans="6:6" outlineLevel="1">
      <c r="F6329"/>
    </row>
    <row r="6330" spans="6:6" outlineLevel="1">
      <c r="F6330"/>
    </row>
    <row r="6331" spans="6:6" outlineLevel="1">
      <c r="F6331"/>
    </row>
    <row r="6332" spans="6:6" outlineLevel="1">
      <c r="F6332"/>
    </row>
    <row r="6333" spans="6:6" outlineLevel="1">
      <c r="F6333"/>
    </row>
    <row r="6334" spans="6:6" outlineLevel="1">
      <c r="F6334"/>
    </row>
    <row r="6335" spans="6:6" outlineLevel="1">
      <c r="F6335"/>
    </row>
    <row r="6336" spans="6:6" outlineLevel="1">
      <c r="F6336"/>
    </row>
    <row r="6337" spans="6:6" outlineLevel="1">
      <c r="F6337"/>
    </row>
    <row r="6338" spans="6:6" outlineLevel="1">
      <c r="F6338"/>
    </row>
    <row r="6339" spans="6:6" outlineLevel="1">
      <c r="F6339"/>
    </row>
    <row r="6340" spans="6:6" outlineLevel="1">
      <c r="F6340"/>
    </row>
    <row r="6341" spans="6:6" outlineLevel="1">
      <c r="F6341"/>
    </row>
    <row r="6342" spans="6:6">
      <c r="F6342"/>
    </row>
    <row r="6343" spans="6:6" outlineLevel="1">
      <c r="F6343"/>
    </row>
    <row r="6344" spans="6:6" outlineLevel="1">
      <c r="F6344"/>
    </row>
    <row r="6345" spans="6:6" outlineLevel="1">
      <c r="F6345"/>
    </row>
    <row r="6346" spans="6:6" outlineLevel="1">
      <c r="F6346"/>
    </row>
    <row r="6347" spans="6:6" outlineLevel="1">
      <c r="F6347"/>
    </row>
    <row r="6348" spans="6:6" outlineLevel="1">
      <c r="F6348"/>
    </row>
    <row r="6349" spans="6:6" outlineLevel="1">
      <c r="F6349"/>
    </row>
    <row r="6350" spans="6:6" outlineLevel="1">
      <c r="F6350"/>
    </row>
    <row r="6351" spans="6:6" outlineLevel="1">
      <c r="F6351"/>
    </row>
    <row r="6352" spans="6:6" outlineLevel="1">
      <c r="F6352"/>
    </row>
    <row r="6353" spans="6:6" outlineLevel="1">
      <c r="F6353"/>
    </row>
    <row r="6354" spans="6:6" outlineLevel="1">
      <c r="F6354"/>
    </row>
    <row r="6355" spans="6:6" outlineLevel="1">
      <c r="F6355"/>
    </row>
    <row r="6356" spans="6:6" outlineLevel="1">
      <c r="F6356"/>
    </row>
    <row r="6357" spans="6:6" outlineLevel="1">
      <c r="F6357"/>
    </row>
    <row r="6358" spans="6:6" outlineLevel="1">
      <c r="F6358"/>
    </row>
    <row r="6359" spans="6:6" outlineLevel="1">
      <c r="F6359"/>
    </row>
    <row r="6360" spans="6:6">
      <c r="F6360"/>
    </row>
    <row r="6361" spans="6:6" outlineLevel="1">
      <c r="F6361"/>
    </row>
    <row r="6362" spans="6:6" outlineLevel="1">
      <c r="F6362"/>
    </row>
    <row r="6363" spans="6:6" outlineLevel="1">
      <c r="F6363"/>
    </row>
    <row r="6364" spans="6:6" outlineLevel="1">
      <c r="F6364"/>
    </row>
    <row r="6365" spans="6:6" outlineLevel="1">
      <c r="F6365"/>
    </row>
    <row r="6366" spans="6:6" outlineLevel="1">
      <c r="F6366"/>
    </row>
    <row r="6367" spans="6:6" outlineLevel="1">
      <c r="F6367"/>
    </row>
    <row r="6368" spans="6:6" outlineLevel="1">
      <c r="F6368"/>
    </row>
    <row r="6369" spans="6:6" outlineLevel="1">
      <c r="F6369"/>
    </row>
    <row r="6370" spans="6:6" outlineLevel="1">
      <c r="F6370"/>
    </row>
    <row r="6371" spans="6:6">
      <c r="F6371"/>
    </row>
    <row r="6372" spans="6:6" outlineLevel="1">
      <c r="F6372"/>
    </row>
    <row r="6373" spans="6:6" outlineLevel="1">
      <c r="F6373"/>
    </row>
    <row r="6374" spans="6:6" outlineLevel="1">
      <c r="F6374"/>
    </row>
    <row r="6375" spans="6:6" outlineLevel="1">
      <c r="F6375"/>
    </row>
    <row r="6376" spans="6:6" outlineLevel="1">
      <c r="F6376"/>
    </row>
    <row r="6377" spans="6:6" outlineLevel="1">
      <c r="F6377"/>
    </row>
    <row r="6378" spans="6:6" outlineLevel="1">
      <c r="F6378"/>
    </row>
    <row r="6379" spans="6:6" outlineLevel="1">
      <c r="F6379"/>
    </row>
    <row r="6380" spans="6:6" outlineLevel="1">
      <c r="F6380"/>
    </row>
    <row r="6381" spans="6:6" outlineLevel="1">
      <c r="F6381"/>
    </row>
    <row r="6382" spans="6:6" outlineLevel="1">
      <c r="F6382"/>
    </row>
    <row r="6383" spans="6:6" outlineLevel="1">
      <c r="F6383"/>
    </row>
    <row r="6384" spans="6:6" outlineLevel="1">
      <c r="F6384"/>
    </row>
    <row r="6385" spans="6:6" outlineLevel="1">
      <c r="F6385"/>
    </row>
    <row r="6386" spans="6:6" outlineLevel="1">
      <c r="F6386"/>
    </row>
    <row r="6387" spans="6:6" outlineLevel="1">
      <c r="F6387"/>
    </row>
    <row r="6388" spans="6:6" outlineLevel="1">
      <c r="F6388"/>
    </row>
    <row r="6389" spans="6:6" outlineLevel="1">
      <c r="F6389"/>
    </row>
    <row r="6390" spans="6:6" outlineLevel="1">
      <c r="F6390"/>
    </row>
    <row r="6391" spans="6:6" outlineLevel="1">
      <c r="F6391"/>
    </row>
    <row r="6392" spans="6:6" outlineLevel="1">
      <c r="F6392"/>
    </row>
    <row r="6393" spans="6:6" outlineLevel="1">
      <c r="F6393"/>
    </row>
    <row r="6394" spans="6:6" outlineLevel="1">
      <c r="F6394"/>
    </row>
    <row r="6395" spans="6:6" outlineLevel="1">
      <c r="F6395"/>
    </row>
    <row r="6396" spans="6:6" outlineLevel="1">
      <c r="F6396"/>
    </row>
    <row r="6397" spans="6:6" outlineLevel="1">
      <c r="F6397"/>
    </row>
    <row r="6398" spans="6:6" outlineLevel="1">
      <c r="F6398"/>
    </row>
    <row r="6399" spans="6:6" outlineLevel="1">
      <c r="F6399"/>
    </row>
    <row r="6400" spans="6:6" outlineLevel="1">
      <c r="F6400"/>
    </row>
    <row r="6401" spans="6:6" outlineLevel="1">
      <c r="F6401"/>
    </row>
    <row r="6402" spans="6:6" outlineLevel="1">
      <c r="F6402"/>
    </row>
    <row r="6403" spans="6:6" outlineLevel="1">
      <c r="F6403"/>
    </row>
    <row r="6404" spans="6:6" outlineLevel="1">
      <c r="F6404"/>
    </row>
    <row r="6405" spans="6:6" outlineLevel="1">
      <c r="F6405"/>
    </row>
    <row r="6406" spans="6:6" outlineLevel="1">
      <c r="F6406"/>
    </row>
    <row r="6407" spans="6:6" outlineLevel="1">
      <c r="F6407"/>
    </row>
    <row r="6408" spans="6:6" outlineLevel="1">
      <c r="F6408"/>
    </row>
    <row r="6409" spans="6:6" outlineLevel="1">
      <c r="F6409"/>
    </row>
    <row r="6410" spans="6:6" outlineLevel="1">
      <c r="F6410"/>
    </row>
    <row r="6411" spans="6:6" outlineLevel="1">
      <c r="F6411"/>
    </row>
    <row r="6412" spans="6:6" outlineLevel="1">
      <c r="F6412"/>
    </row>
    <row r="6413" spans="6:6" outlineLevel="1">
      <c r="F6413"/>
    </row>
    <row r="6414" spans="6:6" outlineLevel="1">
      <c r="F6414"/>
    </row>
    <row r="6415" spans="6:6">
      <c r="F6415"/>
    </row>
    <row r="6416" spans="6:6" outlineLevel="1">
      <c r="F6416"/>
    </row>
    <row r="6417" spans="6:6" outlineLevel="1">
      <c r="F6417"/>
    </row>
    <row r="6418" spans="6:6" outlineLevel="1">
      <c r="F6418"/>
    </row>
    <row r="6419" spans="6:6" outlineLevel="1">
      <c r="F6419"/>
    </row>
    <row r="6420" spans="6:6" outlineLevel="1">
      <c r="F6420"/>
    </row>
    <row r="6421" spans="6:6" outlineLevel="1">
      <c r="F6421"/>
    </row>
    <row r="6422" spans="6:6" outlineLevel="1">
      <c r="F6422"/>
    </row>
    <row r="6423" spans="6:6" outlineLevel="1">
      <c r="F6423"/>
    </row>
    <row r="6424" spans="6:6" outlineLevel="1">
      <c r="F6424"/>
    </row>
    <row r="6425" spans="6:6">
      <c r="F6425"/>
    </row>
    <row r="6426" spans="6:6" outlineLevel="1">
      <c r="F6426"/>
    </row>
    <row r="6427" spans="6:6" outlineLevel="1">
      <c r="F6427"/>
    </row>
    <row r="6428" spans="6:6" outlineLevel="1">
      <c r="F6428"/>
    </row>
    <row r="6429" spans="6:6" outlineLevel="1">
      <c r="F6429"/>
    </row>
    <row r="6430" spans="6:6" outlineLevel="1">
      <c r="F6430"/>
    </row>
    <row r="6431" spans="6:6" outlineLevel="1">
      <c r="F6431"/>
    </row>
    <row r="6432" spans="6:6" outlineLevel="1">
      <c r="F6432"/>
    </row>
    <row r="6433" spans="6:6" outlineLevel="1">
      <c r="F6433"/>
    </row>
    <row r="6434" spans="6:6" outlineLevel="1">
      <c r="F6434"/>
    </row>
    <row r="6435" spans="6:6" outlineLevel="1">
      <c r="F6435"/>
    </row>
    <row r="6436" spans="6:6" outlineLevel="1">
      <c r="F6436"/>
    </row>
    <row r="6437" spans="6:6" outlineLevel="1">
      <c r="F6437"/>
    </row>
    <row r="6438" spans="6:6" outlineLevel="1">
      <c r="F6438"/>
    </row>
    <row r="6439" spans="6:6">
      <c r="F6439"/>
    </row>
    <row r="6440" spans="6:6" outlineLevel="1">
      <c r="F6440"/>
    </row>
    <row r="6441" spans="6:6" outlineLevel="1">
      <c r="F6441"/>
    </row>
    <row r="6442" spans="6:6" outlineLevel="1">
      <c r="F6442"/>
    </row>
    <row r="6443" spans="6:6" outlineLevel="1">
      <c r="F6443"/>
    </row>
    <row r="6444" spans="6:6" outlineLevel="1">
      <c r="F6444"/>
    </row>
    <row r="6445" spans="6:6" outlineLevel="1">
      <c r="F6445"/>
    </row>
    <row r="6446" spans="6:6" outlineLevel="1">
      <c r="F6446"/>
    </row>
    <row r="6447" spans="6:6" outlineLevel="1">
      <c r="F6447"/>
    </row>
    <row r="6448" spans="6:6" outlineLevel="1">
      <c r="F6448"/>
    </row>
    <row r="6449" spans="6:6" outlineLevel="1">
      <c r="F6449"/>
    </row>
    <row r="6450" spans="6:6" outlineLevel="1">
      <c r="F6450"/>
    </row>
    <row r="6451" spans="6:6" outlineLevel="1">
      <c r="F6451"/>
    </row>
    <row r="6452" spans="6:6" outlineLevel="1">
      <c r="F6452"/>
    </row>
    <row r="6453" spans="6:6" outlineLevel="1">
      <c r="F6453"/>
    </row>
    <row r="6454" spans="6:6" outlineLevel="1">
      <c r="F6454"/>
    </row>
    <row r="6455" spans="6:6" outlineLevel="1">
      <c r="F6455"/>
    </row>
    <row r="6456" spans="6:6" outlineLevel="1">
      <c r="F6456"/>
    </row>
    <row r="6457" spans="6:6" outlineLevel="1">
      <c r="F6457"/>
    </row>
    <row r="6458" spans="6:6" outlineLevel="1">
      <c r="F6458"/>
    </row>
    <row r="6459" spans="6:6" outlineLevel="1">
      <c r="F6459"/>
    </row>
    <row r="6460" spans="6:6" outlineLevel="1">
      <c r="F6460"/>
    </row>
    <row r="6461" spans="6:6" outlineLevel="1">
      <c r="F6461"/>
    </row>
    <row r="6462" spans="6:6" outlineLevel="1">
      <c r="F6462"/>
    </row>
    <row r="6463" spans="6:6" outlineLevel="1">
      <c r="F6463"/>
    </row>
    <row r="6464" spans="6:6" outlineLevel="1">
      <c r="F6464"/>
    </row>
    <row r="6465" spans="6:6" outlineLevel="1">
      <c r="F6465"/>
    </row>
    <row r="6466" spans="6:6" outlineLevel="1">
      <c r="F6466"/>
    </row>
    <row r="6467" spans="6:6" outlineLevel="1">
      <c r="F6467"/>
    </row>
    <row r="6468" spans="6:6" outlineLevel="1">
      <c r="F6468"/>
    </row>
    <row r="6469" spans="6:6" outlineLevel="1">
      <c r="F6469"/>
    </row>
    <row r="6470" spans="6:6" outlineLevel="1">
      <c r="F6470"/>
    </row>
    <row r="6471" spans="6:6" outlineLevel="1">
      <c r="F6471"/>
    </row>
    <row r="6472" spans="6:6" outlineLevel="1">
      <c r="F6472"/>
    </row>
    <row r="6473" spans="6:6" outlineLevel="1">
      <c r="F6473"/>
    </row>
    <row r="6474" spans="6:6" outlineLevel="1">
      <c r="F6474"/>
    </row>
    <row r="6475" spans="6:6" outlineLevel="1">
      <c r="F6475"/>
    </row>
    <row r="6476" spans="6:6" outlineLevel="1">
      <c r="F6476"/>
    </row>
    <row r="6477" spans="6:6" outlineLevel="1">
      <c r="F6477"/>
    </row>
    <row r="6478" spans="6:6" outlineLevel="1">
      <c r="F6478"/>
    </row>
    <row r="6479" spans="6:6" outlineLevel="1">
      <c r="F6479"/>
    </row>
    <row r="6480" spans="6:6" outlineLevel="1">
      <c r="F6480"/>
    </row>
    <row r="6481" spans="6:6" outlineLevel="1">
      <c r="F6481"/>
    </row>
    <row r="6482" spans="6:6" outlineLevel="1">
      <c r="F6482"/>
    </row>
    <row r="6483" spans="6:6" outlineLevel="1">
      <c r="F6483"/>
    </row>
    <row r="6484" spans="6:6" outlineLevel="1">
      <c r="F6484"/>
    </row>
    <row r="6485" spans="6:6" outlineLevel="1">
      <c r="F6485"/>
    </row>
    <row r="6486" spans="6:6" outlineLevel="1">
      <c r="F6486"/>
    </row>
    <row r="6487" spans="6:6" outlineLevel="1">
      <c r="F6487"/>
    </row>
    <row r="6488" spans="6:6">
      <c r="F6488"/>
    </row>
    <row r="6489" spans="6:6" outlineLevel="1">
      <c r="F6489"/>
    </row>
    <row r="6490" spans="6:6" outlineLevel="1">
      <c r="F6490"/>
    </row>
    <row r="6491" spans="6:6" outlineLevel="1">
      <c r="F6491"/>
    </row>
    <row r="6492" spans="6:6" outlineLevel="1">
      <c r="F6492"/>
    </row>
    <row r="6493" spans="6:6">
      <c r="F6493"/>
    </row>
    <row r="6494" spans="6:6" outlineLevel="1">
      <c r="F6494"/>
    </row>
    <row r="6495" spans="6:6" outlineLevel="1">
      <c r="F6495"/>
    </row>
    <row r="6496" spans="6:6" outlineLevel="1">
      <c r="F6496"/>
    </row>
    <row r="6497" spans="6:6" outlineLevel="1">
      <c r="F6497"/>
    </row>
    <row r="6498" spans="6:6" outlineLevel="1">
      <c r="F6498"/>
    </row>
    <row r="6499" spans="6:6" outlineLevel="1">
      <c r="F6499"/>
    </row>
    <row r="6500" spans="6:6" outlineLevel="1">
      <c r="F6500"/>
    </row>
    <row r="6501" spans="6:6" outlineLevel="1">
      <c r="F6501"/>
    </row>
    <row r="6502" spans="6:6" outlineLevel="1">
      <c r="F6502"/>
    </row>
    <row r="6503" spans="6:6" outlineLevel="1">
      <c r="F6503"/>
    </row>
    <row r="6504" spans="6:6" outlineLevel="1">
      <c r="F6504"/>
    </row>
    <row r="6505" spans="6:6" outlineLevel="1">
      <c r="F6505"/>
    </row>
    <row r="6506" spans="6:6" outlineLevel="1">
      <c r="F6506"/>
    </row>
    <row r="6507" spans="6:6" outlineLevel="1">
      <c r="F6507"/>
    </row>
    <row r="6508" spans="6:6" outlineLevel="1">
      <c r="F6508"/>
    </row>
    <row r="6509" spans="6:6" outlineLevel="1">
      <c r="F6509"/>
    </row>
    <row r="6510" spans="6:6" outlineLevel="1">
      <c r="F6510"/>
    </row>
    <row r="6511" spans="6:6" outlineLevel="1">
      <c r="F6511"/>
    </row>
    <row r="6512" spans="6:6" outlineLevel="1">
      <c r="F6512"/>
    </row>
    <row r="6513" spans="6:6" outlineLevel="1">
      <c r="F6513"/>
    </row>
    <row r="6514" spans="6:6" outlineLevel="1">
      <c r="F6514"/>
    </row>
    <row r="6515" spans="6:6" outlineLevel="1">
      <c r="F6515"/>
    </row>
    <row r="6516" spans="6:6" outlineLevel="1">
      <c r="F6516"/>
    </row>
    <row r="6517" spans="6:6" outlineLevel="1">
      <c r="F6517"/>
    </row>
    <row r="6518" spans="6:6" outlineLevel="1">
      <c r="F6518"/>
    </row>
    <row r="6519" spans="6:6" outlineLevel="1">
      <c r="F6519"/>
    </row>
    <row r="6520" spans="6:6" outlineLevel="1">
      <c r="F6520"/>
    </row>
    <row r="6521" spans="6:6" outlineLevel="1">
      <c r="F6521"/>
    </row>
    <row r="6522" spans="6:6" outlineLevel="1">
      <c r="F6522"/>
    </row>
    <row r="6523" spans="6:6" outlineLevel="1">
      <c r="F6523"/>
    </row>
    <row r="6524" spans="6:6" outlineLevel="1">
      <c r="F6524"/>
    </row>
    <row r="6525" spans="6:6" outlineLevel="1">
      <c r="F6525"/>
    </row>
    <row r="6526" spans="6:6" outlineLevel="1">
      <c r="F6526"/>
    </row>
    <row r="6527" spans="6:6" outlineLevel="1">
      <c r="F6527"/>
    </row>
    <row r="6528" spans="6:6" outlineLevel="1">
      <c r="F6528"/>
    </row>
    <row r="6529" spans="6:6" outlineLevel="1">
      <c r="F6529"/>
    </row>
    <row r="6530" spans="6:6" outlineLevel="1">
      <c r="F6530"/>
    </row>
    <row r="6531" spans="6:6" outlineLevel="1">
      <c r="F6531"/>
    </row>
    <row r="6532" spans="6:6" outlineLevel="1">
      <c r="F6532"/>
    </row>
    <row r="6533" spans="6:6" outlineLevel="1">
      <c r="F6533"/>
    </row>
    <row r="6534" spans="6:6" outlineLevel="1">
      <c r="F6534"/>
    </row>
    <row r="6535" spans="6:6" outlineLevel="1">
      <c r="F6535"/>
    </row>
    <row r="6536" spans="6:6" outlineLevel="1">
      <c r="F6536"/>
    </row>
    <row r="6537" spans="6:6" outlineLevel="1">
      <c r="F6537"/>
    </row>
    <row r="6538" spans="6:6" outlineLevel="1">
      <c r="F6538"/>
    </row>
    <row r="6539" spans="6:6" outlineLevel="1">
      <c r="F6539"/>
    </row>
    <row r="6540" spans="6:6" outlineLevel="1">
      <c r="F6540"/>
    </row>
    <row r="6541" spans="6:6" outlineLevel="1">
      <c r="F6541"/>
    </row>
    <row r="6542" spans="6:6">
      <c r="F6542"/>
    </row>
    <row r="6543" spans="6:6" outlineLevel="1">
      <c r="F6543"/>
    </row>
    <row r="6544" spans="6:6" outlineLevel="1">
      <c r="F6544"/>
    </row>
    <row r="6545" spans="6:6" outlineLevel="1">
      <c r="F6545"/>
    </row>
    <row r="6546" spans="6:6" outlineLevel="1">
      <c r="F6546"/>
    </row>
    <row r="6547" spans="6:6" outlineLevel="1">
      <c r="F6547"/>
    </row>
    <row r="6548" spans="6:6">
      <c r="F6548"/>
    </row>
    <row r="6549" spans="6:6" outlineLevel="1">
      <c r="F6549"/>
    </row>
    <row r="6550" spans="6:6" outlineLevel="1">
      <c r="F6550"/>
    </row>
    <row r="6551" spans="6:6">
      <c r="F6551"/>
    </row>
    <row r="6552" spans="6:6" outlineLevel="1">
      <c r="F6552"/>
    </row>
    <row r="6553" spans="6:6" outlineLevel="1">
      <c r="F6553"/>
    </row>
    <row r="6554" spans="6:6" outlineLevel="1">
      <c r="F6554"/>
    </row>
    <row r="6555" spans="6:6" outlineLevel="1">
      <c r="F6555"/>
    </row>
    <row r="6556" spans="6:6" outlineLevel="1">
      <c r="F6556"/>
    </row>
    <row r="6557" spans="6:6" outlineLevel="1">
      <c r="F6557"/>
    </row>
    <row r="6558" spans="6:6" outlineLevel="1">
      <c r="F6558"/>
    </row>
    <row r="6559" spans="6:6" outlineLevel="1">
      <c r="F6559"/>
    </row>
    <row r="6560" spans="6:6" outlineLevel="1">
      <c r="F6560"/>
    </row>
    <row r="6561" spans="6:6">
      <c r="F6561"/>
    </row>
    <row r="6562" spans="6:6" outlineLevel="1">
      <c r="F6562"/>
    </row>
    <row r="6563" spans="6:6" outlineLevel="1">
      <c r="F6563"/>
    </row>
    <row r="6564" spans="6:6" outlineLevel="1">
      <c r="F6564"/>
    </row>
    <row r="6565" spans="6:6" outlineLevel="1">
      <c r="F6565"/>
    </row>
    <row r="6566" spans="6:6" outlineLevel="1">
      <c r="F6566"/>
    </row>
    <row r="6567" spans="6:6" outlineLevel="1">
      <c r="F6567"/>
    </row>
    <row r="6568" spans="6:6" outlineLevel="1">
      <c r="F6568"/>
    </row>
    <row r="6569" spans="6:6" outlineLevel="1">
      <c r="F6569"/>
    </row>
    <row r="6570" spans="6:6" outlineLevel="1">
      <c r="F6570"/>
    </row>
    <row r="6571" spans="6:6" outlineLevel="1">
      <c r="F6571"/>
    </row>
    <row r="6572" spans="6:6" outlineLevel="1">
      <c r="F6572"/>
    </row>
    <row r="6573" spans="6:6" outlineLevel="1">
      <c r="F6573"/>
    </row>
    <row r="6574" spans="6:6" outlineLevel="1">
      <c r="F6574"/>
    </row>
    <row r="6575" spans="6:6" outlineLevel="1">
      <c r="F6575"/>
    </row>
    <row r="6576" spans="6:6" outlineLevel="1">
      <c r="F6576"/>
    </row>
    <row r="6577" spans="6:6" outlineLevel="1">
      <c r="F6577"/>
    </row>
    <row r="6578" spans="6:6" outlineLevel="1">
      <c r="F6578"/>
    </row>
    <row r="6579" spans="6:6" outlineLevel="1">
      <c r="F6579"/>
    </row>
    <row r="6580" spans="6:6" outlineLevel="1">
      <c r="F6580"/>
    </row>
    <row r="6581" spans="6:6" outlineLevel="1">
      <c r="F6581"/>
    </row>
    <row r="6582" spans="6:6" outlineLevel="1">
      <c r="F6582"/>
    </row>
    <row r="6583" spans="6:6" outlineLevel="1">
      <c r="F6583"/>
    </row>
    <row r="6584" spans="6:6" outlineLevel="1">
      <c r="F6584"/>
    </row>
    <row r="6585" spans="6:6" outlineLevel="1">
      <c r="F6585"/>
    </row>
    <row r="6586" spans="6:6" outlineLevel="1">
      <c r="F6586"/>
    </row>
    <row r="6587" spans="6:6" outlineLevel="1">
      <c r="F6587"/>
    </row>
    <row r="6588" spans="6:6" outlineLevel="1">
      <c r="F6588"/>
    </row>
    <row r="6589" spans="6:6" outlineLevel="1">
      <c r="F6589"/>
    </row>
    <row r="6590" spans="6:6" outlineLevel="1">
      <c r="F6590"/>
    </row>
    <row r="6591" spans="6:6" outlineLevel="1">
      <c r="F6591"/>
    </row>
    <row r="6592" spans="6:6" outlineLevel="1">
      <c r="F6592"/>
    </row>
    <row r="6593" spans="6:6" outlineLevel="1">
      <c r="F6593"/>
    </row>
    <row r="6594" spans="6:6" outlineLevel="1">
      <c r="F6594"/>
    </row>
    <row r="6595" spans="6:6" outlineLevel="1">
      <c r="F6595"/>
    </row>
    <row r="6596" spans="6:6" outlineLevel="1">
      <c r="F6596"/>
    </row>
    <row r="6597" spans="6:6" outlineLevel="1">
      <c r="F6597"/>
    </row>
    <row r="6598" spans="6:6" outlineLevel="1">
      <c r="F6598"/>
    </row>
    <row r="6599" spans="6:6">
      <c r="F6599"/>
    </row>
    <row r="6600" spans="6:6" outlineLevel="1">
      <c r="F6600"/>
    </row>
    <row r="6601" spans="6:6" outlineLevel="1">
      <c r="F6601"/>
    </row>
    <row r="6602" spans="6:6" outlineLevel="1">
      <c r="F6602"/>
    </row>
    <row r="6603" spans="6:6" outlineLevel="1">
      <c r="F6603"/>
    </row>
    <row r="6604" spans="6:6" outlineLevel="1">
      <c r="F6604"/>
    </row>
    <row r="6605" spans="6:6" outlineLevel="1">
      <c r="F6605"/>
    </row>
    <row r="6606" spans="6:6" outlineLevel="1">
      <c r="F6606"/>
    </row>
    <row r="6607" spans="6:6" outlineLevel="1">
      <c r="F6607"/>
    </row>
    <row r="6608" spans="6:6" outlineLevel="1">
      <c r="F6608"/>
    </row>
    <row r="6609" spans="6:6" outlineLevel="1">
      <c r="F6609"/>
    </row>
    <row r="6610" spans="6:6" outlineLevel="1">
      <c r="F6610"/>
    </row>
    <row r="6611" spans="6:6" outlineLevel="1">
      <c r="F6611"/>
    </row>
    <row r="6612" spans="6:6" outlineLevel="1">
      <c r="F6612"/>
    </row>
    <row r="6613" spans="6:6">
      <c r="F6613"/>
    </row>
    <row r="6614" spans="6:6" outlineLevel="1">
      <c r="F6614"/>
    </row>
    <row r="6615" spans="6:6" outlineLevel="1">
      <c r="F6615"/>
    </row>
    <row r="6616" spans="6:6" outlineLevel="1">
      <c r="F6616"/>
    </row>
    <row r="6617" spans="6:6" outlineLevel="1">
      <c r="F6617"/>
    </row>
    <row r="6618" spans="6:6" outlineLevel="1">
      <c r="F6618"/>
    </row>
    <row r="6619" spans="6:6" outlineLevel="1">
      <c r="F6619"/>
    </row>
    <row r="6620" spans="6:6" outlineLevel="1">
      <c r="F6620"/>
    </row>
    <row r="6621" spans="6:6" outlineLevel="1">
      <c r="F6621"/>
    </row>
    <row r="6622" spans="6:6" outlineLevel="1">
      <c r="F6622"/>
    </row>
    <row r="6623" spans="6:6" outlineLevel="1">
      <c r="F6623"/>
    </row>
    <row r="6624" spans="6:6" outlineLevel="1">
      <c r="F6624"/>
    </row>
    <row r="6625" spans="6:6" outlineLevel="1">
      <c r="F6625"/>
    </row>
    <row r="6626" spans="6:6" outlineLevel="1">
      <c r="F6626"/>
    </row>
    <row r="6627" spans="6:6" outlineLevel="1">
      <c r="F6627"/>
    </row>
    <row r="6628" spans="6:6" outlineLevel="1">
      <c r="F6628"/>
    </row>
    <row r="6629" spans="6:6" outlineLevel="1">
      <c r="F6629"/>
    </row>
    <row r="6630" spans="6:6" outlineLevel="1">
      <c r="F6630"/>
    </row>
    <row r="6631" spans="6:6" outlineLevel="1">
      <c r="F6631"/>
    </row>
    <row r="6632" spans="6:6" outlineLevel="1">
      <c r="F6632"/>
    </row>
    <row r="6633" spans="6:6" outlineLevel="1">
      <c r="F6633"/>
    </row>
    <row r="6634" spans="6:6" outlineLevel="1">
      <c r="F6634"/>
    </row>
    <row r="6635" spans="6:6" outlineLevel="1">
      <c r="F6635"/>
    </row>
    <row r="6636" spans="6:6" outlineLevel="1">
      <c r="F6636"/>
    </row>
    <row r="6637" spans="6:6" outlineLevel="1">
      <c r="F6637"/>
    </row>
    <row r="6638" spans="6:6" outlineLevel="1">
      <c r="F6638"/>
    </row>
    <row r="6639" spans="6:6" outlineLevel="1">
      <c r="F6639"/>
    </row>
    <row r="6640" spans="6:6">
      <c r="F6640"/>
    </row>
    <row r="6641" spans="6:6" outlineLevel="1">
      <c r="F6641"/>
    </row>
    <row r="6642" spans="6:6" outlineLevel="1">
      <c r="F6642"/>
    </row>
    <row r="6643" spans="6:6" outlineLevel="1">
      <c r="F6643"/>
    </row>
    <row r="6644" spans="6:6" outlineLevel="1">
      <c r="F6644"/>
    </row>
    <row r="6645" spans="6:6" outlineLevel="1">
      <c r="F6645"/>
    </row>
    <row r="6646" spans="6:6" outlineLevel="1">
      <c r="F6646"/>
    </row>
    <row r="6647" spans="6:6" outlineLevel="1">
      <c r="F6647"/>
    </row>
    <row r="6648" spans="6:6" outlineLevel="1">
      <c r="F6648"/>
    </row>
    <row r="6649" spans="6:6" outlineLevel="1">
      <c r="F6649"/>
    </row>
    <row r="6650" spans="6:6" outlineLevel="1">
      <c r="F6650"/>
    </row>
    <row r="6651" spans="6:6" outlineLevel="1">
      <c r="F6651"/>
    </row>
    <row r="6652" spans="6:6" outlineLevel="1">
      <c r="F6652"/>
    </row>
    <row r="6653" spans="6:6" outlineLevel="1">
      <c r="F6653"/>
    </row>
    <row r="6654" spans="6:6" outlineLevel="1">
      <c r="F6654"/>
    </row>
    <row r="6655" spans="6:6" outlineLevel="1">
      <c r="F6655"/>
    </row>
    <row r="6656" spans="6:6">
      <c r="F6656"/>
    </row>
    <row r="6657" spans="6:6" outlineLevel="1">
      <c r="F6657"/>
    </row>
    <row r="6658" spans="6:6" outlineLevel="1">
      <c r="F6658"/>
    </row>
    <row r="6659" spans="6:6" outlineLevel="1">
      <c r="F6659"/>
    </row>
    <row r="6660" spans="6:6" outlineLevel="1">
      <c r="F6660"/>
    </row>
    <row r="6661" spans="6:6" outlineLevel="1">
      <c r="F6661"/>
    </row>
    <row r="6662" spans="6:6">
      <c r="F6662"/>
    </row>
    <row r="6663" spans="6:6" outlineLevel="1">
      <c r="F6663"/>
    </row>
    <row r="6664" spans="6:6" outlineLevel="1">
      <c r="F6664"/>
    </row>
    <row r="6665" spans="6:6" outlineLevel="1">
      <c r="F6665"/>
    </row>
    <row r="6666" spans="6:6" outlineLevel="1">
      <c r="F6666"/>
    </row>
    <row r="6667" spans="6:6" outlineLevel="1">
      <c r="F6667"/>
    </row>
    <row r="6668" spans="6:6" outlineLevel="1">
      <c r="F6668"/>
    </row>
    <row r="6669" spans="6:6" outlineLevel="1">
      <c r="F6669"/>
    </row>
    <row r="6670" spans="6:6" outlineLevel="1">
      <c r="F6670"/>
    </row>
    <row r="6671" spans="6:6">
      <c r="F6671"/>
    </row>
    <row r="6672" spans="6:6" outlineLevel="1">
      <c r="F6672"/>
    </row>
    <row r="6673" spans="6:6" outlineLevel="1">
      <c r="F6673"/>
    </row>
    <row r="6674" spans="6:6">
      <c r="F6674"/>
    </row>
    <row r="6675" spans="6:6" outlineLevel="1">
      <c r="F6675"/>
    </row>
    <row r="6676" spans="6:6" outlineLevel="1">
      <c r="F6676"/>
    </row>
    <row r="6677" spans="6:6" outlineLevel="1">
      <c r="F6677"/>
    </row>
    <row r="6678" spans="6:6" outlineLevel="1">
      <c r="F6678"/>
    </row>
    <row r="6679" spans="6:6" outlineLevel="1">
      <c r="F6679"/>
    </row>
    <row r="6680" spans="6:6" outlineLevel="1">
      <c r="F6680"/>
    </row>
    <row r="6681" spans="6:6" outlineLevel="1">
      <c r="F6681"/>
    </row>
    <row r="6682" spans="6:6" outlineLevel="1">
      <c r="F6682"/>
    </row>
    <row r="6683" spans="6:6">
      <c r="F6683"/>
    </row>
    <row r="6684" spans="6:6" outlineLevel="1">
      <c r="F6684"/>
    </row>
    <row r="6685" spans="6:6" outlineLevel="1">
      <c r="F6685"/>
    </row>
    <row r="6686" spans="6:6" outlineLevel="1">
      <c r="F6686"/>
    </row>
    <row r="6687" spans="6:6" outlineLevel="1">
      <c r="F6687"/>
    </row>
    <row r="6688" spans="6:6" outlineLevel="1">
      <c r="F6688"/>
    </row>
    <row r="6689" spans="6:6" outlineLevel="1">
      <c r="F6689"/>
    </row>
    <row r="6690" spans="6:6" outlineLevel="1">
      <c r="F6690"/>
    </row>
    <row r="6691" spans="6:6" outlineLevel="1">
      <c r="F6691"/>
    </row>
    <row r="6692" spans="6:6" outlineLevel="1">
      <c r="F6692"/>
    </row>
    <row r="6693" spans="6:6" outlineLevel="1">
      <c r="F6693"/>
    </row>
    <row r="6694" spans="6:6" outlineLevel="1">
      <c r="F6694"/>
    </row>
    <row r="6695" spans="6:6" outlineLevel="1">
      <c r="F6695"/>
    </row>
    <row r="6696" spans="6:6" outlineLevel="1">
      <c r="F6696"/>
    </row>
    <row r="6697" spans="6:6" outlineLevel="1">
      <c r="F6697"/>
    </row>
    <row r="6698" spans="6:6" outlineLevel="1">
      <c r="F6698"/>
    </row>
    <row r="6699" spans="6:6" outlineLevel="1">
      <c r="F6699"/>
    </row>
    <row r="6700" spans="6:6" outlineLevel="1">
      <c r="F6700"/>
    </row>
    <row r="6701" spans="6:6" outlineLevel="1">
      <c r="F6701"/>
    </row>
    <row r="6702" spans="6:6" outlineLevel="1">
      <c r="F6702"/>
    </row>
    <row r="6703" spans="6:6" outlineLevel="1">
      <c r="F6703"/>
    </row>
    <row r="6704" spans="6:6" outlineLevel="1">
      <c r="F6704"/>
    </row>
    <row r="6705" spans="6:6" outlineLevel="1">
      <c r="F6705"/>
    </row>
    <row r="6706" spans="6:6" outlineLevel="1">
      <c r="F6706"/>
    </row>
    <row r="6707" spans="6:6" outlineLevel="1">
      <c r="F6707"/>
    </row>
    <row r="6708" spans="6:6" outlineLevel="1">
      <c r="F6708"/>
    </row>
    <row r="6709" spans="6:6" outlineLevel="1">
      <c r="F6709"/>
    </row>
    <row r="6710" spans="6:6" outlineLevel="1">
      <c r="F6710"/>
    </row>
    <row r="6711" spans="6:6" outlineLevel="1">
      <c r="F6711"/>
    </row>
    <row r="6712" spans="6:6" outlineLevel="1">
      <c r="F6712"/>
    </row>
    <row r="6713" spans="6:6" outlineLevel="1">
      <c r="F6713"/>
    </row>
    <row r="6714" spans="6:6" outlineLevel="1">
      <c r="F6714"/>
    </row>
    <row r="6715" spans="6:6" outlineLevel="1">
      <c r="F6715"/>
    </row>
    <row r="6716" spans="6:6" outlineLevel="1">
      <c r="F6716"/>
    </row>
    <row r="6717" spans="6:6" outlineLevel="1">
      <c r="F6717"/>
    </row>
    <row r="6718" spans="6:6" outlineLevel="1">
      <c r="F6718"/>
    </row>
    <row r="6719" spans="6:6" outlineLevel="1">
      <c r="F6719"/>
    </row>
    <row r="6720" spans="6:6" outlineLevel="1">
      <c r="F6720"/>
    </row>
    <row r="6721" spans="6:6" outlineLevel="1">
      <c r="F6721"/>
    </row>
    <row r="6722" spans="6:6" outlineLevel="1">
      <c r="F6722"/>
    </row>
    <row r="6723" spans="6:6" outlineLevel="1">
      <c r="F6723"/>
    </row>
    <row r="6724" spans="6:6" outlineLevel="1">
      <c r="F6724"/>
    </row>
    <row r="6725" spans="6:6" outlineLevel="1">
      <c r="F6725"/>
    </row>
    <row r="6726" spans="6:6" outlineLevel="1">
      <c r="F6726"/>
    </row>
    <row r="6727" spans="6:6" outlineLevel="1">
      <c r="F6727"/>
    </row>
    <row r="6728" spans="6:6" outlineLevel="1">
      <c r="F6728"/>
    </row>
    <row r="6729" spans="6:6" outlineLevel="1">
      <c r="F6729"/>
    </row>
    <row r="6730" spans="6:6" outlineLevel="1">
      <c r="F6730"/>
    </row>
    <row r="6731" spans="6:6" outlineLevel="1">
      <c r="F6731"/>
    </row>
    <row r="6732" spans="6:6" outlineLevel="1">
      <c r="F6732"/>
    </row>
    <row r="6733" spans="6:6" outlineLevel="1">
      <c r="F6733"/>
    </row>
    <row r="6734" spans="6:6" outlineLevel="1">
      <c r="F6734"/>
    </row>
    <row r="6735" spans="6:6" outlineLevel="1">
      <c r="F6735"/>
    </row>
    <row r="6736" spans="6:6" outlineLevel="1">
      <c r="F6736"/>
    </row>
    <row r="6737" spans="6:6" outlineLevel="1">
      <c r="F6737"/>
    </row>
    <row r="6738" spans="6:6" outlineLevel="1">
      <c r="F6738"/>
    </row>
    <row r="6739" spans="6:6" outlineLevel="1">
      <c r="F6739"/>
    </row>
    <row r="6740" spans="6:6" outlineLevel="1">
      <c r="F6740"/>
    </row>
    <row r="6741" spans="6:6" outlineLevel="1">
      <c r="F6741"/>
    </row>
    <row r="6742" spans="6:6" outlineLevel="1">
      <c r="F6742"/>
    </row>
    <row r="6743" spans="6:6" outlineLevel="1">
      <c r="F6743"/>
    </row>
    <row r="6744" spans="6:6" outlineLevel="1">
      <c r="F6744"/>
    </row>
    <row r="6745" spans="6:6" outlineLevel="1">
      <c r="F6745"/>
    </row>
    <row r="6746" spans="6:6" outlineLevel="1">
      <c r="F6746"/>
    </row>
    <row r="6747" spans="6:6" outlineLevel="1">
      <c r="F6747"/>
    </row>
    <row r="6748" spans="6:6" outlineLevel="1">
      <c r="F6748"/>
    </row>
    <row r="6749" spans="6:6">
      <c r="F6749"/>
    </row>
    <row r="6750" spans="6:6" outlineLevel="1">
      <c r="F6750"/>
    </row>
    <row r="6751" spans="6:6" outlineLevel="1">
      <c r="F6751"/>
    </row>
    <row r="6752" spans="6:6" outlineLevel="1">
      <c r="F6752"/>
    </row>
    <row r="6753" spans="6:6" outlineLevel="1">
      <c r="F6753"/>
    </row>
    <row r="6754" spans="6:6" outlineLevel="1">
      <c r="F6754"/>
    </row>
    <row r="6755" spans="6:6" outlineLevel="1">
      <c r="F6755"/>
    </row>
    <row r="6756" spans="6:6" outlineLevel="1">
      <c r="F6756"/>
    </row>
    <row r="6757" spans="6:6" outlineLevel="1">
      <c r="F6757"/>
    </row>
    <row r="6758" spans="6:6" outlineLevel="1">
      <c r="F6758"/>
    </row>
    <row r="6759" spans="6:6" outlineLevel="1">
      <c r="F6759"/>
    </row>
    <row r="6760" spans="6:6">
      <c r="F6760"/>
    </row>
    <row r="6761" spans="6:6" outlineLevel="1">
      <c r="F6761"/>
    </row>
    <row r="6762" spans="6:6" outlineLevel="1">
      <c r="F6762"/>
    </row>
    <row r="6763" spans="6:6" outlineLevel="1">
      <c r="F6763"/>
    </row>
    <row r="6764" spans="6:6">
      <c r="F6764"/>
    </row>
    <row r="6765" spans="6:6" outlineLevel="1">
      <c r="F6765"/>
    </row>
    <row r="6766" spans="6:6" outlineLevel="1">
      <c r="F6766"/>
    </row>
    <row r="6767" spans="6:6" outlineLevel="1">
      <c r="F6767"/>
    </row>
    <row r="6768" spans="6:6">
      <c r="F6768"/>
    </row>
    <row r="6769" spans="6:6" outlineLevel="1">
      <c r="F6769"/>
    </row>
    <row r="6770" spans="6:6">
      <c r="F6770"/>
    </row>
    <row r="6771" spans="6:6" outlineLevel="1">
      <c r="F6771"/>
    </row>
    <row r="6772" spans="6:6" outlineLevel="1">
      <c r="F6772"/>
    </row>
    <row r="6773" spans="6:6" outlineLevel="1">
      <c r="F6773"/>
    </row>
    <row r="6774" spans="6:6" outlineLevel="1">
      <c r="F6774"/>
    </row>
    <row r="6775" spans="6:6" outlineLevel="1">
      <c r="F6775"/>
    </row>
    <row r="6776" spans="6:6" outlineLevel="1">
      <c r="F6776"/>
    </row>
    <row r="6777" spans="6:6" outlineLevel="1">
      <c r="F6777"/>
    </row>
    <row r="6778" spans="6:6" outlineLevel="1">
      <c r="F6778"/>
    </row>
    <row r="6779" spans="6:6" outlineLevel="1">
      <c r="F6779"/>
    </row>
    <row r="6780" spans="6:6" outlineLevel="1">
      <c r="F6780"/>
    </row>
    <row r="6781" spans="6:6" outlineLevel="1">
      <c r="F6781"/>
    </row>
    <row r="6782" spans="6:6" outlineLevel="1">
      <c r="F6782"/>
    </row>
    <row r="6783" spans="6:6" outlineLevel="1">
      <c r="F6783"/>
    </row>
    <row r="6784" spans="6:6" outlineLevel="1">
      <c r="F6784"/>
    </row>
    <row r="6785" spans="6:6">
      <c r="F6785"/>
    </row>
    <row r="6786" spans="6:6" outlineLevel="1">
      <c r="F6786"/>
    </row>
    <row r="6787" spans="6:6" outlineLevel="1">
      <c r="F6787"/>
    </row>
    <row r="6788" spans="6:6" outlineLevel="1">
      <c r="F6788"/>
    </row>
    <row r="6789" spans="6:6" outlineLevel="1">
      <c r="F6789"/>
    </row>
    <row r="6790" spans="6:6" outlineLevel="1">
      <c r="F6790"/>
    </row>
    <row r="6791" spans="6:6" outlineLevel="1">
      <c r="F6791"/>
    </row>
    <row r="6792" spans="6:6" outlineLevel="1">
      <c r="F6792"/>
    </row>
    <row r="6793" spans="6:6" outlineLevel="1">
      <c r="F6793"/>
    </row>
    <row r="6794" spans="6:6" outlineLevel="1">
      <c r="F6794"/>
    </row>
    <row r="6795" spans="6:6" outlineLevel="1">
      <c r="F6795"/>
    </row>
    <row r="6796" spans="6:6" outlineLevel="1">
      <c r="F6796"/>
    </row>
    <row r="6797" spans="6:6" outlineLevel="1">
      <c r="F6797"/>
    </row>
    <row r="6798" spans="6:6" outlineLevel="1">
      <c r="F6798"/>
    </row>
    <row r="6799" spans="6:6" outlineLevel="1">
      <c r="F6799"/>
    </row>
    <row r="6800" spans="6:6" outlineLevel="1">
      <c r="F6800"/>
    </row>
    <row r="6801" spans="6:6" outlineLevel="1">
      <c r="F6801"/>
    </row>
    <row r="6802" spans="6:6" outlineLevel="1">
      <c r="F6802"/>
    </row>
    <row r="6803" spans="6:6" outlineLevel="1">
      <c r="F6803"/>
    </row>
    <row r="6804" spans="6:6" outlineLevel="1">
      <c r="F6804"/>
    </row>
    <row r="6805" spans="6:6" outlineLevel="1">
      <c r="F6805"/>
    </row>
    <row r="6806" spans="6:6" outlineLevel="1">
      <c r="F6806"/>
    </row>
    <row r="6807" spans="6:6">
      <c r="F6807"/>
    </row>
    <row r="6808" spans="6:6" outlineLevel="1">
      <c r="F6808"/>
    </row>
    <row r="6809" spans="6:6" outlineLevel="1">
      <c r="F6809"/>
    </row>
    <row r="6810" spans="6:6" outlineLevel="1">
      <c r="F6810"/>
    </row>
    <row r="6811" spans="6:6" outlineLevel="1">
      <c r="F6811"/>
    </row>
    <row r="6812" spans="6:6" outlineLevel="1">
      <c r="F6812"/>
    </row>
    <row r="6813" spans="6:6" outlineLevel="1">
      <c r="F6813"/>
    </row>
    <row r="6814" spans="6:6" outlineLevel="1">
      <c r="F6814"/>
    </row>
    <row r="6815" spans="6:6" outlineLevel="1">
      <c r="F6815"/>
    </row>
    <row r="6816" spans="6:6" outlineLevel="1">
      <c r="F6816"/>
    </row>
    <row r="6817" spans="6:6" outlineLevel="1">
      <c r="F6817"/>
    </row>
    <row r="6818" spans="6:6" outlineLevel="1">
      <c r="F6818"/>
    </row>
    <row r="6819" spans="6:6" outlineLevel="1">
      <c r="F6819"/>
    </row>
    <row r="6820" spans="6:6" outlineLevel="1">
      <c r="F6820"/>
    </row>
    <row r="6821" spans="6:6" outlineLevel="1">
      <c r="F6821"/>
    </row>
    <row r="6822" spans="6:6" outlineLevel="1">
      <c r="F6822"/>
    </row>
    <row r="6823" spans="6:6" outlineLevel="1">
      <c r="F6823"/>
    </row>
    <row r="6824" spans="6:6" outlineLevel="1">
      <c r="F6824"/>
    </row>
    <row r="6825" spans="6:6" outlineLevel="1">
      <c r="F6825"/>
    </row>
    <row r="6826" spans="6:6" outlineLevel="1">
      <c r="F6826"/>
    </row>
    <row r="6827" spans="6:6" outlineLevel="1">
      <c r="F6827"/>
    </row>
    <row r="6828" spans="6:6" outlineLevel="1">
      <c r="F6828"/>
    </row>
    <row r="6829" spans="6:6" outlineLevel="1">
      <c r="F6829"/>
    </row>
    <row r="6830" spans="6:6" outlineLevel="1">
      <c r="F6830"/>
    </row>
    <row r="6831" spans="6:6" outlineLevel="1">
      <c r="F6831"/>
    </row>
    <row r="6832" spans="6:6" outlineLevel="1">
      <c r="F6832"/>
    </row>
    <row r="6833" spans="6:6" outlineLevel="1">
      <c r="F6833"/>
    </row>
    <row r="6834" spans="6:6" outlineLevel="1">
      <c r="F6834"/>
    </row>
    <row r="6835" spans="6:6" outlineLevel="1">
      <c r="F6835"/>
    </row>
    <row r="6836" spans="6:6" outlineLevel="1">
      <c r="F6836"/>
    </row>
    <row r="6837" spans="6:6" outlineLevel="1">
      <c r="F6837"/>
    </row>
    <row r="6838" spans="6:6" outlineLevel="1">
      <c r="F6838"/>
    </row>
    <row r="6839" spans="6:6" outlineLevel="1">
      <c r="F6839"/>
    </row>
    <row r="6840" spans="6:6" outlineLevel="1">
      <c r="F6840"/>
    </row>
    <row r="6841" spans="6:6" outlineLevel="1">
      <c r="F6841"/>
    </row>
    <row r="6842" spans="6:6" outlineLevel="1">
      <c r="F6842"/>
    </row>
    <row r="6843" spans="6:6" outlineLevel="1">
      <c r="F6843"/>
    </row>
    <row r="6844" spans="6:6" outlineLevel="1">
      <c r="F6844"/>
    </row>
    <row r="6845" spans="6:6" outlineLevel="1">
      <c r="F6845"/>
    </row>
    <row r="6846" spans="6:6" outlineLevel="1">
      <c r="F6846"/>
    </row>
    <row r="6847" spans="6:6" outlineLevel="1">
      <c r="F6847"/>
    </row>
    <row r="6848" spans="6:6" outlineLevel="1">
      <c r="F6848"/>
    </row>
    <row r="6849" spans="6:6" outlineLevel="1">
      <c r="F6849"/>
    </row>
    <row r="6850" spans="6:6" outlineLevel="1">
      <c r="F6850"/>
    </row>
    <row r="6851" spans="6:6" outlineLevel="1">
      <c r="F6851"/>
    </row>
    <row r="6852" spans="6:6" outlineLevel="1">
      <c r="F6852"/>
    </row>
    <row r="6853" spans="6:6" outlineLevel="1">
      <c r="F6853"/>
    </row>
    <row r="6854" spans="6:6" outlineLevel="1">
      <c r="F6854"/>
    </row>
    <row r="6855" spans="6:6" outlineLevel="1">
      <c r="F6855"/>
    </row>
    <row r="6856" spans="6:6" outlineLevel="1">
      <c r="F6856"/>
    </row>
    <row r="6857" spans="6:6" outlineLevel="1">
      <c r="F6857"/>
    </row>
    <row r="6858" spans="6:6" outlineLevel="1">
      <c r="F6858"/>
    </row>
    <row r="6859" spans="6:6" outlineLevel="1">
      <c r="F6859"/>
    </row>
    <row r="6860" spans="6:6" outlineLevel="1">
      <c r="F6860"/>
    </row>
    <row r="6861" spans="6:6" outlineLevel="1">
      <c r="F6861"/>
    </row>
    <row r="6862" spans="6:6" outlineLevel="1">
      <c r="F6862"/>
    </row>
    <row r="6863" spans="6:6" outlineLevel="1">
      <c r="F6863"/>
    </row>
    <row r="6864" spans="6:6" outlineLevel="1">
      <c r="F6864"/>
    </row>
    <row r="6865" spans="6:6" outlineLevel="1">
      <c r="F6865"/>
    </row>
    <row r="6866" spans="6:6" outlineLevel="1">
      <c r="F6866"/>
    </row>
    <row r="6867" spans="6:6" outlineLevel="1">
      <c r="F6867"/>
    </row>
    <row r="6868" spans="6:6" outlineLevel="1">
      <c r="F6868"/>
    </row>
    <row r="6869" spans="6:6" outlineLevel="1">
      <c r="F6869"/>
    </row>
    <row r="6870" spans="6:6" outlineLevel="1">
      <c r="F6870"/>
    </row>
    <row r="6871" spans="6:6" outlineLevel="1">
      <c r="F6871"/>
    </row>
    <row r="6872" spans="6:6" outlineLevel="1">
      <c r="F6872"/>
    </row>
    <row r="6873" spans="6:6" outlineLevel="1">
      <c r="F6873"/>
    </row>
    <row r="6874" spans="6:6" outlineLevel="1">
      <c r="F6874"/>
    </row>
    <row r="6875" spans="6:6" outlineLevel="1">
      <c r="F6875"/>
    </row>
    <row r="6876" spans="6:6" outlineLevel="1">
      <c r="F6876"/>
    </row>
    <row r="6877" spans="6:6" outlineLevel="1">
      <c r="F6877"/>
    </row>
    <row r="6878" spans="6:6" outlineLevel="1">
      <c r="F6878"/>
    </row>
    <row r="6879" spans="6:6" outlineLevel="1">
      <c r="F6879"/>
    </row>
    <row r="6880" spans="6:6" outlineLevel="1">
      <c r="F6880"/>
    </row>
    <row r="6881" spans="6:6" outlineLevel="1">
      <c r="F6881"/>
    </row>
    <row r="6882" spans="6:6" outlineLevel="1">
      <c r="F6882"/>
    </row>
    <row r="6883" spans="6:6" outlineLevel="1">
      <c r="F6883"/>
    </row>
    <row r="6884" spans="6:6" outlineLevel="1">
      <c r="F6884"/>
    </row>
    <row r="6885" spans="6:6" outlineLevel="1">
      <c r="F6885"/>
    </row>
    <row r="6886" spans="6:6" outlineLevel="1">
      <c r="F6886"/>
    </row>
    <row r="6887" spans="6:6" outlineLevel="1">
      <c r="F6887"/>
    </row>
    <row r="6888" spans="6:6" outlineLevel="1">
      <c r="F6888"/>
    </row>
    <row r="6889" spans="6:6" outlineLevel="1">
      <c r="F6889"/>
    </row>
    <row r="6890" spans="6:6" outlineLevel="1">
      <c r="F6890"/>
    </row>
    <row r="6891" spans="6:6" outlineLevel="1">
      <c r="F6891"/>
    </row>
    <row r="6892" spans="6:6" outlineLevel="1">
      <c r="F6892"/>
    </row>
    <row r="6893" spans="6:6" outlineLevel="1">
      <c r="F6893"/>
    </row>
    <row r="6894" spans="6:6" outlineLevel="1">
      <c r="F6894"/>
    </row>
    <row r="6895" spans="6:6" outlineLevel="1">
      <c r="F6895"/>
    </row>
    <row r="6896" spans="6:6" outlineLevel="1">
      <c r="F6896"/>
    </row>
    <row r="6897" spans="6:6" outlineLevel="1">
      <c r="F6897"/>
    </row>
    <row r="6898" spans="6:6" outlineLevel="1">
      <c r="F6898"/>
    </row>
    <row r="6899" spans="6:6" outlineLevel="1">
      <c r="F6899"/>
    </row>
    <row r="6900" spans="6:6" outlineLevel="1">
      <c r="F6900"/>
    </row>
    <row r="6901" spans="6:6" outlineLevel="1">
      <c r="F6901"/>
    </row>
    <row r="6902" spans="6:6" outlineLevel="1">
      <c r="F6902"/>
    </row>
    <row r="6903" spans="6:6" outlineLevel="1">
      <c r="F6903"/>
    </row>
    <row r="6904" spans="6:6" outlineLevel="1">
      <c r="F6904"/>
    </row>
    <row r="6905" spans="6:6" outlineLevel="1">
      <c r="F6905"/>
    </row>
    <row r="6906" spans="6:6" outlineLevel="1">
      <c r="F6906"/>
    </row>
    <row r="6907" spans="6:6" outlineLevel="1">
      <c r="F6907"/>
    </row>
    <row r="6908" spans="6:6" outlineLevel="1">
      <c r="F6908"/>
    </row>
    <row r="6909" spans="6:6" outlineLevel="1">
      <c r="F6909"/>
    </row>
    <row r="6910" spans="6:6" outlineLevel="1">
      <c r="F6910"/>
    </row>
    <row r="6911" spans="6:6" outlineLevel="1">
      <c r="F6911"/>
    </row>
    <row r="6912" spans="6:6" outlineLevel="1">
      <c r="F6912"/>
    </row>
    <row r="6913" spans="6:6" outlineLevel="1">
      <c r="F6913"/>
    </row>
    <row r="6914" spans="6:6" outlineLevel="1">
      <c r="F6914"/>
    </row>
    <row r="6915" spans="6:6" outlineLevel="1">
      <c r="F6915"/>
    </row>
    <row r="6916" spans="6:6" outlineLevel="1">
      <c r="F6916"/>
    </row>
    <row r="6917" spans="6:6" outlineLevel="1">
      <c r="F6917"/>
    </row>
    <row r="6918" spans="6:6" outlineLevel="1">
      <c r="F6918"/>
    </row>
    <row r="6919" spans="6:6" outlineLevel="1">
      <c r="F6919"/>
    </row>
    <row r="6920" spans="6:6" outlineLevel="1">
      <c r="F6920"/>
    </row>
    <row r="6921" spans="6:6" outlineLevel="1">
      <c r="F6921"/>
    </row>
    <row r="6922" spans="6:6" outlineLevel="1">
      <c r="F6922"/>
    </row>
    <row r="6923" spans="6:6" outlineLevel="1">
      <c r="F6923"/>
    </row>
    <row r="6924" spans="6:6" outlineLevel="1">
      <c r="F6924"/>
    </row>
    <row r="6925" spans="6:6" outlineLevel="1">
      <c r="F6925"/>
    </row>
    <row r="6926" spans="6:6" outlineLevel="1">
      <c r="F6926"/>
    </row>
    <row r="6927" spans="6:6" outlineLevel="1">
      <c r="F6927"/>
    </row>
    <row r="6928" spans="6:6" outlineLevel="1">
      <c r="F6928"/>
    </row>
    <row r="6929" spans="6:6" outlineLevel="1">
      <c r="F6929"/>
    </row>
    <row r="6930" spans="6:6" outlineLevel="1">
      <c r="F6930"/>
    </row>
    <row r="6931" spans="6:6" outlineLevel="1">
      <c r="F6931"/>
    </row>
    <row r="6932" spans="6:6" outlineLevel="1">
      <c r="F6932"/>
    </row>
    <row r="6933" spans="6:6" outlineLevel="1">
      <c r="F6933"/>
    </row>
    <row r="6934" spans="6:6" outlineLevel="1">
      <c r="F6934"/>
    </row>
    <row r="6935" spans="6:6" outlineLevel="1">
      <c r="F6935"/>
    </row>
    <row r="6936" spans="6:6" outlineLevel="1">
      <c r="F6936"/>
    </row>
    <row r="6937" spans="6:6">
      <c r="F6937"/>
    </row>
    <row r="6938" spans="6:6" outlineLevel="1">
      <c r="F6938"/>
    </row>
    <row r="6939" spans="6:6" outlineLevel="1">
      <c r="F6939"/>
    </row>
    <row r="6940" spans="6:6" outlineLevel="1">
      <c r="F6940"/>
    </row>
    <row r="6941" spans="6:6" outlineLevel="1">
      <c r="F6941"/>
    </row>
    <row r="6942" spans="6:6">
      <c r="F6942"/>
    </row>
    <row r="6943" spans="6:6" outlineLevel="1">
      <c r="F6943"/>
    </row>
    <row r="6944" spans="6:6" outlineLevel="1">
      <c r="F6944"/>
    </row>
    <row r="6945" spans="6:6">
      <c r="F6945"/>
    </row>
    <row r="6946" spans="6:6" outlineLevel="1">
      <c r="F6946"/>
    </row>
    <row r="6947" spans="6:6" outlineLevel="1">
      <c r="F6947"/>
    </row>
    <row r="6948" spans="6:6" outlineLevel="1">
      <c r="F6948"/>
    </row>
    <row r="6949" spans="6:6" outlineLevel="1">
      <c r="F6949"/>
    </row>
    <row r="6950" spans="6:6" outlineLevel="1">
      <c r="F6950"/>
    </row>
    <row r="6951" spans="6:6">
      <c r="F6951"/>
    </row>
    <row r="6952" spans="6:6" outlineLevel="1">
      <c r="F6952"/>
    </row>
    <row r="6953" spans="6:6" outlineLevel="1">
      <c r="F6953"/>
    </row>
    <row r="6954" spans="6:6">
      <c r="F6954"/>
    </row>
    <row r="6955" spans="6:6" outlineLevel="1">
      <c r="F6955"/>
    </row>
    <row r="6956" spans="6:6" outlineLevel="1">
      <c r="F6956"/>
    </row>
    <row r="6957" spans="6:6" outlineLevel="1">
      <c r="F6957"/>
    </row>
    <row r="6958" spans="6:6" outlineLevel="1">
      <c r="F6958"/>
    </row>
    <row r="6959" spans="6:6" outlineLevel="1">
      <c r="F6959"/>
    </row>
    <row r="6960" spans="6:6" outlineLevel="1">
      <c r="F6960"/>
    </row>
    <row r="6961" spans="6:6" outlineLevel="1">
      <c r="F6961"/>
    </row>
    <row r="6962" spans="6:6" outlineLevel="1">
      <c r="F6962"/>
    </row>
    <row r="6963" spans="6:6" outlineLevel="1">
      <c r="F6963"/>
    </row>
    <row r="6964" spans="6:6" outlineLevel="1">
      <c r="F6964"/>
    </row>
    <row r="6965" spans="6:6" outlineLevel="1">
      <c r="F6965"/>
    </row>
    <row r="6966" spans="6:6" outlineLevel="1">
      <c r="F6966"/>
    </row>
    <row r="6967" spans="6:6" outlineLevel="1">
      <c r="F6967"/>
    </row>
    <row r="6968" spans="6:6">
      <c r="F6968"/>
    </row>
    <row r="6969" spans="6:6" outlineLevel="1">
      <c r="F6969"/>
    </row>
    <row r="6970" spans="6:6" outlineLevel="1">
      <c r="F6970"/>
    </row>
    <row r="6971" spans="6:6" outlineLevel="1">
      <c r="F6971"/>
    </row>
    <row r="6972" spans="6:6" outlineLevel="1">
      <c r="F6972"/>
    </row>
    <row r="6973" spans="6:6" outlineLevel="1">
      <c r="F6973"/>
    </row>
    <row r="6974" spans="6:6" outlineLevel="1">
      <c r="F6974"/>
    </row>
    <row r="6975" spans="6:6" outlineLevel="1">
      <c r="F6975"/>
    </row>
    <row r="6976" spans="6:6" outlineLevel="1">
      <c r="F6976"/>
    </row>
    <row r="6977" spans="6:6" outlineLevel="1">
      <c r="F6977"/>
    </row>
    <row r="6978" spans="6:6" outlineLevel="1">
      <c r="F6978"/>
    </row>
    <row r="6979" spans="6:6" outlineLevel="1">
      <c r="F6979"/>
    </row>
    <row r="6980" spans="6:6" outlineLevel="1">
      <c r="F6980"/>
    </row>
    <row r="6981" spans="6:6" outlineLevel="1">
      <c r="F6981"/>
    </row>
    <row r="6982" spans="6:6" outlineLevel="1">
      <c r="F6982"/>
    </row>
    <row r="6983" spans="6:6">
      <c r="F6983"/>
    </row>
    <row r="6984" spans="6:6" outlineLevel="1">
      <c r="F6984"/>
    </row>
    <row r="6985" spans="6:6" outlineLevel="1">
      <c r="F6985"/>
    </row>
    <row r="6986" spans="6:6" outlineLevel="1">
      <c r="F6986"/>
    </row>
    <row r="6987" spans="6:6" outlineLevel="1">
      <c r="F6987"/>
    </row>
    <row r="6988" spans="6:6" outlineLevel="1">
      <c r="F6988"/>
    </row>
    <row r="6989" spans="6:6">
      <c r="F6989"/>
    </row>
    <row r="6990" spans="6:6" outlineLevel="1">
      <c r="F6990"/>
    </row>
    <row r="6991" spans="6:6" outlineLevel="1">
      <c r="F6991"/>
    </row>
    <row r="6992" spans="6:6" outlineLevel="1">
      <c r="F6992"/>
    </row>
    <row r="6993" spans="6:6" outlineLevel="1">
      <c r="F6993"/>
    </row>
    <row r="6994" spans="6:6" outlineLevel="1">
      <c r="F6994"/>
    </row>
    <row r="6995" spans="6:6" outlineLevel="1">
      <c r="F6995"/>
    </row>
    <row r="6996" spans="6:6" outlineLevel="1">
      <c r="F6996"/>
    </row>
    <row r="6997" spans="6:6" outlineLevel="1">
      <c r="F6997"/>
    </row>
    <row r="6998" spans="6:6" outlineLevel="1">
      <c r="F6998"/>
    </row>
    <row r="6999" spans="6:6" outlineLevel="1">
      <c r="F6999"/>
    </row>
    <row r="7000" spans="6:6" outlineLevel="1">
      <c r="F7000"/>
    </row>
    <row r="7001" spans="6:6" outlineLevel="1">
      <c r="F7001"/>
    </row>
    <row r="7002" spans="6:6" outlineLevel="1">
      <c r="F7002"/>
    </row>
    <row r="7003" spans="6:6" outlineLevel="1">
      <c r="F7003"/>
    </row>
    <row r="7004" spans="6:6" outlineLevel="1">
      <c r="F7004"/>
    </row>
    <row r="7005" spans="6:6" outlineLevel="1">
      <c r="F7005"/>
    </row>
    <row r="7006" spans="6:6" outlineLevel="1">
      <c r="F7006"/>
    </row>
    <row r="7007" spans="6:6" outlineLevel="1">
      <c r="F7007"/>
    </row>
    <row r="7008" spans="6:6" outlineLevel="1">
      <c r="F7008"/>
    </row>
    <row r="7009" spans="6:6" outlineLevel="1">
      <c r="F7009"/>
    </row>
    <row r="7010" spans="6:6" outlineLevel="1">
      <c r="F7010"/>
    </row>
    <row r="7011" spans="6:6" outlineLevel="1">
      <c r="F7011"/>
    </row>
    <row r="7012" spans="6:6" outlineLevel="1">
      <c r="F7012"/>
    </row>
    <row r="7013" spans="6:6" outlineLevel="1">
      <c r="F7013"/>
    </row>
    <row r="7014" spans="6:6" outlineLevel="1">
      <c r="F7014"/>
    </row>
    <row r="7015" spans="6:6">
      <c r="F7015"/>
    </row>
    <row r="7016" spans="6:6" outlineLevel="1">
      <c r="F7016"/>
    </row>
    <row r="7017" spans="6:6" outlineLevel="1">
      <c r="F7017"/>
    </row>
    <row r="7018" spans="6:6" outlineLevel="1">
      <c r="F7018"/>
    </row>
    <row r="7019" spans="6:6" outlineLevel="1">
      <c r="F7019"/>
    </row>
    <row r="7020" spans="6:6" outlineLevel="1">
      <c r="F7020"/>
    </row>
    <row r="7021" spans="6:6" outlineLevel="1">
      <c r="F7021"/>
    </row>
    <row r="7022" spans="6:6" outlineLevel="1">
      <c r="F7022"/>
    </row>
    <row r="7023" spans="6:6" outlineLevel="1">
      <c r="F7023"/>
    </row>
    <row r="7024" spans="6:6" outlineLevel="1">
      <c r="F7024"/>
    </row>
    <row r="7025" spans="6:6" outlineLevel="1">
      <c r="F7025"/>
    </row>
    <row r="7026" spans="6:6" outlineLevel="1">
      <c r="F7026"/>
    </row>
    <row r="7027" spans="6:6" outlineLevel="1">
      <c r="F7027"/>
    </row>
    <row r="7028" spans="6:6" outlineLevel="1">
      <c r="F7028"/>
    </row>
    <row r="7029" spans="6:6" outlineLevel="1">
      <c r="F7029"/>
    </row>
    <row r="7030" spans="6:6" outlineLevel="1">
      <c r="F7030"/>
    </row>
    <row r="7031" spans="6:6" outlineLevel="1">
      <c r="F7031"/>
    </row>
    <row r="7032" spans="6:6" outlineLevel="1">
      <c r="F7032"/>
    </row>
    <row r="7033" spans="6:6" outlineLevel="1">
      <c r="F7033"/>
    </row>
    <row r="7034" spans="6:6" outlineLevel="1">
      <c r="F7034"/>
    </row>
    <row r="7035" spans="6:6" outlineLevel="1">
      <c r="F7035"/>
    </row>
    <row r="7036" spans="6:6" outlineLevel="1">
      <c r="F7036"/>
    </row>
    <row r="7037" spans="6:6" outlineLevel="1">
      <c r="F7037"/>
    </row>
    <row r="7038" spans="6:6" outlineLevel="1">
      <c r="F7038"/>
    </row>
    <row r="7039" spans="6:6" outlineLevel="1">
      <c r="F7039"/>
    </row>
    <row r="7040" spans="6:6" outlineLevel="1">
      <c r="F7040"/>
    </row>
    <row r="7041" spans="6:6" outlineLevel="1">
      <c r="F7041"/>
    </row>
    <row r="7042" spans="6:6" outlineLevel="1">
      <c r="F7042"/>
    </row>
    <row r="7043" spans="6:6" outlineLevel="1">
      <c r="F7043"/>
    </row>
    <row r="7044" spans="6:6" outlineLevel="1">
      <c r="F7044"/>
    </row>
    <row r="7045" spans="6:6" outlineLevel="1">
      <c r="F7045"/>
    </row>
    <row r="7046" spans="6:6" outlineLevel="1">
      <c r="F7046"/>
    </row>
    <row r="7047" spans="6:6" outlineLevel="1">
      <c r="F7047"/>
    </row>
    <row r="7048" spans="6:6" outlineLevel="1">
      <c r="F7048"/>
    </row>
    <row r="7049" spans="6:6" outlineLevel="1">
      <c r="F7049"/>
    </row>
    <row r="7050" spans="6:6" outlineLevel="1">
      <c r="F7050"/>
    </row>
    <row r="7051" spans="6:6" outlineLevel="1">
      <c r="F7051"/>
    </row>
    <row r="7052" spans="6:6" outlineLevel="1">
      <c r="F7052"/>
    </row>
    <row r="7053" spans="6:6" outlineLevel="1">
      <c r="F7053"/>
    </row>
    <row r="7054" spans="6:6" outlineLevel="1">
      <c r="F7054"/>
    </row>
    <row r="7055" spans="6:6" outlineLevel="1">
      <c r="F7055"/>
    </row>
    <row r="7056" spans="6:6">
      <c r="F7056"/>
    </row>
    <row r="7057" spans="6:6" outlineLevel="1">
      <c r="F7057"/>
    </row>
    <row r="7058" spans="6:6" outlineLevel="1">
      <c r="F7058"/>
    </row>
    <row r="7059" spans="6:6" outlineLevel="1">
      <c r="F7059"/>
    </row>
    <row r="7060" spans="6:6" outlineLevel="1">
      <c r="F7060"/>
    </row>
    <row r="7061" spans="6:6" outlineLevel="1">
      <c r="F7061"/>
    </row>
    <row r="7062" spans="6:6" outlineLevel="1">
      <c r="F7062"/>
    </row>
    <row r="7063" spans="6:6" outlineLevel="1">
      <c r="F7063"/>
    </row>
    <row r="7064" spans="6:6" outlineLevel="1">
      <c r="F7064"/>
    </row>
    <row r="7065" spans="6:6" outlineLevel="1">
      <c r="F7065"/>
    </row>
    <row r="7066" spans="6:6" outlineLevel="1">
      <c r="F7066"/>
    </row>
    <row r="7067" spans="6:6" outlineLevel="1">
      <c r="F7067"/>
    </row>
    <row r="7068" spans="6:6" outlineLevel="1">
      <c r="F7068"/>
    </row>
    <row r="7069" spans="6:6" outlineLevel="1">
      <c r="F7069"/>
    </row>
    <row r="7070" spans="6:6" outlineLevel="1">
      <c r="F7070"/>
    </row>
    <row r="7071" spans="6:6" outlineLevel="1">
      <c r="F7071"/>
    </row>
    <row r="7072" spans="6:6" outlineLevel="1">
      <c r="F7072"/>
    </row>
    <row r="7073" spans="6:6" outlineLevel="1">
      <c r="F7073"/>
    </row>
    <row r="7074" spans="6:6" outlineLevel="1">
      <c r="F7074"/>
    </row>
    <row r="7075" spans="6:6" outlineLevel="1">
      <c r="F7075"/>
    </row>
    <row r="7076" spans="6:6" outlineLevel="1">
      <c r="F7076"/>
    </row>
    <row r="7077" spans="6:6" outlineLevel="1">
      <c r="F7077"/>
    </row>
    <row r="7078" spans="6:6" outlineLevel="1">
      <c r="F7078"/>
    </row>
    <row r="7079" spans="6:6" outlineLevel="1">
      <c r="F7079"/>
    </row>
    <row r="7080" spans="6:6" outlineLevel="1">
      <c r="F7080"/>
    </row>
    <row r="7081" spans="6:6" outlineLevel="1">
      <c r="F7081"/>
    </row>
    <row r="7082" spans="6:6" outlineLevel="1">
      <c r="F7082"/>
    </row>
    <row r="7083" spans="6:6" outlineLevel="1">
      <c r="F7083"/>
    </row>
    <row r="7084" spans="6:6" outlineLevel="1">
      <c r="F7084"/>
    </row>
    <row r="7085" spans="6:6" outlineLevel="1">
      <c r="F7085"/>
    </row>
    <row r="7086" spans="6:6" outlineLevel="1">
      <c r="F7086"/>
    </row>
    <row r="7087" spans="6:6" outlineLevel="1">
      <c r="F7087"/>
    </row>
    <row r="7088" spans="6:6" outlineLevel="1">
      <c r="F7088"/>
    </row>
    <row r="7089" spans="6:6" outlineLevel="1">
      <c r="F7089"/>
    </row>
    <row r="7090" spans="6:6" outlineLevel="1">
      <c r="F7090"/>
    </row>
    <row r="7091" spans="6:6">
      <c r="F7091"/>
    </row>
    <row r="7092" spans="6:6" outlineLevel="1">
      <c r="F7092"/>
    </row>
    <row r="7093" spans="6:6" outlineLevel="1">
      <c r="F7093"/>
    </row>
    <row r="7094" spans="6:6" outlineLevel="1">
      <c r="F7094"/>
    </row>
    <row r="7095" spans="6:6" outlineLevel="1">
      <c r="F7095"/>
    </row>
    <row r="7096" spans="6:6" outlineLevel="1">
      <c r="F7096"/>
    </row>
    <row r="7097" spans="6:6" outlineLevel="1">
      <c r="F7097"/>
    </row>
    <row r="7098" spans="6:6" outlineLevel="1">
      <c r="F7098"/>
    </row>
    <row r="7099" spans="6:6" outlineLevel="1">
      <c r="F7099"/>
    </row>
    <row r="7100" spans="6:6" outlineLevel="1">
      <c r="F7100"/>
    </row>
    <row r="7101" spans="6:6" outlineLevel="1">
      <c r="F7101"/>
    </row>
    <row r="7102" spans="6:6" outlineLevel="1">
      <c r="F7102"/>
    </row>
    <row r="7103" spans="6:6" outlineLevel="1">
      <c r="F7103"/>
    </row>
    <row r="7104" spans="6:6" outlineLevel="1">
      <c r="F7104"/>
    </row>
    <row r="7105" spans="6:6" outlineLevel="1">
      <c r="F7105"/>
    </row>
    <row r="7106" spans="6:6" outlineLevel="1">
      <c r="F7106"/>
    </row>
    <row r="7107" spans="6:6" outlineLevel="1">
      <c r="F7107"/>
    </row>
    <row r="7108" spans="6:6" outlineLevel="1">
      <c r="F7108"/>
    </row>
    <row r="7109" spans="6:6" outlineLevel="1">
      <c r="F7109"/>
    </row>
    <row r="7110" spans="6:6" outlineLevel="1">
      <c r="F7110"/>
    </row>
    <row r="7111" spans="6:6" outlineLevel="1">
      <c r="F7111"/>
    </row>
    <row r="7112" spans="6:6" outlineLevel="1">
      <c r="F7112"/>
    </row>
    <row r="7113" spans="6:6" outlineLevel="1">
      <c r="F7113"/>
    </row>
    <row r="7114" spans="6:6">
      <c r="F7114"/>
    </row>
    <row r="7115" spans="6:6" outlineLevel="1">
      <c r="F7115"/>
    </row>
    <row r="7116" spans="6:6" outlineLevel="1">
      <c r="F7116"/>
    </row>
    <row r="7117" spans="6:6" outlineLevel="1">
      <c r="F7117"/>
    </row>
    <row r="7118" spans="6:6" outlineLevel="1">
      <c r="F7118"/>
    </row>
    <row r="7119" spans="6:6" outlineLevel="1">
      <c r="F7119"/>
    </row>
    <row r="7120" spans="6:6" outlineLevel="1">
      <c r="F7120"/>
    </row>
    <row r="7121" spans="6:6" outlineLevel="1">
      <c r="F7121"/>
    </row>
    <row r="7122" spans="6:6" outlineLevel="1">
      <c r="F7122"/>
    </row>
    <row r="7123" spans="6:6" outlineLevel="1">
      <c r="F7123"/>
    </row>
    <row r="7124" spans="6:6" outlineLevel="1">
      <c r="F7124"/>
    </row>
    <row r="7125" spans="6:6" outlineLevel="1">
      <c r="F7125"/>
    </row>
    <row r="7126" spans="6:6" outlineLevel="1">
      <c r="F7126"/>
    </row>
    <row r="7127" spans="6:6" outlineLevel="1">
      <c r="F7127"/>
    </row>
    <row r="7128" spans="6:6" outlineLevel="1">
      <c r="F7128"/>
    </row>
    <row r="7129" spans="6:6" outlineLevel="1">
      <c r="F7129"/>
    </row>
    <row r="7130" spans="6:6" outlineLevel="1">
      <c r="F7130"/>
    </row>
    <row r="7131" spans="6:6" outlineLevel="1">
      <c r="F7131"/>
    </row>
    <row r="7132" spans="6:6" outlineLevel="1">
      <c r="F7132"/>
    </row>
    <row r="7133" spans="6:6" outlineLevel="1">
      <c r="F7133"/>
    </row>
    <row r="7134" spans="6:6" outlineLevel="1">
      <c r="F7134"/>
    </row>
    <row r="7135" spans="6:6" outlineLevel="1">
      <c r="F7135"/>
    </row>
    <row r="7136" spans="6:6" outlineLevel="1">
      <c r="F7136"/>
    </row>
    <row r="7137" spans="6:6" outlineLevel="1">
      <c r="F7137"/>
    </row>
    <row r="7138" spans="6:6" outlineLevel="1">
      <c r="F7138"/>
    </row>
    <row r="7139" spans="6:6" outlineLevel="1">
      <c r="F7139"/>
    </row>
    <row r="7140" spans="6:6" outlineLevel="1">
      <c r="F7140"/>
    </row>
    <row r="7141" spans="6:6" outlineLevel="1">
      <c r="F7141"/>
    </row>
    <row r="7142" spans="6:6" outlineLevel="1">
      <c r="F7142"/>
    </row>
    <row r="7143" spans="6:6" outlineLevel="1">
      <c r="F7143"/>
    </row>
    <row r="7144" spans="6:6">
      <c r="F7144"/>
    </row>
    <row r="7145" spans="6:6" outlineLevel="1">
      <c r="F7145"/>
    </row>
    <row r="7146" spans="6:6" outlineLevel="1">
      <c r="F7146"/>
    </row>
    <row r="7147" spans="6:6" outlineLevel="1">
      <c r="F7147"/>
    </row>
    <row r="7148" spans="6:6" outlineLevel="1">
      <c r="F7148"/>
    </row>
    <row r="7149" spans="6:6" outlineLevel="1">
      <c r="F7149"/>
    </row>
    <row r="7150" spans="6:6" outlineLevel="1">
      <c r="F7150"/>
    </row>
    <row r="7151" spans="6:6" outlineLevel="1">
      <c r="F7151"/>
    </row>
    <row r="7152" spans="6:6" outlineLevel="1">
      <c r="F7152"/>
    </row>
    <row r="7153" spans="6:6" outlineLevel="1">
      <c r="F7153"/>
    </row>
    <row r="7154" spans="6:6" outlineLevel="1">
      <c r="F7154"/>
    </row>
    <row r="7155" spans="6:6" outlineLevel="1">
      <c r="F7155"/>
    </row>
    <row r="7156" spans="6:6" outlineLevel="1">
      <c r="F7156"/>
    </row>
    <row r="7157" spans="6:6" outlineLevel="1">
      <c r="F7157"/>
    </row>
    <row r="7158" spans="6:6" outlineLevel="1">
      <c r="F7158"/>
    </row>
    <row r="7159" spans="6:6" outlineLevel="1">
      <c r="F7159"/>
    </row>
    <row r="7160" spans="6:6" outlineLevel="1">
      <c r="F7160"/>
    </row>
    <row r="7161" spans="6:6" outlineLevel="1">
      <c r="F7161"/>
    </row>
    <row r="7162" spans="6:6" outlineLevel="1">
      <c r="F7162"/>
    </row>
    <row r="7163" spans="6:6" outlineLevel="1">
      <c r="F7163"/>
    </row>
    <row r="7164" spans="6:6" outlineLevel="1">
      <c r="F7164"/>
    </row>
    <row r="7165" spans="6:6" outlineLevel="1">
      <c r="F7165"/>
    </row>
    <row r="7166" spans="6:6" outlineLevel="1">
      <c r="F7166"/>
    </row>
    <row r="7167" spans="6:6" outlineLevel="1">
      <c r="F7167"/>
    </row>
    <row r="7168" spans="6:6" outlineLevel="1">
      <c r="F7168"/>
    </row>
    <row r="7169" spans="6:6">
      <c r="F7169"/>
    </row>
    <row r="7170" spans="6:6" outlineLevel="1">
      <c r="F7170"/>
    </row>
    <row r="7171" spans="6:6" outlineLevel="1">
      <c r="F7171"/>
    </row>
    <row r="7172" spans="6:6" outlineLevel="1">
      <c r="F7172"/>
    </row>
    <row r="7173" spans="6:6" outlineLevel="1">
      <c r="F7173"/>
    </row>
    <row r="7174" spans="6:6" outlineLevel="1">
      <c r="F7174"/>
    </row>
    <row r="7175" spans="6:6" outlineLevel="1">
      <c r="F7175"/>
    </row>
    <row r="7176" spans="6:6" outlineLevel="1">
      <c r="F7176"/>
    </row>
    <row r="7177" spans="6:6" outlineLevel="1">
      <c r="F7177"/>
    </row>
    <row r="7178" spans="6:6" outlineLevel="1">
      <c r="F7178"/>
    </row>
    <row r="7179" spans="6:6" outlineLevel="1">
      <c r="F7179"/>
    </row>
    <row r="7180" spans="6:6" outlineLevel="1">
      <c r="F7180"/>
    </row>
    <row r="7181" spans="6:6" outlineLevel="1">
      <c r="F7181"/>
    </row>
    <row r="7182" spans="6:6" outlineLevel="1">
      <c r="F7182"/>
    </row>
    <row r="7183" spans="6:6" outlineLevel="1">
      <c r="F7183"/>
    </row>
    <row r="7184" spans="6:6" outlineLevel="1">
      <c r="F7184"/>
    </row>
    <row r="7185" spans="6:6">
      <c r="F7185"/>
    </row>
    <row r="7186" spans="6:6" outlineLevel="1">
      <c r="F7186"/>
    </row>
    <row r="7187" spans="6:6">
      <c r="F7187"/>
    </row>
    <row r="7188" spans="6:6" outlineLevel="1">
      <c r="F7188"/>
    </row>
    <row r="7189" spans="6:6" outlineLevel="1">
      <c r="F7189"/>
    </row>
    <row r="7190" spans="6:6" outlineLevel="1">
      <c r="F7190"/>
    </row>
    <row r="7191" spans="6:6" outlineLevel="1">
      <c r="F7191"/>
    </row>
    <row r="7192" spans="6:6" outlineLevel="1">
      <c r="F7192"/>
    </row>
    <row r="7193" spans="6:6" outlineLevel="1">
      <c r="F7193"/>
    </row>
    <row r="7194" spans="6:6" outlineLevel="1">
      <c r="F7194"/>
    </row>
    <row r="7195" spans="6:6" outlineLevel="1">
      <c r="F7195"/>
    </row>
    <row r="7196" spans="6:6" outlineLevel="1">
      <c r="F7196"/>
    </row>
    <row r="7197" spans="6:6" outlineLevel="1">
      <c r="F7197"/>
    </row>
    <row r="7198" spans="6:6" outlineLevel="1">
      <c r="F7198"/>
    </row>
    <row r="7199" spans="6:6">
      <c r="F7199"/>
    </row>
    <row r="7200" spans="6:6" outlineLevel="1">
      <c r="F7200"/>
    </row>
    <row r="7201" spans="6:6" outlineLevel="1">
      <c r="F7201"/>
    </row>
    <row r="7202" spans="6:6" outlineLevel="1">
      <c r="F7202"/>
    </row>
    <row r="7203" spans="6:6" outlineLevel="1">
      <c r="F7203"/>
    </row>
    <row r="7204" spans="6:6" outlineLevel="1">
      <c r="F7204"/>
    </row>
    <row r="7205" spans="6:6" outlineLevel="1">
      <c r="F7205"/>
    </row>
    <row r="7206" spans="6:6" outlineLevel="1">
      <c r="F7206"/>
    </row>
    <row r="7207" spans="6:6" outlineLevel="1">
      <c r="F7207"/>
    </row>
    <row r="7208" spans="6:6">
      <c r="F7208"/>
    </row>
    <row r="7209" spans="6:6" outlineLevel="1">
      <c r="F7209"/>
    </row>
    <row r="7210" spans="6:6">
      <c r="F7210"/>
    </row>
    <row r="7211" spans="6:6" outlineLevel="1">
      <c r="F7211"/>
    </row>
    <row r="7212" spans="6:6" outlineLevel="1">
      <c r="F7212"/>
    </row>
    <row r="7213" spans="6:6" outlineLevel="1">
      <c r="F7213"/>
    </row>
    <row r="7214" spans="6:6" outlineLevel="1">
      <c r="F7214"/>
    </row>
    <row r="7215" spans="6:6" outlineLevel="1">
      <c r="F7215"/>
    </row>
    <row r="7216" spans="6:6" outlineLevel="1">
      <c r="F7216"/>
    </row>
    <row r="7217" spans="6:6" outlineLevel="1">
      <c r="F7217"/>
    </row>
    <row r="7218" spans="6:6" outlineLevel="1">
      <c r="F7218"/>
    </row>
    <row r="7219" spans="6:6" outlineLevel="1">
      <c r="F7219"/>
    </row>
    <row r="7220" spans="6:6" outlineLevel="1">
      <c r="F7220"/>
    </row>
    <row r="7221" spans="6:6" outlineLevel="1">
      <c r="F7221"/>
    </row>
    <row r="7222" spans="6:6" outlineLevel="1">
      <c r="F7222"/>
    </row>
    <row r="7223" spans="6:6" outlineLevel="1">
      <c r="F7223"/>
    </row>
    <row r="7224" spans="6:6" outlineLevel="1">
      <c r="F7224"/>
    </row>
    <row r="7225" spans="6:6" outlineLevel="1">
      <c r="F7225"/>
    </row>
    <row r="7226" spans="6:6" outlineLevel="1">
      <c r="F7226"/>
    </row>
    <row r="7227" spans="6:6" outlineLevel="1">
      <c r="F7227"/>
    </row>
    <row r="7228" spans="6:6" outlineLevel="1">
      <c r="F7228"/>
    </row>
    <row r="7229" spans="6:6" outlineLevel="1">
      <c r="F7229"/>
    </row>
    <row r="7230" spans="6:6" outlineLevel="1">
      <c r="F7230"/>
    </row>
    <row r="7231" spans="6:6" outlineLevel="1">
      <c r="F7231"/>
    </row>
    <row r="7232" spans="6:6" outlineLevel="1">
      <c r="F7232"/>
    </row>
    <row r="7233" spans="6:6" outlineLevel="1">
      <c r="F7233"/>
    </row>
    <row r="7234" spans="6:6" outlineLevel="1">
      <c r="F7234"/>
    </row>
    <row r="7235" spans="6:6" outlineLevel="1">
      <c r="F7235"/>
    </row>
    <row r="7236" spans="6:6" outlineLevel="1">
      <c r="F7236"/>
    </row>
    <row r="7237" spans="6:6" outlineLevel="1">
      <c r="F7237"/>
    </row>
    <row r="7238" spans="6:6" outlineLevel="1">
      <c r="F7238"/>
    </row>
    <row r="7239" spans="6:6" outlineLevel="1">
      <c r="F7239"/>
    </row>
    <row r="7240" spans="6:6" outlineLevel="1">
      <c r="F7240"/>
    </row>
    <row r="7241" spans="6:6" outlineLevel="1">
      <c r="F7241"/>
    </row>
    <row r="7242" spans="6:6" outlineLevel="1">
      <c r="F7242"/>
    </row>
    <row r="7243" spans="6:6" outlineLevel="1">
      <c r="F7243"/>
    </row>
    <row r="7244" spans="6:6" outlineLevel="1">
      <c r="F7244"/>
    </row>
    <row r="7245" spans="6:6">
      <c r="F7245"/>
    </row>
    <row r="7246" spans="6:6" outlineLevel="1">
      <c r="F7246"/>
    </row>
    <row r="7247" spans="6:6" outlineLevel="1">
      <c r="F7247"/>
    </row>
    <row r="7248" spans="6:6" outlineLevel="1">
      <c r="F7248"/>
    </row>
    <row r="7249" spans="6:6" outlineLevel="1">
      <c r="F7249"/>
    </row>
    <row r="7250" spans="6:6" outlineLevel="1">
      <c r="F7250"/>
    </row>
    <row r="7251" spans="6:6" outlineLevel="1">
      <c r="F7251"/>
    </row>
    <row r="7252" spans="6:6" outlineLevel="1">
      <c r="F7252"/>
    </row>
    <row r="7253" spans="6:6" outlineLevel="1">
      <c r="F7253"/>
    </row>
    <row r="7254" spans="6:6" outlineLevel="1">
      <c r="F7254"/>
    </row>
    <row r="7255" spans="6:6" outlineLevel="1">
      <c r="F7255"/>
    </row>
    <row r="7256" spans="6:6" outlineLevel="1">
      <c r="F7256"/>
    </row>
    <row r="7257" spans="6:6" outlineLevel="1">
      <c r="F7257"/>
    </row>
    <row r="7258" spans="6:6" outlineLevel="1">
      <c r="F7258"/>
    </row>
    <row r="7259" spans="6:6" outlineLevel="1">
      <c r="F7259"/>
    </row>
    <row r="7260" spans="6:6" outlineLevel="1">
      <c r="F7260"/>
    </row>
    <row r="7261" spans="6:6" outlineLevel="1">
      <c r="F7261"/>
    </row>
    <row r="7262" spans="6:6" outlineLevel="1">
      <c r="F7262"/>
    </row>
    <row r="7263" spans="6:6" outlineLevel="1">
      <c r="F7263"/>
    </row>
    <row r="7264" spans="6:6" outlineLevel="1">
      <c r="F7264"/>
    </row>
    <row r="7265" spans="6:6" outlineLevel="1">
      <c r="F7265"/>
    </row>
    <row r="7266" spans="6:6" outlineLevel="1">
      <c r="F7266"/>
    </row>
    <row r="7267" spans="6:6" outlineLevel="1">
      <c r="F7267"/>
    </row>
    <row r="7268" spans="6:6" outlineLevel="1">
      <c r="F7268"/>
    </row>
    <row r="7269" spans="6:6" outlineLevel="1">
      <c r="F7269"/>
    </row>
    <row r="7270" spans="6:6" outlineLevel="1">
      <c r="F7270"/>
    </row>
    <row r="7271" spans="6:6" outlineLevel="1">
      <c r="F7271"/>
    </row>
    <row r="7272" spans="6:6" outlineLevel="1">
      <c r="F7272"/>
    </row>
    <row r="7273" spans="6:6">
      <c r="F7273"/>
    </row>
    <row r="7274" spans="6:6" outlineLevel="1">
      <c r="F7274"/>
    </row>
    <row r="7275" spans="6:6" outlineLevel="1">
      <c r="F7275"/>
    </row>
    <row r="7276" spans="6:6" outlineLevel="1">
      <c r="F7276"/>
    </row>
    <row r="7277" spans="6:6" outlineLevel="1">
      <c r="F7277"/>
    </row>
    <row r="7278" spans="6:6" outlineLevel="1">
      <c r="F7278"/>
    </row>
    <row r="7279" spans="6:6" outlineLevel="1">
      <c r="F7279"/>
    </row>
    <row r="7280" spans="6:6" outlineLevel="1">
      <c r="F7280"/>
    </row>
    <row r="7281" spans="6:6" outlineLevel="1">
      <c r="F7281"/>
    </row>
    <row r="7282" spans="6:6" outlineLevel="1">
      <c r="F7282"/>
    </row>
    <row r="7283" spans="6:6" outlineLevel="1">
      <c r="F7283"/>
    </row>
    <row r="7284" spans="6:6" outlineLevel="1">
      <c r="F7284"/>
    </row>
    <row r="7285" spans="6:6" outlineLevel="1">
      <c r="F7285"/>
    </row>
    <row r="7286" spans="6:6" outlineLevel="1">
      <c r="F7286"/>
    </row>
    <row r="7287" spans="6:6" outlineLevel="1">
      <c r="F7287"/>
    </row>
    <row r="7288" spans="6:6" outlineLevel="1">
      <c r="F7288"/>
    </row>
    <row r="7289" spans="6:6" outlineLevel="1">
      <c r="F7289"/>
    </row>
    <row r="7290" spans="6:6" outlineLevel="1">
      <c r="F7290"/>
    </row>
    <row r="7291" spans="6:6" outlineLevel="1">
      <c r="F7291"/>
    </row>
    <row r="7292" spans="6:6" outlineLevel="1">
      <c r="F7292"/>
    </row>
    <row r="7293" spans="6:6" outlineLevel="1">
      <c r="F7293"/>
    </row>
    <row r="7294" spans="6:6" outlineLevel="1">
      <c r="F7294"/>
    </row>
    <row r="7295" spans="6:6" outlineLevel="1">
      <c r="F7295"/>
    </row>
    <row r="7296" spans="6:6" outlineLevel="1">
      <c r="F7296"/>
    </row>
    <row r="7297" spans="6:6" outlineLevel="1">
      <c r="F7297"/>
    </row>
    <row r="7298" spans="6:6" outlineLevel="1">
      <c r="F7298"/>
    </row>
    <row r="7299" spans="6:6" outlineLevel="1">
      <c r="F7299"/>
    </row>
    <row r="7300" spans="6:6" outlineLevel="1">
      <c r="F7300"/>
    </row>
    <row r="7301" spans="6:6" outlineLevel="1">
      <c r="F7301"/>
    </row>
    <row r="7302" spans="6:6" outlineLevel="1">
      <c r="F7302"/>
    </row>
    <row r="7303" spans="6:6" outlineLevel="1">
      <c r="F7303"/>
    </row>
    <row r="7304" spans="6:6" outlineLevel="1">
      <c r="F7304"/>
    </row>
    <row r="7305" spans="6:6" outlineLevel="1">
      <c r="F7305"/>
    </row>
    <row r="7306" spans="6:6" outlineLevel="1">
      <c r="F7306"/>
    </row>
    <row r="7307" spans="6:6" outlineLevel="1">
      <c r="F7307"/>
    </row>
    <row r="7308" spans="6:6" outlineLevel="1">
      <c r="F7308"/>
    </row>
    <row r="7309" spans="6:6" outlineLevel="1">
      <c r="F7309"/>
    </row>
    <row r="7310" spans="6:6" outlineLevel="1">
      <c r="F7310"/>
    </row>
    <row r="7311" spans="6:6" outlineLevel="1">
      <c r="F7311"/>
    </row>
    <row r="7312" spans="6:6" outlineLevel="1">
      <c r="F7312"/>
    </row>
    <row r="7313" spans="6:6" outlineLevel="1">
      <c r="F7313"/>
    </row>
    <row r="7314" spans="6:6" outlineLevel="1">
      <c r="F7314"/>
    </row>
    <row r="7315" spans="6:6" outlineLevel="1">
      <c r="F7315"/>
    </row>
    <row r="7316" spans="6:6" outlineLevel="1">
      <c r="F7316"/>
    </row>
    <row r="7317" spans="6:6" outlineLevel="1">
      <c r="F7317"/>
    </row>
    <row r="7318" spans="6:6" outlineLevel="1">
      <c r="F7318"/>
    </row>
    <row r="7319" spans="6:6" outlineLevel="1">
      <c r="F7319"/>
    </row>
    <row r="7320" spans="6:6" outlineLevel="1">
      <c r="F7320"/>
    </row>
    <row r="7321" spans="6:6" outlineLevel="1">
      <c r="F7321"/>
    </row>
    <row r="7322" spans="6:6" outlineLevel="1">
      <c r="F7322"/>
    </row>
    <row r="7323" spans="6:6" outlineLevel="1">
      <c r="F7323"/>
    </row>
    <row r="7324" spans="6:6" outlineLevel="1">
      <c r="F7324"/>
    </row>
    <row r="7325" spans="6:6" outlineLevel="1">
      <c r="F7325"/>
    </row>
    <row r="7326" spans="6:6" outlineLevel="1">
      <c r="F7326"/>
    </row>
    <row r="7327" spans="6:6" outlineLevel="1">
      <c r="F7327"/>
    </row>
    <row r="7328" spans="6:6" outlineLevel="1">
      <c r="F7328"/>
    </row>
    <row r="7329" spans="6:6" outlineLevel="1">
      <c r="F7329"/>
    </row>
    <row r="7330" spans="6:6" outlineLevel="1">
      <c r="F7330"/>
    </row>
    <row r="7331" spans="6:6" outlineLevel="1">
      <c r="F7331"/>
    </row>
    <row r="7332" spans="6:6" outlineLevel="1">
      <c r="F7332"/>
    </row>
    <row r="7333" spans="6:6" outlineLevel="1">
      <c r="F7333"/>
    </row>
    <row r="7334" spans="6:6" outlineLevel="1">
      <c r="F7334"/>
    </row>
    <row r="7335" spans="6:6" outlineLevel="1">
      <c r="F7335"/>
    </row>
    <row r="7336" spans="6:6" outlineLevel="1">
      <c r="F7336"/>
    </row>
    <row r="7337" spans="6:6" outlineLevel="1">
      <c r="F7337"/>
    </row>
    <row r="7338" spans="6:6" outlineLevel="1">
      <c r="F7338"/>
    </row>
    <row r="7339" spans="6:6" outlineLevel="1">
      <c r="F7339"/>
    </row>
    <row r="7340" spans="6:6" outlineLevel="1">
      <c r="F7340"/>
    </row>
    <row r="7341" spans="6:6" outlineLevel="1">
      <c r="F7341"/>
    </row>
    <row r="7342" spans="6:6" outlineLevel="1">
      <c r="F7342"/>
    </row>
    <row r="7343" spans="6:6" outlineLevel="1">
      <c r="F7343"/>
    </row>
    <row r="7344" spans="6:6" outlineLevel="1">
      <c r="F7344"/>
    </row>
    <row r="7345" spans="6:6" outlineLevel="1">
      <c r="F7345"/>
    </row>
    <row r="7346" spans="6:6" outlineLevel="1">
      <c r="F7346"/>
    </row>
    <row r="7347" spans="6:6" outlineLevel="1">
      <c r="F7347"/>
    </row>
    <row r="7348" spans="6:6" outlineLevel="1">
      <c r="F7348"/>
    </row>
    <row r="7349" spans="6:6" outlineLevel="1">
      <c r="F7349"/>
    </row>
    <row r="7350" spans="6:6" outlineLevel="1">
      <c r="F7350"/>
    </row>
    <row r="7351" spans="6:6" outlineLevel="1">
      <c r="F7351"/>
    </row>
    <row r="7352" spans="6:6" outlineLevel="1">
      <c r="F7352"/>
    </row>
    <row r="7353" spans="6:6" outlineLevel="1">
      <c r="F7353"/>
    </row>
    <row r="7354" spans="6:6" outlineLevel="1">
      <c r="F7354"/>
    </row>
    <row r="7355" spans="6:6" outlineLevel="1">
      <c r="F7355"/>
    </row>
    <row r="7356" spans="6:6" outlineLevel="1">
      <c r="F7356"/>
    </row>
    <row r="7357" spans="6:6" outlineLevel="1">
      <c r="F7357"/>
    </row>
    <row r="7358" spans="6:6" outlineLevel="1">
      <c r="F7358"/>
    </row>
    <row r="7359" spans="6:6" outlineLevel="1">
      <c r="F7359"/>
    </row>
    <row r="7360" spans="6:6" outlineLevel="1">
      <c r="F7360"/>
    </row>
    <row r="7361" spans="6:6" outlineLevel="1">
      <c r="F7361"/>
    </row>
    <row r="7362" spans="6:6" outlineLevel="1">
      <c r="F7362"/>
    </row>
    <row r="7363" spans="6:6" outlineLevel="1">
      <c r="F7363"/>
    </row>
    <row r="7364" spans="6:6" outlineLevel="1">
      <c r="F7364"/>
    </row>
    <row r="7365" spans="6:6" outlineLevel="1">
      <c r="F7365"/>
    </row>
    <row r="7366" spans="6:6" outlineLevel="1">
      <c r="F7366"/>
    </row>
    <row r="7367" spans="6:6" outlineLevel="1">
      <c r="F7367"/>
    </row>
    <row r="7368" spans="6:6" outlineLevel="1">
      <c r="F7368"/>
    </row>
    <row r="7369" spans="6:6" outlineLevel="1">
      <c r="F7369"/>
    </row>
    <row r="7370" spans="6:6" outlineLevel="1">
      <c r="F7370"/>
    </row>
    <row r="7371" spans="6:6" outlineLevel="1">
      <c r="F7371"/>
    </row>
    <row r="7372" spans="6:6" outlineLevel="1">
      <c r="F7372"/>
    </row>
    <row r="7373" spans="6:6" outlineLevel="1">
      <c r="F7373"/>
    </row>
    <row r="7374" spans="6:6" outlineLevel="1">
      <c r="F7374"/>
    </row>
    <row r="7375" spans="6:6" outlineLevel="1">
      <c r="F7375"/>
    </row>
    <row r="7376" spans="6:6" outlineLevel="1">
      <c r="F7376"/>
    </row>
    <row r="7377" spans="6:6" outlineLevel="1">
      <c r="F7377"/>
    </row>
    <row r="7378" spans="6:6" outlineLevel="1">
      <c r="F7378"/>
    </row>
    <row r="7379" spans="6:6" outlineLevel="1">
      <c r="F7379"/>
    </row>
    <row r="7380" spans="6:6" outlineLevel="1">
      <c r="F7380"/>
    </row>
    <row r="7381" spans="6:6" outlineLevel="1">
      <c r="F7381"/>
    </row>
    <row r="7382" spans="6:6" outlineLevel="1">
      <c r="F7382"/>
    </row>
    <row r="7383" spans="6:6" outlineLevel="1">
      <c r="F7383"/>
    </row>
    <row r="7384" spans="6:6">
      <c r="F7384"/>
    </row>
    <row r="7385" spans="6:6" outlineLevel="1">
      <c r="F7385"/>
    </row>
    <row r="7386" spans="6:6" outlineLevel="1">
      <c r="F7386"/>
    </row>
    <row r="7387" spans="6:6" outlineLevel="1">
      <c r="F7387"/>
    </row>
    <row r="7388" spans="6:6" outlineLevel="1">
      <c r="F7388"/>
    </row>
    <row r="7389" spans="6:6" outlineLevel="1">
      <c r="F7389"/>
    </row>
    <row r="7390" spans="6:6" outlineLevel="1">
      <c r="F7390"/>
    </row>
    <row r="7391" spans="6:6" outlineLevel="1">
      <c r="F7391"/>
    </row>
    <row r="7392" spans="6:6" outlineLevel="1">
      <c r="F7392"/>
    </row>
    <row r="7393" spans="6:6" outlineLevel="1">
      <c r="F7393"/>
    </row>
    <row r="7394" spans="6:6" outlineLevel="1">
      <c r="F7394"/>
    </row>
    <row r="7395" spans="6:6" outlineLevel="1">
      <c r="F7395"/>
    </row>
    <row r="7396" spans="6:6" outlineLevel="1">
      <c r="F7396"/>
    </row>
    <row r="7397" spans="6:6" outlineLevel="1">
      <c r="F7397"/>
    </row>
    <row r="7398" spans="6:6" outlineLevel="1">
      <c r="F7398"/>
    </row>
    <row r="7399" spans="6:6" outlineLevel="1">
      <c r="F7399"/>
    </row>
    <row r="7400" spans="6:6" outlineLevel="1">
      <c r="F7400"/>
    </row>
    <row r="7401" spans="6:6" outlineLevel="1">
      <c r="F7401"/>
    </row>
    <row r="7402" spans="6:6" outlineLevel="1">
      <c r="F7402"/>
    </row>
    <row r="7403" spans="6:6" outlineLevel="1">
      <c r="F7403"/>
    </row>
    <row r="7404" spans="6:6" outlineLevel="1">
      <c r="F7404"/>
    </row>
    <row r="7405" spans="6:6" outlineLevel="1">
      <c r="F7405"/>
    </row>
    <row r="7406" spans="6:6" outlineLevel="1">
      <c r="F7406"/>
    </row>
    <row r="7407" spans="6:6" outlineLevel="1">
      <c r="F7407"/>
    </row>
    <row r="7408" spans="6:6" outlineLevel="1">
      <c r="F7408"/>
    </row>
    <row r="7409" spans="6:6" outlineLevel="1">
      <c r="F7409"/>
    </row>
    <row r="7410" spans="6:6" outlineLevel="1">
      <c r="F7410"/>
    </row>
    <row r="7411" spans="6:6" outlineLevel="1">
      <c r="F7411"/>
    </row>
    <row r="7412" spans="6:6" outlineLevel="1">
      <c r="F7412"/>
    </row>
    <row r="7413" spans="6:6" outlineLevel="1">
      <c r="F7413"/>
    </row>
    <row r="7414" spans="6:6" outlineLevel="1">
      <c r="F7414"/>
    </row>
    <row r="7415" spans="6:6" outlineLevel="1">
      <c r="F7415"/>
    </row>
    <row r="7416" spans="6:6" outlineLevel="1">
      <c r="F7416"/>
    </row>
    <row r="7417" spans="6:6" outlineLevel="1">
      <c r="F7417"/>
    </row>
    <row r="7418" spans="6:6" outlineLevel="1">
      <c r="F7418"/>
    </row>
    <row r="7419" spans="6:6" outlineLevel="1">
      <c r="F7419"/>
    </row>
    <row r="7420" spans="6:6" outlineLevel="1">
      <c r="F7420"/>
    </row>
    <row r="7421" spans="6:6" outlineLevel="1">
      <c r="F7421"/>
    </row>
    <row r="7422" spans="6:6" outlineLevel="1">
      <c r="F7422"/>
    </row>
    <row r="7423" spans="6:6" outlineLevel="1">
      <c r="F7423"/>
    </row>
    <row r="7424" spans="6:6" outlineLevel="1">
      <c r="F7424"/>
    </row>
    <row r="7425" spans="6:6" outlineLevel="1">
      <c r="F7425"/>
    </row>
    <row r="7426" spans="6:6" outlineLevel="1">
      <c r="F7426"/>
    </row>
    <row r="7427" spans="6:6">
      <c r="F7427"/>
    </row>
    <row r="7428" spans="6:6" outlineLevel="1">
      <c r="F7428"/>
    </row>
    <row r="7429" spans="6:6" outlineLevel="1">
      <c r="F7429"/>
    </row>
    <row r="7430" spans="6:6" outlineLevel="1">
      <c r="F7430"/>
    </row>
    <row r="7431" spans="6:6" outlineLevel="1">
      <c r="F7431"/>
    </row>
    <row r="7432" spans="6:6" outlineLevel="1">
      <c r="F7432"/>
    </row>
    <row r="7433" spans="6:6" outlineLevel="1">
      <c r="F7433"/>
    </row>
    <row r="7434" spans="6:6" outlineLevel="1">
      <c r="F7434"/>
    </row>
    <row r="7435" spans="6:6" outlineLevel="1">
      <c r="F7435"/>
    </row>
    <row r="7436" spans="6:6" outlineLevel="1">
      <c r="F7436"/>
    </row>
    <row r="7437" spans="6:6" outlineLevel="1">
      <c r="F7437"/>
    </row>
    <row r="7438" spans="6:6" outlineLevel="1">
      <c r="F7438"/>
    </row>
    <row r="7439" spans="6:6" outlineLevel="1">
      <c r="F7439"/>
    </row>
    <row r="7440" spans="6:6" outlineLevel="1">
      <c r="F7440"/>
    </row>
    <row r="7441" spans="6:6" outlineLevel="1">
      <c r="F7441"/>
    </row>
    <row r="7442" spans="6:6" outlineLevel="1">
      <c r="F7442"/>
    </row>
    <row r="7443" spans="6:6" outlineLevel="1">
      <c r="F7443"/>
    </row>
    <row r="7444" spans="6:6" outlineLevel="1">
      <c r="F7444"/>
    </row>
    <row r="7445" spans="6:6" outlineLevel="1">
      <c r="F7445"/>
    </row>
    <row r="7446" spans="6:6" outlineLevel="1">
      <c r="F7446"/>
    </row>
    <row r="7447" spans="6:6" outlineLevel="1">
      <c r="F7447"/>
    </row>
    <row r="7448" spans="6:6" outlineLevel="1">
      <c r="F7448"/>
    </row>
    <row r="7449" spans="6:6" outlineLevel="1">
      <c r="F7449"/>
    </row>
    <row r="7450" spans="6:6" outlineLevel="1">
      <c r="F7450"/>
    </row>
    <row r="7451" spans="6:6" outlineLevel="1">
      <c r="F7451"/>
    </row>
    <row r="7452" spans="6:6" outlineLevel="1">
      <c r="F7452"/>
    </row>
    <row r="7453" spans="6:6" outlineLevel="1">
      <c r="F7453"/>
    </row>
    <row r="7454" spans="6:6" outlineLevel="1">
      <c r="F7454"/>
    </row>
    <row r="7455" spans="6:6" outlineLevel="1">
      <c r="F7455"/>
    </row>
    <row r="7456" spans="6:6" outlineLevel="1">
      <c r="F7456"/>
    </row>
    <row r="7457" spans="6:6" outlineLevel="1">
      <c r="F7457"/>
    </row>
    <row r="7458" spans="6:6" outlineLevel="1">
      <c r="F7458"/>
    </row>
    <row r="7459" spans="6:6" outlineLevel="1">
      <c r="F7459"/>
    </row>
    <row r="7460" spans="6:6">
      <c r="F7460"/>
    </row>
    <row r="7461" spans="6:6" outlineLevel="1">
      <c r="F7461"/>
    </row>
    <row r="7462" spans="6:6" outlineLevel="1">
      <c r="F7462"/>
    </row>
    <row r="7463" spans="6:6" outlineLevel="1">
      <c r="F7463"/>
    </row>
    <row r="7464" spans="6:6" outlineLevel="1">
      <c r="F7464"/>
    </row>
    <row r="7465" spans="6:6" outlineLevel="1">
      <c r="F7465"/>
    </row>
    <row r="7466" spans="6:6" outlineLevel="1">
      <c r="F7466"/>
    </row>
    <row r="7467" spans="6:6" outlineLevel="1">
      <c r="F7467"/>
    </row>
    <row r="7468" spans="6:6" outlineLevel="1">
      <c r="F7468"/>
    </row>
    <row r="7469" spans="6:6" outlineLevel="1">
      <c r="F7469"/>
    </row>
    <row r="7470" spans="6:6" outlineLevel="1">
      <c r="F7470"/>
    </row>
    <row r="7471" spans="6:6" outlineLevel="1">
      <c r="F7471"/>
    </row>
    <row r="7472" spans="6:6" outlineLevel="1">
      <c r="F7472"/>
    </row>
    <row r="7473" spans="6:6" outlineLevel="1">
      <c r="F7473"/>
    </row>
    <row r="7474" spans="6:6" outlineLevel="1">
      <c r="F7474"/>
    </row>
    <row r="7475" spans="6:6" outlineLevel="1">
      <c r="F7475"/>
    </row>
    <row r="7476" spans="6:6" outlineLevel="1">
      <c r="F7476"/>
    </row>
    <row r="7477" spans="6:6" outlineLevel="1">
      <c r="F7477"/>
    </row>
    <row r="7478" spans="6:6" outlineLevel="1">
      <c r="F7478"/>
    </row>
    <row r="7479" spans="6:6" outlineLevel="1">
      <c r="F7479"/>
    </row>
    <row r="7480" spans="6:6" outlineLevel="1">
      <c r="F7480"/>
    </row>
    <row r="7481" spans="6:6" outlineLevel="1">
      <c r="F7481"/>
    </row>
    <row r="7482" spans="6:6" outlineLevel="1">
      <c r="F7482"/>
    </row>
    <row r="7483" spans="6:6" outlineLevel="1">
      <c r="F7483"/>
    </row>
    <row r="7484" spans="6:6" outlineLevel="1">
      <c r="F7484"/>
    </row>
    <row r="7485" spans="6:6" outlineLevel="1">
      <c r="F7485"/>
    </row>
    <row r="7486" spans="6:6" outlineLevel="1">
      <c r="F7486"/>
    </row>
    <row r="7487" spans="6:6" outlineLevel="1">
      <c r="F7487"/>
    </row>
    <row r="7488" spans="6:6" outlineLevel="1">
      <c r="F7488"/>
    </row>
    <row r="7489" spans="6:6" outlineLevel="1">
      <c r="F7489"/>
    </row>
    <row r="7490" spans="6:6" outlineLevel="1">
      <c r="F7490"/>
    </row>
    <row r="7491" spans="6:6" outlineLevel="1">
      <c r="F7491"/>
    </row>
    <row r="7492" spans="6:6" outlineLevel="1">
      <c r="F7492"/>
    </row>
    <row r="7493" spans="6:6" outlineLevel="1">
      <c r="F7493"/>
    </row>
    <row r="7494" spans="6:6" outlineLevel="1">
      <c r="F7494"/>
    </row>
    <row r="7495" spans="6:6" outlineLevel="1">
      <c r="F7495"/>
    </row>
    <row r="7496" spans="6:6" outlineLevel="1">
      <c r="F7496"/>
    </row>
    <row r="7497" spans="6:6" outlineLevel="1">
      <c r="F7497"/>
    </row>
    <row r="7498" spans="6:6" outlineLevel="1">
      <c r="F7498"/>
    </row>
    <row r="7499" spans="6:6" outlineLevel="1">
      <c r="F7499"/>
    </row>
    <row r="7500" spans="6:6" outlineLevel="1">
      <c r="F7500"/>
    </row>
    <row r="7501" spans="6:6" outlineLevel="1">
      <c r="F7501"/>
    </row>
    <row r="7502" spans="6:6" outlineLevel="1">
      <c r="F7502"/>
    </row>
    <row r="7503" spans="6:6" outlineLevel="1">
      <c r="F7503"/>
    </row>
    <row r="7504" spans="6:6" outlineLevel="1">
      <c r="F7504"/>
    </row>
    <row r="7505" spans="6:6" outlineLevel="1">
      <c r="F7505"/>
    </row>
    <row r="7506" spans="6:6" outlineLevel="1">
      <c r="F7506"/>
    </row>
    <row r="7507" spans="6:6" outlineLevel="1">
      <c r="F7507"/>
    </row>
    <row r="7508" spans="6:6" outlineLevel="1">
      <c r="F7508"/>
    </row>
    <row r="7509" spans="6:6" outlineLevel="1">
      <c r="F7509"/>
    </row>
    <row r="7510" spans="6:6" outlineLevel="1">
      <c r="F7510"/>
    </row>
    <row r="7511" spans="6:6" outlineLevel="1">
      <c r="F7511"/>
    </row>
    <row r="7512" spans="6:6" outlineLevel="1">
      <c r="F7512"/>
    </row>
    <row r="7513" spans="6:6" outlineLevel="1">
      <c r="F7513"/>
    </row>
    <row r="7514" spans="6:6" outlineLevel="1">
      <c r="F7514"/>
    </row>
    <row r="7515" spans="6:6" outlineLevel="1">
      <c r="F7515"/>
    </row>
    <row r="7516" spans="6:6" outlineLevel="1">
      <c r="F7516"/>
    </row>
    <row r="7517" spans="6:6" outlineLevel="1">
      <c r="F7517"/>
    </row>
    <row r="7518" spans="6:6" outlineLevel="1">
      <c r="F7518"/>
    </row>
    <row r="7519" spans="6:6" outlineLevel="1">
      <c r="F7519"/>
    </row>
    <row r="7520" spans="6:6" outlineLevel="1">
      <c r="F7520"/>
    </row>
    <row r="7521" spans="6:6" outlineLevel="1">
      <c r="F7521"/>
    </row>
    <row r="7522" spans="6:6" outlineLevel="1">
      <c r="F7522"/>
    </row>
    <row r="7523" spans="6:6" outlineLevel="1">
      <c r="F7523"/>
    </row>
    <row r="7524" spans="6:6" outlineLevel="1">
      <c r="F7524"/>
    </row>
    <row r="7525" spans="6:6" outlineLevel="1">
      <c r="F7525"/>
    </row>
    <row r="7526" spans="6:6" outlineLevel="1">
      <c r="F7526"/>
    </row>
    <row r="7527" spans="6:6" outlineLevel="1">
      <c r="F7527"/>
    </row>
    <row r="7528" spans="6:6" outlineLevel="1">
      <c r="F7528"/>
    </row>
    <row r="7529" spans="6:6">
      <c r="F7529"/>
    </row>
    <row r="7530" spans="6:6" outlineLevel="1">
      <c r="F7530"/>
    </row>
    <row r="7531" spans="6:6" outlineLevel="1">
      <c r="F7531"/>
    </row>
    <row r="7532" spans="6:6" outlineLevel="1">
      <c r="F7532"/>
    </row>
    <row r="7533" spans="6:6" outlineLevel="1">
      <c r="F7533"/>
    </row>
    <row r="7534" spans="6:6" outlineLevel="1">
      <c r="F7534"/>
    </row>
    <row r="7535" spans="6:6">
      <c r="F7535"/>
    </row>
    <row r="7536" spans="6:6" outlineLevel="1">
      <c r="F7536"/>
    </row>
    <row r="7537" spans="6:6" outlineLevel="1">
      <c r="F7537"/>
    </row>
    <row r="7538" spans="6:6" outlineLevel="1">
      <c r="F7538"/>
    </row>
    <row r="7539" spans="6:6" outlineLevel="1">
      <c r="F7539"/>
    </row>
    <row r="7540" spans="6:6" outlineLevel="1">
      <c r="F7540"/>
    </row>
    <row r="7541" spans="6:6" outlineLevel="1">
      <c r="F7541"/>
    </row>
    <row r="7542" spans="6:6" outlineLevel="1">
      <c r="F7542"/>
    </row>
    <row r="7543" spans="6:6" outlineLevel="1">
      <c r="F7543"/>
    </row>
    <row r="7544" spans="6:6" outlineLevel="1">
      <c r="F7544"/>
    </row>
    <row r="7545" spans="6:6" outlineLevel="1">
      <c r="F7545"/>
    </row>
    <row r="7546" spans="6:6" outlineLevel="1">
      <c r="F7546"/>
    </row>
    <row r="7547" spans="6:6" outlineLevel="1">
      <c r="F7547"/>
    </row>
    <row r="7548" spans="6:6" outlineLevel="1">
      <c r="F7548"/>
    </row>
    <row r="7549" spans="6:6" outlineLevel="1">
      <c r="F7549"/>
    </row>
    <row r="7550" spans="6:6" outlineLevel="1">
      <c r="F7550"/>
    </row>
    <row r="7551" spans="6:6" outlineLevel="1">
      <c r="F7551"/>
    </row>
    <row r="7552" spans="6:6" outlineLevel="1">
      <c r="F7552"/>
    </row>
    <row r="7553" spans="6:6" outlineLevel="1">
      <c r="F7553"/>
    </row>
    <row r="7554" spans="6:6" outlineLevel="1">
      <c r="F7554"/>
    </row>
    <row r="7555" spans="6:6" outlineLevel="1">
      <c r="F7555"/>
    </row>
    <row r="7556" spans="6:6" outlineLevel="1">
      <c r="F7556"/>
    </row>
    <row r="7557" spans="6:6" outlineLevel="1">
      <c r="F7557"/>
    </row>
    <row r="7558" spans="6:6" outlineLevel="1">
      <c r="F7558"/>
    </row>
    <row r="7559" spans="6:6" outlineLevel="1">
      <c r="F7559"/>
    </row>
    <row r="7560" spans="6:6" outlineLevel="1">
      <c r="F7560"/>
    </row>
    <row r="7561" spans="6:6" outlineLevel="1">
      <c r="F7561"/>
    </row>
    <row r="7562" spans="6:6" outlineLevel="1">
      <c r="F7562"/>
    </row>
    <row r="7563" spans="6:6" outlineLevel="1">
      <c r="F7563"/>
    </row>
    <row r="7564" spans="6:6" outlineLevel="1">
      <c r="F7564"/>
    </row>
    <row r="7565" spans="6:6" outlineLevel="1">
      <c r="F7565"/>
    </row>
    <row r="7566" spans="6:6" outlineLevel="1">
      <c r="F7566"/>
    </row>
    <row r="7567" spans="6:6" outlineLevel="1">
      <c r="F7567"/>
    </row>
    <row r="7568" spans="6:6" outlineLevel="1">
      <c r="F7568"/>
    </row>
    <row r="7569" spans="6:6" outlineLevel="1">
      <c r="F7569"/>
    </row>
    <row r="7570" spans="6:6" outlineLevel="1">
      <c r="F7570"/>
    </row>
    <row r="7571" spans="6:6" outlineLevel="1">
      <c r="F7571"/>
    </row>
    <row r="7572" spans="6:6" outlineLevel="1">
      <c r="F7572"/>
    </row>
    <row r="7573" spans="6:6" outlineLevel="1">
      <c r="F7573"/>
    </row>
    <row r="7574" spans="6:6" outlineLevel="1">
      <c r="F7574"/>
    </row>
    <row r="7575" spans="6:6" outlineLevel="1">
      <c r="F7575"/>
    </row>
    <row r="7576" spans="6:6" outlineLevel="1">
      <c r="F7576"/>
    </row>
    <row r="7577" spans="6:6" outlineLevel="1">
      <c r="F7577"/>
    </row>
    <row r="7578" spans="6:6" outlineLevel="1">
      <c r="F7578"/>
    </row>
    <row r="7579" spans="6:6" outlineLevel="1">
      <c r="F7579"/>
    </row>
    <row r="7580" spans="6:6" outlineLevel="1">
      <c r="F7580"/>
    </row>
    <row r="7581" spans="6:6" outlineLevel="1">
      <c r="F7581"/>
    </row>
    <row r="7582" spans="6:6" outlineLevel="1">
      <c r="F7582"/>
    </row>
    <row r="7583" spans="6:6" outlineLevel="1">
      <c r="F7583"/>
    </row>
    <row r="7584" spans="6:6" outlineLevel="1">
      <c r="F7584"/>
    </row>
    <row r="7585" spans="6:6" outlineLevel="1">
      <c r="F7585"/>
    </row>
    <row r="7586" spans="6:6" outlineLevel="1">
      <c r="F7586"/>
    </row>
    <row r="7587" spans="6:6" outlineLevel="1">
      <c r="F7587"/>
    </row>
    <row r="7588" spans="6:6" outlineLevel="1">
      <c r="F7588"/>
    </row>
    <row r="7589" spans="6:6" outlineLevel="1">
      <c r="F7589"/>
    </row>
    <row r="7590" spans="6:6" outlineLevel="1">
      <c r="F7590"/>
    </row>
    <row r="7591" spans="6:6" outlineLevel="1">
      <c r="F7591"/>
    </row>
    <row r="7592" spans="6:6" outlineLevel="1">
      <c r="F7592"/>
    </row>
    <row r="7593" spans="6:6" outlineLevel="1">
      <c r="F7593"/>
    </row>
    <row r="7594" spans="6:6" outlineLevel="1">
      <c r="F7594"/>
    </row>
    <row r="7595" spans="6:6" outlineLevel="1">
      <c r="F7595"/>
    </row>
    <row r="7596" spans="6:6" outlineLevel="1">
      <c r="F7596"/>
    </row>
    <row r="7597" spans="6:6" outlineLevel="1">
      <c r="F7597"/>
    </row>
    <row r="7598" spans="6:6" outlineLevel="1">
      <c r="F7598"/>
    </row>
    <row r="7599" spans="6:6" outlineLevel="1">
      <c r="F7599"/>
    </row>
    <row r="7600" spans="6:6" outlineLevel="1">
      <c r="F7600"/>
    </row>
    <row r="7601" spans="6:6" outlineLevel="1">
      <c r="F7601"/>
    </row>
    <row r="7602" spans="6:6" outlineLevel="1">
      <c r="F7602"/>
    </row>
    <row r="7603" spans="6:6" outlineLevel="1">
      <c r="F7603"/>
    </row>
    <row r="7604" spans="6:6" outlineLevel="1">
      <c r="F7604"/>
    </row>
    <row r="7605" spans="6:6" outlineLevel="1">
      <c r="F7605"/>
    </row>
    <row r="7606" spans="6:6">
      <c r="F7606"/>
    </row>
    <row r="7607" spans="6:6" outlineLevel="1">
      <c r="F7607"/>
    </row>
    <row r="7608" spans="6:6" outlineLevel="1">
      <c r="F7608"/>
    </row>
    <row r="7609" spans="6:6" outlineLevel="1">
      <c r="F7609"/>
    </row>
    <row r="7610" spans="6:6" outlineLevel="1">
      <c r="F7610"/>
    </row>
    <row r="7611" spans="6:6" outlineLevel="1">
      <c r="F7611"/>
    </row>
    <row r="7612" spans="6:6" outlineLevel="1">
      <c r="F7612"/>
    </row>
    <row r="7613" spans="6:6" outlineLevel="1">
      <c r="F7613"/>
    </row>
    <row r="7614" spans="6:6" outlineLevel="1">
      <c r="F7614"/>
    </row>
    <row r="7615" spans="6:6" outlineLevel="1">
      <c r="F7615"/>
    </row>
    <row r="7616" spans="6:6" outlineLevel="1">
      <c r="F7616"/>
    </row>
    <row r="7617" spans="6:6" outlineLevel="1">
      <c r="F7617"/>
    </row>
    <row r="7618" spans="6:6" outlineLevel="1">
      <c r="F7618"/>
    </row>
    <row r="7619" spans="6:6" outlineLevel="1">
      <c r="F7619"/>
    </row>
    <row r="7620" spans="6:6" outlineLevel="1">
      <c r="F7620"/>
    </row>
    <row r="7621" spans="6:6" outlineLevel="1">
      <c r="F7621"/>
    </row>
    <row r="7622" spans="6:6" outlineLevel="1">
      <c r="F7622"/>
    </row>
    <row r="7623" spans="6:6" outlineLevel="1">
      <c r="F7623"/>
    </row>
    <row r="7624" spans="6:6" outlineLevel="1">
      <c r="F7624"/>
    </row>
    <row r="7625" spans="6:6" outlineLevel="1">
      <c r="F7625"/>
    </row>
    <row r="7626" spans="6:6" outlineLevel="1">
      <c r="F7626"/>
    </row>
    <row r="7627" spans="6:6" outlineLevel="1">
      <c r="F7627"/>
    </row>
    <row r="7628" spans="6:6" outlineLevel="1">
      <c r="F7628"/>
    </row>
    <row r="7629" spans="6:6" outlineLevel="1">
      <c r="F7629"/>
    </row>
    <row r="7630" spans="6:6" outlineLevel="1">
      <c r="F7630"/>
    </row>
    <row r="7631" spans="6:6" outlineLevel="1">
      <c r="F7631"/>
    </row>
    <row r="7632" spans="6:6" outlineLevel="1">
      <c r="F7632"/>
    </row>
    <row r="7633" spans="6:6" outlineLevel="1">
      <c r="F7633"/>
    </row>
    <row r="7634" spans="6:6" outlineLevel="1">
      <c r="F7634"/>
    </row>
    <row r="7635" spans="6:6" outlineLevel="1">
      <c r="F7635"/>
    </row>
    <row r="7636" spans="6:6" outlineLevel="1">
      <c r="F7636"/>
    </row>
    <row r="7637" spans="6:6" outlineLevel="1">
      <c r="F7637"/>
    </row>
    <row r="7638" spans="6:6" outlineLevel="1">
      <c r="F7638"/>
    </row>
    <row r="7639" spans="6:6" outlineLevel="1">
      <c r="F7639"/>
    </row>
    <row r="7640" spans="6:6" outlineLevel="1">
      <c r="F7640"/>
    </row>
    <row r="7641" spans="6:6" outlineLevel="1">
      <c r="F7641"/>
    </row>
    <row r="7642" spans="6:6" outlineLevel="1">
      <c r="F7642"/>
    </row>
    <row r="7643" spans="6:6" outlineLevel="1">
      <c r="F7643"/>
    </row>
    <row r="7644" spans="6:6" outlineLevel="1">
      <c r="F7644"/>
    </row>
    <row r="7645" spans="6:6" outlineLevel="1">
      <c r="F7645"/>
    </row>
    <row r="7646" spans="6:6" outlineLevel="1">
      <c r="F7646"/>
    </row>
    <row r="7647" spans="6:6" outlineLevel="1">
      <c r="F7647"/>
    </row>
    <row r="7648" spans="6:6" outlineLevel="1">
      <c r="F7648"/>
    </row>
    <row r="7649" spans="6:6" outlineLevel="1">
      <c r="F7649"/>
    </row>
    <row r="7650" spans="6:6" outlineLevel="1">
      <c r="F7650"/>
    </row>
    <row r="7651" spans="6:6" outlineLevel="1">
      <c r="F7651"/>
    </row>
    <row r="7652" spans="6:6" outlineLevel="1">
      <c r="F7652"/>
    </row>
    <row r="7653" spans="6:6" outlineLevel="1">
      <c r="F7653"/>
    </row>
    <row r="7654" spans="6:6" outlineLevel="1">
      <c r="F7654"/>
    </row>
    <row r="7655" spans="6:6" outlineLevel="1">
      <c r="F7655"/>
    </row>
    <row r="7656" spans="6:6" outlineLevel="1">
      <c r="F7656"/>
    </row>
    <row r="7657" spans="6:6" outlineLevel="1">
      <c r="F7657"/>
    </row>
    <row r="7658" spans="6:6" outlineLevel="1">
      <c r="F7658"/>
    </row>
    <row r="7659" spans="6:6" outlineLevel="1">
      <c r="F7659"/>
    </row>
    <row r="7660" spans="6:6" outlineLevel="1">
      <c r="F7660"/>
    </row>
    <row r="7661" spans="6:6" outlineLevel="1">
      <c r="F7661"/>
    </row>
    <row r="7662" spans="6:6" outlineLevel="1">
      <c r="F7662"/>
    </row>
    <row r="7663" spans="6:6" outlineLevel="1">
      <c r="F7663"/>
    </row>
    <row r="7664" spans="6:6" outlineLevel="1">
      <c r="F7664"/>
    </row>
    <row r="7665" spans="6:6" outlineLevel="1">
      <c r="F7665"/>
    </row>
    <row r="7666" spans="6:6" outlineLevel="1">
      <c r="F7666"/>
    </row>
    <row r="7667" spans="6:6" outlineLevel="1">
      <c r="F7667"/>
    </row>
    <row r="7668" spans="6:6" outlineLevel="1">
      <c r="F7668"/>
    </row>
    <row r="7669" spans="6:6" outlineLevel="1">
      <c r="F7669"/>
    </row>
    <row r="7670" spans="6:6" outlineLevel="1">
      <c r="F7670"/>
    </row>
    <row r="7671" spans="6:6" outlineLevel="1">
      <c r="F7671"/>
    </row>
    <row r="7672" spans="6:6" outlineLevel="1">
      <c r="F7672"/>
    </row>
    <row r="7673" spans="6:6" outlineLevel="1">
      <c r="F7673"/>
    </row>
    <row r="7674" spans="6:6" outlineLevel="1">
      <c r="F7674"/>
    </row>
    <row r="7675" spans="6:6" outlineLevel="1">
      <c r="F7675"/>
    </row>
    <row r="7676" spans="6:6" outlineLevel="1">
      <c r="F7676"/>
    </row>
    <row r="7677" spans="6:6" outlineLevel="1">
      <c r="F7677"/>
    </row>
    <row r="7678" spans="6:6" outlineLevel="1">
      <c r="F7678"/>
    </row>
    <row r="7679" spans="6:6" outlineLevel="1">
      <c r="F7679"/>
    </row>
    <row r="7680" spans="6:6" outlineLevel="1">
      <c r="F7680"/>
    </row>
    <row r="7681" spans="6:6" outlineLevel="1">
      <c r="F7681"/>
    </row>
    <row r="7682" spans="6:6" outlineLevel="1">
      <c r="F7682"/>
    </row>
    <row r="7683" spans="6:6" outlineLevel="1">
      <c r="F7683"/>
    </row>
    <row r="7684" spans="6:6" outlineLevel="1">
      <c r="F7684"/>
    </row>
    <row r="7685" spans="6:6" outlineLevel="1">
      <c r="F7685"/>
    </row>
    <row r="7686" spans="6:6" outlineLevel="1">
      <c r="F7686"/>
    </row>
    <row r="7687" spans="6:6" outlineLevel="1">
      <c r="F7687"/>
    </row>
    <row r="7688" spans="6:6" outlineLevel="1">
      <c r="F7688"/>
    </row>
    <row r="7689" spans="6:6" outlineLevel="1">
      <c r="F7689"/>
    </row>
    <row r="7690" spans="6:6" outlineLevel="1">
      <c r="F7690"/>
    </row>
    <row r="7691" spans="6:6" outlineLevel="1">
      <c r="F7691"/>
    </row>
    <row r="7692" spans="6:6">
      <c r="F7692"/>
    </row>
    <row r="7693" spans="6:6" outlineLevel="1">
      <c r="F7693"/>
    </row>
    <row r="7694" spans="6:6">
      <c r="F7694"/>
    </row>
    <row r="7695" spans="6:6" outlineLevel="1">
      <c r="F7695"/>
    </row>
    <row r="7696" spans="6:6" outlineLevel="1">
      <c r="F7696"/>
    </row>
    <row r="7697" spans="6:6" outlineLevel="1">
      <c r="F7697"/>
    </row>
    <row r="7698" spans="6:6" outlineLevel="1">
      <c r="F7698"/>
    </row>
    <row r="7699" spans="6:6" outlineLevel="1">
      <c r="F7699"/>
    </row>
    <row r="7700" spans="6:6" outlineLevel="1">
      <c r="F7700"/>
    </row>
    <row r="7701" spans="6:6" outlineLevel="1">
      <c r="F7701"/>
    </row>
    <row r="7702" spans="6:6" outlineLevel="1">
      <c r="F7702"/>
    </row>
    <row r="7703" spans="6:6" outlineLevel="1">
      <c r="F7703"/>
    </row>
    <row r="7704" spans="6:6" outlineLevel="1">
      <c r="F7704"/>
    </row>
    <row r="7705" spans="6:6" outlineLevel="1">
      <c r="F7705"/>
    </row>
    <row r="7706" spans="6:6" outlineLevel="1">
      <c r="F7706"/>
    </row>
    <row r="7707" spans="6:6" outlineLevel="1">
      <c r="F7707"/>
    </row>
    <row r="7708" spans="6:6" outlineLevel="1">
      <c r="F7708"/>
    </row>
    <row r="7709" spans="6:6" outlineLevel="1">
      <c r="F7709"/>
    </row>
    <row r="7710" spans="6:6" outlineLevel="1">
      <c r="F7710"/>
    </row>
    <row r="7711" spans="6:6" outlineLevel="1">
      <c r="F7711"/>
    </row>
    <row r="7712" spans="6:6" outlineLevel="1">
      <c r="F7712"/>
    </row>
    <row r="7713" spans="6:6" outlineLevel="1">
      <c r="F7713"/>
    </row>
    <row r="7714" spans="6:6">
      <c r="F7714"/>
    </row>
    <row r="7715" spans="6:6" outlineLevel="1">
      <c r="F7715"/>
    </row>
    <row r="7716" spans="6:6" outlineLevel="1">
      <c r="F7716"/>
    </row>
    <row r="7717" spans="6:6" outlineLevel="1">
      <c r="F7717"/>
    </row>
    <row r="7718" spans="6:6" outlineLevel="1">
      <c r="F7718"/>
    </row>
    <row r="7719" spans="6:6" outlineLevel="1">
      <c r="F7719"/>
    </row>
    <row r="7720" spans="6:6" outlineLevel="1">
      <c r="F7720"/>
    </row>
    <row r="7721" spans="6:6" outlineLevel="1">
      <c r="F7721"/>
    </row>
    <row r="7722" spans="6:6" outlineLevel="1">
      <c r="F7722"/>
    </row>
    <row r="7723" spans="6:6" outlineLevel="1">
      <c r="F7723"/>
    </row>
    <row r="7724" spans="6:6" outlineLevel="1">
      <c r="F7724"/>
    </row>
    <row r="7725" spans="6:6" outlineLevel="1">
      <c r="F7725"/>
    </row>
    <row r="7726" spans="6:6" outlineLevel="1">
      <c r="F7726"/>
    </row>
    <row r="7727" spans="6:6" outlineLevel="1">
      <c r="F7727"/>
    </row>
    <row r="7728" spans="6:6" outlineLevel="1">
      <c r="F7728"/>
    </row>
    <row r="7729" spans="6:6" outlineLevel="1">
      <c r="F7729"/>
    </row>
    <row r="7730" spans="6:6" outlineLevel="1">
      <c r="F7730"/>
    </row>
    <row r="7731" spans="6:6" outlineLevel="1">
      <c r="F7731"/>
    </row>
    <row r="7732" spans="6:6" outlineLevel="1">
      <c r="F7732"/>
    </row>
    <row r="7733" spans="6:6">
      <c r="F7733"/>
    </row>
    <row r="7734" spans="6:6" outlineLevel="1">
      <c r="F7734"/>
    </row>
    <row r="7735" spans="6:6" outlineLevel="1">
      <c r="F7735"/>
    </row>
    <row r="7736" spans="6:6" outlineLevel="1">
      <c r="F7736"/>
    </row>
    <row r="7737" spans="6:6" outlineLevel="1">
      <c r="F7737"/>
    </row>
    <row r="7738" spans="6:6" outlineLevel="1">
      <c r="F7738"/>
    </row>
    <row r="7739" spans="6:6" outlineLevel="1">
      <c r="F7739"/>
    </row>
    <row r="7740" spans="6:6" outlineLevel="1">
      <c r="F7740"/>
    </row>
    <row r="7741" spans="6:6" outlineLevel="1">
      <c r="F7741"/>
    </row>
    <row r="7742" spans="6:6" outlineLevel="1">
      <c r="F7742"/>
    </row>
    <row r="7743" spans="6:6" outlineLevel="1">
      <c r="F7743"/>
    </row>
    <row r="7744" spans="6:6" outlineLevel="1">
      <c r="F7744"/>
    </row>
    <row r="7745" spans="6:6" outlineLevel="1">
      <c r="F7745"/>
    </row>
    <row r="7746" spans="6:6" outlineLevel="1">
      <c r="F7746"/>
    </row>
    <row r="7747" spans="6:6" outlineLevel="1">
      <c r="F7747"/>
    </row>
    <row r="7748" spans="6:6" outlineLevel="1">
      <c r="F7748"/>
    </row>
    <row r="7749" spans="6:6" outlineLevel="1">
      <c r="F7749"/>
    </row>
    <row r="7750" spans="6:6" outlineLevel="1">
      <c r="F7750"/>
    </row>
    <row r="7751" spans="6:6" outlineLevel="1">
      <c r="F7751"/>
    </row>
    <row r="7752" spans="6:6" outlineLevel="1">
      <c r="F7752"/>
    </row>
    <row r="7753" spans="6:6" outlineLevel="1">
      <c r="F7753"/>
    </row>
    <row r="7754" spans="6:6" outlineLevel="1">
      <c r="F7754"/>
    </row>
    <row r="7755" spans="6:6" outlineLevel="1">
      <c r="F7755"/>
    </row>
    <row r="7756" spans="6:6" outlineLevel="1">
      <c r="F7756"/>
    </row>
    <row r="7757" spans="6:6" outlineLevel="1">
      <c r="F7757"/>
    </row>
    <row r="7758" spans="6:6">
      <c r="F7758"/>
    </row>
    <row r="7759" spans="6:6" outlineLevel="1">
      <c r="F7759"/>
    </row>
    <row r="7760" spans="6:6" outlineLevel="1">
      <c r="F7760"/>
    </row>
    <row r="7761" spans="6:6" outlineLevel="1">
      <c r="F7761"/>
    </row>
    <row r="7762" spans="6:6" outlineLevel="1">
      <c r="F7762"/>
    </row>
    <row r="7763" spans="6:6" outlineLevel="1">
      <c r="F7763"/>
    </row>
    <row r="7764" spans="6:6" outlineLevel="1">
      <c r="F7764"/>
    </row>
    <row r="7765" spans="6:6" outlineLevel="1">
      <c r="F7765"/>
    </row>
    <row r="7766" spans="6:6" outlineLevel="1">
      <c r="F7766"/>
    </row>
    <row r="7767" spans="6:6" outlineLevel="1">
      <c r="F7767"/>
    </row>
    <row r="7768" spans="6:6" outlineLevel="1">
      <c r="F7768"/>
    </row>
    <row r="7769" spans="6:6" outlineLevel="1">
      <c r="F7769"/>
    </row>
    <row r="7770" spans="6:6" outlineLevel="1">
      <c r="F7770"/>
    </row>
    <row r="7771" spans="6:6" outlineLevel="1">
      <c r="F7771"/>
    </row>
    <row r="7772" spans="6:6" outlineLevel="1">
      <c r="F7772"/>
    </row>
    <row r="7773" spans="6:6">
      <c r="F7773"/>
    </row>
    <row r="7774" spans="6:6" outlineLevel="1">
      <c r="F7774"/>
    </row>
    <row r="7775" spans="6:6">
      <c r="F7775"/>
    </row>
    <row r="7776" spans="6:6" outlineLevel="1">
      <c r="F7776"/>
    </row>
    <row r="7777" spans="6:6" outlineLevel="1">
      <c r="F7777"/>
    </row>
    <row r="7778" spans="6:6" outlineLevel="1">
      <c r="F7778"/>
    </row>
    <row r="7779" spans="6:6" outlineLevel="1">
      <c r="F7779"/>
    </row>
    <row r="7780" spans="6:6" outlineLevel="1">
      <c r="F7780"/>
    </row>
    <row r="7781" spans="6:6" outlineLevel="1">
      <c r="F7781"/>
    </row>
    <row r="7782" spans="6:6" outlineLevel="1">
      <c r="F7782"/>
    </row>
    <row r="7783" spans="6:6" outlineLevel="1">
      <c r="F7783"/>
    </row>
    <row r="7784" spans="6:6" outlineLevel="1">
      <c r="F7784"/>
    </row>
    <row r="7785" spans="6:6">
      <c r="F7785"/>
    </row>
    <row r="7786" spans="6:6" outlineLevel="1">
      <c r="F7786"/>
    </row>
    <row r="7787" spans="6:6" outlineLevel="1">
      <c r="F7787"/>
    </row>
    <row r="7788" spans="6:6" outlineLevel="1">
      <c r="F7788"/>
    </row>
    <row r="7789" spans="6:6" outlineLevel="1">
      <c r="F7789"/>
    </row>
    <row r="7790" spans="6:6" outlineLevel="1">
      <c r="F7790"/>
    </row>
    <row r="7791" spans="6:6" outlineLevel="1">
      <c r="F7791"/>
    </row>
    <row r="7792" spans="6:6" outlineLevel="1">
      <c r="F7792"/>
    </row>
    <row r="7793" spans="6:6" outlineLevel="1">
      <c r="F7793"/>
    </row>
    <row r="7794" spans="6:6" outlineLevel="1">
      <c r="F7794"/>
    </row>
    <row r="7795" spans="6:6" outlineLevel="1">
      <c r="F7795"/>
    </row>
    <row r="7796" spans="6:6" outlineLevel="1">
      <c r="F7796"/>
    </row>
    <row r="7797" spans="6:6" outlineLevel="1">
      <c r="F7797"/>
    </row>
    <row r="7798" spans="6:6" outlineLevel="1">
      <c r="F7798"/>
    </row>
    <row r="7799" spans="6:6">
      <c r="F7799"/>
    </row>
    <row r="7800" spans="6:6" outlineLevel="1">
      <c r="F7800"/>
    </row>
    <row r="7801" spans="6:6" outlineLevel="1">
      <c r="F7801"/>
    </row>
    <row r="7802" spans="6:6" outlineLevel="1">
      <c r="F7802"/>
    </row>
    <row r="7803" spans="6:6" outlineLevel="1">
      <c r="F7803"/>
    </row>
    <row r="7804" spans="6:6" outlineLevel="1">
      <c r="F7804"/>
    </row>
    <row r="7805" spans="6:6" outlineLevel="1">
      <c r="F7805"/>
    </row>
    <row r="7806" spans="6:6" outlineLevel="1">
      <c r="F7806"/>
    </row>
    <row r="7807" spans="6:6" outlineLevel="1">
      <c r="F7807"/>
    </row>
    <row r="7808" spans="6:6" outlineLevel="1">
      <c r="F7808"/>
    </row>
    <row r="7809" spans="6:6">
      <c r="F7809"/>
    </row>
    <row r="7810" spans="6:6" outlineLevel="1">
      <c r="F7810"/>
    </row>
    <row r="7811" spans="6:6" outlineLevel="1">
      <c r="F7811"/>
    </row>
    <row r="7812" spans="6:6" outlineLevel="1">
      <c r="F7812"/>
    </row>
    <row r="7813" spans="6:6" outlineLevel="1">
      <c r="F7813"/>
    </row>
    <row r="7814" spans="6:6" outlineLevel="1">
      <c r="F7814"/>
    </row>
    <row r="7815" spans="6:6" outlineLevel="1">
      <c r="F7815"/>
    </row>
    <row r="7816" spans="6:6" outlineLevel="1">
      <c r="F7816"/>
    </row>
    <row r="7817" spans="6:6" outlineLevel="1">
      <c r="F7817"/>
    </row>
    <row r="7818" spans="6:6" outlineLevel="1">
      <c r="F7818"/>
    </row>
    <row r="7819" spans="6:6" outlineLevel="1">
      <c r="F7819"/>
    </row>
    <row r="7820" spans="6:6" outlineLevel="1">
      <c r="F7820"/>
    </row>
    <row r="7821" spans="6:6" outlineLevel="1">
      <c r="F7821"/>
    </row>
    <row r="7822" spans="6:6" outlineLevel="1">
      <c r="F7822"/>
    </row>
    <row r="7823" spans="6:6" outlineLevel="1">
      <c r="F7823"/>
    </row>
    <row r="7824" spans="6:6" outlineLevel="1">
      <c r="F7824"/>
    </row>
    <row r="7825" spans="6:6" outlineLevel="1">
      <c r="F7825"/>
    </row>
    <row r="7826" spans="6:6" outlineLevel="1">
      <c r="F7826"/>
    </row>
    <row r="7827" spans="6:6">
      <c r="F7827"/>
    </row>
    <row r="7828" spans="6:6" outlineLevel="1">
      <c r="F7828"/>
    </row>
    <row r="7829" spans="6:6" outlineLevel="1">
      <c r="F7829"/>
    </row>
    <row r="7830" spans="6:6" outlineLevel="1">
      <c r="F7830"/>
    </row>
    <row r="7831" spans="6:6" outlineLevel="1">
      <c r="F7831"/>
    </row>
    <row r="7832" spans="6:6" outlineLevel="1">
      <c r="F7832"/>
    </row>
    <row r="7833" spans="6:6" outlineLevel="1">
      <c r="F7833"/>
    </row>
    <row r="7834" spans="6:6" outlineLevel="1">
      <c r="F7834"/>
    </row>
    <row r="7835" spans="6:6" outlineLevel="1">
      <c r="F7835"/>
    </row>
    <row r="7836" spans="6:6" outlineLevel="1">
      <c r="F7836"/>
    </row>
    <row r="7837" spans="6:6" outlineLevel="1">
      <c r="F7837"/>
    </row>
    <row r="7838" spans="6:6" outlineLevel="1">
      <c r="F7838"/>
    </row>
    <row r="7839" spans="6:6" outlineLevel="1">
      <c r="F7839"/>
    </row>
    <row r="7840" spans="6:6" outlineLevel="1">
      <c r="F7840"/>
    </row>
    <row r="7841" spans="6:6" outlineLevel="1">
      <c r="F7841"/>
    </row>
    <row r="7842" spans="6:6" outlineLevel="1">
      <c r="F7842"/>
    </row>
    <row r="7843" spans="6:6" outlineLevel="1">
      <c r="F7843"/>
    </row>
    <row r="7844" spans="6:6" outlineLevel="1">
      <c r="F7844"/>
    </row>
    <row r="7845" spans="6:6" outlineLevel="1">
      <c r="F7845"/>
    </row>
    <row r="7846" spans="6:6">
      <c r="F7846"/>
    </row>
    <row r="7847" spans="6:6" outlineLevel="1">
      <c r="F7847"/>
    </row>
    <row r="7848" spans="6:6">
      <c r="F7848"/>
    </row>
    <row r="7849" spans="6:6" outlineLevel="1">
      <c r="F7849"/>
    </row>
    <row r="7850" spans="6:6">
      <c r="F7850"/>
    </row>
    <row r="7851" spans="6:6" outlineLevel="1">
      <c r="F7851"/>
    </row>
    <row r="7852" spans="6:6" outlineLevel="1">
      <c r="F7852"/>
    </row>
    <row r="7853" spans="6:6" outlineLevel="1">
      <c r="F7853"/>
    </row>
    <row r="7854" spans="6:6" outlineLevel="1">
      <c r="F7854"/>
    </row>
    <row r="7855" spans="6:6">
      <c r="F7855"/>
    </row>
    <row r="7856" spans="6:6" outlineLevel="1">
      <c r="F7856"/>
    </row>
    <row r="7857" spans="6:6" outlineLevel="1">
      <c r="F7857"/>
    </row>
    <row r="7858" spans="6:6" outlineLevel="1">
      <c r="F7858"/>
    </row>
    <row r="7859" spans="6:6" outlineLevel="1">
      <c r="F7859"/>
    </row>
    <row r="7860" spans="6:6" outlineLevel="1">
      <c r="F7860"/>
    </row>
    <row r="7861" spans="6:6" outlineLevel="1">
      <c r="F7861"/>
    </row>
    <row r="7862" spans="6:6" outlineLevel="1">
      <c r="F7862"/>
    </row>
    <row r="7863" spans="6:6" outlineLevel="1">
      <c r="F7863"/>
    </row>
    <row r="7864" spans="6:6" outlineLevel="1">
      <c r="F7864"/>
    </row>
    <row r="7865" spans="6:6" outlineLevel="1">
      <c r="F7865"/>
    </row>
    <row r="7866" spans="6:6" outlineLevel="1">
      <c r="F7866"/>
    </row>
    <row r="7867" spans="6:6" outlineLevel="1">
      <c r="F7867"/>
    </row>
    <row r="7868" spans="6:6" outlineLevel="1">
      <c r="F7868"/>
    </row>
    <row r="7869" spans="6:6" outlineLevel="1">
      <c r="F7869"/>
    </row>
    <row r="7870" spans="6:6" outlineLevel="1">
      <c r="F7870"/>
    </row>
    <row r="7871" spans="6:6" outlineLevel="1">
      <c r="F7871"/>
    </row>
    <row r="7872" spans="6:6" outlineLevel="1">
      <c r="F7872"/>
    </row>
    <row r="7873" spans="6:6" outlineLevel="1">
      <c r="F7873"/>
    </row>
    <row r="7874" spans="6:6" outlineLevel="1">
      <c r="F7874"/>
    </row>
    <row r="7875" spans="6:6" outlineLevel="1">
      <c r="F7875"/>
    </row>
    <row r="7876" spans="6:6" outlineLevel="1">
      <c r="F7876"/>
    </row>
    <row r="7877" spans="6:6" outlineLevel="1">
      <c r="F7877"/>
    </row>
    <row r="7878" spans="6:6" outlineLevel="1">
      <c r="F7878"/>
    </row>
    <row r="7879" spans="6:6" outlineLevel="1">
      <c r="F7879"/>
    </row>
    <row r="7880" spans="6:6" outlineLevel="1">
      <c r="F7880"/>
    </row>
    <row r="7881" spans="6:6" outlineLevel="1">
      <c r="F7881"/>
    </row>
    <row r="7882" spans="6:6" outlineLevel="1">
      <c r="F7882"/>
    </row>
    <row r="7883" spans="6:6" outlineLevel="1">
      <c r="F7883"/>
    </row>
    <row r="7884" spans="6:6" outlineLevel="1">
      <c r="F7884"/>
    </row>
    <row r="7885" spans="6:6" outlineLevel="1">
      <c r="F7885"/>
    </row>
    <row r="7886" spans="6:6" outlineLevel="1">
      <c r="F7886"/>
    </row>
    <row r="7887" spans="6:6">
      <c r="F7887"/>
    </row>
    <row r="7888" spans="6:6" outlineLevel="1">
      <c r="F7888"/>
    </row>
    <row r="7889" spans="6:6" outlineLevel="1">
      <c r="F7889"/>
    </row>
    <row r="7890" spans="6:6" outlineLevel="1">
      <c r="F7890"/>
    </row>
    <row r="7891" spans="6:6" outlineLevel="1">
      <c r="F7891"/>
    </row>
    <row r="7892" spans="6:6" outlineLevel="1">
      <c r="F7892"/>
    </row>
    <row r="7893" spans="6:6" outlineLevel="1">
      <c r="F7893"/>
    </row>
    <row r="7894" spans="6:6" outlineLevel="1">
      <c r="F7894"/>
    </row>
    <row r="7895" spans="6:6">
      <c r="F7895"/>
    </row>
    <row r="7896" spans="6:6" outlineLevel="1">
      <c r="F7896"/>
    </row>
    <row r="7897" spans="6:6" outlineLevel="1">
      <c r="F7897"/>
    </row>
    <row r="7898" spans="6:6" outlineLevel="1">
      <c r="F7898"/>
    </row>
    <row r="7899" spans="6:6" outlineLevel="1">
      <c r="F7899"/>
    </row>
    <row r="7900" spans="6:6" outlineLevel="1">
      <c r="F7900"/>
    </row>
    <row r="7901" spans="6:6" outlineLevel="1">
      <c r="F7901"/>
    </row>
    <row r="7902" spans="6:6" outlineLevel="1">
      <c r="F7902"/>
    </row>
    <row r="7903" spans="6:6" outlineLevel="1">
      <c r="F7903"/>
    </row>
    <row r="7904" spans="6:6" outlineLevel="1">
      <c r="F7904"/>
    </row>
    <row r="7905" spans="6:6" outlineLevel="1">
      <c r="F7905"/>
    </row>
    <row r="7906" spans="6:6" outlineLevel="1">
      <c r="F7906"/>
    </row>
    <row r="7907" spans="6:6" outlineLevel="1">
      <c r="F7907"/>
    </row>
    <row r="7908" spans="6:6" outlineLevel="1">
      <c r="F7908"/>
    </row>
    <row r="7909" spans="6:6" outlineLevel="1">
      <c r="F7909"/>
    </row>
    <row r="7910" spans="6:6" outlineLevel="1">
      <c r="F7910"/>
    </row>
    <row r="7911" spans="6:6" outlineLevel="1">
      <c r="F7911"/>
    </row>
    <row r="7912" spans="6:6" outlineLevel="1">
      <c r="F7912"/>
    </row>
    <row r="7913" spans="6:6">
      <c r="F7913"/>
    </row>
    <row r="7914" spans="6:6" outlineLevel="1">
      <c r="F7914"/>
    </row>
    <row r="7915" spans="6:6" outlineLevel="1">
      <c r="F7915"/>
    </row>
    <row r="7916" spans="6:6" outlineLevel="1">
      <c r="F7916"/>
    </row>
    <row r="7917" spans="6:6" outlineLevel="1">
      <c r="F7917"/>
    </row>
    <row r="7918" spans="6:6" outlineLevel="1">
      <c r="F7918"/>
    </row>
    <row r="7919" spans="6:6" outlineLevel="1">
      <c r="F7919"/>
    </row>
    <row r="7920" spans="6:6" outlineLevel="1">
      <c r="F7920"/>
    </row>
    <row r="7921" spans="6:6" outlineLevel="1">
      <c r="F7921"/>
    </row>
    <row r="7922" spans="6:6" outlineLevel="1">
      <c r="F7922"/>
    </row>
    <row r="7923" spans="6:6">
      <c r="F7923"/>
    </row>
    <row r="7924" spans="6:6" outlineLevel="1">
      <c r="F7924"/>
    </row>
    <row r="7925" spans="6:6" outlineLevel="1">
      <c r="F7925"/>
    </row>
    <row r="7926" spans="6:6" outlineLevel="1">
      <c r="F7926"/>
    </row>
    <row r="7927" spans="6:6" outlineLevel="1">
      <c r="F7927"/>
    </row>
    <row r="7928" spans="6:6" outlineLevel="1">
      <c r="F7928"/>
    </row>
    <row r="7929" spans="6:6" outlineLevel="1">
      <c r="F7929"/>
    </row>
    <row r="7930" spans="6:6" outlineLevel="1">
      <c r="F7930"/>
    </row>
    <row r="7931" spans="6:6" outlineLevel="1">
      <c r="F7931"/>
    </row>
    <row r="7932" spans="6:6" outlineLevel="1">
      <c r="F7932"/>
    </row>
    <row r="7933" spans="6:6" outlineLevel="1">
      <c r="F7933"/>
    </row>
    <row r="7934" spans="6:6" outlineLevel="1">
      <c r="F7934"/>
    </row>
    <row r="7935" spans="6:6" outlineLevel="1">
      <c r="F7935"/>
    </row>
    <row r="7936" spans="6:6" outlineLevel="1">
      <c r="F7936"/>
    </row>
    <row r="7937" spans="6:6" outlineLevel="1">
      <c r="F7937"/>
    </row>
    <row r="7938" spans="6:6" outlineLevel="1">
      <c r="F7938"/>
    </row>
    <row r="7939" spans="6:6">
      <c r="F7939"/>
    </row>
    <row r="7940" spans="6:6" outlineLevel="1">
      <c r="F7940"/>
    </row>
    <row r="7941" spans="6:6">
      <c r="F7941"/>
    </row>
    <row r="7942" spans="6:6" outlineLevel="1">
      <c r="F7942"/>
    </row>
    <row r="7943" spans="6:6" outlineLevel="1">
      <c r="F7943"/>
    </row>
    <row r="7944" spans="6:6">
      <c r="F7944"/>
    </row>
    <row r="7945" spans="6:6" outlineLevel="1">
      <c r="F7945"/>
    </row>
    <row r="7946" spans="6:6" outlineLevel="1">
      <c r="F7946"/>
    </row>
    <row r="7947" spans="6:6" outlineLevel="1">
      <c r="F7947"/>
    </row>
    <row r="7948" spans="6:6" outlineLevel="1">
      <c r="F7948"/>
    </row>
    <row r="7949" spans="6:6">
      <c r="F7949"/>
    </row>
    <row r="7950" spans="6:6" outlineLevel="1">
      <c r="F7950"/>
    </row>
    <row r="7951" spans="6:6" outlineLevel="1">
      <c r="F7951"/>
    </row>
    <row r="7952" spans="6:6" outlineLevel="1">
      <c r="F7952"/>
    </row>
    <row r="7953" spans="6:6" outlineLevel="1">
      <c r="F7953"/>
    </row>
    <row r="7954" spans="6:6" outlineLevel="1">
      <c r="F7954"/>
    </row>
    <row r="7955" spans="6:6" outlineLevel="1">
      <c r="F7955"/>
    </row>
    <row r="7956" spans="6:6" outlineLevel="1">
      <c r="F7956"/>
    </row>
    <row r="7957" spans="6:6" outlineLevel="1">
      <c r="F7957"/>
    </row>
    <row r="7958" spans="6:6" outlineLevel="1">
      <c r="F7958"/>
    </row>
    <row r="7959" spans="6:6" outlineLevel="1">
      <c r="F7959"/>
    </row>
    <row r="7960" spans="6:6" outlineLevel="1">
      <c r="F7960"/>
    </row>
    <row r="7961" spans="6:6" outlineLevel="1">
      <c r="F7961"/>
    </row>
    <row r="7962" spans="6:6" outlineLevel="1">
      <c r="F7962"/>
    </row>
    <row r="7963" spans="6:6" outlineLevel="1">
      <c r="F7963"/>
    </row>
    <row r="7964" spans="6:6" outlineLevel="1">
      <c r="F7964"/>
    </row>
    <row r="7965" spans="6:6" outlineLevel="1">
      <c r="F7965"/>
    </row>
    <row r="7966" spans="6:6" outlineLevel="1">
      <c r="F7966"/>
    </row>
    <row r="7967" spans="6:6" outlineLevel="1">
      <c r="F7967"/>
    </row>
    <row r="7968" spans="6:6" outlineLevel="1">
      <c r="F7968"/>
    </row>
    <row r="7969" spans="6:6" outlineLevel="1">
      <c r="F7969"/>
    </row>
    <row r="7970" spans="6:6" outlineLevel="1">
      <c r="F7970"/>
    </row>
    <row r="7971" spans="6:6" outlineLevel="1">
      <c r="F7971"/>
    </row>
    <row r="7972" spans="6:6" outlineLevel="1">
      <c r="F7972"/>
    </row>
    <row r="7973" spans="6:6" outlineLevel="1">
      <c r="F7973"/>
    </row>
    <row r="7974" spans="6:6">
      <c r="F7974"/>
    </row>
    <row r="7975" spans="6:6" outlineLevel="1">
      <c r="F7975"/>
    </row>
    <row r="7976" spans="6:6">
      <c r="F7976"/>
    </row>
    <row r="7977" spans="6:6" outlineLevel="1">
      <c r="F7977"/>
    </row>
    <row r="7978" spans="6:6" outlineLevel="1">
      <c r="F7978"/>
    </row>
    <row r="7979" spans="6:6" outlineLevel="1">
      <c r="F7979"/>
    </row>
    <row r="7980" spans="6:6" outlineLevel="1">
      <c r="F7980"/>
    </row>
    <row r="7981" spans="6:6" outlineLevel="1">
      <c r="F7981"/>
    </row>
    <row r="7982" spans="6:6">
      <c r="F7982"/>
    </row>
    <row r="7983" spans="6:6" outlineLevel="1">
      <c r="F7983"/>
    </row>
    <row r="7984" spans="6:6" outlineLevel="1">
      <c r="F7984"/>
    </row>
    <row r="7985" spans="6:6" outlineLevel="1">
      <c r="F7985"/>
    </row>
    <row r="7986" spans="6:6" outlineLevel="1">
      <c r="F7986"/>
    </row>
    <row r="7987" spans="6:6" outlineLevel="1">
      <c r="F7987"/>
    </row>
    <row r="7988" spans="6:6">
      <c r="F7988"/>
    </row>
    <row r="7989" spans="6:6" outlineLevel="1">
      <c r="F7989"/>
    </row>
    <row r="7990" spans="6:6" outlineLevel="1">
      <c r="F7990"/>
    </row>
    <row r="7991" spans="6:6" outlineLevel="1">
      <c r="F7991"/>
    </row>
    <row r="7992" spans="6:6" outlineLevel="1">
      <c r="F7992"/>
    </row>
    <row r="7993" spans="6:6" outlineLevel="1">
      <c r="F7993"/>
    </row>
    <row r="7994" spans="6:6" outlineLevel="1">
      <c r="F7994"/>
    </row>
    <row r="7995" spans="6:6" outlineLevel="1">
      <c r="F7995"/>
    </row>
    <row r="7996" spans="6:6" outlineLevel="1">
      <c r="F7996"/>
    </row>
    <row r="7997" spans="6:6" outlineLevel="1">
      <c r="F7997"/>
    </row>
    <row r="7998" spans="6:6" outlineLevel="1">
      <c r="F7998"/>
    </row>
    <row r="7999" spans="6:6" outlineLevel="1">
      <c r="F7999"/>
    </row>
    <row r="8000" spans="6:6" outlineLevel="1">
      <c r="F8000"/>
    </row>
    <row r="8001" spans="6:6" outlineLevel="1">
      <c r="F8001"/>
    </row>
    <row r="8002" spans="6:6" outlineLevel="1">
      <c r="F8002"/>
    </row>
    <row r="8003" spans="6:6" outlineLevel="1">
      <c r="F8003"/>
    </row>
    <row r="8004" spans="6:6" outlineLevel="1">
      <c r="F8004"/>
    </row>
    <row r="8005" spans="6:6" outlineLevel="1">
      <c r="F8005"/>
    </row>
    <row r="8006" spans="6:6" outlineLevel="1">
      <c r="F8006"/>
    </row>
    <row r="8007" spans="6:6" outlineLevel="1">
      <c r="F8007"/>
    </row>
    <row r="8008" spans="6:6" outlineLevel="1">
      <c r="F8008"/>
    </row>
    <row r="8009" spans="6:6" outlineLevel="1">
      <c r="F8009"/>
    </row>
    <row r="8010" spans="6:6">
      <c r="F8010"/>
    </row>
    <row r="8011" spans="6:6" outlineLevel="1">
      <c r="F8011"/>
    </row>
    <row r="8012" spans="6:6" outlineLevel="1">
      <c r="F8012"/>
    </row>
    <row r="8013" spans="6:6" outlineLevel="1">
      <c r="F8013"/>
    </row>
    <row r="8014" spans="6:6" outlineLevel="1">
      <c r="F8014"/>
    </row>
    <row r="8015" spans="6:6" outlineLevel="1">
      <c r="F8015"/>
    </row>
    <row r="8016" spans="6:6" outlineLevel="1">
      <c r="F8016"/>
    </row>
    <row r="8017" spans="6:6" outlineLevel="1">
      <c r="F8017"/>
    </row>
    <row r="8018" spans="6:6" outlineLevel="1">
      <c r="F8018"/>
    </row>
    <row r="8019" spans="6:6" outlineLevel="1">
      <c r="F8019"/>
    </row>
    <row r="8020" spans="6:6" outlineLevel="1">
      <c r="F8020"/>
    </row>
    <row r="8021" spans="6:6" outlineLevel="1">
      <c r="F8021"/>
    </row>
    <row r="8022" spans="6:6" outlineLevel="1">
      <c r="F8022"/>
    </row>
    <row r="8023" spans="6:6" outlineLevel="1">
      <c r="F8023"/>
    </row>
    <row r="8024" spans="6:6" outlineLevel="1">
      <c r="F8024"/>
    </row>
    <row r="8025" spans="6:6" outlineLevel="1">
      <c r="F8025"/>
    </row>
    <row r="8026" spans="6:6" outlineLevel="1">
      <c r="F8026"/>
    </row>
    <row r="8027" spans="6:6" outlineLevel="1">
      <c r="F8027"/>
    </row>
    <row r="8028" spans="6:6" outlineLevel="1">
      <c r="F8028"/>
    </row>
    <row r="8029" spans="6:6" outlineLevel="1">
      <c r="F8029"/>
    </row>
    <row r="8030" spans="6:6" outlineLevel="1">
      <c r="F8030"/>
    </row>
    <row r="8031" spans="6:6" outlineLevel="1">
      <c r="F8031"/>
    </row>
    <row r="8032" spans="6:6" outlineLevel="1">
      <c r="F8032"/>
    </row>
    <row r="8033" spans="6:6" outlineLevel="1">
      <c r="F8033"/>
    </row>
    <row r="8034" spans="6:6" outlineLevel="1">
      <c r="F8034"/>
    </row>
    <row r="8035" spans="6:6" outlineLevel="1">
      <c r="F8035"/>
    </row>
    <row r="8036" spans="6:6" outlineLevel="1">
      <c r="F8036"/>
    </row>
    <row r="8037" spans="6:6" outlineLevel="1">
      <c r="F8037"/>
    </row>
    <row r="8038" spans="6:6" outlineLevel="1">
      <c r="F8038"/>
    </row>
    <row r="8039" spans="6:6" outlineLevel="1">
      <c r="F8039"/>
    </row>
    <row r="8040" spans="6:6" outlineLevel="1">
      <c r="F8040"/>
    </row>
    <row r="8041" spans="6:6" outlineLevel="1">
      <c r="F8041"/>
    </row>
    <row r="8042" spans="6:6" outlineLevel="1">
      <c r="F8042"/>
    </row>
    <row r="8043" spans="6:6" outlineLevel="1">
      <c r="F8043"/>
    </row>
    <row r="8044" spans="6:6" outlineLevel="1">
      <c r="F8044"/>
    </row>
    <row r="8045" spans="6:6" outlineLevel="1">
      <c r="F8045"/>
    </row>
    <row r="8046" spans="6:6" outlineLevel="1">
      <c r="F8046"/>
    </row>
    <row r="8047" spans="6:6" outlineLevel="1">
      <c r="F8047"/>
    </row>
    <row r="8048" spans="6:6" outlineLevel="1">
      <c r="F8048"/>
    </row>
    <row r="8049" spans="6:6" outlineLevel="1">
      <c r="F8049"/>
    </row>
    <row r="8050" spans="6:6" outlineLevel="1">
      <c r="F8050"/>
    </row>
    <row r="8051" spans="6:6" outlineLevel="1">
      <c r="F8051"/>
    </row>
    <row r="8052" spans="6:6" outlineLevel="1">
      <c r="F8052"/>
    </row>
    <row r="8053" spans="6:6" outlineLevel="1">
      <c r="F8053"/>
    </row>
    <row r="8054" spans="6:6" outlineLevel="1">
      <c r="F8054"/>
    </row>
    <row r="8055" spans="6:6" outlineLevel="1">
      <c r="F8055"/>
    </row>
    <row r="8056" spans="6:6" outlineLevel="1">
      <c r="F8056"/>
    </row>
    <row r="8057" spans="6:6" outlineLevel="1">
      <c r="F8057"/>
    </row>
    <row r="8058" spans="6:6" outlineLevel="1">
      <c r="F8058"/>
    </row>
    <row r="8059" spans="6:6" outlineLevel="1">
      <c r="F8059"/>
    </row>
    <row r="8060" spans="6:6" outlineLevel="1">
      <c r="F8060"/>
    </row>
    <row r="8061" spans="6:6" outlineLevel="1">
      <c r="F8061"/>
    </row>
    <row r="8062" spans="6:6" outlineLevel="1">
      <c r="F8062"/>
    </row>
    <row r="8063" spans="6:6" outlineLevel="1">
      <c r="F8063"/>
    </row>
    <row r="8064" spans="6:6" outlineLevel="1">
      <c r="F8064"/>
    </row>
    <row r="8065" spans="6:6" outlineLevel="1">
      <c r="F8065"/>
    </row>
    <row r="8066" spans="6:6" outlineLevel="1">
      <c r="F8066"/>
    </row>
    <row r="8067" spans="6:6" outlineLevel="1">
      <c r="F8067"/>
    </row>
    <row r="8068" spans="6:6" outlineLevel="1">
      <c r="F8068"/>
    </row>
    <row r="8069" spans="6:6">
      <c r="F8069"/>
    </row>
    <row r="8070" spans="6:6" outlineLevel="1">
      <c r="F8070"/>
    </row>
    <row r="8071" spans="6:6">
      <c r="F8071"/>
    </row>
    <row r="8072" spans="6:6" outlineLevel="1">
      <c r="F8072"/>
    </row>
    <row r="8073" spans="6:6">
      <c r="F8073"/>
    </row>
    <row r="8074" spans="6:6" outlineLevel="1">
      <c r="F8074"/>
    </row>
    <row r="8075" spans="6:6">
      <c r="F8075"/>
    </row>
    <row r="8076" spans="6:6" outlineLevel="1">
      <c r="F8076"/>
    </row>
    <row r="8077" spans="6:6">
      <c r="F8077"/>
    </row>
    <row r="8078" spans="6:6" outlineLevel="1">
      <c r="F8078"/>
    </row>
    <row r="8079" spans="6:6" outlineLevel="1">
      <c r="F8079"/>
    </row>
    <row r="8080" spans="6:6" outlineLevel="1">
      <c r="F8080"/>
    </row>
    <row r="8081" spans="6:6" outlineLevel="1">
      <c r="F8081"/>
    </row>
    <row r="8082" spans="6:6" outlineLevel="1">
      <c r="F8082"/>
    </row>
    <row r="8083" spans="6:6" outlineLevel="1">
      <c r="F8083"/>
    </row>
    <row r="8084" spans="6:6" outlineLevel="1">
      <c r="F8084"/>
    </row>
    <row r="8085" spans="6:6" outlineLevel="1">
      <c r="F8085"/>
    </row>
    <row r="8086" spans="6:6">
      <c r="F8086"/>
    </row>
    <row r="8087" spans="6:6" outlineLevel="1">
      <c r="F8087"/>
    </row>
    <row r="8088" spans="6:6" outlineLevel="1">
      <c r="F8088"/>
    </row>
    <row r="8089" spans="6:6" outlineLevel="1">
      <c r="F8089"/>
    </row>
    <row r="8090" spans="6:6" outlineLevel="1">
      <c r="F8090"/>
    </row>
    <row r="8091" spans="6:6" outlineLevel="1">
      <c r="F8091"/>
    </row>
    <row r="8092" spans="6:6">
      <c r="F8092"/>
    </row>
    <row r="8093" spans="6:6" outlineLevel="1">
      <c r="F8093"/>
    </row>
    <row r="8094" spans="6:6" outlineLevel="1">
      <c r="F8094"/>
    </row>
    <row r="8095" spans="6:6" outlineLevel="1">
      <c r="F8095"/>
    </row>
    <row r="8096" spans="6:6" outlineLevel="1">
      <c r="F8096"/>
    </row>
    <row r="8097" spans="6:6" outlineLevel="1">
      <c r="F8097"/>
    </row>
    <row r="8098" spans="6:6" outlineLevel="1">
      <c r="F8098"/>
    </row>
    <row r="8099" spans="6:6" outlineLevel="1">
      <c r="F8099"/>
    </row>
    <row r="8100" spans="6:6" outlineLevel="1">
      <c r="F8100"/>
    </row>
    <row r="8101" spans="6:6" outlineLevel="1">
      <c r="F8101"/>
    </row>
    <row r="8102" spans="6:6" outlineLevel="1">
      <c r="F8102"/>
    </row>
    <row r="8103" spans="6:6" outlineLevel="1">
      <c r="F8103"/>
    </row>
    <row r="8104" spans="6:6">
      <c r="F8104"/>
    </row>
    <row r="8105" spans="6:6" outlineLevel="1">
      <c r="F8105"/>
    </row>
    <row r="8106" spans="6:6">
      <c r="F8106"/>
    </row>
    <row r="8107" spans="6:6" outlineLevel="1">
      <c r="F8107"/>
    </row>
    <row r="8108" spans="6:6" outlineLevel="1">
      <c r="F8108"/>
    </row>
    <row r="8109" spans="6:6" outlineLevel="1">
      <c r="F8109"/>
    </row>
    <row r="8110" spans="6:6" outlineLevel="1">
      <c r="F8110"/>
    </row>
    <row r="8111" spans="6:6" outlineLevel="1">
      <c r="F8111"/>
    </row>
    <row r="8112" spans="6:6" outlineLevel="1">
      <c r="F8112"/>
    </row>
    <row r="8113" spans="6:6" outlineLevel="1">
      <c r="F8113"/>
    </row>
    <row r="8114" spans="6:6" outlineLevel="1">
      <c r="F8114"/>
    </row>
    <row r="8115" spans="6:6" outlineLevel="1">
      <c r="F8115"/>
    </row>
    <row r="8116" spans="6:6" outlineLevel="1">
      <c r="F8116"/>
    </row>
    <row r="8117" spans="6:6" outlineLevel="1">
      <c r="F8117"/>
    </row>
    <row r="8118" spans="6:6" outlineLevel="1">
      <c r="F8118"/>
    </row>
    <row r="8119" spans="6:6" outlineLevel="1">
      <c r="F8119"/>
    </row>
    <row r="8120" spans="6:6" outlineLevel="1">
      <c r="F8120"/>
    </row>
    <row r="8121" spans="6:6" outlineLevel="1">
      <c r="F8121"/>
    </row>
    <row r="8122" spans="6:6" outlineLevel="1">
      <c r="F8122"/>
    </row>
    <row r="8123" spans="6:6" outlineLevel="1">
      <c r="F8123"/>
    </row>
    <row r="8124" spans="6:6" outlineLevel="1">
      <c r="F8124"/>
    </row>
    <row r="8125" spans="6:6" outlineLevel="1">
      <c r="F8125"/>
    </row>
    <row r="8126" spans="6:6" outlineLevel="1">
      <c r="F8126"/>
    </row>
    <row r="8127" spans="6:6" outlineLevel="1">
      <c r="F8127"/>
    </row>
    <row r="8128" spans="6:6" outlineLevel="1">
      <c r="F8128"/>
    </row>
    <row r="8129" spans="6:6">
      <c r="F8129"/>
    </row>
    <row r="8130" spans="6:6" outlineLevel="1">
      <c r="F8130"/>
    </row>
    <row r="8131" spans="6:6" outlineLevel="1">
      <c r="F8131"/>
    </row>
    <row r="8132" spans="6:6" outlineLevel="1">
      <c r="F8132"/>
    </row>
    <row r="8133" spans="6:6" outlineLevel="1">
      <c r="F8133"/>
    </row>
    <row r="8134" spans="6:6" outlineLevel="1">
      <c r="F8134"/>
    </row>
    <row r="8135" spans="6:6" outlineLevel="1">
      <c r="F8135"/>
    </row>
    <row r="8136" spans="6:6" outlineLevel="1">
      <c r="F8136"/>
    </row>
    <row r="8137" spans="6:6" outlineLevel="1">
      <c r="F8137"/>
    </row>
    <row r="8138" spans="6:6">
      <c r="F8138"/>
    </row>
    <row r="8139" spans="6:6" outlineLevel="1">
      <c r="F8139"/>
    </row>
    <row r="8140" spans="6:6" outlineLevel="1">
      <c r="F8140"/>
    </row>
    <row r="8141" spans="6:6" outlineLevel="1">
      <c r="F8141"/>
    </row>
    <row r="8142" spans="6:6">
      <c r="F8142"/>
    </row>
    <row r="8143" spans="6:6" outlineLevel="1">
      <c r="F8143"/>
    </row>
    <row r="8144" spans="6:6" outlineLevel="1">
      <c r="F8144"/>
    </row>
    <row r="8145" spans="6:6" outlineLevel="1">
      <c r="F8145"/>
    </row>
    <row r="8146" spans="6:6" outlineLevel="1">
      <c r="F8146"/>
    </row>
    <row r="8147" spans="6:6" outlineLevel="1">
      <c r="F8147"/>
    </row>
    <row r="8148" spans="6:6" outlineLevel="1">
      <c r="F8148"/>
    </row>
    <row r="8149" spans="6:6">
      <c r="F8149"/>
    </row>
    <row r="8150" spans="6:6" outlineLevel="1">
      <c r="F8150"/>
    </row>
    <row r="8151" spans="6:6" outlineLevel="1">
      <c r="F8151"/>
    </row>
    <row r="8152" spans="6:6" outlineLevel="1">
      <c r="F8152"/>
    </row>
    <row r="8153" spans="6:6" outlineLevel="1">
      <c r="F8153"/>
    </row>
    <row r="8154" spans="6:6" outlineLevel="1">
      <c r="F8154"/>
    </row>
    <row r="8155" spans="6:6" outlineLevel="1">
      <c r="F8155"/>
    </row>
    <row r="8156" spans="6:6" outlineLevel="1">
      <c r="F8156"/>
    </row>
    <row r="8157" spans="6:6">
      <c r="F8157"/>
    </row>
    <row r="8158" spans="6:6" outlineLevel="1">
      <c r="F8158"/>
    </row>
    <row r="8159" spans="6:6" outlineLevel="1">
      <c r="F8159"/>
    </row>
    <row r="8160" spans="6:6" outlineLevel="1">
      <c r="F8160"/>
    </row>
    <row r="8161" spans="6:6" outlineLevel="1">
      <c r="F8161"/>
    </row>
    <row r="8162" spans="6:6" outlineLevel="1">
      <c r="F8162"/>
    </row>
    <row r="8163" spans="6:6" outlineLevel="1">
      <c r="F8163"/>
    </row>
    <row r="8164" spans="6:6" outlineLevel="1">
      <c r="F8164"/>
    </row>
    <row r="8165" spans="6:6" outlineLevel="1">
      <c r="F8165"/>
    </row>
    <row r="8166" spans="6:6" outlineLevel="1">
      <c r="F8166"/>
    </row>
    <row r="8167" spans="6:6" outlineLevel="1">
      <c r="F8167"/>
    </row>
    <row r="8168" spans="6:6" outlineLevel="1">
      <c r="F8168"/>
    </row>
    <row r="8169" spans="6:6" outlineLevel="1">
      <c r="F8169"/>
    </row>
    <row r="8170" spans="6:6" outlineLevel="1">
      <c r="F8170"/>
    </row>
    <row r="8171" spans="6:6" outlineLevel="1">
      <c r="F8171"/>
    </row>
    <row r="8172" spans="6:6" outlineLevel="1">
      <c r="F8172"/>
    </row>
    <row r="8173" spans="6:6">
      <c r="F8173"/>
    </row>
    <row r="8174" spans="6:6" outlineLevel="1">
      <c r="F8174"/>
    </row>
    <row r="8175" spans="6:6" outlineLevel="1">
      <c r="F8175"/>
    </row>
    <row r="8176" spans="6:6" outlineLevel="1">
      <c r="F8176"/>
    </row>
    <row r="8177" spans="6:6">
      <c r="F8177"/>
    </row>
    <row r="8178" spans="6:6" outlineLevel="1">
      <c r="F8178"/>
    </row>
    <row r="8179" spans="6:6" outlineLevel="1">
      <c r="F8179"/>
    </row>
    <row r="8180" spans="6:6" outlineLevel="1">
      <c r="F8180"/>
    </row>
    <row r="8181" spans="6:6" outlineLevel="1">
      <c r="F8181"/>
    </row>
    <row r="8182" spans="6:6" outlineLevel="1">
      <c r="F8182"/>
    </row>
    <row r="8183" spans="6:6">
      <c r="F8183"/>
    </row>
    <row r="8184" spans="6:6" outlineLevel="1">
      <c r="F8184"/>
    </row>
    <row r="8185" spans="6:6">
      <c r="F8185"/>
    </row>
    <row r="8186" spans="6:6" outlineLevel="1">
      <c r="F8186"/>
    </row>
    <row r="8187" spans="6:6">
      <c r="F8187"/>
    </row>
    <row r="8188" spans="6:6" outlineLevel="1">
      <c r="F8188"/>
    </row>
    <row r="8189" spans="6:6" outlineLevel="1">
      <c r="F8189"/>
    </row>
    <row r="8190" spans="6:6">
      <c r="F8190"/>
    </row>
    <row r="8191" spans="6:6" outlineLevel="1">
      <c r="F8191"/>
    </row>
    <row r="8192" spans="6:6">
      <c r="F8192"/>
    </row>
    <row r="8193" spans="6:6" outlineLevel="1">
      <c r="F8193"/>
    </row>
    <row r="8194" spans="6:6" outlineLevel="1">
      <c r="F8194"/>
    </row>
    <row r="8195" spans="6:6">
      <c r="F8195"/>
    </row>
    <row r="8196" spans="6:6" outlineLevel="1">
      <c r="F8196"/>
    </row>
    <row r="8197" spans="6:6">
      <c r="F8197"/>
    </row>
    <row r="8198" spans="6:6" outlineLevel="1">
      <c r="F8198"/>
    </row>
    <row r="8199" spans="6:6" outlineLevel="1">
      <c r="F8199"/>
    </row>
    <row r="8200" spans="6:6" outlineLevel="1">
      <c r="F8200"/>
    </row>
    <row r="8201" spans="6:6" outlineLevel="1">
      <c r="F8201"/>
    </row>
    <row r="8202" spans="6:6" outlineLevel="1">
      <c r="F8202"/>
    </row>
    <row r="8203" spans="6:6" outlineLevel="1">
      <c r="F8203"/>
    </row>
    <row r="8204" spans="6:6" outlineLevel="1">
      <c r="F8204"/>
    </row>
    <row r="8205" spans="6:6" outlineLevel="1">
      <c r="F8205"/>
    </row>
    <row r="8206" spans="6:6" outlineLevel="1">
      <c r="F8206"/>
    </row>
    <row r="8207" spans="6:6" outlineLevel="1">
      <c r="F8207"/>
    </row>
    <row r="8208" spans="6:6">
      <c r="F8208"/>
    </row>
    <row r="8209" spans="6:6" outlineLevel="1">
      <c r="F8209"/>
    </row>
    <row r="8210" spans="6:6" outlineLevel="1">
      <c r="F8210"/>
    </row>
    <row r="8211" spans="6:6" outlineLevel="1">
      <c r="F8211"/>
    </row>
    <row r="8212" spans="6:6" outlineLevel="1">
      <c r="F8212"/>
    </row>
    <row r="8213" spans="6:6" outlineLevel="1">
      <c r="F8213"/>
    </row>
    <row r="8214" spans="6:6">
      <c r="F8214"/>
    </row>
    <row r="8215" spans="6:6" outlineLevel="1">
      <c r="F8215"/>
    </row>
    <row r="8216" spans="6:6">
      <c r="F8216"/>
    </row>
    <row r="8217" spans="6:6" outlineLevel="1">
      <c r="F8217"/>
    </row>
    <row r="8218" spans="6:6">
      <c r="F8218"/>
    </row>
    <row r="8219" spans="6:6" outlineLevel="1">
      <c r="F8219"/>
    </row>
    <row r="8220" spans="6:6">
      <c r="F8220"/>
    </row>
    <row r="8221" spans="6:6" outlineLevel="1">
      <c r="F8221"/>
    </row>
    <row r="8222" spans="6:6" outlineLevel="1">
      <c r="F8222"/>
    </row>
    <row r="8223" spans="6:6" outlineLevel="1">
      <c r="F8223"/>
    </row>
    <row r="8224" spans="6:6" outlineLevel="1">
      <c r="F8224"/>
    </row>
    <row r="8225" spans="6:6" outlineLevel="1">
      <c r="F8225"/>
    </row>
    <row r="8226" spans="6:6" outlineLevel="1">
      <c r="F8226"/>
    </row>
    <row r="8227" spans="6:6" outlineLevel="1">
      <c r="F8227"/>
    </row>
    <row r="8228" spans="6:6" outlineLevel="1">
      <c r="F8228"/>
    </row>
    <row r="8229" spans="6:6" outlineLevel="1">
      <c r="F8229"/>
    </row>
    <row r="8230" spans="6:6" outlineLevel="1">
      <c r="F8230"/>
    </row>
    <row r="8231" spans="6:6" outlineLevel="1">
      <c r="F8231"/>
    </row>
    <row r="8232" spans="6:6" outlineLevel="1">
      <c r="F8232"/>
    </row>
    <row r="8233" spans="6:6" outlineLevel="1">
      <c r="F8233"/>
    </row>
    <row r="8234" spans="6:6" outlineLevel="1">
      <c r="F8234"/>
    </row>
    <row r="8235" spans="6:6" outlineLevel="1">
      <c r="F8235"/>
    </row>
    <row r="8236" spans="6:6" outlineLevel="1">
      <c r="F8236"/>
    </row>
    <row r="8237" spans="6:6" outlineLevel="1">
      <c r="F8237"/>
    </row>
    <row r="8238" spans="6:6" outlineLevel="1">
      <c r="F8238"/>
    </row>
    <row r="8239" spans="6:6">
      <c r="F8239"/>
    </row>
    <row r="8240" spans="6:6" outlineLevel="1">
      <c r="F8240"/>
    </row>
    <row r="8241" spans="6:6" outlineLevel="1">
      <c r="F8241"/>
    </row>
    <row r="8242" spans="6:6" outlineLevel="1">
      <c r="F8242"/>
    </row>
    <row r="8243" spans="6:6" outlineLevel="1">
      <c r="F8243"/>
    </row>
    <row r="8244" spans="6:6" outlineLevel="1">
      <c r="F8244"/>
    </row>
    <row r="8245" spans="6:6" outlineLevel="1">
      <c r="F8245"/>
    </row>
    <row r="8246" spans="6:6" outlineLevel="1">
      <c r="F8246"/>
    </row>
    <row r="8247" spans="6:6" outlineLevel="1">
      <c r="F8247"/>
    </row>
    <row r="8248" spans="6:6" outlineLevel="1">
      <c r="F8248"/>
    </row>
    <row r="8249" spans="6:6" outlineLevel="1">
      <c r="F8249"/>
    </row>
    <row r="8250" spans="6:6" outlineLevel="1">
      <c r="F8250"/>
    </row>
    <row r="8251" spans="6:6" outlineLevel="1">
      <c r="F8251"/>
    </row>
    <row r="8252" spans="6:6" outlineLevel="1">
      <c r="F8252"/>
    </row>
    <row r="8253" spans="6:6" outlineLevel="1">
      <c r="F8253"/>
    </row>
    <row r="8254" spans="6:6" outlineLevel="1">
      <c r="F8254"/>
    </row>
    <row r="8255" spans="6:6" outlineLevel="1">
      <c r="F8255"/>
    </row>
    <row r="8256" spans="6:6" outlineLevel="1">
      <c r="F8256"/>
    </row>
    <row r="8257" spans="6:6" outlineLevel="1">
      <c r="F8257"/>
    </row>
    <row r="8258" spans="6:6" outlineLevel="1">
      <c r="F8258"/>
    </row>
    <row r="8259" spans="6:6" outlineLevel="1">
      <c r="F8259"/>
    </row>
    <row r="8260" spans="6:6" outlineLevel="1">
      <c r="F8260"/>
    </row>
    <row r="8261" spans="6:6" outlineLevel="1">
      <c r="F8261"/>
    </row>
    <row r="8262" spans="6:6" outlineLevel="1">
      <c r="F8262"/>
    </row>
    <row r="8263" spans="6:6" outlineLevel="1">
      <c r="F8263"/>
    </row>
    <row r="8264" spans="6:6">
      <c r="F8264"/>
    </row>
    <row r="8265" spans="6:6" outlineLevel="1">
      <c r="F8265"/>
    </row>
    <row r="8266" spans="6:6" outlineLevel="1">
      <c r="F8266"/>
    </row>
    <row r="8267" spans="6:6" outlineLevel="1">
      <c r="F8267"/>
    </row>
    <row r="8268" spans="6:6" outlineLevel="1">
      <c r="F8268"/>
    </row>
    <row r="8269" spans="6:6" outlineLevel="1">
      <c r="F8269"/>
    </row>
    <row r="8270" spans="6:6" outlineLevel="1">
      <c r="F8270"/>
    </row>
    <row r="8271" spans="6:6" outlineLevel="1">
      <c r="F8271"/>
    </row>
    <row r="8272" spans="6:6" outlineLevel="1">
      <c r="F8272"/>
    </row>
    <row r="8273" spans="6:6" outlineLevel="1">
      <c r="F8273"/>
    </row>
    <row r="8274" spans="6:6" outlineLevel="1">
      <c r="F8274"/>
    </row>
    <row r="8275" spans="6:6" outlineLevel="1">
      <c r="F8275"/>
    </row>
    <row r="8276" spans="6:6" outlineLevel="1">
      <c r="F8276"/>
    </row>
    <row r="8277" spans="6:6" outlineLevel="1">
      <c r="F8277"/>
    </row>
    <row r="8278" spans="6:6" outlineLevel="1">
      <c r="F8278"/>
    </row>
    <row r="8279" spans="6:6" outlineLevel="1">
      <c r="F8279"/>
    </row>
    <row r="8280" spans="6:6" outlineLevel="1">
      <c r="F8280"/>
    </row>
    <row r="8281" spans="6:6" outlineLevel="1">
      <c r="F8281"/>
    </row>
    <row r="8282" spans="6:6" outlineLevel="1">
      <c r="F8282"/>
    </row>
    <row r="8283" spans="6:6" outlineLevel="1">
      <c r="F8283"/>
    </row>
    <row r="8284" spans="6:6" outlineLevel="1">
      <c r="F8284"/>
    </row>
    <row r="8285" spans="6:6" outlineLevel="1">
      <c r="F8285"/>
    </row>
    <row r="8286" spans="6:6" outlineLevel="1">
      <c r="F8286"/>
    </row>
    <row r="8287" spans="6:6" outlineLevel="1">
      <c r="F8287"/>
    </row>
    <row r="8288" spans="6:6" outlineLevel="1">
      <c r="F8288"/>
    </row>
    <row r="8289" spans="6:6" outlineLevel="1">
      <c r="F8289"/>
    </row>
    <row r="8290" spans="6:6" outlineLevel="1">
      <c r="F8290"/>
    </row>
    <row r="8291" spans="6:6" outlineLevel="1">
      <c r="F8291"/>
    </row>
    <row r="8292" spans="6:6" outlineLevel="1">
      <c r="F8292"/>
    </row>
    <row r="8293" spans="6:6" outlineLevel="1">
      <c r="F8293"/>
    </row>
    <row r="8294" spans="6:6" outlineLevel="1">
      <c r="F8294"/>
    </row>
    <row r="8295" spans="6:6" outlineLevel="1">
      <c r="F8295"/>
    </row>
    <row r="8296" spans="6:6" outlineLevel="1">
      <c r="F8296"/>
    </row>
    <row r="8297" spans="6:6" outlineLevel="1">
      <c r="F8297"/>
    </row>
    <row r="8298" spans="6:6" outlineLevel="1">
      <c r="F8298"/>
    </row>
    <row r="8299" spans="6:6" outlineLevel="1">
      <c r="F8299"/>
    </row>
    <row r="8300" spans="6:6" outlineLevel="1">
      <c r="F8300"/>
    </row>
    <row r="8301" spans="6:6" outlineLevel="1">
      <c r="F8301"/>
    </row>
    <row r="8302" spans="6:6" outlineLevel="1">
      <c r="F8302"/>
    </row>
    <row r="8303" spans="6:6" outlineLevel="1">
      <c r="F8303"/>
    </row>
    <row r="8304" spans="6:6" outlineLevel="1">
      <c r="F8304"/>
    </row>
    <row r="8305" spans="6:6" outlineLevel="1">
      <c r="F8305"/>
    </row>
    <row r="8306" spans="6:6" outlineLevel="1">
      <c r="F8306"/>
    </row>
    <row r="8307" spans="6:6" outlineLevel="1">
      <c r="F8307"/>
    </row>
    <row r="8308" spans="6:6" outlineLevel="1">
      <c r="F8308"/>
    </row>
    <row r="8309" spans="6:6" outlineLevel="1">
      <c r="F8309"/>
    </row>
    <row r="8310" spans="6:6" outlineLevel="1">
      <c r="F8310"/>
    </row>
    <row r="8311" spans="6:6" outlineLevel="1">
      <c r="F8311"/>
    </row>
    <row r="8312" spans="6:6" outlineLevel="1">
      <c r="F8312"/>
    </row>
    <row r="8313" spans="6:6" outlineLevel="1">
      <c r="F8313"/>
    </row>
    <row r="8314" spans="6:6" outlineLevel="1">
      <c r="F8314"/>
    </row>
    <row r="8315" spans="6:6" outlineLevel="1">
      <c r="F8315"/>
    </row>
    <row r="8316" spans="6:6" outlineLevel="1">
      <c r="F8316"/>
    </row>
    <row r="8317" spans="6:6" outlineLevel="1">
      <c r="F8317"/>
    </row>
    <row r="8318" spans="6:6" outlineLevel="1">
      <c r="F8318"/>
    </row>
    <row r="8319" spans="6:6" outlineLevel="1">
      <c r="F8319"/>
    </row>
    <row r="8320" spans="6:6" outlineLevel="1">
      <c r="F8320"/>
    </row>
    <row r="8321" spans="6:6" outlineLevel="1">
      <c r="F8321"/>
    </row>
    <row r="8322" spans="6:6" outlineLevel="1">
      <c r="F8322"/>
    </row>
    <row r="8323" spans="6:6" outlineLevel="1">
      <c r="F8323"/>
    </row>
    <row r="8324" spans="6:6" outlineLevel="1">
      <c r="F8324"/>
    </row>
    <row r="8325" spans="6:6" outlineLevel="1">
      <c r="F8325"/>
    </row>
    <row r="8326" spans="6:6" outlineLevel="1">
      <c r="F8326"/>
    </row>
    <row r="8327" spans="6:6" outlineLevel="1">
      <c r="F8327"/>
    </row>
    <row r="8328" spans="6:6" outlineLevel="1">
      <c r="F8328"/>
    </row>
    <row r="8329" spans="6:6" outlineLevel="1">
      <c r="F8329"/>
    </row>
    <row r="8330" spans="6:6" outlineLevel="1">
      <c r="F8330"/>
    </row>
    <row r="8331" spans="6:6" outlineLevel="1">
      <c r="F8331"/>
    </row>
    <row r="8332" spans="6:6" outlineLevel="1">
      <c r="F8332"/>
    </row>
    <row r="8333" spans="6:6" outlineLevel="1">
      <c r="F8333"/>
    </row>
    <row r="8334" spans="6:6">
      <c r="F8334"/>
    </row>
    <row r="8335" spans="6:6">
      <c r="F8335"/>
    </row>
    <row r="8336" spans="6:6">
      <c r="F8336"/>
    </row>
  </sheetData>
  <dataValidations count="1">
    <dataValidation type="textLength" errorStyle="information" allowBlank="1" showInputMessage="1" showErrorMessage="1" error="XLBVal:8=_x000d__x000a_XLBRowCount:3=982_x000d__x000a_XLBColCount:3=20_x000d__x000a_Style:2=2_x000d__x000a_" sqref="A10" xr:uid="{00000000-0002-0000-0900-000000000000}">
      <formula1>0</formula1>
      <formula2>300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2"/>
  <sheetViews>
    <sheetView workbookViewId="0">
      <selection activeCell="B2" sqref="B2:E12"/>
    </sheetView>
  </sheetViews>
  <sheetFormatPr defaultRowHeight="15"/>
  <cols>
    <col min="1" max="1" width="35.85546875" customWidth="1"/>
    <col min="2" max="2" width="14.85546875" customWidth="1"/>
    <col min="3" max="4" width="14.28515625" customWidth="1"/>
    <col min="5" max="5" width="23" customWidth="1"/>
  </cols>
  <sheetData>
    <row r="1" spans="1:5" ht="39">
      <c r="A1" s="122" t="s">
        <v>343</v>
      </c>
      <c r="B1" s="122" t="s">
        <v>336</v>
      </c>
      <c r="C1" s="122" t="s">
        <v>337</v>
      </c>
      <c r="D1" s="122" t="s">
        <v>338</v>
      </c>
      <c r="E1" s="123" t="s">
        <v>339</v>
      </c>
    </row>
    <row r="2" spans="1:5">
      <c r="A2" s="124" t="s">
        <v>327</v>
      </c>
      <c r="B2" s="120">
        <v>113421</v>
      </c>
      <c r="C2" s="119" t="s">
        <v>309</v>
      </c>
      <c r="D2" s="121">
        <v>1</v>
      </c>
      <c r="E2" s="174">
        <f>SUMIF('DETAILED REPROT Q1'!$D$19:$D$140,'SUMMARY REPORTQ1'!A2,'DETAILED REPROT Q1'!$M$19:$M$140)</f>
        <v>31035.67</v>
      </c>
    </row>
    <row r="3" spans="1:5">
      <c r="A3" s="124" t="s">
        <v>326</v>
      </c>
      <c r="B3" s="120">
        <v>113421</v>
      </c>
      <c r="C3" s="119" t="s">
        <v>309</v>
      </c>
      <c r="D3" s="121">
        <v>2</v>
      </c>
      <c r="E3" s="174">
        <f>SUMIF('DETAILED REPROT Q1'!$D$19:$D$140,'SUMMARY REPORTQ1'!A3,'DETAILED REPROT Q1'!$M$19:$M$140)</f>
        <v>987.98</v>
      </c>
    </row>
    <row r="4" spans="1:5" ht="25.5">
      <c r="A4" s="124" t="s">
        <v>331</v>
      </c>
      <c r="B4" s="120">
        <v>113421</v>
      </c>
      <c r="C4" s="119" t="s">
        <v>309</v>
      </c>
      <c r="D4" s="121">
        <v>3</v>
      </c>
      <c r="E4" s="174">
        <f>SUMIF('DETAILED REPROT Q1'!$D$19:$D$140,'SUMMARY REPORTQ1'!A4,'DETAILED REPROT Q1'!$M$19:$M$140)</f>
        <v>720</v>
      </c>
    </row>
    <row r="5" spans="1:5">
      <c r="A5" s="124" t="s">
        <v>329</v>
      </c>
      <c r="B5" s="120">
        <v>113421</v>
      </c>
      <c r="C5" s="119" t="s">
        <v>309</v>
      </c>
      <c r="D5" s="121">
        <v>4</v>
      </c>
      <c r="E5" s="174">
        <f>SUMIF('DETAILED REPROT Q1'!$D$19:$D$140,'SUMMARY REPORTQ1'!A5,'DETAILED REPROT Q1'!$M$19:$M$140)</f>
        <v>345</v>
      </c>
    </row>
    <row r="6" spans="1:5">
      <c r="A6" s="124" t="s">
        <v>330</v>
      </c>
      <c r="B6" s="120">
        <v>113421</v>
      </c>
      <c r="C6" s="119" t="s">
        <v>309</v>
      </c>
      <c r="D6" s="121">
        <v>5</v>
      </c>
      <c r="E6" s="174">
        <f>SUMIF('DETAILED REPROT Q1'!$D$19:$D$140,'SUMMARY REPORTQ1'!A6,'DETAILED REPROT Q1'!$M$19:$M$140)</f>
        <v>1056.31</v>
      </c>
    </row>
    <row r="7" spans="1:5">
      <c r="A7" s="124" t="s">
        <v>325</v>
      </c>
      <c r="B7" s="120">
        <v>113421</v>
      </c>
      <c r="C7" s="119" t="s">
        <v>309</v>
      </c>
      <c r="D7" s="121">
        <v>6</v>
      </c>
      <c r="E7" s="174">
        <f>SUMIF('DETAILED REPROT Q1'!$D$19:$D$140,'SUMMARY REPORTQ1'!A7,'DETAILED REPROT Q1'!$M$19:$M$140)</f>
        <v>0</v>
      </c>
    </row>
    <row r="8" spans="1:5">
      <c r="A8" s="124" t="s">
        <v>328</v>
      </c>
      <c r="B8" s="120">
        <v>113421</v>
      </c>
      <c r="C8" s="119" t="s">
        <v>309</v>
      </c>
      <c r="D8" s="121">
        <v>7</v>
      </c>
      <c r="E8" s="174">
        <f>SUMIF('DETAILED REPROT Q1'!$D$19:$D$140,'SUMMARY REPORTQ1'!A8,'DETAILED REPROT Q1'!$M$19:$M$140)</f>
        <v>2767.8</v>
      </c>
    </row>
    <row r="9" spans="1:5">
      <c r="A9" s="124" t="s">
        <v>332</v>
      </c>
      <c r="B9" s="120">
        <v>113421</v>
      </c>
      <c r="C9" s="119" t="s">
        <v>309</v>
      </c>
      <c r="D9" s="121">
        <v>8</v>
      </c>
      <c r="E9" s="174">
        <f>SUMIF('DETAILED REPROT Q1'!$D$19:$D$140,'SUMMARY REPORTQ1'!A9,'DETAILED REPROT Q1'!$M$19:$M$140)</f>
        <v>2609.59</v>
      </c>
    </row>
    <row r="10" spans="1:5">
      <c r="A10" s="124" t="s">
        <v>340</v>
      </c>
      <c r="B10" s="120">
        <v>113421</v>
      </c>
      <c r="C10" s="119" t="s">
        <v>309</v>
      </c>
      <c r="D10" s="121">
        <v>9</v>
      </c>
      <c r="E10" s="174">
        <v>525000</v>
      </c>
    </row>
    <row r="11" spans="1:5">
      <c r="A11" s="124" t="s">
        <v>341</v>
      </c>
      <c r="B11" s="120">
        <v>113421</v>
      </c>
      <c r="C11" s="119" t="s">
        <v>309</v>
      </c>
      <c r="D11" s="121">
        <v>10</v>
      </c>
      <c r="E11" s="174">
        <f>SUMIF('DETAILED REPROT Q1'!$D$19:$D$140,'SUMMARY REPORTQ1'!A11,'DETAILED REPROT Q1'!$M$19:$M$140)</f>
        <v>0</v>
      </c>
    </row>
    <row r="12" spans="1:5">
      <c r="A12" s="124" t="s">
        <v>342</v>
      </c>
      <c r="B12" s="120">
        <v>113421</v>
      </c>
      <c r="C12" s="119" t="s">
        <v>309</v>
      </c>
      <c r="D12" s="121">
        <v>11</v>
      </c>
      <c r="E12" s="174">
        <f>SUMIF('DETAILED REPROT Q1'!$D$19:$D$140,'SUMMARY REPORTQ1'!A12,'DETAILED REPROT Q1'!$M$19:$M$140)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56"/>
  <sheetViews>
    <sheetView topLeftCell="T635" workbookViewId="0">
      <selection activeCell="Z638" sqref="Z638:Z650"/>
    </sheetView>
  </sheetViews>
  <sheetFormatPr defaultRowHeight="15"/>
  <cols>
    <col min="1" max="3" width="9.140625" style="218" hidden="1" customWidth="1"/>
    <col min="4" max="5" width="9.140625" style="218"/>
    <col min="6" max="6" width="9.140625" style="219" hidden="1" customWidth="1"/>
    <col min="7" max="7" width="14.85546875" style="218" bestFit="1" customWidth="1"/>
    <col min="8" max="8" width="14.85546875" style="218" customWidth="1"/>
    <col min="9" max="9" width="36" style="218" bestFit="1" customWidth="1"/>
    <col min="10" max="10" width="21.85546875" style="218" customWidth="1"/>
    <col min="11" max="11" width="50.85546875" style="218" bestFit="1" customWidth="1"/>
    <col min="12" max="12" width="76.7109375" style="218" bestFit="1" customWidth="1"/>
    <col min="13" max="13" width="15.28515625" style="218" bestFit="1" customWidth="1"/>
    <col min="14" max="14" width="32.140625" style="218" bestFit="1" customWidth="1"/>
    <col min="15" max="15" width="13.140625" style="218" bestFit="1" customWidth="1"/>
    <col min="16" max="16" width="10.42578125" style="218" bestFit="1" customWidth="1"/>
    <col min="17" max="17" width="12.28515625" style="218" bestFit="1" customWidth="1"/>
    <col min="18" max="18" width="19.140625" style="218" bestFit="1" customWidth="1"/>
    <col min="19" max="19" width="16.42578125" style="218" bestFit="1" customWidth="1"/>
    <col min="20" max="20" width="14.7109375" style="218" bestFit="1" customWidth="1"/>
    <col min="21" max="21" width="12.28515625" style="218" bestFit="1" customWidth="1"/>
    <col min="22" max="22" width="18.42578125" style="218" bestFit="1" customWidth="1"/>
    <col min="23" max="23" width="23.28515625" style="218" bestFit="1" customWidth="1"/>
    <col min="24" max="24" width="20.5703125" style="218" bestFit="1" customWidth="1"/>
    <col min="25" max="25" width="9.7109375" style="218" bestFit="1" customWidth="1"/>
    <col min="26" max="26" width="27" style="218" bestFit="1" customWidth="1"/>
    <col min="27" max="27" width="23.140625" style="218" bestFit="1" customWidth="1"/>
    <col min="28" max="16384" width="9.140625" style="218"/>
  </cols>
  <sheetData>
    <row r="1" spans="1:27" hidden="1">
      <c r="A1" s="218" t="s">
        <v>4788</v>
      </c>
      <c r="B1" s="218" t="s">
        <v>2564</v>
      </c>
      <c r="C1" s="218" t="s">
        <v>2564</v>
      </c>
      <c r="F1" s="219" t="s">
        <v>2564</v>
      </c>
      <c r="G1" s="218" t="s">
        <v>2565</v>
      </c>
      <c r="I1" s="218" t="s">
        <v>2565</v>
      </c>
      <c r="K1" s="218" t="s">
        <v>2565</v>
      </c>
      <c r="L1" s="218" t="s">
        <v>2565</v>
      </c>
      <c r="M1" s="218" t="s">
        <v>2565</v>
      </c>
      <c r="N1" s="218" t="s">
        <v>2565</v>
      </c>
      <c r="O1" s="218" t="s">
        <v>2565</v>
      </c>
      <c r="P1" s="218" t="s">
        <v>2565</v>
      </c>
      <c r="Q1" s="218" t="s">
        <v>2565</v>
      </c>
      <c r="R1" s="218" t="s">
        <v>2565</v>
      </c>
      <c r="S1" s="218" t="s">
        <v>2565</v>
      </c>
      <c r="T1" s="218" t="s">
        <v>2565</v>
      </c>
      <c r="U1" s="218" t="s">
        <v>2565</v>
      </c>
      <c r="V1" s="218" t="s">
        <v>2565</v>
      </c>
      <c r="W1" s="218" t="s">
        <v>2565</v>
      </c>
      <c r="X1" s="218" t="s">
        <v>2565</v>
      </c>
      <c r="Y1" s="218" t="s">
        <v>2565</v>
      </c>
      <c r="Z1" s="218" t="s">
        <v>2565</v>
      </c>
      <c r="AA1" s="218" t="s">
        <v>2565</v>
      </c>
    </row>
    <row r="2" spans="1:27" hidden="1">
      <c r="A2" s="218" t="s">
        <v>2564</v>
      </c>
      <c r="B2" s="218" t="s">
        <v>2566</v>
      </c>
      <c r="C2" s="218" t="str">
        <f>"AP21QR"</f>
        <v>AP21QR</v>
      </c>
    </row>
    <row r="3" spans="1:27" hidden="1">
      <c r="A3" s="218" t="s">
        <v>2564</v>
      </c>
      <c r="B3" s="218" t="s">
        <v>2567</v>
      </c>
      <c r="C3" s="218" t="str">
        <f>"01/04/2020..31/05/2020"</f>
        <v>01/04/2020..31/05/2020</v>
      </c>
    </row>
    <row r="4" spans="1:27" hidden="1">
      <c r="A4" s="218" t="s">
        <v>2564</v>
      </c>
      <c r="B4" s="218" t="s">
        <v>2571</v>
      </c>
      <c r="C4" s="218" t="str">
        <f>"*"</f>
        <v>*</v>
      </c>
    </row>
    <row r="6" spans="1:27">
      <c r="G6" s="218" t="s">
        <v>4787</v>
      </c>
      <c r="I6" s="218" t="s">
        <v>2573</v>
      </c>
      <c r="K6" s="218" t="s">
        <v>2574</v>
      </c>
      <c r="L6" s="218" t="s">
        <v>357</v>
      </c>
      <c r="M6" s="218" t="s">
        <v>2571</v>
      </c>
      <c r="N6" s="218" t="s">
        <v>2579</v>
      </c>
      <c r="O6" s="218" t="s">
        <v>2569</v>
      </c>
      <c r="P6" s="218" t="s">
        <v>2566</v>
      </c>
      <c r="Q6" s="218" t="s">
        <v>2580</v>
      </c>
      <c r="R6" s="218" t="s">
        <v>2581</v>
      </c>
      <c r="S6" s="218" t="s">
        <v>2572</v>
      </c>
      <c r="T6" s="218" t="s">
        <v>2582</v>
      </c>
      <c r="U6" s="218" t="s">
        <v>369</v>
      </c>
      <c r="V6" s="218" t="s">
        <v>2583</v>
      </c>
      <c r="W6" s="218" t="s">
        <v>2578</v>
      </c>
      <c r="X6" s="218" t="s">
        <v>2577</v>
      </c>
      <c r="Y6" s="218" t="s">
        <v>2576</v>
      </c>
      <c r="Z6" s="218" t="s">
        <v>2585</v>
      </c>
      <c r="AA6" s="218" t="s">
        <v>2584</v>
      </c>
    </row>
    <row r="7" spans="1:27">
      <c r="F7" s="219" t="str">
        <f>"""IntAlert Live"",""ALERT UK"",""17"",""1"",""544307"""</f>
        <v>"IntAlert Live","ALERT UK","17","1","544307"</v>
      </c>
      <c r="G7" s="223">
        <v>43951</v>
      </c>
      <c r="H7" s="223"/>
      <c r="I7" s="218" t="str">
        <f>"JDRCBUK/BANK/2020/02/036"</f>
        <v>JDRCBUK/BANK/2020/02/036</v>
      </c>
      <c r="K7" s="218" t="str">
        <f>"JUSD 11 FEB20"</f>
        <v>JUSD 11 FEB20</v>
      </c>
      <c r="L7" s="218" t="str">
        <f>"UNDP"</f>
        <v>UNDP</v>
      </c>
      <c r="M7" s="218" t="str">
        <f>"9770"</f>
        <v>9770</v>
      </c>
      <c r="N7" s="218" t="str">
        <f>"BANK CHARGES"</f>
        <v>BANK CHARGES</v>
      </c>
      <c r="O7" s="218" t="str">
        <f>"UNILON"</f>
        <v>UNILON</v>
      </c>
      <c r="P7" s="218" t="str">
        <f t="shared" ref="P7:P70" si="0">"AP21QR"</f>
        <v>AP21QR</v>
      </c>
      <c r="Q7" s="218" t="str">
        <f>""</f>
        <v/>
      </c>
      <c r="R7" s="218" t="str">
        <f>""</f>
        <v/>
      </c>
      <c r="S7" s="218" t="str">
        <f>"###"</f>
        <v>###</v>
      </c>
      <c r="T7" s="218" t="str">
        <f t="shared" ref="T7:T38" si="1">"D"</f>
        <v>D</v>
      </c>
      <c r="U7" s="218" t="str">
        <f t="shared" ref="U7:U70" si="2">"AFR000"</f>
        <v>AFR000</v>
      </c>
      <c r="V7" s="218" t="str">
        <f t="shared" ref="V7:V70" si="3">"###"</f>
        <v>###</v>
      </c>
      <c r="W7" s="218">
        <v>-9.27</v>
      </c>
      <c r="X7" s="218" t="str">
        <f t="shared" ref="X7:X45" si="4">"USD"</f>
        <v>USD</v>
      </c>
      <c r="Y7" s="218">
        <v>-7.44</v>
      </c>
      <c r="Z7" s="218">
        <v>-9.27</v>
      </c>
      <c r="AA7" s="218">
        <v>-8.3699999999999992</v>
      </c>
    </row>
    <row r="8" spans="1:27">
      <c r="A8" s="218" t="s">
        <v>2592</v>
      </c>
      <c r="F8" s="219" t="str">
        <f>"""IntAlert Live"",""ALERT UK"",""17"",""1"",""554710"""</f>
        <v>"IntAlert Live","ALERT UK","17","1","554710"</v>
      </c>
      <c r="G8" s="223">
        <v>43977</v>
      </c>
      <c r="H8" s="223"/>
      <c r="I8" s="218" t="str">
        <f>"DRCGOM/ BANQUE/2020/005/011"</f>
        <v>DRCGOM/ BANQUE/2020/005/011</v>
      </c>
      <c r="K8" s="218" t="str">
        <f>"CNSS-MAY 2020"</f>
        <v>CNSS-MAY 2020</v>
      </c>
      <c r="L8" s="218" t="str">
        <f>"CNSS-Paul MAKOMA KANYIHATA "</f>
        <v xml:space="preserve">CNSS-Paul MAKOMA KANYIHATA </v>
      </c>
      <c r="M8" s="218" t="str">
        <f>"5110"</f>
        <v>5110</v>
      </c>
      <c r="N8" s="218" t="str">
        <f>"EMPLOYER'S PENSION COSTS"</f>
        <v>EMPLOYER'S PENSION COSTS</v>
      </c>
      <c r="O8" s="218" t="str">
        <f>"DRCGOM"</f>
        <v>DRCGOM</v>
      </c>
      <c r="P8" s="218" t="str">
        <f t="shared" si="0"/>
        <v>AP21QR</v>
      </c>
      <c r="Q8" s="218" t="str">
        <f>"PMA"</f>
        <v>PMA</v>
      </c>
      <c r="R8" s="218" t="str">
        <f>""</f>
        <v/>
      </c>
      <c r="S8" s="218" t="str">
        <f>"003"</f>
        <v>003</v>
      </c>
      <c r="T8" s="218" t="str">
        <f t="shared" si="1"/>
        <v>D</v>
      </c>
      <c r="U8" s="218" t="str">
        <f t="shared" si="2"/>
        <v>AFR000</v>
      </c>
      <c r="V8" s="218" t="str">
        <f t="shared" si="3"/>
        <v>###</v>
      </c>
      <c r="W8" s="218">
        <v>69.42</v>
      </c>
      <c r="X8" s="218" t="str">
        <f t="shared" si="4"/>
        <v>USD</v>
      </c>
      <c r="Y8" s="218">
        <v>55.08</v>
      </c>
      <c r="Z8" s="218">
        <v>69.42</v>
      </c>
      <c r="AA8" s="218">
        <v>63.04</v>
      </c>
    </row>
    <row r="9" spans="1:27">
      <c r="A9" s="218" t="s">
        <v>2592</v>
      </c>
      <c r="F9" s="219" t="str">
        <f>"""IntAlert Live"",""ALERT UK"",""17"",""1"",""556005"""</f>
        <v>"IntAlert Live","ALERT UK","17","1","556005"</v>
      </c>
      <c r="G9" s="223">
        <v>43889</v>
      </c>
      <c r="H9" s="223"/>
      <c r="I9" s="218" t="str">
        <f>"DRCPARTNER/PBVE/AP21QR/2020/01"</f>
        <v>DRCPARTNER/PBVE/AP21QR/2020/01</v>
      </c>
      <c r="K9" s="218" t="str">
        <f>"RUKUMBUZI"</f>
        <v>RUKUMBUZI</v>
      </c>
      <c r="L9" s="218" t="str">
        <f>"Salaire superviseur de terrain Fevrier 2020"</f>
        <v>Salaire superviseur de terrain Fevrier 2020</v>
      </c>
      <c r="M9" s="218" t="str">
        <f t="shared" ref="M9:M43" si="5">"6470"</f>
        <v>6470</v>
      </c>
      <c r="N9" s="218" t="str">
        <f t="shared" ref="N9:N43" si="6">"PARTNER - PROJECT/ACTIVITY"</f>
        <v>PARTNER - PROJECT/ACTIVITY</v>
      </c>
      <c r="O9" s="218" t="str">
        <f t="shared" ref="O9:O45" si="7">"DRCBUK"</f>
        <v>DRCBUK</v>
      </c>
      <c r="P9" s="218" t="str">
        <f t="shared" si="0"/>
        <v>AP21QR</v>
      </c>
      <c r="Q9" s="218" t="str">
        <f>""</f>
        <v/>
      </c>
      <c r="R9" s="218" t="str">
        <f>"PBVE"</f>
        <v>PBVE</v>
      </c>
      <c r="S9" s="218" t="str">
        <f t="shared" ref="S9:S24" si="8">"006"</f>
        <v>006</v>
      </c>
      <c r="T9" s="218" t="str">
        <f t="shared" si="1"/>
        <v>D</v>
      </c>
      <c r="U9" s="218" t="str">
        <f t="shared" si="2"/>
        <v>AFR000</v>
      </c>
      <c r="V9" s="218" t="str">
        <f t="shared" si="3"/>
        <v>###</v>
      </c>
      <c r="W9" s="218">
        <v>450</v>
      </c>
      <c r="X9" s="218" t="str">
        <f t="shared" si="4"/>
        <v>USD</v>
      </c>
      <c r="Y9" s="218">
        <v>357.02</v>
      </c>
      <c r="Z9" s="218">
        <v>450</v>
      </c>
      <c r="AA9" s="218">
        <v>408.59</v>
      </c>
    </row>
    <row r="10" spans="1:27">
      <c r="A10" s="218" t="s">
        <v>2592</v>
      </c>
      <c r="F10" s="219" t="str">
        <f>"""IntAlert Live"",""ALERT UK"",""17"",""1"",""555681"""</f>
        <v>"IntAlert Live","ALERT UK","17","1","555681"</v>
      </c>
      <c r="G10" s="223">
        <v>43903</v>
      </c>
      <c r="H10" s="223"/>
      <c r="I10" s="218" t="str">
        <f>"DRCPARTNER/PAPU/AP21QR/2020/01"</f>
        <v>DRCPARTNER/PAPU/AP21QR/2020/01</v>
      </c>
      <c r="K10" s="218" t="str">
        <f>"POSTE D'ENCADREMENT MINEMBWE"</f>
        <v>POSTE D'ENCADREMENT MINEMBWE</v>
      </c>
      <c r="L10" s="218" t="str">
        <f>"Frais location salle pr Briefing comm/carte sécuritaire"</f>
        <v>Frais location salle pr Briefing comm/carte sécuritaire</v>
      </c>
      <c r="M10" s="218" t="str">
        <f t="shared" si="5"/>
        <v>6470</v>
      </c>
      <c r="N10" s="218" t="str">
        <f t="shared" si="6"/>
        <v>PARTNER - PROJECT/ACTIVITY</v>
      </c>
      <c r="O10" s="218" t="str">
        <f t="shared" si="7"/>
        <v>DRCBUK</v>
      </c>
      <c r="P10" s="218" t="str">
        <f t="shared" si="0"/>
        <v>AP21QR</v>
      </c>
      <c r="Q10" s="218" t="str">
        <f>""</f>
        <v/>
      </c>
      <c r="R10" s="218" t="str">
        <f>"PAPU"</f>
        <v>PAPU</v>
      </c>
      <c r="S10" s="218" t="str">
        <f t="shared" si="8"/>
        <v>006</v>
      </c>
      <c r="T10" s="218" t="str">
        <f t="shared" si="1"/>
        <v>D</v>
      </c>
      <c r="U10" s="218" t="str">
        <f t="shared" si="2"/>
        <v>AFR000</v>
      </c>
      <c r="V10" s="218" t="str">
        <f t="shared" si="3"/>
        <v>###</v>
      </c>
      <c r="W10" s="218">
        <v>150</v>
      </c>
      <c r="X10" s="218" t="str">
        <f t="shared" si="4"/>
        <v>USD</v>
      </c>
      <c r="Y10" s="218">
        <v>119.01</v>
      </c>
      <c r="Z10" s="218">
        <v>150</v>
      </c>
      <c r="AA10" s="218">
        <v>136.19999999999999</v>
      </c>
    </row>
    <row r="11" spans="1:27">
      <c r="A11" s="218" t="s">
        <v>2592</v>
      </c>
      <c r="F11" s="219" t="str">
        <f>"""IntAlert Live"",""ALERT UK"",""17"",""1"",""555682"""</f>
        <v>"IntAlert Live","ALERT UK","17","1","555682"</v>
      </c>
      <c r="G11" s="223">
        <v>43903</v>
      </c>
      <c r="H11" s="223"/>
      <c r="I11" s="218" t="str">
        <f>"DRCPARTNER/PAPU/AP21QR/2020/01"</f>
        <v>DRCPARTNER/PAPU/AP21QR/2020/01</v>
      </c>
      <c r="K11" s="218" t="str">
        <f>"RADIO RTM"</f>
        <v>RADIO RTM</v>
      </c>
      <c r="L11" s="218" t="str">
        <f>"Frais location groupe électrogène"</f>
        <v>Frais location groupe électrogène</v>
      </c>
      <c r="M11" s="218" t="str">
        <f t="shared" si="5"/>
        <v>6470</v>
      </c>
      <c r="N11" s="218" t="str">
        <f t="shared" si="6"/>
        <v>PARTNER - PROJECT/ACTIVITY</v>
      </c>
      <c r="O11" s="218" t="str">
        <f t="shared" si="7"/>
        <v>DRCBUK</v>
      </c>
      <c r="P11" s="218" t="str">
        <f t="shared" si="0"/>
        <v>AP21QR</v>
      </c>
      <c r="Q11" s="218" t="str">
        <f>""</f>
        <v/>
      </c>
      <c r="R11" s="218" t="str">
        <f>"PAPU"</f>
        <v>PAPU</v>
      </c>
      <c r="S11" s="218" t="str">
        <f t="shared" si="8"/>
        <v>006</v>
      </c>
      <c r="T11" s="218" t="str">
        <f t="shared" si="1"/>
        <v>D</v>
      </c>
      <c r="U11" s="218" t="str">
        <f t="shared" si="2"/>
        <v>AFR000</v>
      </c>
      <c r="V11" s="218" t="str">
        <f t="shared" si="3"/>
        <v>###</v>
      </c>
      <c r="W11" s="218">
        <v>45</v>
      </c>
      <c r="X11" s="218" t="str">
        <f t="shared" si="4"/>
        <v>USD</v>
      </c>
      <c r="Y11" s="218">
        <v>35.700000000000003</v>
      </c>
      <c r="Z11" s="218">
        <v>45</v>
      </c>
      <c r="AA11" s="218">
        <v>40.86</v>
      </c>
    </row>
    <row r="12" spans="1:27">
      <c r="A12" s="218" t="s">
        <v>2592</v>
      </c>
      <c r="F12" s="219" t="str">
        <f>"""IntAlert Live"",""ALERT UK"",""17"",""1"",""555683"""</f>
        <v>"IntAlert Live","ALERT UK","17","1","555683"</v>
      </c>
      <c r="G12" s="223">
        <v>43903</v>
      </c>
      <c r="H12" s="223"/>
      <c r="I12" s="218" t="str">
        <f>"DRCPARTNER/PAPU/AP21QR/2020/01"</f>
        <v>DRCPARTNER/PAPU/AP21QR/2020/01</v>
      </c>
      <c r="K12" s="218" t="str">
        <f>"PAPETERIE BYOSE"</f>
        <v>PAPETERIE BYOSE</v>
      </c>
      <c r="L12" s="218" t="str">
        <f>"Achat matériels et fournitures pour l'atélier"</f>
        <v>Achat matériels et fournitures pour l'atélier</v>
      </c>
      <c r="M12" s="218" t="str">
        <f t="shared" si="5"/>
        <v>6470</v>
      </c>
      <c r="N12" s="218" t="str">
        <f t="shared" si="6"/>
        <v>PARTNER - PROJECT/ACTIVITY</v>
      </c>
      <c r="O12" s="218" t="str">
        <f t="shared" si="7"/>
        <v>DRCBUK</v>
      </c>
      <c r="P12" s="218" t="str">
        <f t="shared" si="0"/>
        <v>AP21QR</v>
      </c>
      <c r="Q12" s="218" t="str">
        <f>""</f>
        <v/>
      </c>
      <c r="R12" s="218" t="str">
        <f>"PAPU"</f>
        <v>PAPU</v>
      </c>
      <c r="S12" s="218" t="str">
        <f t="shared" si="8"/>
        <v>006</v>
      </c>
      <c r="T12" s="218" t="str">
        <f t="shared" si="1"/>
        <v>D</v>
      </c>
      <c r="U12" s="218" t="str">
        <f t="shared" si="2"/>
        <v>AFR000</v>
      </c>
      <c r="V12" s="218" t="str">
        <f t="shared" si="3"/>
        <v>###</v>
      </c>
      <c r="W12" s="218">
        <v>165</v>
      </c>
      <c r="X12" s="218" t="str">
        <f t="shared" si="4"/>
        <v>USD</v>
      </c>
      <c r="Y12" s="218">
        <v>130.91</v>
      </c>
      <c r="Z12" s="218">
        <v>165</v>
      </c>
      <c r="AA12" s="218">
        <v>149.82</v>
      </c>
    </row>
    <row r="13" spans="1:27">
      <c r="A13" s="218" t="s">
        <v>2592</v>
      </c>
      <c r="F13" s="219" t="str">
        <f>"""IntAlert Live"",""ALERT UK"",""17"",""1"",""555684"""</f>
        <v>"IntAlert Live","ALERT UK","17","1","555684"</v>
      </c>
      <c r="G13" s="223">
        <v>43903</v>
      </c>
      <c r="H13" s="223"/>
      <c r="I13" s="218" t="str">
        <f>"DRCPARTNER/PAPU/AP21QR/2020/01"</f>
        <v>DRCPARTNER/PAPU/AP21QR/2020/01</v>
      </c>
      <c r="K13" s="218" t="str">
        <f>"RADIO RTM"</f>
        <v>RADIO RTM</v>
      </c>
      <c r="L13" s="218" t="str">
        <f>"Frais location projecteur"</f>
        <v>Frais location projecteur</v>
      </c>
      <c r="M13" s="218" t="str">
        <f t="shared" si="5"/>
        <v>6470</v>
      </c>
      <c r="N13" s="218" t="str">
        <f t="shared" si="6"/>
        <v>PARTNER - PROJECT/ACTIVITY</v>
      </c>
      <c r="O13" s="218" t="str">
        <f t="shared" si="7"/>
        <v>DRCBUK</v>
      </c>
      <c r="P13" s="218" t="str">
        <f t="shared" si="0"/>
        <v>AP21QR</v>
      </c>
      <c r="Q13" s="218" t="str">
        <f>""</f>
        <v/>
      </c>
      <c r="R13" s="218" t="str">
        <f>"PAPU"</f>
        <v>PAPU</v>
      </c>
      <c r="S13" s="218" t="str">
        <f t="shared" si="8"/>
        <v>006</v>
      </c>
      <c r="T13" s="218" t="str">
        <f t="shared" si="1"/>
        <v>D</v>
      </c>
      <c r="U13" s="218" t="str">
        <f t="shared" si="2"/>
        <v>AFR000</v>
      </c>
      <c r="V13" s="218" t="str">
        <f t="shared" si="3"/>
        <v>###</v>
      </c>
      <c r="W13" s="218">
        <v>30</v>
      </c>
      <c r="X13" s="218" t="str">
        <f t="shared" si="4"/>
        <v>USD</v>
      </c>
      <c r="Y13" s="218">
        <v>23.8</v>
      </c>
      <c r="Z13" s="218">
        <v>30</v>
      </c>
      <c r="AA13" s="218">
        <v>27.24</v>
      </c>
    </row>
    <row r="14" spans="1:27">
      <c r="A14" s="218" t="s">
        <v>2592</v>
      </c>
      <c r="F14" s="219" t="str">
        <f>"""IntAlert Live"",""ALERT UK"",""17"",""1"",""556008"""</f>
        <v>"IntAlert Live","ALERT UK","17","1","556008"</v>
      </c>
      <c r="G14" s="223">
        <v>43904</v>
      </c>
      <c r="H14" s="223"/>
      <c r="I14" s="218" t="str">
        <f>"DRCPARTNER/PBVE/AP21QR/2020/01"</f>
        <v>DRCPARTNER/PBVE/AP21QR/2020/01</v>
      </c>
      <c r="K14" s="218" t="str">
        <f>"BILLET DE VOYAGE"</f>
        <v>BILLET DE VOYAGE</v>
      </c>
      <c r="L14" s="218" t="str">
        <f>"Frais de transport bukavu- uvira pour superviseur dr terrain,Chargé de"</f>
        <v>Frais de transport bukavu- uvira pour superviseur dr terrain,Chargé de</v>
      </c>
      <c r="M14" s="218" t="str">
        <f t="shared" si="5"/>
        <v>6470</v>
      </c>
      <c r="N14" s="218" t="str">
        <f t="shared" si="6"/>
        <v>PARTNER - PROJECT/ACTIVITY</v>
      </c>
      <c r="O14" s="218" t="str">
        <f t="shared" si="7"/>
        <v>DRCBUK</v>
      </c>
      <c r="P14" s="218" t="str">
        <f t="shared" si="0"/>
        <v>AP21QR</v>
      </c>
      <c r="Q14" s="218" t="str">
        <f>""</f>
        <v/>
      </c>
      <c r="R14" s="218" t="str">
        <f>"PBVE"</f>
        <v>PBVE</v>
      </c>
      <c r="S14" s="218" t="str">
        <f t="shared" si="8"/>
        <v>006</v>
      </c>
      <c r="T14" s="218" t="str">
        <f t="shared" si="1"/>
        <v>D</v>
      </c>
      <c r="U14" s="218" t="str">
        <f t="shared" si="2"/>
        <v>AFR000</v>
      </c>
      <c r="V14" s="218" t="str">
        <f t="shared" si="3"/>
        <v>###</v>
      </c>
      <c r="W14" s="218">
        <v>30</v>
      </c>
      <c r="X14" s="218" t="str">
        <f t="shared" si="4"/>
        <v>USD</v>
      </c>
      <c r="Y14" s="218">
        <v>23.8</v>
      </c>
      <c r="Z14" s="218">
        <v>30</v>
      </c>
      <c r="AA14" s="218">
        <v>27.24</v>
      </c>
    </row>
    <row r="15" spans="1:27">
      <c r="A15" s="218" t="s">
        <v>2592</v>
      </c>
      <c r="F15" s="219" t="str">
        <f>"""IntAlert Live"",""ALERT UK"",""17"",""1"",""555685"""</f>
        <v>"IntAlert Live","ALERT UK","17","1","555685"</v>
      </c>
      <c r="G15" s="223">
        <v>43905</v>
      </c>
      <c r="H15" s="223"/>
      <c r="I15" s="218" t="str">
        <f>"DRCPARTNER/PAPU/AP21QR/2020/01"</f>
        <v>DRCPARTNER/PAPU/AP21QR/2020/01</v>
      </c>
      <c r="K15" s="218" t="str">
        <f>"RADIO RTM"</f>
        <v>RADIO RTM</v>
      </c>
      <c r="L15" s="218" t="str">
        <f>"Pmnt frais couverture médiatique de l'atélier"</f>
        <v>Pmnt frais couverture médiatique de l'atélier</v>
      </c>
      <c r="M15" s="218" t="str">
        <f t="shared" si="5"/>
        <v>6470</v>
      </c>
      <c r="N15" s="218" t="str">
        <f t="shared" si="6"/>
        <v>PARTNER - PROJECT/ACTIVITY</v>
      </c>
      <c r="O15" s="218" t="str">
        <f t="shared" si="7"/>
        <v>DRCBUK</v>
      </c>
      <c r="P15" s="218" t="str">
        <f t="shared" si="0"/>
        <v>AP21QR</v>
      </c>
      <c r="Q15" s="218" t="str">
        <f>""</f>
        <v/>
      </c>
      <c r="R15" s="218" t="str">
        <f>"PAPU"</f>
        <v>PAPU</v>
      </c>
      <c r="S15" s="218" t="str">
        <f t="shared" si="8"/>
        <v>006</v>
      </c>
      <c r="T15" s="218" t="str">
        <f t="shared" si="1"/>
        <v>D</v>
      </c>
      <c r="U15" s="218" t="str">
        <f t="shared" si="2"/>
        <v>AFR000</v>
      </c>
      <c r="V15" s="218" t="str">
        <f t="shared" si="3"/>
        <v>###</v>
      </c>
      <c r="W15" s="218">
        <v>60</v>
      </c>
      <c r="X15" s="218" t="str">
        <f t="shared" si="4"/>
        <v>USD</v>
      </c>
      <c r="Y15" s="218">
        <v>47.6</v>
      </c>
      <c r="Z15" s="218">
        <v>60</v>
      </c>
      <c r="AA15" s="218">
        <v>54.48</v>
      </c>
    </row>
    <row r="16" spans="1:27">
      <c r="A16" s="218" t="s">
        <v>2592</v>
      </c>
      <c r="F16" s="219" t="str">
        <f>"""IntAlert Live"",""ALERT UK"",""17"",""1"",""555686"""</f>
        <v>"IntAlert Live","ALERT UK","17","1","555686"</v>
      </c>
      <c r="G16" s="223">
        <v>43905</v>
      </c>
      <c r="H16" s="223"/>
      <c r="I16" s="218" t="str">
        <f>"DRCPARTNER/PAPU/AP21QR/2020/01"</f>
        <v>DRCPARTNER/PAPU/AP21QR/2020/01</v>
      </c>
      <c r="K16" s="218" t="str">
        <f>"RESTAURANT LETA"</f>
        <v>RESTAURANT LETA</v>
      </c>
      <c r="L16" s="218" t="str">
        <f>"Pmnt frais restauration participants"</f>
        <v>Pmnt frais restauration participants</v>
      </c>
      <c r="M16" s="218" t="str">
        <f t="shared" si="5"/>
        <v>6470</v>
      </c>
      <c r="N16" s="218" t="str">
        <f t="shared" si="6"/>
        <v>PARTNER - PROJECT/ACTIVITY</v>
      </c>
      <c r="O16" s="218" t="str">
        <f t="shared" si="7"/>
        <v>DRCBUK</v>
      </c>
      <c r="P16" s="218" t="str">
        <f t="shared" si="0"/>
        <v>AP21QR</v>
      </c>
      <c r="Q16" s="218" t="str">
        <f>""</f>
        <v/>
      </c>
      <c r="R16" s="218" t="str">
        <f>"PAPU"</f>
        <v>PAPU</v>
      </c>
      <c r="S16" s="218" t="str">
        <f t="shared" si="8"/>
        <v>006</v>
      </c>
      <c r="T16" s="218" t="str">
        <f t="shared" si="1"/>
        <v>D</v>
      </c>
      <c r="U16" s="218" t="str">
        <f t="shared" si="2"/>
        <v>AFR000</v>
      </c>
      <c r="V16" s="218" t="str">
        <f t="shared" si="3"/>
        <v>###</v>
      </c>
      <c r="W16" s="218">
        <v>1650</v>
      </c>
      <c r="X16" s="218" t="str">
        <f t="shared" si="4"/>
        <v>USD</v>
      </c>
      <c r="Y16" s="218">
        <v>1309.0899999999999</v>
      </c>
      <c r="Z16" s="218">
        <v>1650</v>
      </c>
      <c r="AA16" s="218">
        <v>1498.19</v>
      </c>
    </row>
    <row r="17" spans="1:27">
      <c r="A17" s="218" t="s">
        <v>2592</v>
      </c>
      <c r="F17" s="219" t="str">
        <f>"""IntAlert Live"",""ALERT UK"",""17"",""1"",""556010"""</f>
        <v>"IntAlert Live","ALERT UK","17","1","556010"</v>
      </c>
      <c r="G17" s="223">
        <v>43905</v>
      </c>
      <c r="H17" s="223"/>
      <c r="I17" s="218" t="str">
        <f t="shared" ref="I17:I24" si="9">"DRCPARTNER/PBVE/AP21QR/2020/01"</f>
        <v>DRCPARTNER/PBVE/AP21QR/2020/01</v>
      </c>
      <c r="K17" s="218" t="str">
        <f>"PAPA KIOSQUE"</f>
        <v>PAPA KIOSQUE</v>
      </c>
      <c r="L17" s="218" t="str">
        <f>"Frais de communication telephonique pour l'equipe de terrain"</f>
        <v>Frais de communication telephonique pour l'equipe de terrain</v>
      </c>
      <c r="M17" s="218" t="str">
        <f t="shared" si="5"/>
        <v>6470</v>
      </c>
      <c r="N17" s="218" t="str">
        <f t="shared" si="6"/>
        <v>PARTNER - PROJECT/ACTIVITY</v>
      </c>
      <c r="O17" s="218" t="str">
        <f t="shared" si="7"/>
        <v>DRCBUK</v>
      </c>
      <c r="P17" s="218" t="str">
        <f t="shared" si="0"/>
        <v>AP21QR</v>
      </c>
      <c r="Q17" s="218" t="str">
        <f>""</f>
        <v/>
      </c>
      <c r="R17" s="218" t="str">
        <f t="shared" ref="R17:R24" si="10">"PBVE"</f>
        <v>PBVE</v>
      </c>
      <c r="S17" s="218" t="str">
        <f t="shared" si="8"/>
        <v>006</v>
      </c>
      <c r="T17" s="218" t="str">
        <f t="shared" si="1"/>
        <v>D</v>
      </c>
      <c r="U17" s="218" t="str">
        <f t="shared" si="2"/>
        <v>AFR000</v>
      </c>
      <c r="V17" s="218" t="str">
        <f t="shared" si="3"/>
        <v>###</v>
      </c>
      <c r="W17" s="218">
        <v>10</v>
      </c>
      <c r="X17" s="218" t="str">
        <f t="shared" si="4"/>
        <v>USD</v>
      </c>
      <c r="Y17" s="218">
        <v>7.93</v>
      </c>
      <c r="Z17" s="218">
        <v>10</v>
      </c>
      <c r="AA17" s="218">
        <v>9.08</v>
      </c>
    </row>
    <row r="18" spans="1:27">
      <c r="A18" s="218" t="s">
        <v>2592</v>
      </c>
      <c r="F18" s="219" t="str">
        <f>"""IntAlert Live"",""ALERT UK"",""17"",""1"",""556012"""</f>
        <v>"IntAlert Live","ALERT UK","17","1","556012"</v>
      </c>
      <c r="G18" s="223">
        <v>43905</v>
      </c>
      <c r="H18" s="223"/>
      <c r="I18" s="218" t="str">
        <f t="shared" si="9"/>
        <v>DRCPARTNER/PBVE/AP21QR/2020/01</v>
      </c>
      <c r="K18" s="218" t="str">
        <f>"EST CIMS"</f>
        <v>EST CIMS</v>
      </c>
      <c r="L18" s="218" t="str">
        <f>"Achat kits pedagogique pour l'activié"</f>
        <v>Achat kits pedagogique pour l'activié</v>
      </c>
      <c r="M18" s="218" t="str">
        <f t="shared" si="5"/>
        <v>6470</v>
      </c>
      <c r="N18" s="218" t="str">
        <f t="shared" si="6"/>
        <v>PARTNER - PROJECT/ACTIVITY</v>
      </c>
      <c r="O18" s="218" t="str">
        <f t="shared" si="7"/>
        <v>DRCBUK</v>
      </c>
      <c r="P18" s="218" t="str">
        <f t="shared" si="0"/>
        <v>AP21QR</v>
      </c>
      <c r="Q18" s="218" t="str">
        <f>""</f>
        <v/>
      </c>
      <c r="R18" s="218" t="str">
        <f t="shared" si="10"/>
        <v>PBVE</v>
      </c>
      <c r="S18" s="218" t="str">
        <f t="shared" si="8"/>
        <v>006</v>
      </c>
      <c r="T18" s="218" t="str">
        <f t="shared" si="1"/>
        <v>D</v>
      </c>
      <c r="U18" s="218" t="str">
        <f t="shared" si="2"/>
        <v>AFR000</v>
      </c>
      <c r="V18" s="218" t="str">
        <f t="shared" si="3"/>
        <v>###</v>
      </c>
      <c r="W18" s="218">
        <v>30</v>
      </c>
      <c r="X18" s="218" t="str">
        <f t="shared" si="4"/>
        <v>USD</v>
      </c>
      <c r="Y18" s="218">
        <v>23.8</v>
      </c>
      <c r="Z18" s="218">
        <v>30</v>
      </c>
      <c r="AA18" s="218">
        <v>27.24</v>
      </c>
    </row>
    <row r="19" spans="1:27">
      <c r="A19" s="218" t="s">
        <v>2592</v>
      </c>
      <c r="F19" s="219" t="str">
        <f>"""IntAlert Live"",""ALERT UK"",""17"",""1"",""556014"""</f>
        <v>"IntAlert Live","ALERT UK","17","1","556014"</v>
      </c>
      <c r="G19" s="223">
        <v>43906</v>
      </c>
      <c r="H19" s="223"/>
      <c r="I19" s="218" t="str">
        <f t="shared" si="9"/>
        <v>DRCPARTNER/PBVE/AP21QR/2020/01</v>
      </c>
      <c r="K19" s="218" t="str">
        <f>"FACTURE"</f>
        <v>FACTURE</v>
      </c>
      <c r="L19" s="218" t="str">
        <f>"Paiement frais phorocopie document pour l'Activité"</f>
        <v>Paiement frais phorocopie document pour l'Activité</v>
      </c>
      <c r="M19" s="218" t="str">
        <f t="shared" si="5"/>
        <v>6470</v>
      </c>
      <c r="N19" s="218" t="str">
        <f t="shared" si="6"/>
        <v>PARTNER - PROJECT/ACTIVITY</v>
      </c>
      <c r="O19" s="218" t="str">
        <f t="shared" si="7"/>
        <v>DRCBUK</v>
      </c>
      <c r="P19" s="218" t="str">
        <f t="shared" si="0"/>
        <v>AP21QR</v>
      </c>
      <c r="Q19" s="218" t="str">
        <f>""</f>
        <v/>
      </c>
      <c r="R19" s="218" t="str">
        <f t="shared" si="10"/>
        <v>PBVE</v>
      </c>
      <c r="S19" s="218" t="str">
        <f t="shared" si="8"/>
        <v>006</v>
      </c>
      <c r="T19" s="218" t="str">
        <f t="shared" si="1"/>
        <v>D</v>
      </c>
      <c r="U19" s="218" t="str">
        <f t="shared" si="2"/>
        <v>AFR000</v>
      </c>
      <c r="V19" s="218" t="str">
        <f t="shared" si="3"/>
        <v>###</v>
      </c>
      <c r="W19" s="218">
        <v>25</v>
      </c>
      <c r="X19" s="218" t="str">
        <f t="shared" si="4"/>
        <v>USD</v>
      </c>
      <c r="Y19" s="218">
        <v>19.829999999999998</v>
      </c>
      <c r="Z19" s="218">
        <v>25</v>
      </c>
      <c r="AA19" s="218">
        <v>22.69</v>
      </c>
    </row>
    <row r="20" spans="1:27">
      <c r="A20" s="218" t="s">
        <v>2592</v>
      </c>
      <c r="F20" s="219" t="str">
        <f>"""IntAlert Live"",""ALERT UK"",""17"",""1"",""556015"""</f>
        <v>"IntAlert Live","ALERT UK","17","1","556015"</v>
      </c>
      <c r="G20" s="223">
        <v>43906</v>
      </c>
      <c r="H20" s="223"/>
      <c r="I20" s="218" t="str">
        <f t="shared" si="9"/>
        <v>DRCPARTNER/PBVE/AP21QR/2020/01</v>
      </c>
      <c r="K20" s="218" t="str">
        <f>"FACTURE"</f>
        <v>FACTURE</v>
      </c>
      <c r="L20" s="218" t="str">
        <f>"Frais impression calicot pour l'activité"</f>
        <v>Frais impression calicot pour l'activité</v>
      </c>
      <c r="M20" s="218" t="str">
        <f t="shared" si="5"/>
        <v>6470</v>
      </c>
      <c r="N20" s="218" t="str">
        <f t="shared" si="6"/>
        <v>PARTNER - PROJECT/ACTIVITY</v>
      </c>
      <c r="O20" s="218" t="str">
        <f t="shared" si="7"/>
        <v>DRCBUK</v>
      </c>
      <c r="P20" s="218" t="str">
        <f t="shared" si="0"/>
        <v>AP21QR</v>
      </c>
      <c r="Q20" s="218" t="str">
        <f>""</f>
        <v/>
      </c>
      <c r="R20" s="218" t="str">
        <f t="shared" si="10"/>
        <v>PBVE</v>
      </c>
      <c r="S20" s="218" t="str">
        <f t="shared" si="8"/>
        <v>006</v>
      </c>
      <c r="T20" s="218" t="str">
        <f t="shared" si="1"/>
        <v>D</v>
      </c>
      <c r="U20" s="218" t="str">
        <f t="shared" si="2"/>
        <v>AFR000</v>
      </c>
      <c r="V20" s="218" t="str">
        <f t="shared" si="3"/>
        <v>###</v>
      </c>
      <c r="W20" s="218">
        <v>30</v>
      </c>
      <c r="X20" s="218" t="str">
        <f t="shared" si="4"/>
        <v>USD</v>
      </c>
      <c r="Y20" s="218">
        <v>23.8</v>
      </c>
      <c r="Z20" s="218">
        <v>30</v>
      </c>
      <c r="AA20" s="218">
        <v>27.24</v>
      </c>
    </row>
    <row r="21" spans="1:27">
      <c r="A21" s="218" t="s">
        <v>2592</v>
      </c>
      <c r="F21" s="219" t="str">
        <f>"""IntAlert Live"",""ALERT UK"",""17"",""1"",""556016"""</f>
        <v>"IntAlert Live","ALERT UK","17","1","556016"</v>
      </c>
      <c r="G21" s="223">
        <v>43907</v>
      </c>
      <c r="H21" s="223"/>
      <c r="I21" s="218" t="str">
        <f t="shared" si="9"/>
        <v>DRCPARTNER/PBVE/AP21QR/2020/01</v>
      </c>
      <c r="K21" s="218" t="str">
        <f>"REÇU"</f>
        <v>REÇU</v>
      </c>
      <c r="L21" s="218" t="str">
        <f>"Paiement frais de transport local et collation aux Animateur de terrai"</f>
        <v>Paiement frais de transport local et collation aux Animateur de terrai</v>
      </c>
      <c r="M21" s="218" t="str">
        <f t="shared" si="5"/>
        <v>6470</v>
      </c>
      <c r="N21" s="218" t="str">
        <f t="shared" si="6"/>
        <v>PARTNER - PROJECT/ACTIVITY</v>
      </c>
      <c r="O21" s="218" t="str">
        <f t="shared" si="7"/>
        <v>DRCBUK</v>
      </c>
      <c r="P21" s="218" t="str">
        <f t="shared" si="0"/>
        <v>AP21QR</v>
      </c>
      <c r="Q21" s="218" t="str">
        <f>""</f>
        <v/>
      </c>
      <c r="R21" s="218" t="str">
        <f t="shared" si="10"/>
        <v>PBVE</v>
      </c>
      <c r="S21" s="218" t="str">
        <f t="shared" si="8"/>
        <v>006</v>
      </c>
      <c r="T21" s="218" t="str">
        <f t="shared" si="1"/>
        <v>D</v>
      </c>
      <c r="U21" s="218" t="str">
        <f t="shared" si="2"/>
        <v>AFR000</v>
      </c>
      <c r="V21" s="218" t="str">
        <f t="shared" si="3"/>
        <v>###</v>
      </c>
      <c r="W21" s="218">
        <v>230</v>
      </c>
      <c r="X21" s="218" t="str">
        <f t="shared" si="4"/>
        <v>USD</v>
      </c>
      <c r="Y21" s="218">
        <v>182.48</v>
      </c>
      <c r="Z21" s="218">
        <v>230</v>
      </c>
      <c r="AA21" s="218">
        <v>208.84</v>
      </c>
    </row>
    <row r="22" spans="1:27">
      <c r="A22" s="218" t="s">
        <v>2592</v>
      </c>
      <c r="F22" s="219" t="str">
        <f>"""IntAlert Live"",""ALERT UK"",""17"",""1"",""556017"""</f>
        <v>"IntAlert Live","ALERT UK","17","1","556017"</v>
      </c>
      <c r="G22" s="223">
        <v>43907</v>
      </c>
      <c r="H22" s="223"/>
      <c r="I22" s="218" t="str">
        <f t="shared" si="9"/>
        <v>DRCPARTNER/PBVE/AP21QR/2020/01</v>
      </c>
      <c r="K22" s="218" t="str">
        <f>"FICHE DE PERDIEM"</f>
        <v>FICHE DE PERDIEM</v>
      </c>
      <c r="L22" s="218" t="str">
        <f>"Paiement frais de perdiemaux Superviseur et chargé de suivi"</f>
        <v>Paiement frais de perdiemaux Superviseur et chargé de suivi</v>
      </c>
      <c r="M22" s="218" t="str">
        <f t="shared" si="5"/>
        <v>6470</v>
      </c>
      <c r="N22" s="218" t="str">
        <f t="shared" si="6"/>
        <v>PARTNER - PROJECT/ACTIVITY</v>
      </c>
      <c r="O22" s="218" t="str">
        <f t="shared" si="7"/>
        <v>DRCBUK</v>
      </c>
      <c r="P22" s="218" t="str">
        <f t="shared" si="0"/>
        <v>AP21QR</v>
      </c>
      <c r="Q22" s="218" t="str">
        <f>""</f>
        <v/>
      </c>
      <c r="R22" s="218" t="str">
        <f t="shared" si="10"/>
        <v>PBVE</v>
      </c>
      <c r="S22" s="218" t="str">
        <f t="shared" si="8"/>
        <v>006</v>
      </c>
      <c r="T22" s="218" t="str">
        <f t="shared" si="1"/>
        <v>D</v>
      </c>
      <c r="U22" s="218" t="str">
        <f t="shared" si="2"/>
        <v>AFR000</v>
      </c>
      <c r="V22" s="218" t="str">
        <f t="shared" si="3"/>
        <v>###</v>
      </c>
      <c r="W22" s="218">
        <v>430</v>
      </c>
      <c r="X22" s="218" t="str">
        <f t="shared" si="4"/>
        <v>USD</v>
      </c>
      <c r="Y22" s="218">
        <v>341.16</v>
      </c>
      <c r="Z22" s="218">
        <v>430</v>
      </c>
      <c r="AA22" s="218">
        <v>390.44</v>
      </c>
    </row>
    <row r="23" spans="1:27">
      <c r="A23" s="218" t="s">
        <v>2592</v>
      </c>
      <c r="F23" s="219" t="str">
        <f>"""IntAlert Live"",""ALERT UK"",""17"",""1"",""556028"""</f>
        <v>"IntAlert Live","ALERT UK","17","1","556028"</v>
      </c>
      <c r="G23" s="223">
        <v>43908</v>
      </c>
      <c r="H23" s="223"/>
      <c r="I23" s="218" t="str">
        <f t="shared" si="9"/>
        <v>DRCPARTNER/PBVE/AP21QR/2020/01</v>
      </c>
      <c r="K23" s="218" t="str">
        <f>"FACTURE"</f>
        <v>FACTURE</v>
      </c>
      <c r="L23" s="218" t="str">
        <f>"Frais de repas aux participant/ reunion de restitution recyclage des j"</f>
        <v>Frais de repas aux participant/ reunion de restitution recyclage des j</v>
      </c>
      <c r="M23" s="218" t="str">
        <f t="shared" si="5"/>
        <v>6470</v>
      </c>
      <c r="N23" s="218" t="str">
        <f t="shared" si="6"/>
        <v>PARTNER - PROJECT/ACTIVITY</v>
      </c>
      <c r="O23" s="218" t="str">
        <f t="shared" si="7"/>
        <v>DRCBUK</v>
      </c>
      <c r="P23" s="218" t="str">
        <f t="shared" si="0"/>
        <v>AP21QR</v>
      </c>
      <c r="Q23" s="218" t="str">
        <f>""</f>
        <v/>
      </c>
      <c r="R23" s="218" t="str">
        <f t="shared" si="10"/>
        <v>PBVE</v>
      </c>
      <c r="S23" s="218" t="str">
        <f t="shared" si="8"/>
        <v>006</v>
      </c>
      <c r="T23" s="218" t="str">
        <f t="shared" si="1"/>
        <v>D</v>
      </c>
      <c r="U23" s="218" t="str">
        <f t="shared" si="2"/>
        <v>AFR000</v>
      </c>
      <c r="V23" s="218" t="str">
        <f t="shared" si="3"/>
        <v>###</v>
      </c>
      <c r="W23" s="218">
        <v>125</v>
      </c>
      <c r="X23" s="218" t="str">
        <f t="shared" si="4"/>
        <v>USD</v>
      </c>
      <c r="Y23" s="218">
        <v>99.17</v>
      </c>
      <c r="Z23" s="218">
        <v>125</v>
      </c>
      <c r="AA23" s="218">
        <v>113.5</v>
      </c>
    </row>
    <row r="24" spans="1:27">
      <c r="A24" s="218" t="s">
        <v>2592</v>
      </c>
      <c r="F24" s="219" t="str">
        <f>"""IntAlert Live"",""ALERT UK"",""17"",""1"",""556029"""</f>
        <v>"IntAlert Live","ALERT UK","17","1","556029"</v>
      </c>
      <c r="G24" s="223">
        <v>43909</v>
      </c>
      <c r="H24" s="223"/>
      <c r="I24" s="218" t="str">
        <f t="shared" si="9"/>
        <v>DRCPARTNER/PBVE/AP21QR/2020/01</v>
      </c>
      <c r="K24" s="218" t="str">
        <f>"REÇU"</f>
        <v>REÇU</v>
      </c>
      <c r="L24" s="218" t="str">
        <f>"Frais de transport aux jeunes chercheurs pour collecte de données trim"</f>
        <v>Frais de transport aux jeunes chercheurs pour collecte de données trim</v>
      </c>
      <c r="M24" s="218" t="str">
        <f t="shared" si="5"/>
        <v>6470</v>
      </c>
      <c r="N24" s="218" t="str">
        <f t="shared" si="6"/>
        <v>PARTNER - PROJECT/ACTIVITY</v>
      </c>
      <c r="O24" s="218" t="str">
        <f t="shared" si="7"/>
        <v>DRCBUK</v>
      </c>
      <c r="P24" s="218" t="str">
        <f t="shared" si="0"/>
        <v>AP21QR</v>
      </c>
      <c r="Q24" s="218" t="str">
        <f>""</f>
        <v/>
      </c>
      <c r="R24" s="218" t="str">
        <f t="shared" si="10"/>
        <v>PBVE</v>
      </c>
      <c r="S24" s="218" t="str">
        <f t="shared" si="8"/>
        <v>006</v>
      </c>
      <c r="T24" s="218" t="str">
        <f t="shared" si="1"/>
        <v>D</v>
      </c>
      <c r="U24" s="218" t="str">
        <f t="shared" si="2"/>
        <v>AFR000</v>
      </c>
      <c r="V24" s="218" t="str">
        <f t="shared" si="3"/>
        <v>###</v>
      </c>
      <c r="W24" s="218">
        <v>85</v>
      </c>
      <c r="X24" s="218" t="str">
        <f t="shared" si="4"/>
        <v>USD</v>
      </c>
      <c r="Y24" s="218">
        <v>67.44</v>
      </c>
      <c r="Z24" s="218">
        <v>85</v>
      </c>
      <c r="AA24" s="218">
        <v>77.180000000000007</v>
      </c>
    </row>
    <row r="25" spans="1:27">
      <c r="A25" s="218" t="s">
        <v>2592</v>
      </c>
      <c r="F25" s="219" t="str">
        <f>"""IntAlert Live"",""ALERT UK"",""17"",""1"",""555687"""</f>
        <v>"IntAlert Live","ALERT UK","17","1","555687"</v>
      </c>
      <c r="G25" s="223">
        <v>43906</v>
      </c>
      <c r="H25" s="223"/>
      <c r="I25" s="218" t="str">
        <f t="shared" ref="I25:I31" si="11">"DRCPARTNER/PAPU/AP21QR/2020/01"</f>
        <v>DRCPARTNER/PAPU/AP21QR/2020/01</v>
      </c>
      <c r="K25" s="218" t="str">
        <f>"CHERCHEURS"</f>
        <v>CHERCHEURS</v>
      </c>
      <c r="L25" s="218" t="str">
        <f>"Pmnt transport chercheurs pr la collecte des données/score sécuritaire"</f>
        <v>Pmnt transport chercheurs pr la collecte des données/score sécuritaire</v>
      </c>
      <c r="M25" s="218" t="str">
        <f t="shared" si="5"/>
        <v>6470</v>
      </c>
      <c r="N25" s="218" t="str">
        <f t="shared" si="6"/>
        <v>PARTNER - PROJECT/ACTIVITY</v>
      </c>
      <c r="O25" s="218" t="str">
        <f t="shared" si="7"/>
        <v>DRCBUK</v>
      </c>
      <c r="P25" s="218" t="str">
        <f t="shared" si="0"/>
        <v>AP21QR</v>
      </c>
      <c r="Q25" s="218" t="str">
        <f>""</f>
        <v/>
      </c>
      <c r="R25" s="218" t="str">
        <f t="shared" ref="R25:R31" si="12">"PAPU"</f>
        <v>PAPU</v>
      </c>
      <c r="S25" s="218" t="str">
        <f t="shared" ref="S25:S43" si="13">"008"</f>
        <v>008</v>
      </c>
      <c r="T25" s="218" t="str">
        <f t="shared" si="1"/>
        <v>D</v>
      </c>
      <c r="U25" s="218" t="str">
        <f t="shared" si="2"/>
        <v>AFR000</v>
      </c>
      <c r="V25" s="218" t="str">
        <f t="shared" si="3"/>
        <v>###</v>
      </c>
      <c r="W25" s="218">
        <v>600</v>
      </c>
      <c r="X25" s="218" t="str">
        <f t="shared" si="4"/>
        <v>USD</v>
      </c>
      <c r="Y25" s="218">
        <v>476.03</v>
      </c>
      <c r="Z25" s="218">
        <v>600</v>
      </c>
      <c r="AA25" s="218">
        <v>544.79</v>
      </c>
    </row>
    <row r="26" spans="1:27">
      <c r="A26" s="218" t="s">
        <v>2592</v>
      </c>
      <c r="F26" s="219" t="str">
        <f>"""IntAlert Live"",""ALERT UK"",""17"",""1"",""555688"""</f>
        <v>"IntAlert Live","ALERT UK","17","1","555688"</v>
      </c>
      <c r="G26" s="223">
        <v>43906</v>
      </c>
      <c r="H26" s="223"/>
      <c r="I26" s="218" t="str">
        <f t="shared" si="11"/>
        <v>DRCPARTNER/PAPU/AP21QR/2020/01</v>
      </c>
      <c r="K26" s="218" t="str">
        <f>"CHERCHEURS"</f>
        <v>CHERCHEURS</v>
      </c>
      <c r="L26" s="218" t="str">
        <f>"Pmnt Perdiem chercheurs"</f>
        <v>Pmnt Perdiem chercheurs</v>
      </c>
      <c r="M26" s="218" t="str">
        <f t="shared" si="5"/>
        <v>6470</v>
      </c>
      <c r="N26" s="218" t="str">
        <f t="shared" si="6"/>
        <v>PARTNER - PROJECT/ACTIVITY</v>
      </c>
      <c r="O26" s="218" t="str">
        <f t="shared" si="7"/>
        <v>DRCBUK</v>
      </c>
      <c r="P26" s="218" t="str">
        <f t="shared" si="0"/>
        <v>AP21QR</v>
      </c>
      <c r="Q26" s="218" t="str">
        <f>""</f>
        <v/>
      </c>
      <c r="R26" s="218" t="str">
        <f t="shared" si="12"/>
        <v>PAPU</v>
      </c>
      <c r="S26" s="218" t="str">
        <f t="shared" si="13"/>
        <v>008</v>
      </c>
      <c r="T26" s="218" t="str">
        <f t="shared" si="1"/>
        <v>D</v>
      </c>
      <c r="U26" s="218" t="str">
        <f t="shared" si="2"/>
        <v>AFR000</v>
      </c>
      <c r="V26" s="218" t="str">
        <f t="shared" si="3"/>
        <v>###</v>
      </c>
      <c r="W26" s="218">
        <v>1500</v>
      </c>
      <c r="X26" s="218" t="str">
        <f t="shared" si="4"/>
        <v>USD</v>
      </c>
      <c r="Y26" s="218">
        <v>1190.08</v>
      </c>
      <c r="Z26" s="218">
        <v>1500</v>
      </c>
      <c r="AA26" s="218">
        <v>1361.99</v>
      </c>
    </row>
    <row r="27" spans="1:27">
      <c r="A27" s="218" t="s">
        <v>2592</v>
      </c>
      <c r="F27" s="219" t="str">
        <f>"""IntAlert Live"",""ALERT UK"",""17"",""1"",""555689"""</f>
        <v>"IntAlert Live","ALERT UK","17","1","555689"</v>
      </c>
      <c r="G27" s="223">
        <v>43906</v>
      </c>
      <c r="H27" s="223"/>
      <c r="I27" s="218" t="str">
        <f t="shared" si="11"/>
        <v>DRCPARTNER/PAPU/AP21QR/2020/01</v>
      </c>
      <c r="K27" s="218" t="str">
        <f>"CHERCHEURS"</f>
        <v>CHERCHEURS</v>
      </c>
      <c r="L27" s="218" t="str">
        <f>"Pmnt Restauration chercheurs"</f>
        <v>Pmnt Restauration chercheurs</v>
      </c>
      <c r="M27" s="218" t="str">
        <f t="shared" si="5"/>
        <v>6470</v>
      </c>
      <c r="N27" s="218" t="str">
        <f t="shared" si="6"/>
        <v>PARTNER - PROJECT/ACTIVITY</v>
      </c>
      <c r="O27" s="218" t="str">
        <f t="shared" si="7"/>
        <v>DRCBUK</v>
      </c>
      <c r="P27" s="218" t="str">
        <f t="shared" si="0"/>
        <v>AP21QR</v>
      </c>
      <c r="Q27" s="218" t="str">
        <f>""</f>
        <v/>
      </c>
      <c r="R27" s="218" t="str">
        <f t="shared" si="12"/>
        <v>PAPU</v>
      </c>
      <c r="S27" s="218" t="str">
        <f t="shared" si="13"/>
        <v>008</v>
      </c>
      <c r="T27" s="218" t="str">
        <f t="shared" si="1"/>
        <v>D</v>
      </c>
      <c r="U27" s="218" t="str">
        <f t="shared" si="2"/>
        <v>AFR000</v>
      </c>
      <c r="V27" s="218" t="str">
        <f t="shared" si="3"/>
        <v>###</v>
      </c>
      <c r="W27" s="218">
        <v>150</v>
      </c>
      <c r="X27" s="218" t="str">
        <f t="shared" si="4"/>
        <v>USD</v>
      </c>
      <c r="Y27" s="218">
        <v>119.01</v>
      </c>
      <c r="Z27" s="218">
        <v>150</v>
      </c>
      <c r="AA27" s="218">
        <v>136.19999999999999</v>
      </c>
    </row>
    <row r="28" spans="1:27">
      <c r="A28" s="218" t="s">
        <v>2592</v>
      </c>
      <c r="F28" s="219" t="str">
        <f>"""IntAlert Live"",""ALERT UK"",""17"",""1"",""555690"""</f>
        <v>"IntAlert Live","ALERT UK","17","1","555690"</v>
      </c>
      <c r="G28" s="223">
        <v>43906</v>
      </c>
      <c r="H28" s="223"/>
      <c r="I28" s="218" t="str">
        <f t="shared" si="11"/>
        <v>DRCPARTNER/PAPU/AP21QR/2020/01</v>
      </c>
      <c r="K28" s="218" t="str">
        <f>"MAISON LIGABLO"</f>
        <v>MAISON LIGABLO</v>
      </c>
      <c r="L28" s="218" t="str">
        <f>"Achat unités de communication pour les chercheurs"</f>
        <v>Achat unités de communication pour les chercheurs</v>
      </c>
      <c r="M28" s="218" t="str">
        <f t="shared" si="5"/>
        <v>6470</v>
      </c>
      <c r="N28" s="218" t="str">
        <f t="shared" si="6"/>
        <v>PARTNER - PROJECT/ACTIVITY</v>
      </c>
      <c r="O28" s="218" t="str">
        <f t="shared" si="7"/>
        <v>DRCBUK</v>
      </c>
      <c r="P28" s="218" t="str">
        <f t="shared" si="0"/>
        <v>AP21QR</v>
      </c>
      <c r="Q28" s="218" t="str">
        <f>""</f>
        <v/>
      </c>
      <c r="R28" s="218" t="str">
        <f t="shared" si="12"/>
        <v>PAPU</v>
      </c>
      <c r="S28" s="218" t="str">
        <f t="shared" si="13"/>
        <v>008</v>
      </c>
      <c r="T28" s="218" t="str">
        <f t="shared" si="1"/>
        <v>D</v>
      </c>
      <c r="U28" s="218" t="str">
        <f t="shared" si="2"/>
        <v>AFR000</v>
      </c>
      <c r="V28" s="218" t="str">
        <f t="shared" si="3"/>
        <v>###</v>
      </c>
      <c r="W28" s="218">
        <v>150</v>
      </c>
      <c r="X28" s="218" t="str">
        <f t="shared" si="4"/>
        <v>USD</v>
      </c>
      <c r="Y28" s="218">
        <v>119.01</v>
      </c>
      <c r="Z28" s="218">
        <v>150</v>
      </c>
      <c r="AA28" s="218">
        <v>136.19999999999999</v>
      </c>
    </row>
    <row r="29" spans="1:27">
      <c r="A29" s="218" t="s">
        <v>2592</v>
      </c>
      <c r="F29" s="219" t="str">
        <f>"""IntAlert Live"",""ALERT UK"",""17"",""1"",""555691"""</f>
        <v>"IntAlert Live","ALERT UK","17","1","555691"</v>
      </c>
      <c r="G29" s="223">
        <v>43906</v>
      </c>
      <c r="H29" s="223"/>
      <c r="I29" s="218" t="str">
        <f t="shared" si="11"/>
        <v>DRCPARTNER/PAPU/AP21QR/2020/01</v>
      </c>
      <c r="K29" s="218" t="str">
        <f>"MAISON TOUT BOUGE MINEMBWE"</f>
        <v>MAISON TOUT BOUGE MINEMBWE</v>
      </c>
      <c r="L29" s="218" t="str">
        <f>"Achat matériels et fournitures pour les chercheurs"</f>
        <v>Achat matériels et fournitures pour les chercheurs</v>
      </c>
      <c r="M29" s="218" t="str">
        <f t="shared" si="5"/>
        <v>6470</v>
      </c>
      <c r="N29" s="218" t="str">
        <f t="shared" si="6"/>
        <v>PARTNER - PROJECT/ACTIVITY</v>
      </c>
      <c r="O29" s="218" t="str">
        <f t="shared" si="7"/>
        <v>DRCBUK</v>
      </c>
      <c r="P29" s="218" t="str">
        <f t="shared" si="0"/>
        <v>AP21QR</v>
      </c>
      <c r="Q29" s="218" t="str">
        <f>""</f>
        <v/>
      </c>
      <c r="R29" s="218" t="str">
        <f t="shared" si="12"/>
        <v>PAPU</v>
      </c>
      <c r="S29" s="218" t="str">
        <f t="shared" si="13"/>
        <v>008</v>
      </c>
      <c r="T29" s="218" t="str">
        <f t="shared" si="1"/>
        <v>D</v>
      </c>
      <c r="U29" s="218" t="str">
        <f t="shared" si="2"/>
        <v>AFR000</v>
      </c>
      <c r="V29" s="218" t="str">
        <f t="shared" si="3"/>
        <v>###</v>
      </c>
      <c r="W29" s="218">
        <v>166</v>
      </c>
      <c r="X29" s="218" t="str">
        <f t="shared" si="4"/>
        <v>USD</v>
      </c>
      <c r="Y29" s="218">
        <v>131.69999999999999</v>
      </c>
      <c r="Z29" s="218">
        <v>166</v>
      </c>
      <c r="AA29" s="218">
        <v>150.72</v>
      </c>
    </row>
    <row r="30" spans="1:27">
      <c r="A30" s="218" t="s">
        <v>2592</v>
      </c>
      <c r="F30" s="219" t="str">
        <f>"""IntAlert Live"",""ALERT UK"",""17"",""1"",""555692"""</f>
        <v>"IntAlert Live","ALERT UK","17","1","555692"</v>
      </c>
      <c r="G30" s="223">
        <v>43906</v>
      </c>
      <c r="H30" s="223"/>
      <c r="I30" s="218" t="str">
        <f t="shared" si="11"/>
        <v>DRCPARTNER/PAPU/AP21QR/2020/01</v>
      </c>
      <c r="K30" s="218" t="str">
        <f>"MEMBRES FOCUS"</f>
        <v>MEMBRES FOCUS</v>
      </c>
      <c r="L30" s="218" t="str">
        <f>"Pmnt transport membres focus group"</f>
        <v>Pmnt transport membres focus group</v>
      </c>
      <c r="M30" s="218" t="str">
        <f t="shared" si="5"/>
        <v>6470</v>
      </c>
      <c r="N30" s="218" t="str">
        <f t="shared" si="6"/>
        <v>PARTNER - PROJECT/ACTIVITY</v>
      </c>
      <c r="O30" s="218" t="str">
        <f t="shared" si="7"/>
        <v>DRCBUK</v>
      </c>
      <c r="P30" s="218" t="str">
        <f t="shared" si="0"/>
        <v>AP21QR</v>
      </c>
      <c r="Q30" s="218" t="str">
        <f>""</f>
        <v/>
      </c>
      <c r="R30" s="218" t="str">
        <f t="shared" si="12"/>
        <v>PAPU</v>
      </c>
      <c r="S30" s="218" t="str">
        <f t="shared" si="13"/>
        <v>008</v>
      </c>
      <c r="T30" s="218" t="str">
        <f t="shared" si="1"/>
        <v>D</v>
      </c>
      <c r="U30" s="218" t="str">
        <f t="shared" si="2"/>
        <v>AFR000</v>
      </c>
      <c r="V30" s="218" t="str">
        <f t="shared" si="3"/>
        <v>###</v>
      </c>
      <c r="W30" s="218">
        <v>240</v>
      </c>
      <c r="X30" s="218" t="str">
        <f t="shared" si="4"/>
        <v>USD</v>
      </c>
      <c r="Y30" s="218">
        <v>190.41</v>
      </c>
      <c r="Z30" s="218">
        <v>240</v>
      </c>
      <c r="AA30" s="218">
        <v>217.91</v>
      </c>
    </row>
    <row r="31" spans="1:27">
      <c r="A31" s="218" t="s">
        <v>2592</v>
      </c>
      <c r="F31" s="219" t="str">
        <f>"""IntAlert Live"",""ALERT UK"",""17"",""1"",""555693"""</f>
        <v>"IntAlert Live","ALERT UK","17","1","555693"</v>
      </c>
      <c r="G31" s="223">
        <v>43906</v>
      </c>
      <c r="H31" s="223"/>
      <c r="I31" s="218" t="str">
        <f t="shared" si="11"/>
        <v>DRCPARTNER/PAPU/AP21QR/2020/01</v>
      </c>
      <c r="K31" s="218" t="str">
        <f>"MEMBRES FOCUS"</f>
        <v>MEMBRES FOCUS</v>
      </c>
      <c r="L31" s="218" t="str">
        <f>"Pmnt raffraichissement membres focus group"</f>
        <v>Pmnt raffraichissement membres focus group</v>
      </c>
      <c r="M31" s="218" t="str">
        <f t="shared" si="5"/>
        <v>6470</v>
      </c>
      <c r="N31" s="218" t="str">
        <f t="shared" si="6"/>
        <v>PARTNER - PROJECT/ACTIVITY</v>
      </c>
      <c r="O31" s="218" t="str">
        <f t="shared" si="7"/>
        <v>DRCBUK</v>
      </c>
      <c r="P31" s="218" t="str">
        <f t="shared" si="0"/>
        <v>AP21QR</v>
      </c>
      <c r="Q31" s="218" t="str">
        <f>""</f>
        <v/>
      </c>
      <c r="R31" s="218" t="str">
        <f t="shared" si="12"/>
        <v>PAPU</v>
      </c>
      <c r="S31" s="218" t="str">
        <f t="shared" si="13"/>
        <v>008</v>
      </c>
      <c r="T31" s="218" t="str">
        <f t="shared" si="1"/>
        <v>D</v>
      </c>
      <c r="U31" s="218" t="str">
        <f t="shared" si="2"/>
        <v>AFR000</v>
      </c>
      <c r="V31" s="218" t="str">
        <f t="shared" si="3"/>
        <v>###</v>
      </c>
      <c r="W31" s="218">
        <v>192</v>
      </c>
      <c r="X31" s="218" t="str">
        <f t="shared" si="4"/>
        <v>USD</v>
      </c>
      <c r="Y31" s="218">
        <v>152.33000000000001</v>
      </c>
      <c r="Z31" s="218">
        <v>192</v>
      </c>
      <c r="AA31" s="218">
        <v>174.33</v>
      </c>
    </row>
    <row r="32" spans="1:27">
      <c r="A32" s="218" t="s">
        <v>2592</v>
      </c>
      <c r="F32" s="219" t="str">
        <f>"""IntAlert Live"",""ALERT UK"",""17"",""1"",""556018"""</f>
        <v>"IntAlert Live","ALERT UK","17","1","556018"</v>
      </c>
      <c r="G32" s="223">
        <v>43908</v>
      </c>
      <c r="H32" s="223"/>
      <c r="I32" s="218" t="str">
        <f t="shared" ref="I32:I38" si="14">"DRCPARTNER/PBVE/AP21QR/2020/01"</f>
        <v>DRCPARTNER/PBVE/AP21QR/2020/01</v>
      </c>
      <c r="K32" s="218" t="str">
        <f>"FACTURE"</f>
        <v>FACTURE</v>
      </c>
      <c r="L32" s="218" t="str">
        <f>"Frais photocopie documents pour l'activité"</f>
        <v>Frais photocopie documents pour l'activité</v>
      </c>
      <c r="M32" s="218" t="str">
        <f t="shared" si="5"/>
        <v>6470</v>
      </c>
      <c r="N32" s="218" t="str">
        <f t="shared" si="6"/>
        <v>PARTNER - PROJECT/ACTIVITY</v>
      </c>
      <c r="O32" s="218" t="str">
        <f t="shared" si="7"/>
        <v>DRCBUK</v>
      </c>
      <c r="P32" s="218" t="str">
        <f t="shared" si="0"/>
        <v>AP21QR</v>
      </c>
      <c r="Q32" s="218" t="str">
        <f>""</f>
        <v/>
      </c>
      <c r="R32" s="218" t="str">
        <f t="shared" ref="R32:R38" si="15">"PBVE"</f>
        <v>PBVE</v>
      </c>
      <c r="S32" s="218" t="str">
        <f t="shared" si="13"/>
        <v>008</v>
      </c>
      <c r="T32" s="218" t="str">
        <f t="shared" si="1"/>
        <v>D</v>
      </c>
      <c r="U32" s="218" t="str">
        <f t="shared" si="2"/>
        <v>AFR000</v>
      </c>
      <c r="V32" s="218" t="str">
        <f t="shared" si="3"/>
        <v>###</v>
      </c>
      <c r="W32" s="218">
        <v>37.5</v>
      </c>
      <c r="X32" s="218" t="str">
        <f t="shared" si="4"/>
        <v>USD</v>
      </c>
      <c r="Y32" s="218">
        <v>29.75</v>
      </c>
      <c r="Z32" s="218">
        <v>37.5</v>
      </c>
      <c r="AA32" s="218">
        <v>34.049999999999997</v>
      </c>
    </row>
    <row r="33" spans="1:27">
      <c r="A33" s="218" t="s">
        <v>2592</v>
      </c>
      <c r="F33" s="219" t="str">
        <f>"""IntAlert Live"",""ALERT UK"",""17"",""1"",""556019"""</f>
        <v>"IntAlert Live","ALERT UK","17","1","556019"</v>
      </c>
      <c r="G33" s="223">
        <v>43908</v>
      </c>
      <c r="H33" s="223"/>
      <c r="I33" s="218" t="str">
        <f t="shared" si="14"/>
        <v>DRCPARTNER/PBVE/AP21QR/2020/01</v>
      </c>
      <c r="K33" s="218" t="str">
        <f>"FACTURE"</f>
        <v>FACTURE</v>
      </c>
      <c r="L33" s="218" t="str">
        <f>"Frais impression calicot pour l'activité"</f>
        <v>Frais impression calicot pour l'activité</v>
      </c>
      <c r="M33" s="218" t="str">
        <f t="shared" si="5"/>
        <v>6470</v>
      </c>
      <c r="N33" s="218" t="str">
        <f t="shared" si="6"/>
        <v>PARTNER - PROJECT/ACTIVITY</v>
      </c>
      <c r="O33" s="218" t="str">
        <f t="shared" si="7"/>
        <v>DRCBUK</v>
      </c>
      <c r="P33" s="218" t="str">
        <f t="shared" si="0"/>
        <v>AP21QR</v>
      </c>
      <c r="Q33" s="218" t="str">
        <f>""</f>
        <v/>
      </c>
      <c r="R33" s="218" t="str">
        <f t="shared" si="15"/>
        <v>PBVE</v>
      </c>
      <c r="S33" s="218" t="str">
        <f t="shared" si="13"/>
        <v>008</v>
      </c>
      <c r="T33" s="218" t="str">
        <f t="shared" si="1"/>
        <v>D</v>
      </c>
      <c r="U33" s="218" t="str">
        <f t="shared" si="2"/>
        <v>AFR000</v>
      </c>
      <c r="V33" s="218" t="str">
        <f t="shared" si="3"/>
        <v>###</v>
      </c>
      <c r="W33" s="218">
        <v>30</v>
      </c>
      <c r="X33" s="218" t="str">
        <f t="shared" si="4"/>
        <v>USD</v>
      </c>
      <c r="Y33" s="218">
        <v>23.8</v>
      </c>
      <c r="Z33" s="218">
        <v>30</v>
      </c>
      <c r="AA33" s="218">
        <v>27.24</v>
      </c>
    </row>
    <row r="34" spans="1:27">
      <c r="A34" s="218" t="s">
        <v>2592</v>
      </c>
      <c r="F34" s="219" t="str">
        <f>"""IntAlert Live"",""ALERT UK"",""17"",""1"",""556020"""</f>
        <v>"IntAlert Live","ALERT UK","17","1","556020"</v>
      </c>
      <c r="G34" s="223">
        <v>43908</v>
      </c>
      <c r="H34" s="223"/>
      <c r="I34" s="218" t="str">
        <f t="shared" si="14"/>
        <v>DRCPARTNER/PBVE/AP21QR/2020/01</v>
      </c>
      <c r="K34" s="218" t="str">
        <f>"FACTURE"</f>
        <v>FACTURE</v>
      </c>
      <c r="L34" s="218" t="str">
        <f>"Frais collation participants reunion de recyclage"</f>
        <v>Frais collation participants reunion de recyclage</v>
      </c>
      <c r="M34" s="218" t="str">
        <f t="shared" si="5"/>
        <v>6470</v>
      </c>
      <c r="N34" s="218" t="str">
        <f t="shared" si="6"/>
        <v>PARTNER - PROJECT/ACTIVITY</v>
      </c>
      <c r="O34" s="218" t="str">
        <f t="shared" si="7"/>
        <v>DRCBUK</v>
      </c>
      <c r="P34" s="218" t="str">
        <f t="shared" si="0"/>
        <v>AP21QR</v>
      </c>
      <c r="Q34" s="218" t="str">
        <f>""</f>
        <v/>
      </c>
      <c r="R34" s="218" t="str">
        <f t="shared" si="15"/>
        <v>PBVE</v>
      </c>
      <c r="S34" s="218" t="str">
        <f t="shared" si="13"/>
        <v>008</v>
      </c>
      <c r="T34" s="218" t="str">
        <f t="shared" si="1"/>
        <v>D</v>
      </c>
      <c r="U34" s="218" t="str">
        <f t="shared" si="2"/>
        <v>AFR000</v>
      </c>
      <c r="V34" s="218" t="str">
        <f t="shared" si="3"/>
        <v>###</v>
      </c>
      <c r="W34" s="218">
        <v>77.5</v>
      </c>
      <c r="X34" s="218" t="str">
        <f t="shared" si="4"/>
        <v>USD</v>
      </c>
      <c r="Y34" s="218">
        <v>61.49</v>
      </c>
      <c r="Z34" s="218">
        <v>77.5</v>
      </c>
      <c r="AA34" s="218">
        <v>70.37</v>
      </c>
    </row>
    <row r="35" spans="1:27">
      <c r="A35" s="218" t="s">
        <v>2592</v>
      </c>
      <c r="F35" s="219" t="str">
        <f>"""IntAlert Live"",""ALERT UK"",""17"",""1"",""556021"""</f>
        <v>"IntAlert Live","ALERT UK","17","1","556021"</v>
      </c>
      <c r="G35" s="223">
        <v>43908</v>
      </c>
      <c r="H35" s="223"/>
      <c r="I35" s="218" t="str">
        <f t="shared" si="14"/>
        <v>DRCPARTNER/PBVE/AP21QR/2020/01</v>
      </c>
      <c r="K35" s="218" t="str">
        <f>"FACTURE"</f>
        <v>FACTURE</v>
      </c>
      <c r="L35" s="218" t="str">
        <f>"Frais Achat materiels pedagogique pour l'activié"</f>
        <v>Frais Achat materiels pedagogique pour l'activié</v>
      </c>
      <c r="M35" s="218" t="str">
        <f t="shared" si="5"/>
        <v>6470</v>
      </c>
      <c r="N35" s="218" t="str">
        <f t="shared" si="6"/>
        <v>PARTNER - PROJECT/ACTIVITY</v>
      </c>
      <c r="O35" s="218" t="str">
        <f t="shared" si="7"/>
        <v>DRCBUK</v>
      </c>
      <c r="P35" s="218" t="str">
        <f t="shared" si="0"/>
        <v>AP21QR</v>
      </c>
      <c r="Q35" s="218" t="str">
        <f>""</f>
        <v/>
      </c>
      <c r="R35" s="218" t="str">
        <f t="shared" si="15"/>
        <v>PBVE</v>
      </c>
      <c r="S35" s="218" t="str">
        <f t="shared" si="13"/>
        <v>008</v>
      </c>
      <c r="T35" s="218" t="str">
        <f t="shared" si="1"/>
        <v>D</v>
      </c>
      <c r="U35" s="218" t="str">
        <f t="shared" si="2"/>
        <v>AFR000</v>
      </c>
      <c r="V35" s="218" t="str">
        <f t="shared" si="3"/>
        <v>###</v>
      </c>
      <c r="W35" s="218">
        <v>30</v>
      </c>
      <c r="X35" s="218" t="str">
        <f t="shared" si="4"/>
        <v>USD</v>
      </c>
      <c r="Y35" s="218">
        <v>23.8</v>
      </c>
      <c r="Z35" s="218">
        <v>30</v>
      </c>
      <c r="AA35" s="218">
        <v>27.24</v>
      </c>
    </row>
    <row r="36" spans="1:27">
      <c r="A36" s="218" t="s">
        <v>2592</v>
      </c>
      <c r="F36" s="219" t="str">
        <f>"""IntAlert Live"",""ALERT UK"",""17"",""1"",""556022"""</f>
        <v>"IntAlert Live","ALERT UK","17","1","556022"</v>
      </c>
      <c r="G36" s="223">
        <v>43908</v>
      </c>
      <c r="H36" s="223"/>
      <c r="I36" s="218" t="str">
        <f t="shared" si="14"/>
        <v>DRCPARTNER/PBVE/AP21QR/2020/01</v>
      </c>
      <c r="K36" s="218" t="str">
        <f>"LISTE DE PRESENCE"</f>
        <v>LISTE DE PRESENCE</v>
      </c>
      <c r="L36" s="218" t="str">
        <f>"Remboursement frais de transport aux participants reunion de recyclage"</f>
        <v>Remboursement frais de transport aux participants reunion de recyclage</v>
      </c>
      <c r="M36" s="218" t="str">
        <f t="shared" si="5"/>
        <v>6470</v>
      </c>
      <c r="N36" s="218" t="str">
        <f t="shared" si="6"/>
        <v>PARTNER - PROJECT/ACTIVITY</v>
      </c>
      <c r="O36" s="218" t="str">
        <f t="shared" si="7"/>
        <v>DRCBUK</v>
      </c>
      <c r="P36" s="218" t="str">
        <f t="shared" si="0"/>
        <v>AP21QR</v>
      </c>
      <c r="Q36" s="218" t="str">
        <f>""</f>
        <v/>
      </c>
      <c r="R36" s="218" t="str">
        <f t="shared" si="15"/>
        <v>PBVE</v>
      </c>
      <c r="S36" s="218" t="str">
        <f t="shared" si="13"/>
        <v>008</v>
      </c>
      <c r="T36" s="218" t="str">
        <f t="shared" si="1"/>
        <v>D</v>
      </c>
      <c r="U36" s="218" t="str">
        <f t="shared" si="2"/>
        <v>AFR000</v>
      </c>
      <c r="V36" s="218" t="str">
        <f t="shared" si="3"/>
        <v>###</v>
      </c>
      <c r="W36" s="218">
        <v>155</v>
      </c>
      <c r="X36" s="218" t="str">
        <f t="shared" si="4"/>
        <v>USD</v>
      </c>
      <c r="Y36" s="218">
        <v>122.98</v>
      </c>
      <c r="Z36" s="218">
        <v>155</v>
      </c>
      <c r="AA36" s="218">
        <v>140.74</v>
      </c>
    </row>
    <row r="37" spans="1:27">
      <c r="A37" s="218" t="s">
        <v>2592</v>
      </c>
      <c r="F37" s="219" t="str">
        <f>"""IntAlert Live"",""ALERT UK"",""17"",""1"",""556023"""</f>
        <v>"IntAlert Live","ALERT UK","17","1","556023"</v>
      </c>
      <c r="G37" s="223">
        <v>43908</v>
      </c>
      <c r="H37" s="223"/>
      <c r="I37" s="218" t="str">
        <f t="shared" si="14"/>
        <v>DRCPARTNER/PBVE/AP21QR/2020/01</v>
      </c>
      <c r="K37" s="218" t="str">
        <f>"REÇU"</f>
        <v>REÇU</v>
      </c>
      <c r="L37" s="218" t="str">
        <f>"Frais location salle de reunion/Mbundamo"</f>
        <v>Frais location salle de reunion/Mbundamo</v>
      </c>
      <c r="M37" s="218" t="str">
        <f t="shared" si="5"/>
        <v>6470</v>
      </c>
      <c r="N37" s="218" t="str">
        <f t="shared" si="6"/>
        <v>PARTNER - PROJECT/ACTIVITY</v>
      </c>
      <c r="O37" s="218" t="str">
        <f t="shared" si="7"/>
        <v>DRCBUK</v>
      </c>
      <c r="P37" s="218" t="str">
        <f t="shared" si="0"/>
        <v>AP21QR</v>
      </c>
      <c r="Q37" s="218" t="str">
        <f>""</f>
        <v/>
      </c>
      <c r="R37" s="218" t="str">
        <f t="shared" si="15"/>
        <v>PBVE</v>
      </c>
      <c r="S37" s="218" t="str">
        <f t="shared" si="13"/>
        <v>008</v>
      </c>
      <c r="T37" s="218" t="str">
        <f t="shared" si="1"/>
        <v>D</v>
      </c>
      <c r="U37" s="218" t="str">
        <f t="shared" si="2"/>
        <v>AFR000</v>
      </c>
      <c r="V37" s="218" t="str">
        <f t="shared" si="3"/>
        <v>###</v>
      </c>
      <c r="W37" s="218">
        <v>20</v>
      </c>
      <c r="X37" s="218" t="str">
        <f t="shared" si="4"/>
        <v>USD</v>
      </c>
      <c r="Y37" s="218">
        <v>15.87</v>
      </c>
      <c r="Z37" s="218">
        <v>20</v>
      </c>
      <c r="AA37" s="218">
        <v>18.16</v>
      </c>
    </row>
    <row r="38" spans="1:27">
      <c r="A38" s="218" t="s">
        <v>2592</v>
      </c>
      <c r="F38" s="219" t="str">
        <f>"""IntAlert Live"",""ALERT UK"",""17"",""1"",""556027"""</f>
        <v>"IntAlert Live","ALERT UK","17","1","556027"</v>
      </c>
      <c r="G38" s="223">
        <v>43908</v>
      </c>
      <c r="H38" s="223"/>
      <c r="I38" s="218" t="str">
        <f t="shared" si="14"/>
        <v>DRCPARTNER/PBVE/AP21QR/2020/01</v>
      </c>
      <c r="K38" s="218" t="str">
        <f>"FICHE DE TRANSPORT"</f>
        <v>FICHE DE TRANSPORT</v>
      </c>
      <c r="L38" s="218" t="str">
        <f>"Frais perdiem/equipe de terrain"</f>
        <v>Frais perdiem/equipe de terrain</v>
      </c>
      <c r="M38" s="218" t="str">
        <f t="shared" si="5"/>
        <v>6470</v>
      </c>
      <c r="N38" s="218" t="str">
        <f t="shared" si="6"/>
        <v>PARTNER - PROJECT/ACTIVITY</v>
      </c>
      <c r="O38" s="218" t="str">
        <f t="shared" si="7"/>
        <v>DRCBUK</v>
      </c>
      <c r="P38" s="218" t="str">
        <f t="shared" si="0"/>
        <v>AP21QR</v>
      </c>
      <c r="Q38" s="218" t="str">
        <f>""</f>
        <v/>
      </c>
      <c r="R38" s="218" t="str">
        <f t="shared" si="15"/>
        <v>PBVE</v>
      </c>
      <c r="S38" s="218" t="str">
        <f t="shared" si="13"/>
        <v>008</v>
      </c>
      <c r="T38" s="218" t="str">
        <f t="shared" si="1"/>
        <v>D</v>
      </c>
      <c r="U38" s="218" t="str">
        <f t="shared" si="2"/>
        <v>AFR000</v>
      </c>
      <c r="V38" s="218" t="str">
        <f t="shared" si="3"/>
        <v>###</v>
      </c>
      <c r="W38" s="218">
        <v>50</v>
      </c>
      <c r="X38" s="218" t="str">
        <f t="shared" si="4"/>
        <v>USD</v>
      </c>
      <c r="Y38" s="218">
        <v>39.67</v>
      </c>
      <c r="Z38" s="218">
        <v>50</v>
      </c>
      <c r="AA38" s="218">
        <v>45.4</v>
      </c>
    </row>
    <row r="39" spans="1:27">
      <c r="A39" s="218" t="s">
        <v>2592</v>
      </c>
      <c r="F39" s="219" t="str">
        <f>"""IntAlert Live"",""ALERT UK"",""17"",""1"",""555858"""</f>
        <v>"IntAlert Live","ALERT UK","17","1","555858"</v>
      </c>
      <c r="G39" s="223">
        <v>43918</v>
      </c>
      <c r="H39" s="223"/>
      <c r="I39" s="218" t="str">
        <f>"DRCPARTNER/PSOL/AP21QR/2020/01"</f>
        <v>DRCPARTNER/PSOL/AP21QR/2020/01</v>
      </c>
      <c r="K39" s="218" t="str">
        <f>"MALIPO"</f>
        <v>MALIPO</v>
      </c>
      <c r="L39" s="218" t="str">
        <f>"Transport pdt le briefing collectes des données score card sécuritaire"</f>
        <v>Transport pdt le briefing collectes des données score card sécuritaire</v>
      </c>
      <c r="M39" s="218" t="str">
        <f t="shared" si="5"/>
        <v>6470</v>
      </c>
      <c r="N39" s="218" t="str">
        <f t="shared" si="6"/>
        <v>PARTNER - PROJECT/ACTIVITY</v>
      </c>
      <c r="O39" s="218" t="str">
        <f t="shared" si="7"/>
        <v>DRCBUK</v>
      </c>
      <c r="P39" s="218" t="str">
        <f t="shared" si="0"/>
        <v>AP21QR</v>
      </c>
      <c r="Q39" s="218" t="str">
        <f>""</f>
        <v/>
      </c>
      <c r="R39" s="218" t="str">
        <f>"PSOL"</f>
        <v>PSOL</v>
      </c>
      <c r="S39" s="218" t="str">
        <f t="shared" si="13"/>
        <v>008</v>
      </c>
      <c r="T39" s="218" t="str">
        <f t="shared" ref="T39:T70" si="16">"D"</f>
        <v>D</v>
      </c>
      <c r="U39" s="218" t="str">
        <f t="shared" si="2"/>
        <v>AFR000</v>
      </c>
      <c r="V39" s="218" t="str">
        <f t="shared" si="3"/>
        <v>###</v>
      </c>
      <c r="W39" s="218">
        <v>150</v>
      </c>
      <c r="X39" s="218" t="str">
        <f t="shared" si="4"/>
        <v>USD</v>
      </c>
      <c r="Y39" s="218">
        <v>119.01</v>
      </c>
      <c r="Z39" s="218">
        <v>150</v>
      </c>
      <c r="AA39" s="218">
        <v>136.19999999999999</v>
      </c>
    </row>
    <row r="40" spans="1:27">
      <c r="A40" s="218" t="s">
        <v>2592</v>
      </c>
      <c r="F40" s="219" t="str">
        <f>"""IntAlert Live"",""ALERT UK"",""17"",""1"",""555859"""</f>
        <v>"IntAlert Live","ALERT UK","17","1","555859"</v>
      </c>
      <c r="G40" s="223">
        <v>43918</v>
      </c>
      <c r="H40" s="223"/>
      <c r="I40" s="218" t="str">
        <f>"DRCPARTNER/PSOL/AP21QR/2020/01"</f>
        <v>DRCPARTNER/PSOL/AP21QR/2020/01</v>
      </c>
      <c r="K40" s="218" t="str">
        <f>"MALIPO"</f>
        <v>MALIPO</v>
      </c>
      <c r="L40" s="218" t="str">
        <f>"Restauration  pdt le briefing collectes des données score card sécuritaire"</f>
        <v>Restauration  pdt le briefing collectes des données score card sécuritaire</v>
      </c>
      <c r="M40" s="218" t="str">
        <f t="shared" si="5"/>
        <v>6470</v>
      </c>
      <c r="N40" s="218" t="str">
        <f t="shared" si="6"/>
        <v>PARTNER - PROJECT/ACTIVITY</v>
      </c>
      <c r="O40" s="218" t="str">
        <f t="shared" si="7"/>
        <v>DRCBUK</v>
      </c>
      <c r="P40" s="218" t="str">
        <f t="shared" si="0"/>
        <v>AP21QR</v>
      </c>
      <c r="Q40" s="218" t="str">
        <f>""</f>
        <v/>
      </c>
      <c r="R40" s="218" t="str">
        <f>"PSOL"</f>
        <v>PSOL</v>
      </c>
      <c r="S40" s="218" t="str">
        <f t="shared" si="13"/>
        <v>008</v>
      </c>
      <c r="T40" s="218" t="str">
        <f t="shared" si="16"/>
        <v>D</v>
      </c>
      <c r="U40" s="218" t="str">
        <f t="shared" si="2"/>
        <v>AFR000</v>
      </c>
      <c r="V40" s="218" t="str">
        <f t="shared" si="3"/>
        <v>###</v>
      </c>
      <c r="W40" s="218">
        <v>240</v>
      </c>
      <c r="X40" s="218" t="str">
        <f t="shared" si="4"/>
        <v>USD</v>
      </c>
      <c r="Y40" s="218">
        <v>190.41</v>
      </c>
      <c r="Z40" s="218">
        <v>240</v>
      </c>
      <c r="AA40" s="218">
        <v>217.91</v>
      </c>
    </row>
    <row r="41" spans="1:27">
      <c r="A41" s="218" t="s">
        <v>2592</v>
      </c>
      <c r="F41" s="219" t="str">
        <f>"""IntAlert Live"",""ALERT UK"",""17"",""1"",""555860"""</f>
        <v>"IntAlert Live","ALERT UK","17","1","555860"</v>
      </c>
      <c r="G41" s="223">
        <v>43918</v>
      </c>
      <c r="H41" s="223"/>
      <c r="I41" s="218" t="str">
        <f>"DRCPARTNER/PSOL/AP21QR/2020/01"</f>
        <v>DRCPARTNER/PSOL/AP21QR/2020/01</v>
      </c>
      <c r="K41" s="218" t="str">
        <f>"MALIPO"</f>
        <v>MALIPO</v>
      </c>
      <c r="L41" s="218" t="str">
        <f>"Materiels pédagogiques pdt le briefing collectes des données score card sécuritaire"</f>
        <v>Materiels pédagogiques pdt le briefing collectes des données score card sécuritaire</v>
      </c>
      <c r="M41" s="218" t="str">
        <f t="shared" si="5"/>
        <v>6470</v>
      </c>
      <c r="N41" s="218" t="str">
        <f t="shared" si="6"/>
        <v>PARTNER - PROJECT/ACTIVITY</v>
      </c>
      <c r="O41" s="218" t="str">
        <f t="shared" si="7"/>
        <v>DRCBUK</v>
      </c>
      <c r="P41" s="218" t="str">
        <f t="shared" si="0"/>
        <v>AP21QR</v>
      </c>
      <c r="Q41" s="218" t="str">
        <f>""</f>
        <v/>
      </c>
      <c r="R41" s="218" t="str">
        <f>"PSOL"</f>
        <v>PSOL</v>
      </c>
      <c r="S41" s="218" t="str">
        <f t="shared" si="13"/>
        <v>008</v>
      </c>
      <c r="T41" s="218" t="str">
        <f t="shared" si="16"/>
        <v>D</v>
      </c>
      <c r="U41" s="218" t="str">
        <f t="shared" si="2"/>
        <v>AFR000</v>
      </c>
      <c r="V41" s="218" t="str">
        <f t="shared" si="3"/>
        <v>###</v>
      </c>
      <c r="W41" s="218">
        <v>53</v>
      </c>
      <c r="X41" s="218" t="str">
        <f t="shared" si="4"/>
        <v>USD</v>
      </c>
      <c r="Y41" s="218">
        <v>42.05</v>
      </c>
      <c r="Z41" s="218">
        <v>53</v>
      </c>
      <c r="AA41" s="218">
        <v>48.12</v>
      </c>
    </row>
    <row r="42" spans="1:27">
      <c r="A42" s="218" t="s">
        <v>2592</v>
      </c>
      <c r="F42" s="219" t="str">
        <f>"""IntAlert Live"",""ALERT UK"",""17"",""1"",""555861"""</f>
        <v>"IntAlert Live","ALERT UK","17","1","555861"</v>
      </c>
      <c r="G42" s="223">
        <v>43918</v>
      </c>
      <c r="H42" s="223"/>
      <c r="I42" s="218" t="str">
        <f>"DRCPARTNER/PSOL/AP21QR/2020/01"</f>
        <v>DRCPARTNER/PSOL/AP21QR/2020/01</v>
      </c>
      <c r="K42" s="218" t="str">
        <f>"MALIPO"</f>
        <v>MALIPO</v>
      </c>
      <c r="L42" s="218" t="str">
        <f>"Transport des chercheurs pdt la collecte des données score card sécuritaire"</f>
        <v>Transport des chercheurs pdt la collecte des données score card sécuritaire</v>
      </c>
      <c r="M42" s="218" t="str">
        <f t="shared" si="5"/>
        <v>6470</v>
      </c>
      <c r="N42" s="218" t="str">
        <f t="shared" si="6"/>
        <v>PARTNER - PROJECT/ACTIVITY</v>
      </c>
      <c r="O42" s="218" t="str">
        <f t="shared" si="7"/>
        <v>DRCBUK</v>
      </c>
      <c r="P42" s="218" t="str">
        <f t="shared" si="0"/>
        <v>AP21QR</v>
      </c>
      <c r="Q42" s="218" t="str">
        <f>""</f>
        <v/>
      </c>
      <c r="R42" s="218" t="str">
        <f>"PSOL"</f>
        <v>PSOL</v>
      </c>
      <c r="S42" s="218" t="str">
        <f t="shared" si="13"/>
        <v>008</v>
      </c>
      <c r="T42" s="218" t="str">
        <f t="shared" si="16"/>
        <v>D</v>
      </c>
      <c r="U42" s="218" t="str">
        <f t="shared" si="2"/>
        <v>AFR000</v>
      </c>
      <c r="V42" s="218" t="str">
        <f t="shared" si="3"/>
        <v>###</v>
      </c>
      <c r="W42" s="218">
        <v>200</v>
      </c>
      <c r="X42" s="218" t="str">
        <f t="shared" si="4"/>
        <v>USD</v>
      </c>
      <c r="Y42" s="218">
        <v>158.68</v>
      </c>
      <c r="Z42" s="218">
        <v>200</v>
      </c>
      <c r="AA42" s="218">
        <v>181.6</v>
      </c>
    </row>
    <row r="43" spans="1:27">
      <c r="A43" s="218" t="s">
        <v>2592</v>
      </c>
      <c r="F43" s="219" t="str">
        <f>"""IntAlert Live"",""ALERT UK"",""17"",""1"",""555862"""</f>
        <v>"IntAlert Live","ALERT UK","17","1","555862"</v>
      </c>
      <c r="G43" s="223">
        <v>43918</v>
      </c>
      <c r="H43" s="223"/>
      <c r="I43" s="218" t="str">
        <f>"DRCPARTNER/PSOL/AP21QR/2020/01"</f>
        <v>DRCPARTNER/PSOL/AP21QR/2020/01</v>
      </c>
      <c r="K43" s="218" t="str">
        <f>"MALIPO"</f>
        <v>MALIPO</v>
      </c>
      <c r="L43" s="218" t="str">
        <f>"Prime  des chercheurs pdt la collecte des données score card sécuritaire"</f>
        <v>Prime  des chercheurs pdt la collecte des données score card sécuritaire</v>
      </c>
      <c r="M43" s="218" t="str">
        <f t="shared" si="5"/>
        <v>6470</v>
      </c>
      <c r="N43" s="218" t="str">
        <f t="shared" si="6"/>
        <v>PARTNER - PROJECT/ACTIVITY</v>
      </c>
      <c r="O43" s="218" t="str">
        <f t="shared" si="7"/>
        <v>DRCBUK</v>
      </c>
      <c r="P43" s="218" t="str">
        <f t="shared" si="0"/>
        <v>AP21QR</v>
      </c>
      <c r="Q43" s="218" t="str">
        <f>""</f>
        <v/>
      </c>
      <c r="R43" s="218" t="str">
        <f>"PSOL"</f>
        <v>PSOL</v>
      </c>
      <c r="S43" s="218" t="str">
        <f t="shared" si="13"/>
        <v>008</v>
      </c>
      <c r="T43" s="218" t="str">
        <f t="shared" si="16"/>
        <v>D</v>
      </c>
      <c r="U43" s="218" t="str">
        <f t="shared" si="2"/>
        <v>AFR000</v>
      </c>
      <c r="V43" s="218" t="str">
        <f t="shared" si="3"/>
        <v>###</v>
      </c>
      <c r="W43" s="218">
        <v>400</v>
      </c>
      <c r="X43" s="218" t="str">
        <f t="shared" si="4"/>
        <v>USD</v>
      </c>
      <c r="Y43" s="218">
        <v>317.35000000000002</v>
      </c>
      <c r="Z43" s="218">
        <v>400</v>
      </c>
      <c r="AA43" s="218">
        <v>363.19</v>
      </c>
    </row>
    <row r="44" spans="1:27">
      <c r="A44" s="218" t="s">
        <v>2592</v>
      </c>
      <c r="F44" s="219" t="str">
        <f>"""IntAlert Live"",""ALERT UK"",""17"",""1"",""556041"""</f>
        <v>"IntAlert Live","ALERT UK","17","1","556041"</v>
      </c>
      <c r="G44" s="223">
        <v>43921</v>
      </c>
      <c r="H44" s="223"/>
      <c r="I44" s="218" t="str">
        <f>"DRCPARTNER/PBVE/AP21QR/2020/01"</f>
        <v>DRCPARTNER/PBVE/AP21QR/2020/01</v>
      </c>
      <c r="K44" s="218" t="str">
        <f>"RUKUMBUKA"</f>
        <v>RUKUMBUKA</v>
      </c>
      <c r="L44" s="218" t="str">
        <f>"Salaire Rukumbuzi superviseur de terrain Mars 2020"</f>
        <v>Salaire Rukumbuzi superviseur de terrain Mars 2020</v>
      </c>
      <c r="M44" s="218" t="str">
        <f>"6410"</f>
        <v>6410</v>
      </c>
      <c r="N44" s="218" t="str">
        <f>"PARTNER - EMPLOYMENT COST"</f>
        <v>PARTNER - EMPLOYMENT COST</v>
      </c>
      <c r="O44" s="218" t="str">
        <f t="shared" si="7"/>
        <v>DRCBUK</v>
      </c>
      <c r="P44" s="218" t="str">
        <f t="shared" si="0"/>
        <v>AP21QR</v>
      </c>
      <c r="Q44" s="218" t="str">
        <f>""</f>
        <v/>
      </c>
      <c r="R44" s="218" t="str">
        <f>"PBVE"</f>
        <v>PBVE</v>
      </c>
      <c r="S44" s="218" t="str">
        <f>"009"</f>
        <v>009</v>
      </c>
      <c r="T44" s="218" t="str">
        <f t="shared" si="16"/>
        <v>D</v>
      </c>
      <c r="U44" s="218" t="str">
        <f t="shared" si="2"/>
        <v>AFR000</v>
      </c>
      <c r="V44" s="218" t="str">
        <f t="shared" si="3"/>
        <v>###</v>
      </c>
      <c r="W44" s="218">
        <v>450</v>
      </c>
      <c r="X44" s="218" t="str">
        <f t="shared" si="4"/>
        <v>USD</v>
      </c>
      <c r="Y44" s="218">
        <v>357.02</v>
      </c>
      <c r="Z44" s="218">
        <v>450</v>
      </c>
      <c r="AA44" s="218">
        <v>408.59</v>
      </c>
    </row>
    <row r="45" spans="1:27">
      <c r="A45" s="218" t="s">
        <v>2592</v>
      </c>
      <c r="F45" s="219" t="str">
        <f>"""IntAlert Live"",""ALERT UK"",""17"",""1"",""555908"""</f>
        <v>"IntAlert Live","ALERT UK","17","1","555908"</v>
      </c>
      <c r="G45" s="223">
        <v>43951</v>
      </c>
      <c r="H45" s="223"/>
      <c r="I45" s="218" t="str">
        <f>"DRCPARTNER/PSOL/AP21QR/2020/01"</f>
        <v>DRCPARTNER/PSOL/AP21QR/2020/01</v>
      </c>
      <c r="K45" s="218" t="str">
        <f>"OLIVE"</f>
        <v>OLIVE</v>
      </c>
      <c r="L45" s="218" t="str">
        <f>"Impression et reliuire des livrets des jeunes messagers"</f>
        <v>Impression et reliuire des livrets des jeunes messagers</v>
      </c>
      <c r="M45" s="218" t="str">
        <f>"6470"</f>
        <v>6470</v>
      </c>
      <c r="N45" s="218" t="str">
        <f>"PARTNER - PROJECT/ACTIVITY"</f>
        <v>PARTNER - PROJECT/ACTIVITY</v>
      </c>
      <c r="O45" s="218" t="str">
        <f t="shared" si="7"/>
        <v>DRCBUK</v>
      </c>
      <c r="P45" s="218" t="str">
        <f t="shared" si="0"/>
        <v>AP21QR</v>
      </c>
      <c r="Q45" s="218" t="str">
        <f>""</f>
        <v/>
      </c>
      <c r="R45" s="218" t="str">
        <f>"PSOL"</f>
        <v>PSOL</v>
      </c>
      <c r="S45" s="218" t="str">
        <f>"012"</f>
        <v>012</v>
      </c>
      <c r="T45" s="218" t="str">
        <f t="shared" si="16"/>
        <v>D</v>
      </c>
      <c r="U45" s="218" t="str">
        <f t="shared" si="2"/>
        <v>AFR000</v>
      </c>
      <c r="V45" s="218" t="str">
        <f t="shared" si="3"/>
        <v>###</v>
      </c>
      <c r="W45" s="218">
        <v>880</v>
      </c>
      <c r="X45" s="218" t="str">
        <f t="shared" si="4"/>
        <v>USD</v>
      </c>
      <c r="Y45" s="218">
        <v>698.18</v>
      </c>
      <c r="Z45" s="218">
        <v>880</v>
      </c>
      <c r="AA45" s="218">
        <v>799.03</v>
      </c>
    </row>
    <row r="46" spans="1:27">
      <c r="A46" s="218" t="s">
        <v>2592</v>
      </c>
      <c r="F46" s="219" t="str">
        <f>"""IntAlert Live"",""ALERT UK"",""17"",""1"",""556289"""</f>
        <v>"IntAlert Live","ALERT UK","17","1","556289"</v>
      </c>
      <c r="G46" s="223">
        <v>43982</v>
      </c>
      <c r="H46" s="223"/>
      <c r="I46" s="218" t="str">
        <f>""</f>
        <v/>
      </c>
      <c r="K46" s="218" t="str">
        <f>"10057884"</f>
        <v>10057884</v>
      </c>
      <c r="L46" s="218" t="str">
        <f>"RSSB 5,3%_May 20_Great Lakes Adv"</f>
        <v>RSSB 5,3%_May 20_Great Lakes Adv</v>
      </c>
      <c r="M46" s="218" t="str">
        <f>"5120"</f>
        <v>5120</v>
      </c>
      <c r="N46" s="218" t="str">
        <f>"EMPLOYER'S NI"</f>
        <v>EMPLOYER'S NI</v>
      </c>
      <c r="O46" s="218" t="str">
        <f>"RWAKIG"</f>
        <v>RWAKIG</v>
      </c>
      <c r="P46" s="218" t="str">
        <f t="shared" si="0"/>
        <v>AP21QR</v>
      </c>
      <c r="Q46" s="218" t="str">
        <f>"BAZ"</f>
        <v>BAZ</v>
      </c>
      <c r="R46" s="218" t="str">
        <f>""</f>
        <v/>
      </c>
      <c r="S46" s="218" t="str">
        <f>"012"</f>
        <v>012</v>
      </c>
      <c r="T46" s="218" t="str">
        <f t="shared" si="16"/>
        <v>D</v>
      </c>
      <c r="U46" s="218" t="str">
        <f t="shared" si="2"/>
        <v>AFR000</v>
      </c>
      <c r="V46" s="218" t="str">
        <f t="shared" si="3"/>
        <v>###</v>
      </c>
      <c r="W46" s="218">
        <v>23570</v>
      </c>
      <c r="X46" s="218" t="str">
        <f>"RWF"</f>
        <v>RWF</v>
      </c>
      <c r="Y46" s="218">
        <v>19.95</v>
      </c>
      <c r="Z46" s="218">
        <v>25.15</v>
      </c>
      <c r="AA46" s="218">
        <v>22.83</v>
      </c>
    </row>
    <row r="47" spans="1:27">
      <c r="A47" s="218" t="s">
        <v>2592</v>
      </c>
      <c r="F47" s="219" t="str">
        <f>"""IntAlert Live"",""ALERT UK"",""17"",""1"",""556045"""</f>
        <v>"IntAlert Live","ALERT UK","17","1","556045"</v>
      </c>
      <c r="G47" s="223">
        <v>43921</v>
      </c>
      <c r="H47" s="223"/>
      <c r="I47" s="218" t="str">
        <f>"DRCPARTNER/PBVE/AP21QR/2020/01"</f>
        <v>DRCPARTNER/PBVE/AP21QR/2020/01</v>
      </c>
      <c r="K47" s="218" t="str">
        <f>"NGONGO SAWAKE"</f>
        <v>NGONGO SAWAKE</v>
      </c>
      <c r="L47" s="218" t="str">
        <f>"Salaire Ngonge Animateurs de terrain Mars (Bijombo)"</f>
        <v>Salaire Ngonge Animateurs de terrain Mars (Bijombo)</v>
      </c>
      <c r="M47" s="218" t="str">
        <f>"6470"</f>
        <v>6470</v>
      </c>
      <c r="N47" s="218" t="str">
        <f>"PARTNER - PROJECT/ACTIVITY"</f>
        <v>PARTNER - PROJECT/ACTIVITY</v>
      </c>
      <c r="O47" s="218" t="str">
        <f>"DRCBUK"</f>
        <v>DRCBUK</v>
      </c>
      <c r="P47" s="218" t="str">
        <f t="shared" si="0"/>
        <v>AP21QR</v>
      </c>
      <c r="Q47" s="218" t="str">
        <f>""</f>
        <v/>
      </c>
      <c r="R47" s="218" t="str">
        <f>"PBVE"</f>
        <v>PBVE</v>
      </c>
      <c r="S47" s="218" t="str">
        <f t="shared" ref="S47:S58" si="17">"013"</f>
        <v>013</v>
      </c>
      <c r="T47" s="218" t="str">
        <f t="shared" si="16"/>
        <v>D</v>
      </c>
      <c r="U47" s="218" t="str">
        <f t="shared" si="2"/>
        <v>AFR000</v>
      </c>
      <c r="V47" s="218" t="str">
        <f t="shared" si="3"/>
        <v>###</v>
      </c>
      <c r="W47" s="218">
        <v>250</v>
      </c>
      <c r="X47" s="218" t="str">
        <f t="shared" ref="X47:X78" si="18">"USD"</f>
        <v>USD</v>
      </c>
      <c r="Y47" s="218">
        <v>198.35</v>
      </c>
      <c r="Z47" s="218">
        <v>250</v>
      </c>
      <c r="AA47" s="218">
        <v>227</v>
      </c>
    </row>
    <row r="48" spans="1:27">
      <c r="A48" s="218" t="s">
        <v>2592</v>
      </c>
      <c r="F48" s="219" t="str">
        <f>"""IntAlert Live"",""ALERT UK"",""17"",""1"",""556046"""</f>
        <v>"IntAlert Live","ALERT UK","17","1","556046"</v>
      </c>
      <c r="G48" s="223">
        <v>43921</v>
      </c>
      <c r="H48" s="223"/>
      <c r="I48" s="218" t="str">
        <f>"DRCPARTNER/PBVE/AP21QR/2020/01"</f>
        <v>DRCPARTNER/PBVE/AP21QR/2020/01</v>
      </c>
      <c r="K48" s="218" t="str">
        <f>"MWIZERWA CHARLES"</f>
        <v>MWIZERWA CHARLES</v>
      </c>
      <c r="L48" s="218" t="str">
        <f>" Salaire Mwizerwa Animateurs de terrain (Bijombo)-Mars 2020"</f>
        <v xml:space="preserve"> Salaire Mwizerwa Animateurs de terrain (Bijombo)-Mars 2020</v>
      </c>
      <c r="M48" s="218" t="str">
        <f>"6470"</f>
        <v>6470</v>
      </c>
      <c r="N48" s="218" t="str">
        <f>"PARTNER - PROJECT/ACTIVITY"</f>
        <v>PARTNER - PROJECT/ACTIVITY</v>
      </c>
      <c r="O48" s="218" t="str">
        <f>"DRCBUK"</f>
        <v>DRCBUK</v>
      </c>
      <c r="P48" s="218" t="str">
        <f t="shared" si="0"/>
        <v>AP21QR</v>
      </c>
      <c r="Q48" s="218" t="str">
        <f>""</f>
        <v/>
      </c>
      <c r="R48" s="218" t="str">
        <f>"PBVE"</f>
        <v>PBVE</v>
      </c>
      <c r="S48" s="218" t="str">
        <f t="shared" si="17"/>
        <v>013</v>
      </c>
      <c r="T48" s="218" t="str">
        <f t="shared" si="16"/>
        <v>D</v>
      </c>
      <c r="U48" s="218" t="str">
        <f t="shared" si="2"/>
        <v>AFR000</v>
      </c>
      <c r="V48" s="218" t="str">
        <f t="shared" si="3"/>
        <v>###</v>
      </c>
      <c r="W48" s="218">
        <v>250</v>
      </c>
      <c r="X48" s="218" t="str">
        <f t="shared" si="18"/>
        <v>USD</v>
      </c>
      <c r="Y48" s="218">
        <v>198.35</v>
      </c>
      <c r="Z48" s="218">
        <v>250</v>
      </c>
      <c r="AA48" s="218">
        <v>227</v>
      </c>
    </row>
    <row r="49" spans="1:27">
      <c r="A49" s="218" t="s">
        <v>2592</v>
      </c>
      <c r="F49" s="219" t="str">
        <f>"""IntAlert Live"",""ALERT UK"",""17"",""1"",""545548"""</f>
        <v>"IntAlert Live","ALERT UK","17","1","545548"</v>
      </c>
      <c r="G49" s="223">
        <v>43937</v>
      </c>
      <c r="H49" s="223"/>
      <c r="I49" s="218" t="str">
        <f>"DRCGOM/ BANQUE/2020/004/005"</f>
        <v>DRCGOM/ BANQUE/2020/004/005</v>
      </c>
      <c r="K49" s="218" t="str">
        <f>"CHARITE MATERNELLE"</f>
        <v>CHARITE MATERNELLE</v>
      </c>
      <c r="L49" s="218" t="str">
        <f>"Medical fees March'20 Jerome 10%"</f>
        <v>Medical fees March'20 Jerome 10%</v>
      </c>
      <c r="M49" s="218" t="str">
        <f>"5140"</f>
        <v>5140</v>
      </c>
      <c r="N49" s="218" t="str">
        <f>"EMPLOYMENT MEDICAL COSTS"</f>
        <v>EMPLOYMENT MEDICAL COSTS</v>
      </c>
      <c r="O49" s="218" t="str">
        <f>"DRCGOM"</f>
        <v>DRCGOM</v>
      </c>
      <c r="P49" s="218" t="str">
        <f t="shared" si="0"/>
        <v>AP21QR</v>
      </c>
      <c r="Q49" s="218" t="str">
        <f>"KAE"</f>
        <v>KAE</v>
      </c>
      <c r="R49" s="218" t="str">
        <f>""</f>
        <v/>
      </c>
      <c r="S49" s="218" t="str">
        <f t="shared" si="17"/>
        <v>013</v>
      </c>
      <c r="T49" s="218" t="str">
        <f t="shared" si="16"/>
        <v>D</v>
      </c>
      <c r="U49" s="218" t="str">
        <f t="shared" si="2"/>
        <v>AFR000</v>
      </c>
      <c r="V49" s="218" t="str">
        <f t="shared" si="3"/>
        <v>###</v>
      </c>
      <c r="W49" s="218">
        <v>9.43</v>
      </c>
      <c r="X49" s="218" t="str">
        <f t="shared" si="18"/>
        <v>USD</v>
      </c>
      <c r="Y49" s="218">
        <v>7.57</v>
      </c>
      <c r="Z49" s="218">
        <v>9.43</v>
      </c>
      <c r="AA49" s="218">
        <v>8.52</v>
      </c>
    </row>
    <row r="50" spans="1:27">
      <c r="A50" s="218" t="s">
        <v>2592</v>
      </c>
      <c r="F50" s="219" t="str">
        <f>"""IntAlert Live"",""ALERT UK"",""17"",""1"",""545554"""</f>
        <v>"IntAlert Live","ALERT UK","17","1","545554"</v>
      </c>
      <c r="G50" s="223">
        <v>43937</v>
      </c>
      <c r="H50" s="223"/>
      <c r="I50" s="218" t="str">
        <f>"DRCGOM/ BANQUE/2020/004/005"</f>
        <v>DRCGOM/ BANQUE/2020/004/005</v>
      </c>
      <c r="K50" s="218" t="str">
        <f>"CHARITE MATERNELLE"</f>
        <v>CHARITE MATERNELLE</v>
      </c>
      <c r="L50" s="218" t="str">
        <f>"Medical fees March'20 Adolphine 5%"</f>
        <v>Medical fees March'20 Adolphine 5%</v>
      </c>
      <c r="M50" s="218" t="str">
        <f>"5140"</f>
        <v>5140</v>
      </c>
      <c r="N50" s="218" t="str">
        <f>"EMPLOYMENT MEDICAL COSTS"</f>
        <v>EMPLOYMENT MEDICAL COSTS</v>
      </c>
      <c r="O50" s="218" t="str">
        <f>"DRCGOM"</f>
        <v>DRCGOM</v>
      </c>
      <c r="P50" s="218" t="str">
        <f t="shared" si="0"/>
        <v>AP21QR</v>
      </c>
      <c r="Q50" s="218" t="str">
        <f>"KAS"</f>
        <v>KAS</v>
      </c>
      <c r="R50" s="218" t="str">
        <f>""</f>
        <v/>
      </c>
      <c r="S50" s="218" t="str">
        <f t="shared" si="17"/>
        <v>013</v>
      </c>
      <c r="T50" s="218" t="str">
        <f t="shared" si="16"/>
        <v>D</v>
      </c>
      <c r="U50" s="218" t="str">
        <f t="shared" si="2"/>
        <v>AFR000</v>
      </c>
      <c r="V50" s="218" t="str">
        <f t="shared" si="3"/>
        <v>###</v>
      </c>
      <c r="W50" s="218">
        <v>12.1</v>
      </c>
      <c r="X50" s="218" t="str">
        <f t="shared" si="18"/>
        <v>USD</v>
      </c>
      <c r="Y50" s="218">
        <v>9.7200000000000006</v>
      </c>
      <c r="Z50" s="218">
        <v>12.1</v>
      </c>
      <c r="AA50" s="218">
        <v>10.93</v>
      </c>
    </row>
    <row r="51" spans="1:27">
      <c r="A51" s="218" t="s">
        <v>2592</v>
      </c>
      <c r="F51" s="219" t="str">
        <f>"""IntAlert Live"",""ALERT UK"",""17"",""1"",""555916"""</f>
        <v>"IntAlert Live","ALERT UK","17","1","555916"</v>
      </c>
      <c r="G51" s="223">
        <v>43951</v>
      </c>
      <c r="H51" s="223"/>
      <c r="I51" s="218" t="str">
        <f>"DRCPARTNER/PSOL/AP21QR/2020/01"</f>
        <v>DRCPARTNER/PSOL/AP21QR/2020/01</v>
      </c>
      <c r="K51" s="218" t="str">
        <f>"JANVIER"</f>
        <v>JANVIER</v>
      </c>
      <c r="L51" s="218" t="str">
        <f>"Restauration pdt série des débats avec les acteurs clés "</f>
        <v xml:space="preserve">Restauration pdt série des débats avec les acteurs clés </v>
      </c>
      <c r="M51" s="218" t="str">
        <f>"6470"</f>
        <v>6470</v>
      </c>
      <c r="N51" s="218" t="str">
        <f>"PARTNER - PROJECT/ACTIVITY"</f>
        <v>PARTNER - PROJECT/ACTIVITY</v>
      </c>
      <c r="O51" s="218" t="str">
        <f>"DRCBUK"</f>
        <v>DRCBUK</v>
      </c>
      <c r="P51" s="218" t="str">
        <f t="shared" si="0"/>
        <v>AP21QR</v>
      </c>
      <c r="Q51" s="218" t="str">
        <f>""</f>
        <v/>
      </c>
      <c r="R51" s="218" t="str">
        <f>"PSOL"</f>
        <v>PSOL</v>
      </c>
      <c r="S51" s="218" t="str">
        <f t="shared" si="17"/>
        <v>013</v>
      </c>
      <c r="T51" s="218" t="str">
        <f t="shared" si="16"/>
        <v>D</v>
      </c>
      <c r="U51" s="218" t="str">
        <f t="shared" si="2"/>
        <v>AFR000</v>
      </c>
      <c r="V51" s="218" t="str">
        <f t="shared" si="3"/>
        <v>###</v>
      </c>
      <c r="W51" s="218">
        <v>640</v>
      </c>
      <c r="X51" s="218" t="str">
        <f t="shared" si="18"/>
        <v>USD</v>
      </c>
      <c r="Y51" s="218">
        <v>507.77</v>
      </c>
      <c r="Z51" s="218">
        <v>640</v>
      </c>
      <c r="AA51" s="218">
        <v>581.12</v>
      </c>
    </row>
    <row r="52" spans="1:27">
      <c r="A52" s="218" t="s">
        <v>2592</v>
      </c>
      <c r="F52" s="219" t="str">
        <f>"""IntAlert Live"",""ALERT UK"",""17"",""1"",""555917"""</f>
        <v>"IntAlert Live","ALERT UK","17","1","555917"</v>
      </c>
      <c r="G52" s="223">
        <v>43951</v>
      </c>
      <c r="H52" s="223"/>
      <c r="I52" s="218" t="str">
        <f>"DRCPARTNER/PSOL/AP21QR/2020/01"</f>
        <v>DRCPARTNER/PSOL/AP21QR/2020/01</v>
      </c>
      <c r="K52" s="218" t="str">
        <f>""</f>
        <v/>
      </c>
      <c r="L52" s="218" t="str">
        <f>"Transport pdt série des débats avec les acteurs clés "</f>
        <v xml:space="preserve">Transport pdt série des débats avec les acteurs clés </v>
      </c>
      <c r="M52" s="218" t="str">
        <f>"6470"</f>
        <v>6470</v>
      </c>
      <c r="N52" s="218" t="str">
        <f>"PARTNER - PROJECT/ACTIVITY"</f>
        <v>PARTNER - PROJECT/ACTIVITY</v>
      </c>
      <c r="O52" s="218" t="str">
        <f>"DRCBUK"</f>
        <v>DRCBUK</v>
      </c>
      <c r="P52" s="218" t="str">
        <f t="shared" si="0"/>
        <v>AP21QR</v>
      </c>
      <c r="Q52" s="218" t="str">
        <f>""</f>
        <v/>
      </c>
      <c r="R52" s="218" t="str">
        <f>"PSOL"</f>
        <v>PSOL</v>
      </c>
      <c r="S52" s="218" t="str">
        <f t="shared" si="17"/>
        <v>013</v>
      </c>
      <c r="T52" s="218" t="str">
        <f t="shared" si="16"/>
        <v>D</v>
      </c>
      <c r="U52" s="218" t="str">
        <f t="shared" si="2"/>
        <v>AFR000</v>
      </c>
      <c r="V52" s="218" t="str">
        <f t="shared" si="3"/>
        <v>###</v>
      </c>
      <c r="W52" s="218">
        <v>800</v>
      </c>
      <c r="X52" s="218" t="str">
        <f t="shared" si="18"/>
        <v>USD</v>
      </c>
      <c r="Y52" s="218">
        <v>634.71</v>
      </c>
      <c r="Z52" s="218">
        <v>800</v>
      </c>
      <c r="AA52" s="218">
        <v>726.39</v>
      </c>
    </row>
    <row r="53" spans="1:27">
      <c r="A53" s="218" t="s">
        <v>2592</v>
      </c>
      <c r="F53" s="219" t="str">
        <f>"""IntAlert Live"",""ALERT UK"",""17"",""1"",""555918"""</f>
        <v>"IntAlert Live","ALERT UK","17","1","555918"</v>
      </c>
      <c r="G53" s="223">
        <v>43951</v>
      </c>
      <c r="H53" s="223"/>
      <c r="I53" s="218" t="str">
        <f>"DRCPARTNER/PSOL/AP21QR/2020/01"</f>
        <v>DRCPARTNER/PSOL/AP21QR/2020/01</v>
      </c>
      <c r="K53" s="218" t="str">
        <f>""</f>
        <v/>
      </c>
      <c r="L53" s="218" t="str">
        <f>"Matériels pdt série des débats avec les acteurs clés "</f>
        <v xml:space="preserve">Matériels pdt série des débats avec les acteurs clés </v>
      </c>
      <c r="M53" s="218" t="str">
        <f>"6470"</f>
        <v>6470</v>
      </c>
      <c r="N53" s="218" t="str">
        <f>"PARTNER - PROJECT/ACTIVITY"</f>
        <v>PARTNER - PROJECT/ACTIVITY</v>
      </c>
      <c r="O53" s="218" t="str">
        <f>"DRCBUK"</f>
        <v>DRCBUK</v>
      </c>
      <c r="P53" s="218" t="str">
        <f t="shared" si="0"/>
        <v>AP21QR</v>
      </c>
      <c r="Q53" s="218" t="str">
        <f>""</f>
        <v/>
      </c>
      <c r="R53" s="218" t="str">
        <f>"PSOL"</f>
        <v>PSOL</v>
      </c>
      <c r="S53" s="218" t="str">
        <f t="shared" si="17"/>
        <v>013</v>
      </c>
      <c r="T53" s="218" t="str">
        <f t="shared" si="16"/>
        <v>D</v>
      </c>
      <c r="U53" s="218" t="str">
        <f t="shared" si="2"/>
        <v>AFR000</v>
      </c>
      <c r="V53" s="218" t="str">
        <f t="shared" si="3"/>
        <v>###</v>
      </c>
      <c r="W53" s="218">
        <v>312</v>
      </c>
      <c r="X53" s="218" t="str">
        <f t="shared" si="18"/>
        <v>USD</v>
      </c>
      <c r="Y53" s="218">
        <v>247.54</v>
      </c>
      <c r="Z53" s="218">
        <v>312</v>
      </c>
      <c r="AA53" s="218">
        <v>283.3</v>
      </c>
    </row>
    <row r="54" spans="1:27">
      <c r="A54" s="218" t="s">
        <v>2592</v>
      </c>
      <c r="F54" s="219" t="str">
        <f>"""IntAlert Live"",""ALERT UK"",""17"",""1"",""555919"""</f>
        <v>"IntAlert Live","ALERT UK","17","1","555919"</v>
      </c>
      <c r="G54" s="223">
        <v>43951</v>
      </c>
      <c r="H54" s="223"/>
      <c r="I54" s="218" t="str">
        <f>"DRCPARTNER/PSOL/AP21QR/2020/01"</f>
        <v>DRCPARTNER/PSOL/AP21QR/2020/01</v>
      </c>
      <c r="K54" s="218" t="str">
        <f>""</f>
        <v/>
      </c>
      <c r="L54" s="218" t="str">
        <f>"Location salle pdt série des débats avec les acteurs clés "</f>
        <v xml:space="preserve">Location salle pdt série des débats avec les acteurs clés </v>
      </c>
      <c r="M54" s="218" t="str">
        <f>"6470"</f>
        <v>6470</v>
      </c>
      <c r="N54" s="218" t="str">
        <f>"PARTNER - PROJECT/ACTIVITY"</f>
        <v>PARTNER - PROJECT/ACTIVITY</v>
      </c>
      <c r="O54" s="218" t="str">
        <f>"DRCBUK"</f>
        <v>DRCBUK</v>
      </c>
      <c r="P54" s="218" t="str">
        <f t="shared" si="0"/>
        <v>AP21QR</v>
      </c>
      <c r="Q54" s="218" t="str">
        <f>""</f>
        <v/>
      </c>
      <c r="R54" s="218" t="str">
        <f>"PSOL"</f>
        <v>PSOL</v>
      </c>
      <c r="S54" s="218" t="str">
        <f t="shared" si="17"/>
        <v>013</v>
      </c>
      <c r="T54" s="218" t="str">
        <f t="shared" si="16"/>
        <v>D</v>
      </c>
      <c r="U54" s="218" t="str">
        <f t="shared" si="2"/>
        <v>AFR000</v>
      </c>
      <c r="V54" s="218" t="str">
        <f t="shared" si="3"/>
        <v>###</v>
      </c>
      <c r="W54" s="218">
        <v>120</v>
      </c>
      <c r="X54" s="218" t="str">
        <f t="shared" si="18"/>
        <v>USD</v>
      </c>
      <c r="Y54" s="218">
        <v>95.21</v>
      </c>
      <c r="Z54" s="218">
        <v>120</v>
      </c>
      <c r="AA54" s="218">
        <v>108.96</v>
      </c>
    </row>
    <row r="55" spans="1:27">
      <c r="A55" s="218" t="s">
        <v>2592</v>
      </c>
      <c r="F55" s="219" t="str">
        <f>"""IntAlert Live"",""ALERT UK"",""17"",""1"",""554576"""</f>
        <v>"IntAlert Live","ALERT UK","17","1","554576"</v>
      </c>
      <c r="G55" s="223">
        <v>43956</v>
      </c>
      <c r="H55" s="223"/>
      <c r="I55" s="218" t="str">
        <f>"DRCGOM/ BANQUE/2020/005/005"</f>
        <v>DRCGOM/ BANQUE/2020/005/005</v>
      </c>
      <c r="K55" s="218" t="str">
        <f>"CH BELLE VUE"</f>
        <v>CH BELLE VUE</v>
      </c>
      <c r="L55" s="218" t="str">
        <f>"Medical fees Jerome March'20 15%"</f>
        <v>Medical fees Jerome March'20 15%</v>
      </c>
      <c r="M55" s="218" t="str">
        <f>"5140"</f>
        <v>5140</v>
      </c>
      <c r="N55" s="218" t="str">
        <f>"EMPLOYMENT MEDICAL COSTS"</f>
        <v>EMPLOYMENT MEDICAL COSTS</v>
      </c>
      <c r="O55" s="218" t="str">
        <f>"DRCGOM"</f>
        <v>DRCGOM</v>
      </c>
      <c r="P55" s="218" t="str">
        <f t="shared" si="0"/>
        <v>AP21QR</v>
      </c>
      <c r="Q55" s="218" t="str">
        <f>"KAE"</f>
        <v>KAE</v>
      </c>
      <c r="R55" s="218" t="str">
        <f>""</f>
        <v/>
      </c>
      <c r="S55" s="218" t="str">
        <f t="shared" si="17"/>
        <v>013</v>
      </c>
      <c r="T55" s="218" t="str">
        <f t="shared" si="16"/>
        <v>D</v>
      </c>
      <c r="U55" s="218" t="str">
        <f t="shared" si="2"/>
        <v>AFR000</v>
      </c>
      <c r="V55" s="218" t="str">
        <f t="shared" si="3"/>
        <v>###</v>
      </c>
      <c r="W55" s="218">
        <v>48.75</v>
      </c>
      <c r="X55" s="218" t="str">
        <f t="shared" si="18"/>
        <v>USD</v>
      </c>
      <c r="Y55" s="218">
        <v>38.68</v>
      </c>
      <c r="Z55" s="218">
        <v>48.75</v>
      </c>
      <c r="AA55" s="218">
        <v>44.27</v>
      </c>
    </row>
    <row r="56" spans="1:27">
      <c r="A56" s="218" t="s">
        <v>2592</v>
      </c>
      <c r="F56" s="219" t="str">
        <f>"""IntAlert Live"",""ALERT UK"",""17"",""1"",""554587"""</f>
        <v>"IntAlert Live","ALERT UK","17","1","554587"</v>
      </c>
      <c r="G56" s="223">
        <v>43956</v>
      </c>
      <c r="H56" s="223"/>
      <c r="I56" s="218" t="str">
        <f>"DRCGOM/ BANQUE/2020/005/005"</f>
        <v>DRCGOM/ BANQUE/2020/005/005</v>
      </c>
      <c r="K56" s="218" t="str">
        <f>"CH BELLE VUE"</f>
        <v>CH BELLE VUE</v>
      </c>
      <c r="L56" s="218" t="str">
        <f>"Medical fees Adolphine  March'20 5%"</f>
        <v>Medical fees Adolphine  March'20 5%</v>
      </c>
      <c r="M56" s="218" t="str">
        <f>"5140"</f>
        <v>5140</v>
      </c>
      <c r="N56" s="218" t="str">
        <f>"EMPLOYMENT MEDICAL COSTS"</f>
        <v>EMPLOYMENT MEDICAL COSTS</v>
      </c>
      <c r="O56" s="218" t="str">
        <f>"DRCGOM"</f>
        <v>DRCGOM</v>
      </c>
      <c r="P56" s="218" t="str">
        <f t="shared" si="0"/>
        <v>AP21QR</v>
      </c>
      <c r="Q56" s="218" t="str">
        <f>"KAS"</f>
        <v>KAS</v>
      </c>
      <c r="R56" s="218" t="str">
        <f>""</f>
        <v/>
      </c>
      <c r="S56" s="218" t="str">
        <f t="shared" si="17"/>
        <v>013</v>
      </c>
      <c r="T56" s="218" t="str">
        <f t="shared" si="16"/>
        <v>D</v>
      </c>
      <c r="U56" s="218" t="str">
        <f t="shared" si="2"/>
        <v>AFR000</v>
      </c>
      <c r="V56" s="218" t="str">
        <f t="shared" si="3"/>
        <v>###</v>
      </c>
      <c r="W56" s="218">
        <v>7.16</v>
      </c>
      <c r="X56" s="218" t="str">
        <f t="shared" si="18"/>
        <v>USD</v>
      </c>
      <c r="Y56" s="218">
        <v>5.68</v>
      </c>
      <c r="Z56" s="218">
        <v>7.16</v>
      </c>
      <c r="AA56" s="218">
        <v>6.5</v>
      </c>
    </row>
    <row r="57" spans="1:27">
      <c r="A57" s="218" t="s">
        <v>2592</v>
      </c>
      <c r="F57" s="219" t="str">
        <f>"""IntAlert Live"",""ALERT UK"",""17"",""1"",""554593"""</f>
        <v>"IntAlert Live","ALERT UK","17","1","554593"</v>
      </c>
      <c r="G57" s="223">
        <v>43956</v>
      </c>
      <c r="H57" s="223"/>
      <c r="I57" s="218" t="str">
        <f>"DRCGOM/ BANQUE/2020/005/005"</f>
        <v>DRCGOM/ BANQUE/2020/005/005</v>
      </c>
      <c r="K57" s="218" t="str">
        <f>"CH BELLE VUE"</f>
        <v>CH BELLE VUE</v>
      </c>
      <c r="L57" s="218" t="str">
        <f>"Medical fees Bienvenu  March'20 5%"</f>
        <v>Medical fees Bienvenu  March'20 5%</v>
      </c>
      <c r="M57" s="218" t="str">
        <f>"5140"</f>
        <v>5140</v>
      </c>
      <c r="N57" s="218" t="str">
        <f>"EMPLOYMENT MEDICAL COSTS"</f>
        <v>EMPLOYMENT MEDICAL COSTS</v>
      </c>
      <c r="O57" s="218" t="str">
        <f>"DRCGOM"</f>
        <v>DRCGOM</v>
      </c>
      <c r="P57" s="218" t="str">
        <f t="shared" si="0"/>
        <v>AP21QR</v>
      </c>
      <c r="Q57" s="218" t="str">
        <f>"SEN"</f>
        <v>SEN</v>
      </c>
      <c r="R57" s="218" t="str">
        <f>""</f>
        <v/>
      </c>
      <c r="S57" s="218" t="str">
        <f t="shared" si="17"/>
        <v>013</v>
      </c>
      <c r="T57" s="218" t="str">
        <f t="shared" si="16"/>
        <v>D</v>
      </c>
      <c r="U57" s="218" t="str">
        <f t="shared" si="2"/>
        <v>AFR000</v>
      </c>
      <c r="V57" s="218" t="str">
        <f t="shared" si="3"/>
        <v>###</v>
      </c>
      <c r="W57" s="218">
        <v>1.8</v>
      </c>
      <c r="X57" s="218" t="str">
        <f t="shared" si="18"/>
        <v>USD</v>
      </c>
      <c r="Y57" s="218">
        <v>1.43</v>
      </c>
      <c r="Z57" s="218">
        <v>1.8</v>
      </c>
      <c r="AA57" s="218">
        <v>1.64</v>
      </c>
    </row>
    <row r="58" spans="1:27">
      <c r="A58" s="218" t="s">
        <v>2592</v>
      </c>
      <c r="F58" s="219" t="str">
        <f>"""IntAlert Live"",""ALERT UK"",""17"",""1"",""554599"""</f>
        <v>"IntAlert Live","ALERT UK","17","1","554599"</v>
      </c>
      <c r="G58" s="223">
        <v>43956</v>
      </c>
      <c r="H58" s="223"/>
      <c r="I58" s="218" t="str">
        <f>"DRCGOM/ BANQUE/2020/005/005"</f>
        <v>DRCGOM/ BANQUE/2020/005/005</v>
      </c>
      <c r="K58" s="218" t="str">
        <f>"CH BELLE VUE"</f>
        <v>CH BELLE VUE</v>
      </c>
      <c r="L58" s="218" t="str">
        <f>"Medical fees Barnabe  March'20 5%"</f>
        <v>Medical fees Barnabe  March'20 5%</v>
      </c>
      <c r="M58" s="218" t="str">
        <f>"5140"</f>
        <v>5140</v>
      </c>
      <c r="N58" s="218" t="str">
        <f>"EMPLOYMENT MEDICAL COSTS"</f>
        <v>EMPLOYMENT MEDICAL COSTS</v>
      </c>
      <c r="O58" s="218" t="str">
        <f>"DRCGOM"</f>
        <v>DRCGOM</v>
      </c>
      <c r="P58" s="218" t="str">
        <f t="shared" si="0"/>
        <v>AP21QR</v>
      </c>
      <c r="Q58" s="218" t="str">
        <f>"BRB"</f>
        <v>BRB</v>
      </c>
      <c r="R58" s="218" t="str">
        <f>""</f>
        <v/>
      </c>
      <c r="S58" s="218" t="str">
        <f t="shared" si="17"/>
        <v>013</v>
      </c>
      <c r="T58" s="218" t="str">
        <f t="shared" si="16"/>
        <v>D</v>
      </c>
      <c r="U58" s="218" t="str">
        <f t="shared" si="2"/>
        <v>AFR000</v>
      </c>
      <c r="V58" s="218" t="str">
        <f t="shared" si="3"/>
        <v>###</v>
      </c>
      <c r="W58" s="218">
        <v>1.3</v>
      </c>
      <c r="X58" s="218" t="str">
        <f t="shared" si="18"/>
        <v>USD</v>
      </c>
      <c r="Y58" s="218">
        <v>1.03</v>
      </c>
      <c r="Z58" s="218">
        <v>1.3</v>
      </c>
      <c r="AA58" s="218">
        <v>1.18</v>
      </c>
    </row>
    <row r="59" spans="1:27">
      <c r="A59" s="218" t="s">
        <v>2592</v>
      </c>
      <c r="F59" s="219" t="str">
        <f>"""IntAlert Live"",""ALERT UK"",""17"",""1"",""555697"""</f>
        <v>"IntAlert Live","ALERT UK","17","1","555697"</v>
      </c>
      <c r="G59" s="223">
        <v>43910</v>
      </c>
      <c r="H59" s="223"/>
      <c r="I59" s="218" t="str">
        <f>"DRCPARTNER/PAPU/AP21QR/2020/01"</f>
        <v>DRCPARTNER/PAPU/AP21QR/2020/01</v>
      </c>
      <c r="K59" s="218" t="str">
        <f>"PARTICIPANTS"</f>
        <v>PARTICIPANTS</v>
      </c>
      <c r="L59" s="218" t="str">
        <f>"Location salle pr la formation des facilitateurs des groupes des dialo"</f>
        <v>Location salle pr la formation des facilitateurs des groupes des dialo</v>
      </c>
      <c r="M59" s="218" t="str">
        <f t="shared" ref="M59:M69" si="19">"6470"</f>
        <v>6470</v>
      </c>
      <c r="N59" s="218" t="str">
        <f t="shared" ref="N59:N69" si="20">"PARTNER - PROJECT/ACTIVITY"</f>
        <v>PARTNER - PROJECT/ACTIVITY</v>
      </c>
      <c r="O59" s="218" t="str">
        <f t="shared" ref="O59:O90" si="21">"DRCBUK"</f>
        <v>DRCBUK</v>
      </c>
      <c r="P59" s="218" t="str">
        <f t="shared" si="0"/>
        <v>AP21QR</v>
      </c>
      <c r="Q59" s="218" t="str">
        <f>""</f>
        <v/>
      </c>
      <c r="R59" s="218" t="str">
        <f>"PAPU"</f>
        <v>PAPU</v>
      </c>
      <c r="S59" s="218" t="str">
        <f>"019"</f>
        <v>019</v>
      </c>
      <c r="T59" s="218" t="str">
        <f t="shared" si="16"/>
        <v>D</v>
      </c>
      <c r="U59" s="218" t="str">
        <f t="shared" si="2"/>
        <v>AFR000</v>
      </c>
      <c r="V59" s="218" t="str">
        <f t="shared" si="3"/>
        <v>###</v>
      </c>
      <c r="W59" s="218">
        <v>200</v>
      </c>
      <c r="X59" s="218" t="str">
        <f t="shared" si="18"/>
        <v>USD</v>
      </c>
      <c r="Y59" s="218">
        <v>158.68</v>
      </c>
      <c r="Z59" s="218">
        <v>200</v>
      </c>
      <c r="AA59" s="218">
        <v>181.6</v>
      </c>
    </row>
    <row r="60" spans="1:27">
      <c r="A60" s="218" t="s">
        <v>2592</v>
      </c>
      <c r="F60" s="219" t="str">
        <f>"""IntAlert Live"",""ALERT UK"",""17"",""1"",""555698"""</f>
        <v>"IntAlert Live","ALERT UK","17","1","555698"</v>
      </c>
      <c r="G60" s="223">
        <v>43910</v>
      </c>
      <c r="H60" s="223"/>
      <c r="I60" s="218" t="str">
        <f>"DRCPARTNER/PAPU/AP21QR/2020/01"</f>
        <v>DRCPARTNER/PAPU/AP21QR/2020/01</v>
      </c>
      <c r="K60" s="218" t="str">
        <f>"RADIO RTM"</f>
        <v>RADIO RTM</v>
      </c>
      <c r="L60" s="218" t="str">
        <f>"Location projecteur pr la formation"</f>
        <v>Location projecteur pr la formation</v>
      </c>
      <c r="M60" s="218" t="str">
        <f t="shared" si="19"/>
        <v>6470</v>
      </c>
      <c r="N60" s="218" t="str">
        <f t="shared" si="20"/>
        <v>PARTNER - PROJECT/ACTIVITY</v>
      </c>
      <c r="O60" s="218" t="str">
        <f t="shared" si="21"/>
        <v>DRCBUK</v>
      </c>
      <c r="P60" s="218" t="str">
        <f t="shared" si="0"/>
        <v>AP21QR</v>
      </c>
      <c r="Q60" s="218" t="str">
        <f>""</f>
        <v/>
      </c>
      <c r="R60" s="218" t="str">
        <f>"PAPU"</f>
        <v>PAPU</v>
      </c>
      <c r="S60" s="218" t="str">
        <f>"019"</f>
        <v>019</v>
      </c>
      <c r="T60" s="218" t="str">
        <f t="shared" si="16"/>
        <v>D</v>
      </c>
      <c r="U60" s="218" t="str">
        <f t="shared" si="2"/>
        <v>AFR000</v>
      </c>
      <c r="V60" s="218" t="str">
        <f t="shared" si="3"/>
        <v>###</v>
      </c>
      <c r="W60" s="218">
        <v>20</v>
      </c>
      <c r="X60" s="218" t="str">
        <f t="shared" si="18"/>
        <v>USD</v>
      </c>
      <c r="Y60" s="218">
        <v>15.87</v>
      </c>
      <c r="Z60" s="218">
        <v>20</v>
      </c>
      <c r="AA60" s="218">
        <v>18.16</v>
      </c>
    </row>
    <row r="61" spans="1:27">
      <c r="A61" s="218" t="s">
        <v>2592</v>
      </c>
      <c r="F61" s="219" t="str">
        <f>"""IntAlert Live"",""ALERT UK"",""17"",""1"",""555699"""</f>
        <v>"IntAlert Live","ALERT UK","17","1","555699"</v>
      </c>
      <c r="G61" s="223">
        <v>43910</v>
      </c>
      <c r="H61" s="223"/>
      <c r="I61" s="218" t="str">
        <f>"DRCPARTNER/PAPU/AP21QR/2020/01"</f>
        <v>DRCPARTNER/PAPU/AP21QR/2020/01</v>
      </c>
      <c r="K61" s="218" t="str">
        <f>"PAPETERIE BYOSE"</f>
        <v>PAPETERIE BYOSE</v>
      </c>
      <c r="L61" s="218" t="str">
        <f>"Achat matériels et fournitures pr la formation"</f>
        <v>Achat matériels et fournitures pr la formation</v>
      </c>
      <c r="M61" s="218" t="str">
        <f t="shared" si="19"/>
        <v>6470</v>
      </c>
      <c r="N61" s="218" t="str">
        <f t="shared" si="20"/>
        <v>PARTNER - PROJECT/ACTIVITY</v>
      </c>
      <c r="O61" s="218" t="str">
        <f t="shared" si="21"/>
        <v>DRCBUK</v>
      </c>
      <c r="P61" s="218" t="str">
        <f t="shared" si="0"/>
        <v>AP21QR</v>
      </c>
      <c r="Q61" s="218" t="str">
        <f>""</f>
        <v/>
      </c>
      <c r="R61" s="218" t="str">
        <f>"PAPU"</f>
        <v>PAPU</v>
      </c>
      <c r="S61" s="218" t="str">
        <f>"019"</f>
        <v>019</v>
      </c>
      <c r="T61" s="218" t="str">
        <f t="shared" si="16"/>
        <v>D</v>
      </c>
      <c r="U61" s="218" t="str">
        <f t="shared" si="2"/>
        <v>AFR000</v>
      </c>
      <c r="V61" s="218" t="str">
        <f t="shared" si="3"/>
        <v>###</v>
      </c>
      <c r="W61" s="218">
        <v>108</v>
      </c>
      <c r="X61" s="218" t="str">
        <f t="shared" si="18"/>
        <v>USD</v>
      </c>
      <c r="Y61" s="218">
        <v>85.69</v>
      </c>
      <c r="Z61" s="218">
        <v>108</v>
      </c>
      <c r="AA61" s="218">
        <v>98.07</v>
      </c>
    </row>
    <row r="62" spans="1:27">
      <c r="A62" s="218" t="s">
        <v>2592</v>
      </c>
      <c r="F62" s="219" t="str">
        <f>"""IntAlert Live"",""ALERT UK"",""17"",""1"",""555700"""</f>
        <v>"IntAlert Live","ALERT UK","17","1","555700"</v>
      </c>
      <c r="G62" s="223">
        <v>43910</v>
      </c>
      <c r="H62" s="223"/>
      <c r="I62" s="218" t="str">
        <f>"DRCPARTNER/PAPU/AP21QR/2020/01"</f>
        <v>DRCPARTNER/PAPU/AP21QR/2020/01</v>
      </c>
      <c r="K62" s="218" t="str">
        <f>"RESTAURANT LA GRACE MINEMBWE"</f>
        <v>RESTAURANT LA GRACE MINEMBWE</v>
      </c>
      <c r="L62" s="218" t="str">
        <f>"Pmnt restauration des participants pr la formation des facilitateurs d"</f>
        <v>Pmnt restauration des participants pr la formation des facilitateurs d</v>
      </c>
      <c r="M62" s="218" t="str">
        <f t="shared" si="19"/>
        <v>6470</v>
      </c>
      <c r="N62" s="218" t="str">
        <f t="shared" si="20"/>
        <v>PARTNER - PROJECT/ACTIVITY</v>
      </c>
      <c r="O62" s="218" t="str">
        <f t="shared" si="21"/>
        <v>DRCBUK</v>
      </c>
      <c r="P62" s="218" t="str">
        <f t="shared" si="0"/>
        <v>AP21QR</v>
      </c>
      <c r="Q62" s="218" t="str">
        <f>""</f>
        <v/>
      </c>
      <c r="R62" s="218" t="str">
        <f>"PAPU"</f>
        <v>PAPU</v>
      </c>
      <c r="S62" s="218" t="str">
        <f>"019"</f>
        <v>019</v>
      </c>
      <c r="T62" s="218" t="str">
        <f t="shared" si="16"/>
        <v>D</v>
      </c>
      <c r="U62" s="218" t="str">
        <f t="shared" si="2"/>
        <v>AFR000</v>
      </c>
      <c r="V62" s="218" t="str">
        <f t="shared" si="3"/>
        <v>###</v>
      </c>
      <c r="W62" s="218">
        <v>1056</v>
      </c>
      <c r="X62" s="218" t="str">
        <f t="shared" si="18"/>
        <v>USD</v>
      </c>
      <c r="Y62" s="218">
        <v>837.82</v>
      </c>
      <c r="Z62" s="218">
        <v>1056</v>
      </c>
      <c r="AA62" s="218">
        <v>958.84</v>
      </c>
    </row>
    <row r="63" spans="1:27">
      <c r="A63" s="218" t="s">
        <v>2592</v>
      </c>
      <c r="F63" s="219" t="str">
        <f>"""IntAlert Live"",""ALERT UK"",""17"",""1"",""556011"""</f>
        <v>"IntAlert Live","ALERT UK","17","1","556011"</v>
      </c>
      <c r="G63" s="223">
        <v>43905</v>
      </c>
      <c r="H63" s="223"/>
      <c r="I63" s="218" t="str">
        <f t="shared" ref="I63:I68" si="22">"DRCPARTNER/PBVE/AP21QR/2020/01"</f>
        <v>DRCPARTNER/PBVE/AP21QR/2020/01</v>
      </c>
      <c r="K63" s="218" t="str">
        <f>"UNION DES JEUNES"</f>
        <v>UNION DES JEUNES</v>
      </c>
      <c r="L63" s="218" t="str">
        <f>"Frais de transport kits pedagogiaues pour les Activités"</f>
        <v>Frais de transport kits pedagogiaues pour les Activités</v>
      </c>
      <c r="M63" s="218" t="str">
        <f t="shared" si="19"/>
        <v>6470</v>
      </c>
      <c r="N63" s="218" t="str">
        <f t="shared" si="20"/>
        <v>PARTNER - PROJECT/ACTIVITY</v>
      </c>
      <c r="O63" s="218" t="str">
        <f t="shared" si="21"/>
        <v>DRCBUK</v>
      </c>
      <c r="P63" s="218" t="str">
        <f t="shared" si="0"/>
        <v>AP21QR</v>
      </c>
      <c r="Q63" s="218" t="str">
        <f>""</f>
        <v/>
      </c>
      <c r="R63" s="218" t="str">
        <f t="shared" ref="R63:R68" si="23">"PBVE"</f>
        <v>PBVE</v>
      </c>
      <c r="S63" s="218" t="str">
        <f t="shared" ref="S63:S90" si="24">"020"</f>
        <v>020</v>
      </c>
      <c r="T63" s="218" t="str">
        <f t="shared" si="16"/>
        <v>D</v>
      </c>
      <c r="U63" s="218" t="str">
        <f t="shared" si="2"/>
        <v>AFR000</v>
      </c>
      <c r="V63" s="218" t="str">
        <f t="shared" si="3"/>
        <v>###</v>
      </c>
      <c r="W63" s="218">
        <v>40</v>
      </c>
      <c r="X63" s="218" t="str">
        <f t="shared" si="18"/>
        <v>USD</v>
      </c>
      <c r="Y63" s="218">
        <v>31.74</v>
      </c>
      <c r="Z63" s="218">
        <v>40</v>
      </c>
      <c r="AA63" s="218">
        <v>36.32</v>
      </c>
    </row>
    <row r="64" spans="1:27">
      <c r="A64" s="218" t="s">
        <v>2592</v>
      </c>
      <c r="F64" s="219" t="str">
        <f>"""IntAlert Live"",""ALERT UK"",""17"",""1"",""556013"""</f>
        <v>"IntAlert Live","ALERT UK","17","1","556013"</v>
      </c>
      <c r="G64" s="223">
        <v>43906</v>
      </c>
      <c r="H64" s="223"/>
      <c r="I64" s="218" t="str">
        <f t="shared" si="22"/>
        <v>DRCPARTNER/PBVE/AP21QR/2020/01</v>
      </c>
      <c r="K64" s="218" t="str">
        <f>"ETS KAS SHEKINAH"</f>
        <v>ETS KAS SHEKINAH</v>
      </c>
      <c r="L64" s="218" t="str">
        <f>"Paiement frais de logement à uvira pour superviseur et chargé de suivi"</f>
        <v>Paiement frais de logement à uvira pour superviseur et chargé de suivi</v>
      </c>
      <c r="M64" s="218" t="str">
        <f t="shared" si="19"/>
        <v>6470</v>
      </c>
      <c r="N64" s="218" t="str">
        <f t="shared" si="20"/>
        <v>PARTNER - PROJECT/ACTIVITY</v>
      </c>
      <c r="O64" s="218" t="str">
        <f t="shared" si="21"/>
        <v>DRCBUK</v>
      </c>
      <c r="P64" s="218" t="str">
        <f t="shared" si="0"/>
        <v>AP21QR</v>
      </c>
      <c r="Q64" s="218" t="str">
        <f>""</f>
        <v/>
      </c>
      <c r="R64" s="218" t="str">
        <f t="shared" si="23"/>
        <v>PBVE</v>
      </c>
      <c r="S64" s="218" t="str">
        <f t="shared" si="24"/>
        <v>020</v>
      </c>
      <c r="T64" s="218" t="str">
        <f t="shared" si="16"/>
        <v>D</v>
      </c>
      <c r="U64" s="218" t="str">
        <f t="shared" si="2"/>
        <v>AFR000</v>
      </c>
      <c r="V64" s="218" t="str">
        <f t="shared" si="3"/>
        <v>###</v>
      </c>
      <c r="W64" s="218">
        <v>40</v>
      </c>
      <c r="X64" s="218" t="str">
        <f t="shared" si="18"/>
        <v>USD</v>
      </c>
      <c r="Y64" s="218">
        <v>31.74</v>
      </c>
      <c r="Z64" s="218">
        <v>40</v>
      </c>
      <c r="AA64" s="218">
        <v>36.32</v>
      </c>
    </row>
    <row r="65" spans="1:27">
      <c r="A65" s="218" t="s">
        <v>2592</v>
      </c>
      <c r="F65" s="219" t="str">
        <f>"""IntAlert Live"",""ALERT UK"",""17"",""1"",""556025"""</f>
        <v>"IntAlert Live","ALERT UK","17","1","556025"</v>
      </c>
      <c r="G65" s="223">
        <v>43908</v>
      </c>
      <c r="H65" s="223"/>
      <c r="I65" s="218" t="str">
        <f t="shared" si="22"/>
        <v>DRCPARTNER/PBVE/AP21QR/2020/01</v>
      </c>
      <c r="K65" s="218" t="str">
        <f>"FACTURE"</f>
        <v>FACTURE</v>
      </c>
      <c r="L65" s="218" t="str">
        <f>"Achat kits pedagogique pour l'activié"</f>
        <v>Achat kits pedagogique pour l'activié</v>
      </c>
      <c r="M65" s="218" t="str">
        <f t="shared" si="19"/>
        <v>6470</v>
      </c>
      <c r="N65" s="218" t="str">
        <f t="shared" si="20"/>
        <v>PARTNER - PROJECT/ACTIVITY</v>
      </c>
      <c r="O65" s="218" t="str">
        <f t="shared" si="21"/>
        <v>DRCBUK</v>
      </c>
      <c r="P65" s="218" t="str">
        <f t="shared" si="0"/>
        <v>AP21QR</v>
      </c>
      <c r="Q65" s="218" t="str">
        <f>""</f>
        <v/>
      </c>
      <c r="R65" s="218" t="str">
        <f t="shared" si="23"/>
        <v>PBVE</v>
      </c>
      <c r="S65" s="218" t="str">
        <f t="shared" si="24"/>
        <v>020</v>
      </c>
      <c r="T65" s="218" t="str">
        <f t="shared" si="16"/>
        <v>D</v>
      </c>
      <c r="U65" s="218" t="str">
        <f t="shared" si="2"/>
        <v>AFR000</v>
      </c>
      <c r="V65" s="218" t="str">
        <f t="shared" si="3"/>
        <v>###</v>
      </c>
      <c r="W65" s="218">
        <v>20</v>
      </c>
      <c r="X65" s="218" t="str">
        <f t="shared" si="18"/>
        <v>USD</v>
      </c>
      <c r="Y65" s="218">
        <v>15.87</v>
      </c>
      <c r="Z65" s="218">
        <v>20</v>
      </c>
      <c r="AA65" s="218">
        <v>18.16</v>
      </c>
    </row>
    <row r="66" spans="1:27">
      <c r="A66" s="218" t="s">
        <v>2592</v>
      </c>
      <c r="F66" s="219" t="str">
        <f>"""IntAlert Live"",""ALERT UK"",""17"",""1"",""556032"""</f>
        <v>"IntAlert Live","ALERT UK","17","1","556032"</v>
      </c>
      <c r="G66" s="223">
        <v>43910</v>
      </c>
      <c r="H66" s="223"/>
      <c r="I66" s="218" t="str">
        <f t="shared" si="22"/>
        <v>DRCPARTNER/PBVE/AP21QR/2020/01</v>
      </c>
      <c r="K66" s="218" t="str">
        <f>"REÇU"</f>
        <v>REÇU</v>
      </c>
      <c r="L66" s="218" t="str">
        <f>"Paiement frais facilitation reunion regulière de membre de groupe de d"</f>
        <v>Paiement frais facilitation reunion regulière de membre de groupe de d</v>
      </c>
      <c r="M66" s="218" t="str">
        <f t="shared" si="19"/>
        <v>6470</v>
      </c>
      <c r="N66" s="218" t="str">
        <f t="shared" si="20"/>
        <v>PARTNER - PROJECT/ACTIVITY</v>
      </c>
      <c r="O66" s="218" t="str">
        <f t="shared" si="21"/>
        <v>DRCBUK</v>
      </c>
      <c r="P66" s="218" t="str">
        <f t="shared" si="0"/>
        <v>AP21QR</v>
      </c>
      <c r="Q66" s="218" t="str">
        <f>""</f>
        <v/>
      </c>
      <c r="R66" s="218" t="str">
        <f t="shared" si="23"/>
        <v>PBVE</v>
      </c>
      <c r="S66" s="218" t="str">
        <f t="shared" si="24"/>
        <v>020</v>
      </c>
      <c r="T66" s="218" t="str">
        <f t="shared" si="16"/>
        <v>D</v>
      </c>
      <c r="U66" s="218" t="str">
        <f t="shared" si="2"/>
        <v>AFR000</v>
      </c>
      <c r="V66" s="218" t="str">
        <f t="shared" si="3"/>
        <v>###</v>
      </c>
      <c r="W66" s="218">
        <v>60</v>
      </c>
      <c r="X66" s="218" t="str">
        <f t="shared" si="18"/>
        <v>USD</v>
      </c>
      <c r="Y66" s="218">
        <v>47.6</v>
      </c>
      <c r="Z66" s="218">
        <v>60</v>
      </c>
      <c r="AA66" s="218">
        <v>54.48</v>
      </c>
    </row>
    <row r="67" spans="1:27">
      <c r="A67" s="218" t="s">
        <v>2592</v>
      </c>
      <c r="F67" s="219" t="str">
        <f>"""IntAlert Live"",""ALERT UK"",""17"",""1"",""556034"""</f>
        <v>"IntAlert Live","ALERT UK","17","1","556034"</v>
      </c>
      <c r="G67" s="223">
        <v>43910</v>
      </c>
      <c r="H67" s="223"/>
      <c r="I67" s="218" t="str">
        <f t="shared" si="22"/>
        <v>DRCPARTNER/PBVE/AP21QR/2020/01</v>
      </c>
      <c r="K67" s="218" t="str">
        <f>"REÇU"</f>
        <v>REÇU</v>
      </c>
      <c r="L67" s="218" t="str">
        <f>"Paiement frais facilitation/reunion des jeunes membre de groupes des d"</f>
        <v>Paiement frais facilitation/reunion des jeunes membre de groupes des d</v>
      </c>
      <c r="M67" s="218" t="str">
        <f t="shared" si="19"/>
        <v>6470</v>
      </c>
      <c r="N67" s="218" t="str">
        <f t="shared" si="20"/>
        <v>PARTNER - PROJECT/ACTIVITY</v>
      </c>
      <c r="O67" s="218" t="str">
        <f t="shared" si="21"/>
        <v>DRCBUK</v>
      </c>
      <c r="P67" s="218" t="str">
        <f t="shared" si="0"/>
        <v>AP21QR</v>
      </c>
      <c r="Q67" s="218" t="str">
        <f>""</f>
        <v/>
      </c>
      <c r="R67" s="218" t="str">
        <f t="shared" si="23"/>
        <v>PBVE</v>
      </c>
      <c r="S67" s="218" t="str">
        <f t="shared" si="24"/>
        <v>020</v>
      </c>
      <c r="T67" s="218" t="str">
        <f t="shared" si="16"/>
        <v>D</v>
      </c>
      <c r="U67" s="218" t="str">
        <f t="shared" si="2"/>
        <v>AFR000</v>
      </c>
      <c r="V67" s="218" t="str">
        <f t="shared" si="3"/>
        <v>###</v>
      </c>
      <c r="W67" s="218">
        <v>60</v>
      </c>
      <c r="X67" s="218" t="str">
        <f t="shared" si="18"/>
        <v>USD</v>
      </c>
      <c r="Y67" s="218">
        <v>47.6</v>
      </c>
      <c r="Z67" s="218">
        <v>60</v>
      </c>
      <c r="AA67" s="218">
        <v>54.48</v>
      </c>
    </row>
    <row r="68" spans="1:27">
      <c r="A68" s="218" t="s">
        <v>2592</v>
      </c>
      <c r="F68" s="219" t="str">
        <f>"""IntAlert Live"",""ALERT UK"",""17"",""1"",""556035"""</f>
        <v>"IntAlert Live","ALERT UK","17","1","556035"</v>
      </c>
      <c r="G68" s="223">
        <v>43910</v>
      </c>
      <c r="H68" s="223"/>
      <c r="I68" s="218" t="str">
        <f t="shared" si="22"/>
        <v>DRCPARTNER/PBVE/AP21QR/2020/01</v>
      </c>
      <c r="K68" s="218" t="str">
        <f>"REÇU"</f>
        <v>REÇU</v>
      </c>
      <c r="L68" s="218" t="str">
        <f>"Frais location salle de reunion reunion de groupe de dialogue à Masang"</f>
        <v>Frais location salle de reunion reunion de groupe de dialogue à Masang</v>
      </c>
      <c r="M68" s="218" t="str">
        <f t="shared" si="19"/>
        <v>6470</v>
      </c>
      <c r="N68" s="218" t="str">
        <f t="shared" si="20"/>
        <v>PARTNER - PROJECT/ACTIVITY</v>
      </c>
      <c r="O68" s="218" t="str">
        <f t="shared" si="21"/>
        <v>DRCBUK</v>
      </c>
      <c r="P68" s="218" t="str">
        <f t="shared" si="0"/>
        <v>AP21QR</v>
      </c>
      <c r="Q68" s="218" t="str">
        <f>""</f>
        <v/>
      </c>
      <c r="R68" s="218" t="str">
        <f t="shared" si="23"/>
        <v>PBVE</v>
      </c>
      <c r="S68" s="218" t="str">
        <f t="shared" si="24"/>
        <v>020</v>
      </c>
      <c r="T68" s="218" t="str">
        <f t="shared" si="16"/>
        <v>D</v>
      </c>
      <c r="U68" s="218" t="str">
        <f t="shared" si="2"/>
        <v>AFR000</v>
      </c>
      <c r="V68" s="218" t="str">
        <f t="shared" si="3"/>
        <v>###</v>
      </c>
      <c r="W68" s="218">
        <v>20</v>
      </c>
      <c r="X68" s="218" t="str">
        <f t="shared" si="18"/>
        <v>USD</v>
      </c>
      <c r="Y68" s="218">
        <v>15.87</v>
      </c>
      <c r="Z68" s="218">
        <v>20</v>
      </c>
      <c r="AA68" s="218">
        <v>18.16</v>
      </c>
    </row>
    <row r="69" spans="1:27">
      <c r="A69" s="218" t="s">
        <v>2592</v>
      </c>
      <c r="F69" s="219" t="str">
        <f>"""IntAlert Live"",""ALERT UK"",""17"",""1"",""555710"""</f>
        <v>"IntAlert Live","ALERT UK","17","1","555710"</v>
      </c>
      <c r="G69" s="223">
        <v>43917</v>
      </c>
      <c r="H69" s="223"/>
      <c r="I69" s="218" t="str">
        <f>"DRCPARTNER/PAPU/AP21QR/2020/01"</f>
        <v>DRCPARTNER/PAPU/AP21QR/2020/01</v>
      </c>
      <c r="K69" s="218" t="str">
        <f>"FACILITATEURS"</f>
        <v>FACILITATEURS</v>
      </c>
      <c r="L69" s="218" t="str">
        <f>"Prime des facilitateurs réunion des groupes des dialogues à Basimuniak"</f>
        <v>Prime des facilitateurs réunion des groupes des dialogues à Basimuniak</v>
      </c>
      <c r="M69" s="218" t="str">
        <f t="shared" si="19"/>
        <v>6470</v>
      </c>
      <c r="N69" s="218" t="str">
        <f t="shared" si="20"/>
        <v>PARTNER - PROJECT/ACTIVITY</v>
      </c>
      <c r="O69" s="218" t="str">
        <f t="shared" si="21"/>
        <v>DRCBUK</v>
      </c>
      <c r="P69" s="218" t="str">
        <f t="shared" si="0"/>
        <v>AP21QR</v>
      </c>
      <c r="Q69" s="218" t="str">
        <f>""</f>
        <v/>
      </c>
      <c r="R69" s="218" t="str">
        <f>"PAPU"</f>
        <v>PAPU</v>
      </c>
      <c r="S69" s="218" t="str">
        <f t="shared" si="24"/>
        <v>020</v>
      </c>
      <c r="T69" s="218" t="str">
        <f t="shared" si="16"/>
        <v>D</v>
      </c>
      <c r="U69" s="218" t="str">
        <f t="shared" si="2"/>
        <v>AFR000</v>
      </c>
      <c r="V69" s="218" t="str">
        <f t="shared" si="3"/>
        <v>###</v>
      </c>
      <c r="W69" s="218">
        <v>360</v>
      </c>
      <c r="X69" s="218" t="str">
        <f t="shared" si="18"/>
        <v>USD</v>
      </c>
      <c r="Y69" s="218">
        <v>285.62</v>
      </c>
      <c r="Z69" s="218">
        <v>360</v>
      </c>
      <c r="AA69" s="218">
        <v>326.88</v>
      </c>
    </row>
    <row r="70" spans="1:27">
      <c r="A70" s="218" t="s">
        <v>2592</v>
      </c>
      <c r="F70" s="219" t="str">
        <f>"""IntAlert Live"",""ALERT UK"",""17"",""1"",""555713"""</f>
        <v>"IntAlert Live","ALERT UK","17","1","555713"</v>
      </c>
      <c r="G70" s="223">
        <v>43918</v>
      </c>
      <c r="H70" s="223"/>
      <c r="I70" s="218" t="str">
        <f>"DRCPARTNER/PAPU/AP21QR/2020/01"</f>
        <v>DRCPARTNER/PAPU/AP21QR/2020/01</v>
      </c>
      <c r="K70" s="218" t="str">
        <f>"FACILITATEURS"</f>
        <v>FACILITATEURS</v>
      </c>
      <c r="L70" s="218" t="str">
        <f>"Prime des facilitateurs réunion des groupes des dialogues à Basimwenda"</f>
        <v>Prime des facilitateurs réunion des groupes des dialogues à Basimwenda</v>
      </c>
      <c r="M70" s="218" t="str">
        <f>"6410"</f>
        <v>6410</v>
      </c>
      <c r="N70" s="218" t="str">
        <f>"PARTNER - EMPLOYMENT COST"</f>
        <v>PARTNER - EMPLOYMENT COST</v>
      </c>
      <c r="O70" s="218" t="str">
        <f t="shared" si="21"/>
        <v>DRCBUK</v>
      </c>
      <c r="P70" s="218" t="str">
        <f t="shared" si="0"/>
        <v>AP21QR</v>
      </c>
      <c r="Q70" s="218" t="str">
        <f>""</f>
        <v/>
      </c>
      <c r="R70" s="218" t="str">
        <f>"PAPU"</f>
        <v>PAPU</v>
      </c>
      <c r="S70" s="218" t="str">
        <f t="shared" si="24"/>
        <v>020</v>
      </c>
      <c r="T70" s="218" t="str">
        <f t="shared" si="16"/>
        <v>D</v>
      </c>
      <c r="U70" s="218" t="str">
        <f t="shared" si="2"/>
        <v>AFR000</v>
      </c>
      <c r="V70" s="218" t="str">
        <f t="shared" si="3"/>
        <v>###</v>
      </c>
      <c r="W70" s="218">
        <v>360</v>
      </c>
      <c r="X70" s="218" t="str">
        <f t="shared" si="18"/>
        <v>USD</v>
      </c>
      <c r="Y70" s="218">
        <v>285.62</v>
      </c>
      <c r="Z70" s="218">
        <v>360</v>
      </c>
      <c r="AA70" s="218">
        <v>326.88</v>
      </c>
    </row>
    <row r="71" spans="1:27">
      <c r="A71" s="218" t="s">
        <v>2592</v>
      </c>
      <c r="F71" s="219" t="str">
        <f>"""IntAlert Live"",""ALERT UK"",""17"",""1"",""555847"""</f>
        <v>"IntAlert Live","ALERT UK","17","1","555847"</v>
      </c>
      <c r="G71" s="223">
        <v>43918</v>
      </c>
      <c r="H71" s="223"/>
      <c r="I71" s="218" t="str">
        <f>"DRCPARTNER/PSOL/AP21QR/2020/01"</f>
        <v>DRCPARTNER/PSOL/AP21QR/2020/01</v>
      </c>
      <c r="K71" s="218" t="str">
        <f>"LUKELE"</f>
        <v>LUKELE</v>
      </c>
      <c r="L71" s="218" t="str">
        <f>"Matériels pédagogiques pdt Formation des facilitateurs des groupes de dialogue"</f>
        <v>Matériels pédagogiques pdt Formation des facilitateurs des groupes de dialogue</v>
      </c>
      <c r="M71" s="218" t="str">
        <f t="shared" ref="M71:M102" si="25">"6470"</f>
        <v>6470</v>
      </c>
      <c r="N71" s="218" t="str">
        <f t="shared" ref="N71:N102" si="26">"PARTNER - PROJECT/ACTIVITY"</f>
        <v>PARTNER - PROJECT/ACTIVITY</v>
      </c>
      <c r="O71" s="218" t="str">
        <f t="shared" si="21"/>
        <v>DRCBUK</v>
      </c>
      <c r="P71" s="218" t="str">
        <f t="shared" ref="P71:P134" si="27">"AP21QR"</f>
        <v>AP21QR</v>
      </c>
      <c r="Q71" s="218" t="str">
        <f>""</f>
        <v/>
      </c>
      <c r="R71" s="218" t="str">
        <f>"PSOL"</f>
        <v>PSOL</v>
      </c>
      <c r="S71" s="218" t="str">
        <f t="shared" si="24"/>
        <v>020</v>
      </c>
      <c r="T71" s="218" t="str">
        <f t="shared" ref="T71:T102" si="28">"D"</f>
        <v>D</v>
      </c>
      <c r="U71" s="218" t="str">
        <f t="shared" ref="U71:U134" si="29">"AFR000"</f>
        <v>AFR000</v>
      </c>
      <c r="V71" s="218" t="str">
        <f t="shared" ref="V71:V134" si="30">"###"</f>
        <v>###</v>
      </c>
      <c r="W71" s="218">
        <v>80</v>
      </c>
      <c r="X71" s="218" t="str">
        <f t="shared" si="18"/>
        <v>USD</v>
      </c>
      <c r="Y71" s="218">
        <v>63.47</v>
      </c>
      <c r="Z71" s="218">
        <v>80</v>
      </c>
      <c r="AA71" s="218">
        <v>72.64</v>
      </c>
    </row>
    <row r="72" spans="1:27">
      <c r="A72" s="218" t="s">
        <v>2592</v>
      </c>
      <c r="F72" s="219" t="str">
        <f>"""IntAlert Live"",""ALERT UK"",""17"",""1"",""555848"""</f>
        <v>"IntAlert Live","ALERT UK","17","1","555848"</v>
      </c>
      <c r="G72" s="223">
        <v>43918</v>
      </c>
      <c r="H72" s="223"/>
      <c r="I72" s="218" t="str">
        <f>"DRCPARTNER/PSOL/AP21QR/2020/01"</f>
        <v>DRCPARTNER/PSOL/AP21QR/2020/01</v>
      </c>
      <c r="K72" s="218" t="str">
        <f>"LUKELE"</f>
        <v>LUKELE</v>
      </c>
      <c r="L72" s="218" t="str">
        <f>"Restauration des invités pdt Formation des facilitateurs des groupes de dialogue"</f>
        <v>Restauration des invités pdt Formation des facilitateurs des groupes de dialogue</v>
      </c>
      <c r="M72" s="218" t="str">
        <f t="shared" si="25"/>
        <v>6470</v>
      </c>
      <c r="N72" s="218" t="str">
        <f t="shared" si="26"/>
        <v>PARTNER - PROJECT/ACTIVITY</v>
      </c>
      <c r="O72" s="218" t="str">
        <f t="shared" si="21"/>
        <v>DRCBUK</v>
      </c>
      <c r="P72" s="218" t="str">
        <f t="shared" si="27"/>
        <v>AP21QR</v>
      </c>
      <c r="Q72" s="218" t="str">
        <f>""</f>
        <v/>
      </c>
      <c r="R72" s="218" t="str">
        <f>"PSOL"</f>
        <v>PSOL</v>
      </c>
      <c r="S72" s="218" t="str">
        <f t="shared" si="24"/>
        <v>020</v>
      </c>
      <c r="T72" s="218" t="str">
        <f t="shared" si="28"/>
        <v>D</v>
      </c>
      <c r="U72" s="218" t="str">
        <f t="shared" si="29"/>
        <v>AFR000</v>
      </c>
      <c r="V72" s="218" t="str">
        <f t="shared" si="30"/>
        <v>###</v>
      </c>
      <c r="W72" s="218">
        <v>320</v>
      </c>
      <c r="X72" s="218" t="str">
        <f t="shared" si="18"/>
        <v>USD</v>
      </c>
      <c r="Y72" s="218">
        <v>253.88</v>
      </c>
      <c r="Z72" s="218">
        <v>320</v>
      </c>
      <c r="AA72" s="218">
        <v>290.55</v>
      </c>
    </row>
    <row r="73" spans="1:27">
      <c r="A73" s="218" t="s">
        <v>2592</v>
      </c>
      <c r="F73" s="219" t="str">
        <f>"""IntAlert Live"",""ALERT UK"",""17"",""1"",""555849"""</f>
        <v>"IntAlert Live","ALERT UK","17","1","555849"</v>
      </c>
      <c r="G73" s="223">
        <v>43918</v>
      </c>
      <c r="H73" s="223"/>
      <c r="I73" s="218" t="str">
        <f>"DRCPARTNER/PSOL/AP21QR/2020/01"</f>
        <v>DRCPARTNER/PSOL/AP21QR/2020/01</v>
      </c>
      <c r="K73" s="218" t="str">
        <f>"LUKELE"</f>
        <v>LUKELE</v>
      </c>
      <c r="L73" s="218" t="str">
        <f>"Transport pdt Formation des facilitateurs des groupes de dialogue"</f>
        <v>Transport pdt Formation des facilitateurs des groupes de dialogue</v>
      </c>
      <c r="M73" s="218" t="str">
        <f t="shared" si="25"/>
        <v>6470</v>
      </c>
      <c r="N73" s="218" t="str">
        <f t="shared" si="26"/>
        <v>PARTNER - PROJECT/ACTIVITY</v>
      </c>
      <c r="O73" s="218" t="str">
        <f t="shared" si="21"/>
        <v>DRCBUK</v>
      </c>
      <c r="P73" s="218" t="str">
        <f t="shared" si="27"/>
        <v>AP21QR</v>
      </c>
      <c r="Q73" s="218" t="str">
        <f>""</f>
        <v/>
      </c>
      <c r="R73" s="218" t="str">
        <f>"PSOL"</f>
        <v>PSOL</v>
      </c>
      <c r="S73" s="218" t="str">
        <f t="shared" si="24"/>
        <v>020</v>
      </c>
      <c r="T73" s="218" t="str">
        <f t="shared" si="28"/>
        <v>D</v>
      </c>
      <c r="U73" s="218" t="str">
        <f t="shared" si="29"/>
        <v>AFR000</v>
      </c>
      <c r="V73" s="218" t="str">
        <f t="shared" si="30"/>
        <v>###</v>
      </c>
      <c r="W73" s="218">
        <v>260</v>
      </c>
      <c r="X73" s="218" t="str">
        <f t="shared" si="18"/>
        <v>USD</v>
      </c>
      <c r="Y73" s="218">
        <v>206.28</v>
      </c>
      <c r="Z73" s="218">
        <v>260</v>
      </c>
      <c r="AA73" s="218">
        <v>236.08</v>
      </c>
    </row>
    <row r="74" spans="1:27">
      <c r="A74" s="218" t="s">
        <v>2592</v>
      </c>
      <c r="F74" s="219" t="str">
        <f>"""IntAlert Live"",""ALERT UK"",""17"",""1"",""555850"""</f>
        <v>"IntAlert Live","ALERT UK","17","1","555850"</v>
      </c>
      <c r="G74" s="223">
        <v>43918</v>
      </c>
      <c r="H74" s="223"/>
      <c r="I74" s="218" t="str">
        <f>"DRCPARTNER/PSOL/AP21QR/2020/01"</f>
        <v>DRCPARTNER/PSOL/AP21QR/2020/01</v>
      </c>
      <c r="K74" s="218" t="str">
        <f>"LUKELE"</f>
        <v>LUKELE</v>
      </c>
      <c r="L74" s="218" t="str">
        <f>"Logement  pdt Formation des facilitateurs des groupes de dialogue"</f>
        <v>Logement  pdt Formation des facilitateurs des groupes de dialogue</v>
      </c>
      <c r="M74" s="218" t="str">
        <f t="shared" si="25"/>
        <v>6470</v>
      </c>
      <c r="N74" s="218" t="str">
        <f t="shared" si="26"/>
        <v>PARTNER - PROJECT/ACTIVITY</v>
      </c>
      <c r="O74" s="218" t="str">
        <f t="shared" si="21"/>
        <v>DRCBUK</v>
      </c>
      <c r="P74" s="218" t="str">
        <f t="shared" si="27"/>
        <v>AP21QR</v>
      </c>
      <c r="Q74" s="218" t="str">
        <f>""</f>
        <v/>
      </c>
      <c r="R74" s="218" t="str">
        <f>"PSOL"</f>
        <v>PSOL</v>
      </c>
      <c r="S74" s="218" t="str">
        <f t="shared" si="24"/>
        <v>020</v>
      </c>
      <c r="T74" s="218" t="str">
        <f t="shared" si="28"/>
        <v>D</v>
      </c>
      <c r="U74" s="218" t="str">
        <f t="shared" si="29"/>
        <v>AFR000</v>
      </c>
      <c r="V74" s="218" t="str">
        <f t="shared" si="30"/>
        <v>###</v>
      </c>
      <c r="W74" s="218">
        <v>120</v>
      </c>
      <c r="X74" s="218" t="str">
        <f t="shared" si="18"/>
        <v>USD</v>
      </c>
      <c r="Y74" s="218">
        <v>95.21</v>
      </c>
      <c r="Z74" s="218">
        <v>120</v>
      </c>
      <c r="AA74" s="218">
        <v>108.96</v>
      </c>
    </row>
    <row r="75" spans="1:27">
      <c r="A75" s="218" t="s">
        <v>2592</v>
      </c>
      <c r="F75" s="219" t="str">
        <f>"""IntAlert Live"",""ALERT UK"",""17"",""1"",""556040"""</f>
        <v>"IntAlert Live","ALERT UK","17","1","556040"</v>
      </c>
      <c r="G75" s="223">
        <v>43920</v>
      </c>
      <c r="H75" s="223"/>
      <c r="I75" s="218" t="str">
        <f t="shared" ref="I75:I95" si="31">"DRCPARTNER/PBVE/AP21QR/2020/01"</f>
        <v>DRCPARTNER/PBVE/AP21QR/2020/01</v>
      </c>
      <c r="K75" s="218" t="str">
        <f>"LISTE DE PRESENCE"</f>
        <v>LISTE DE PRESENCE</v>
      </c>
      <c r="L75" s="218" t="str">
        <f>"Paiement perdiem aux Animateur de terrain pour l'activité d'elaboretio"</f>
        <v>Paiement perdiem aux Animateur de terrain pour l'activité d'elaboretio</v>
      </c>
      <c r="M75" s="218" t="str">
        <f t="shared" si="25"/>
        <v>6470</v>
      </c>
      <c r="N75" s="218" t="str">
        <f t="shared" si="26"/>
        <v>PARTNER - PROJECT/ACTIVITY</v>
      </c>
      <c r="O75" s="218" t="str">
        <f t="shared" si="21"/>
        <v>DRCBUK</v>
      </c>
      <c r="P75" s="218" t="str">
        <f t="shared" si="27"/>
        <v>AP21QR</v>
      </c>
      <c r="Q75" s="218" t="str">
        <f>""</f>
        <v/>
      </c>
      <c r="R75" s="218" t="str">
        <f t="shared" ref="R75:R95" si="32">"PBVE"</f>
        <v>PBVE</v>
      </c>
      <c r="S75" s="218" t="str">
        <f t="shared" si="24"/>
        <v>020</v>
      </c>
      <c r="T75" s="218" t="str">
        <f t="shared" si="28"/>
        <v>D</v>
      </c>
      <c r="U75" s="218" t="str">
        <f t="shared" si="29"/>
        <v>AFR000</v>
      </c>
      <c r="V75" s="218" t="str">
        <f t="shared" si="30"/>
        <v>###</v>
      </c>
      <c r="W75" s="218">
        <v>100</v>
      </c>
      <c r="X75" s="218" t="str">
        <f t="shared" si="18"/>
        <v>USD</v>
      </c>
      <c r="Y75" s="218">
        <v>79.34</v>
      </c>
      <c r="Z75" s="218">
        <v>100</v>
      </c>
      <c r="AA75" s="218">
        <v>90.8</v>
      </c>
    </row>
    <row r="76" spans="1:27">
      <c r="A76" s="218" t="s">
        <v>2592</v>
      </c>
      <c r="F76" s="219" t="str">
        <f>"""IntAlert Live"",""ALERT UK"",""17"",""1"",""556050"""</f>
        <v>"IntAlert Live","ALERT UK","17","1","556050"</v>
      </c>
      <c r="G76" s="223">
        <v>43924</v>
      </c>
      <c r="H76" s="223"/>
      <c r="I76" s="218" t="str">
        <f t="shared" si="31"/>
        <v>DRCPARTNER/PBVE/AP21QR/2020/01</v>
      </c>
      <c r="K76" s="218" t="str">
        <f>"FACTURE"</f>
        <v>FACTURE</v>
      </c>
      <c r="L76" s="218" t="str">
        <f>"Impression calicot pour l'activité"</f>
        <v>Impression calicot pour l'activité</v>
      </c>
      <c r="M76" s="218" t="str">
        <f t="shared" si="25"/>
        <v>6470</v>
      </c>
      <c r="N76" s="218" t="str">
        <f t="shared" si="26"/>
        <v>PARTNER - PROJECT/ACTIVITY</v>
      </c>
      <c r="O76" s="218" t="str">
        <f t="shared" si="21"/>
        <v>DRCBUK</v>
      </c>
      <c r="P76" s="218" t="str">
        <f t="shared" si="27"/>
        <v>AP21QR</v>
      </c>
      <c r="Q76" s="218" t="str">
        <f>""</f>
        <v/>
      </c>
      <c r="R76" s="218" t="str">
        <f t="shared" si="32"/>
        <v>PBVE</v>
      </c>
      <c r="S76" s="218" t="str">
        <f t="shared" si="24"/>
        <v>020</v>
      </c>
      <c r="T76" s="218" t="str">
        <f t="shared" si="28"/>
        <v>D</v>
      </c>
      <c r="U76" s="218" t="str">
        <f t="shared" si="29"/>
        <v>AFR000</v>
      </c>
      <c r="V76" s="218" t="str">
        <f t="shared" si="30"/>
        <v>###</v>
      </c>
      <c r="W76" s="218">
        <v>30</v>
      </c>
      <c r="X76" s="218" t="str">
        <f t="shared" si="18"/>
        <v>USD</v>
      </c>
      <c r="Y76" s="218">
        <v>23.8</v>
      </c>
      <c r="Z76" s="218">
        <v>30</v>
      </c>
      <c r="AA76" s="218">
        <v>27.24</v>
      </c>
    </row>
    <row r="77" spans="1:27">
      <c r="A77" s="218" t="s">
        <v>2592</v>
      </c>
      <c r="F77" s="219" t="str">
        <f>"""IntAlert Live"",""ALERT UK"",""17"",""1"",""556051"""</f>
        <v>"IntAlert Live","ALERT UK","17","1","556051"</v>
      </c>
      <c r="G77" s="223">
        <v>43924</v>
      </c>
      <c r="H77" s="223"/>
      <c r="I77" s="218" t="str">
        <f t="shared" si="31"/>
        <v>DRCPARTNER/PBVE/AP21QR/2020/01</v>
      </c>
      <c r="K77" s="218" t="str">
        <f>"FACTURE"</f>
        <v>FACTURE</v>
      </c>
      <c r="L77" s="218" t="str">
        <f>"Achat materiel pedagogiaue pour l'activité"</f>
        <v>Achat materiel pedagogiaue pour l'activité</v>
      </c>
      <c r="M77" s="218" t="str">
        <f t="shared" si="25"/>
        <v>6470</v>
      </c>
      <c r="N77" s="218" t="str">
        <f t="shared" si="26"/>
        <v>PARTNER - PROJECT/ACTIVITY</v>
      </c>
      <c r="O77" s="218" t="str">
        <f t="shared" si="21"/>
        <v>DRCBUK</v>
      </c>
      <c r="P77" s="218" t="str">
        <f t="shared" si="27"/>
        <v>AP21QR</v>
      </c>
      <c r="Q77" s="218" t="str">
        <f>""</f>
        <v/>
      </c>
      <c r="R77" s="218" t="str">
        <f t="shared" si="32"/>
        <v>PBVE</v>
      </c>
      <c r="S77" s="218" t="str">
        <f t="shared" si="24"/>
        <v>020</v>
      </c>
      <c r="T77" s="218" t="str">
        <f t="shared" si="28"/>
        <v>D</v>
      </c>
      <c r="U77" s="218" t="str">
        <f t="shared" si="29"/>
        <v>AFR000</v>
      </c>
      <c r="V77" s="218" t="str">
        <f t="shared" si="30"/>
        <v>###</v>
      </c>
      <c r="W77" s="218">
        <v>40</v>
      </c>
      <c r="X77" s="218" t="str">
        <f t="shared" si="18"/>
        <v>USD</v>
      </c>
      <c r="Y77" s="218">
        <v>31.74</v>
      </c>
      <c r="Z77" s="218">
        <v>40</v>
      </c>
      <c r="AA77" s="218">
        <v>36.32</v>
      </c>
    </row>
    <row r="78" spans="1:27">
      <c r="A78" s="218" t="s">
        <v>2592</v>
      </c>
      <c r="F78" s="219" t="str">
        <f>"""IntAlert Live"",""ALERT UK"",""17"",""1"",""556053"""</f>
        <v>"IntAlert Live","ALERT UK","17","1","556053"</v>
      </c>
      <c r="G78" s="223">
        <v>43925</v>
      </c>
      <c r="H78" s="223"/>
      <c r="I78" s="218" t="str">
        <f t="shared" si="31"/>
        <v>DRCPARTNER/PBVE/AP21QR/2020/01</v>
      </c>
      <c r="K78" s="218" t="str">
        <f>"BILLET DE VOYAGE"</f>
        <v>BILLET DE VOYAGE</v>
      </c>
      <c r="L78" s="218" t="str">
        <f>"Paiement frais de transport bukavu-uvira pour 4 Animateurs de terrain"</f>
        <v>Paiement frais de transport bukavu-uvira pour 4 Animateurs de terrain</v>
      </c>
      <c r="M78" s="218" t="str">
        <f t="shared" si="25"/>
        <v>6470</v>
      </c>
      <c r="N78" s="218" t="str">
        <f t="shared" si="26"/>
        <v>PARTNER - PROJECT/ACTIVITY</v>
      </c>
      <c r="O78" s="218" t="str">
        <f t="shared" si="21"/>
        <v>DRCBUK</v>
      </c>
      <c r="P78" s="218" t="str">
        <f t="shared" si="27"/>
        <v>AP21QR</v>
      </c>
      <c r="Q78" s="218" t="str">
        <f>""</f>
        <v/>
      </c>
      <c r="R78" s="218" t="str">
        <f t="shared" si="32"/>
        <v>PBVE</v>
      </c>
      <c r="S78" s="218" t="str">
        <f t="shared" si="24"/>
        <v>020</v>
      </c>
      <c r="T78" s="218" t="str">
        <f t="shared" si="28"/>
        <v>D</v>
      </c>
      <c r="U78" s="218" t="str">
        <f t="shared" si="29"/>
        <v>AFR000</v>
      </c>
      <c r="V78" s="218" t="str">
        <f t="shared" si="30"/>
        <v>###</v>
      </c>
      <c r="W78" s="218">
        <v>60</v>
      </c>
      <c r="X78" s="218" t="str">
        <f t="shared" si="18"/>
        <v>USD</v>
      </c>
      <c r="Y78" s="218">
        <v>47.6</v>
      </c>
      <c r="Z78" s="218">
        <v>60</v>
      </c>
      <c r="AA78" s="218">
        <v>54.48</v>
      </c>
    </row>
    <row r="79" spans="1:27">
      <c r="A79" s="218" t="s">
        <v>2592</v>
      </c>
      <c r="F79" s="219" t="str">
        <f>"""IntAlert Live"",""ALERT UK"",""17"",""1"",""556055"""</f>
        <v>"IntAlert Live","ALERT UK","17","1","556055"</v>
      </c>
      <c r="G79" s="223">
        <v>43931</v>
      </c>
      <c r="H79" s="223"/>
      <c r="I79" s="218" t="str">
        <f t="shared" si="31"/>
        <v>DRCPARTNER/PBVE/AP21QR/2020/01</v>
      </c>
      <c r="K79" s="218" t="str">
        <f t="shared" ref="K79:K90" si="33">"REÇU"</f>
        <v>REÇU</v>
      </c>
      <c r="L79" s="218" t="str">
        <f>"Frais facilitation reunion de groupe de dialogue entre les jeunes à Ma"</f>
        <v>Frais facilitation reunion de groupe de dialogue entre les jeunes à Ma</v>
      </c>
      <c r="M79" s="218" t="str">
        <f t="shared" si="25"/>
        <v>6470</v>
      </c>
      <c r="N79" s="218" t="str">
        <f t="shared" si="26"/>
        <v>PARTNER - PROJECT/ACTIVITY</v>
      </c>
      <c r="O79" s="218" t="str">
        <f t="shared" si="21"/>
        <v>DRCBUK</v>
      </c>
      <c r="P79" s="218" t="str">
        <f t="shared" si="27"/>
        <v>AP21QR</v>
      </c>
      <c r="Q79" s="218" t="str">
        <f>""</f>
        <v/>
      </c>
      <c r="R79" s="218" t="str">
        <f t="shared" si="32"/>
        <v>PBVE</v>
      </c>
      <c r="S79" s="218" t="str">
        <f t="shared" si="24"/>
        <v>020</v>
      </c>
      <c r="T79" s="218" t="str">
        <f t="shared" si="28"/>
        <v>D</v>
      </c>
      <c r="U79" s="218" t="str">
        <f t="shared" si="29"/>
        <v>AFR000</v>
      </c>
      <c r="V79" s="218" t="str">
        <f t="shared" si="30"/>
        <v>###</v>
      </c>
      <c r="W79" s="218">
        <v>25</v>
      </c>
      <c r="X79" s="218" t="str">
        <f t="shared" ref="X79:X110" si="34">"USD"</f>
        <v>USD</v>
      </c>
      <c r="Y79" s="218">
        <v>19.829999999999998</v>
      </c>
      <c r="Z79" s="218">
        <v>25</v>
      </c>
      <c r="AA79" s="218">
        <v>22.69</v>
      </c>
    </row>
    <row r="80" spans="1:27">
      <c r="A80" s="218" t="s">
        <v>2592</v>
      </c>
      <c r="F80" s="219" t="str">
        <f>"""IntAlert Live"",""ALERT UK"",""17"",""1"",""556056"""</f>
        <v>"IntAlert Live","ALERT UK","17","1","556056"</v>
      </c>
      <c r="G80" s="223">
        <v>43931</v>
      </c>
      <c r="H80" s="223"/>
      <c r="I80" s="218" t="str">
        <f t="shared" si="31"/>
        <v>DRCPARTNER/PBVE/AP21QR/2020/01</v>
      </c>
      <c r="K80" s="218" t="str">
        <f t="shared" si="33"/>
        <v>REÇU</v>
      </c>
      <c r="L80" s="218" t="str">
        <f>"location salle de reunion entre les jeunes à Masango"</f>
        <v>location salle de reunion entre les jeunes à Masango</v>
      </c>
      <c r="M80" s="218" t="str">
        <f t="shared" si="25"/>
        <v>6470</v>
      </c>
      <c r="N80" s="218" t="str">
        <f t="shared" si="26"/>
        <v>PARTNER - PROJECT/ACTIVITY</v>
      </c>
      <c r="O80" s="218" t="str">
        <f t="shared" si="21"/>
        <v>DRCBUK</v>
      </c>
      <c r="P80" s="218" t="str">
        <f t="shared" si="27"/>
        <v>AP21QR</v>
      </c>
      <c r="Q80" s="218" t="str">
        <f>""</f>
        <v/>
      </c>
      <c r="R80" s="218" t="str">
        <f t="shared" si="32"/>
        <v>PBVE</v>
      </c>
      <c r="S80" s="218" t="str">
        <f t="shared" si="24"/>
        <v>020</v>
      </c>
      <c r="T80" s="218" t="str">
        <f t="shared" si="28"/>
        <v>D</v>
      </c>
      <c r="U80" s="218" t="str">
        <f t="shared" si="29"/>
        <v>AFR000</v>
      </c>
      <c r="V80" s="218" t="str">
        <f t="shared" si="30"/>
        <v>###</v>
      </c>
      <c r="W80" s="218">
        <v>10</v>
      </c>
      <c r="X80" s="218" t="str">
        <f t="shared" si="34"/>
        <v>USD</v>
      </c>
      <c r="Y80" s="218">
        <v>7.93</v>
      </c>
      <c r="Z80" s="218">
        <v>10</v>
      </c>
      <c r="AA80" s="218">
        <v>9.08</v>
      </c>
    </row>
    <row r="81" spans="1:27">
      <c r="A81" s="218" t="s">
        <v>2592</v>
      </c>
      <c r="F81" s="219" t="str">
        <f>"""IntAlert Live"",""ALERT UK"",""17"",""1"",""556064"""</f>
        <v>"IntAlert Live","ALERT UK","17","1","556064"</v>
      </c>
      <c r="G81" s="223">
        <v>43934</v>
      </c>
      <c r="H81" s="223"/>
      <c r="I81" s="218" t="str">
        <f t="shared" si="31"/>
        <v>DRCPARTNER/PBVE/AP21QR/2020/01</v>
      </c>
      <c r="K81" s="218" t="str">
        <f t="shared" si="33"/>
        <v>REÇU</v>
      </c>
      <c r="L81" s="218" t="str">
        <f>"location salle de reunion des jeunes membres des groupes de dialogue  "</f>
        <v xml:space="preserve">location salle de reunion des jeunes membres des groupes de dialogue  </v>
      </c>
      <c r="M81" s="218" t="str">
        <f t="shared" si="25"/>
        <v>6470</v>
      </c>
      <c r="N81" s="218" t="str">
        <f t="shared" si="26"/>
        <v>PARTNER - PROJECT/ACTIVITY</v>
      </c>
      <c r="O81" s="218" t="str">
        <f t="shared" si="21"/>
        <v>DRCBUK</v>
      </c>
      <c r="P81" s="218" t="str">
        <f t="shared" si="27"/>
        <v>AP21QR</v>
      </c>
      <c r="Q81" s="218" t="str">
        <f>""</f>
        <v/>
      </c>
      <c r="R81" s="218" t="str">
        <f t="shared" si="32"/>
        <v>PBVE</v>
      </c>
      <c r="S81" s="218" t="str">
        <f t="shared" si="24"/>
        <v>020</v>
      </c>
      <c r="T81" s="218" t="str">
        <f t="shared" si="28"/>
        <v>D</v>
      </c>
      <c r="U81" s="218" t="str">
        <f t="shared" si="29"/>
        <v>AFR000</v>
      </c>
      <c r="V81" s="218" t="str">
        <f t="shared" si="30"/>
        <v>###</v>
      </c>
      <c r="W81" s="218">
        <v>10</v>
      </c>
      <c r="X81" s="218" t="str">
        <f t="shared" si="34"/>
        <v>USD</v>
      </c>
      <c r="Y81" s="218">
        <v>7.93</v>
      </c>
      <c r="Z81" s="218">
        <v>10</v>
      </c>
      <c r="AA81" s="218">
        <v>9.08</v>
      </c>
    </row>
    <row r="82" spans="1:27">
      <c r="A82" s="218" t="s">
        <v>2592</v>
      </c>
      <c r="F82" s="219" t="str">
        <f>"""IntAlert Live"",""ALERT UK"",""17"",""1"",""556065"""</f>
        <v>"IntAlert Live","ALERT UK","17","1","556065"</v>
      </c>
      <c r="G82" s="223">
        <v>43934</v>
      </c>
      <c r="H82" s="223"/>
      <c r="I82" s="218" t="str">
        <f t="shared" si="31"/>
        <v>DRCPARTNER/PBVE/AP21QR/2020/01</v>
      </c>
      <c r="K82" s="218" t="str">
        <f t="shared" si="33"/>
        <v>REÇU</v>
      </c>
      <c r="L82" s="218" t="str">
        <f>"Paiement frais de facilitation reunion des jeunes menbre des groupes"</f>
        <v>Paiement frais de facilitation reunion des jeunes menbre des groupes</v>
      </c>
      <c r="M82" s="218" t="str">
        <f t="shared" si="25"/>
        <v>6470</v>
      </c>
      <c r="N82" s="218" t="str">
        <f t="shared" si="26"/>
        <v>PARTNER - PROJECT/ACTIVITY</v>
      </c>
      <c r="O82" s="218" t="str">
        <f t="shared" si="21"/>
        <v>DRCBUK</v>
      </c>
      <c r="P82" s="218" t="str">
        <f t="shared" si="27"/>
        <v>AP21QR</v>
      </c>
      <c r="Q82" s="218" t="str">
        <f>""</f>
        <v/>
      </c>
      <c r="R82" s="218" t="str">
        <f t="shared" si="32"/>
        <v>PBVE</v>
      </c>
      <c r="S82" s="218" t="str">
        <f t="shared" si="24"/>
        <v>020</v>
      </c>
      <c r="T82" s="218" t="str">
        <f t="shared" si="28"/>
        <v>D</v>
      </c>
      <c r="U82" s="218" t="str">
        <f t="shared" si="29"/>
        <v>AFR000</v>
      </c>
      <c r="V82" s="218" t="str">
        <f t="shared" si="30"/>
        <v>###</v>
      </c>
      <c r="W82" s="218">
        <v>25</v>
      </c>
      <c r="X82" s="218" t="str">
        <f t="shared" si="34"/>
        <v>USD</v>
      </c>
      <c r="Y82" s="218">
        <v>19.829999999999998</v>
      </c>
      <c r="Z82" s="218">
        <v>25</v>
      </c>
      <c r="AA82" s="218">
        <v>22.69</v>
      </c>
    </row>
    <row r="83" spans="1:27">
      <c r="A83" s="218" t="s">
        <v>2592</v>
      </c>
      <c r="F83" s="219" t="str">
        <f>"""IntAlert Live"",""ALERT UK"",""17"",""1"",""556071"""</f>
        <v>"IntAlert Live","ALERT UK","17","1","556071"</v>
      </c>
      <c r="G83" s="223">
        <v>43939</v>
      </c>
      <c r="H83" s="223"/>
      <c r="I83" s="218" t="str">
        <f t="shared" si="31"/>
        <v>DRCPARTNER/PBVE/AP21QR/2020/01</v>
      </c>
      <c r="K83" s="218" t="str">
        <f t="shared" si="33"/>
        <v>REÇU</v>
      </c>
      <c r="L83" s="218" t="str">
        <f>"location salle de reunion des jeunes membres des groupes de dialogue  "</f>
        <v xml:space="preserve">location salle de reunion des jeunes membres des groupes de dialogue  </v>
      </c>
      <c r="M83" s="218" t="str">
        <f t="shared" si="25"/>
        <v>6470</v>
      </c>
      <c r="N83" s="218" t="str">
        <f t="shared" si="26"/>
        <v>PARTNER - PROJECT/ACTIVITY</v>
      </c>
      <c r="O83" s="218" t="str">
        <f t="shared" si="21"/>
        <v>DRCBUK</v>
      </c>
      <c r="P83" s="218" t="str">
        <f t="shared" si="27"/>
        <v>AP21QR</v>
      </c>
      <c r="Q83" s="218" t="str">
        <f>""</f>
        <v/>
      </c>
      <c r="R83" s="218" t="str">
        <f t="shared" si="32"/>
        <v>PBVE</v>
      </c>
      <c r="S83" s="218" t="str">
        <f t="shared" si="24"/>
        <v>020</v>
      </c>
      <c r="T83" s="218" t="str">
        <f t="shared" si="28"/>
        <v>D</v>
      </c>
      <c r="U83" s="218" t="str">
        <f t="shared" si="29"/>
        <v>AFR000</v>
      </c>
      <c r="V83" s="218" t="str">
        <f t="shared" si="30"/>
        <v>###</v>
      </c>
      <c r="W83" s="218">
        <v>10</v>
      </c>
      <c r="X83" s="218" t="str">
        <f t="shared" si="34"/>
        <v>USD</v>
      </c>
      <c r="Y83" s="218">
        <v>7.93</v>
      </c>
      <c r="Z83" s="218">
        <v>10</v>
      </c>
      <c r="AA83" s="218">
        <v>9.08</v>
      </c>
    </row>
    <row r="84" spans="1:27">
      <c r="A84" s="218" t="s">
        <v>2592</v>
      </c>
      <c r="F84" s="219" t="str">
        <f>"""IntAlert Live"",""ALERT UK"",""17"",""1"",""556072"""</f>
        <v>"IntAlert Live","ALERT UK","17","1","556072"</v>
      </c>
      <c r="G84" s="223">
        <v>43939</v>
      </c>
      <c r="H84" s="223"/>
      <c r="I84" s="218" t="str">
        <f t="shared" si="31"/>
        <v>DRCPARTNER/PBVE/AP21QR/2020/01</v>
      </c>
      <c r="K84" s="218" t="str">
        <f t="shared" si="33"/>
        <v>REÇU</v>
      </c>
      <c r="L84" s="218" t="str">
        <f>"Paiement frais facilitation reunion entre jeunes membres des groupes"</f>
        <v>Paiement frais facilitation reunion entre jeunes membres des groupes</v>
      </c>
      <c r="M84" s="218" t="str">
        <f t="shared" si="25"/>
        <v>6470</v>
      </c>
      <c r="N84" s="218" t="str">
        <f t="shared" si="26"/>
        <v>PARTNER - PROJECT/ACTIVITY</v>
      </c>
      <c r="O84" s="218" t="str">
        <f t="shared" si="21"/>
        <v>DRCBUK</v>
      </c>
      <c r="P84" s="218" t="str">
        <f t="shared" si="27"/>
        <v>AP21QR</v>
      </c>
      <c r="Q84" s="218" t="str">
        <f>""</f>
        <v/>
      </c>
      <c r="R84" s="218" t="str">
        <f t="shared" si="32"/>
        <v>PBVE</v>
      </c>
      <c r="S84" s="218" t="str">
        <f t="shared" si="24"/>
        <v>020</v>
      </c>
      <c r="T84" s="218" t="str">
        <f t="shared" si="28"/>
        <v>D</v>
      </c>
      <c r="U84" s="218" t="str">
        <f t="shared" si="29"/>
        <v>AFR000</v>
      </c>
      <c r="V84" s="218" t="str">
        <f t="shared" si="30"/>
        <v>###</v>
      </c>
      <c r="W84" s="218">
        <v>25</v>
      </c>
      <c r="X84" s="218" t="str">
        <f t="shared" si="34"/>
        <v>USD</v>
      </c>
      <c r="Y84" s="218">
        <v>19.829999999999998</v>
      </c>
      <c r="Z84" s="218">
        <v>25</v>
      </c>
      <c r="AA84" s="218">
        <v>22.69</v>
      </c>
    </row>
    <row r="85" spans="1:27">
      <c r="A85" s="218" t="s">
        <v>2592</v>
      </c>
      <c r="F85" s="219" t="str">
        <f>"""IntAlert Live"",""ALERT UK"",""17"",""1"",""556074"""</f>
        <v>"IntAlert Live","ALERT UK","17","1","556074"</v>
      </c>
      <c r="G85" s="223">
        <v>43939</v>
      </c>
      <c r="H85" s="223"/>
      <c r="I85" s="218" t="str">
        <f t="shared" si="31"/>
        <v>DRCPARTNER/PBVE/AP21QR/2020/01</v>
      </c>
      <c r="K85" s="218" t="str">
        <f t="shared" si="33"/>
        <v>REÇU</v>
      </c>
      <c r="L85" s="218" t="str">
        <f>"Location salle reunion entre les jeunes membre de groupes de dialogue "</f>
        <v xml:space="preserve">Location salle reunion entre les jeunes membre de groupes de dialogue </v>
      </c>
      <c r="M85" s="218" t="str">
        <f t="shared" si="25"/>
        <v>6470</v>
      </c>
      <c r="N85" s="218" t="str">
        <f t="shared" si="26"/>
        <v>PARTNER - PROJECT/ACTIVITY</v>
      </c>
      <c r="O85" s="218" t="str">
        <f t="shared" si="21"/>
        <v>DRCBUK</v>
      </c>
      <c r="P85" s="218" t="str">
        <f t="shared" si="27"/>
        <v>AP21QR</v>
      </c>
      <c r="Q85" s="218" t="str">
        <f>""</f>
        <v/>
      </c>
      <c r="R85" s="218" t="str">
        <f t="shared" si="32"/>
        <v>PBVE</v>
      </c>
      <c r="S85" s="218" t="str">
        <f t="shared" si="24"/>
        <v>020</v>
      </c>
      <c r="T85" s="218" t="str">
        <f t="shared" si="28"/>
        <v>D</v>
      </c>
      <c r="U85" s="218" t="str">
        <f t="shared" si="29"/>
        <v>AFR000</v>
      </c>
      <c r="V85" s="218" t="str">
        <f t="shared" si="30"/>
        <v>###</v>
      </c>
      <c r="W85" s="218">
        <v>10</v>
      </c>
      <c r="X85" s="218" t="str">
        <f t="shared" si="34"/>
        <v>USD</v>
      </c>
      <c r="Y85" s="218">
        <v>7.93</v>
      </c>
      <c r="Z85" s="218">
        <v>10</v>
      </c>
      <c r="AA85" s="218">
        <v>9.08</v>
      </c>
    </row>
    <row r="86" spans="1:27">
      <c r="A86" s="218" t="s">
        <v>2592</v>
      </c>
      <c r="F86" s="219" t="str">
        <f>"""IntAlert Live"",""ALERT UK"",""17"",""1"",""556076"""</f>
        <v>"IntAlert Live","ALERT UK","17","1","556076"</v>
      </c>
      <c r="G86" s="223">
        <v>43940</v>
      </c>
      <c r="H86" s="223"/>
      <c r="I86" s="218" t="str">
        <f t="shared" si="31"/>
        <v>DRCPARTNER/PBVE/AP21QR/2020/01</v>
      </c>
      <c r="K86" s="218" t="str">
        <f t="shared" si="33"/>
        <v>REÇU</v>
      </c>
      <c r="L86" s="218" t="str">
        <f>"Location salle reunion entre les jeunes membre de groupes de dialogue "</f>
        <v xml:space="preserve">Location salle reunion entre les jeunes membre de groupes de dialogue </v>
      </c>
      <c r="M86" s="218" t="str">
        <f t="shared" si="25"/>
        <v>6470</v>
      </c>
      <c r="N86" s="218" t="str">
        <f t="shared" si="26"/>
        <v>PARTNER - PROJECT/ACTIVITY</v>
      </c>
      <c r="O86" s="218" t="str">
        <f t="shared" si="21"/>
        <v>DRCBUK</v>
      </c>
      <c r="P86" s="218" t="str">
        <f t="shared" si="27"/>
        <v>AP21QR</v>
      </c>
      <c r="Q86" s="218" t="str">
        <f>""</f>
        <v/>
      </c>
      <c r="R86" s="218" t="str">
        <f t="shared" si="32"/>
        <v>PBVE</v>
      </c>
      <c r="S86" s="218" t="str">
        <f t="shared" si="24"/>
        <v>020</v>
      </c>
      <c r="T86" s="218" t="str">
        <f t="shared" si="28"/>
        <v>D</v>
      </c>
      <c r="U86" s="218" t="str">
        <f t="shared" si="29"/>
        <v>AFR000</v>
      </c>
      <c r="V86" s="218" t="str">
        <f t="shared" si="30"/>
        <v>###</v>
      </c>
      <c r="W86" s="218">
        <v>10</v>
      </c>
      <c r="X86" s="218" t="str">
        <f t="shared" si="34"/>
        <v>USD</v>
      </c>
      <c r="Y86" s="218">
        <v>7.93</v>
      </c>
      <c r="Z86" s="218">
        <v>10</v>
      </c>
      <c r="AA86" s="218">
        <v>9.08</v>
      </c>
    </row>
    <row r="87" spans="1:27">
      <c r="A87" s="218" t="s">
        <v>2592</v>
      </c>
      <c r="F87" s="219" t="str">
        <f>"""IntAlert Live"",""ALERT UK"",""17"",""1"",""556077"""</f>
        <v>"IntAlert Live","ALERT UK","17","1","556077"</v>
      </c>
      <c r="G87" s="223">
        <v>43940</v>
      </c>
      <c r="H87" s="223"/>
      <c r="I87" s="218" t="str">
        <f t="shared" si="31"/>
        <v>DRCPARTNER/PBVE/AP21QR/2020/01</v>
      </c>
      <c r="K87" s="218" t="str">
        <f t="shared" si="33"/>
        <v>REÇU</v>
      </c>
      <c r="L87" s="218" t="str">
        <f>"Paiement frais de facilitation reunion des jeunes menbre des groupes d"</f>
        <v>Paiement frais de facilitation reunion des jeunes menbre des groupes d</v>
      </c>
      <c r="M87" s="218" t="str">
        <f t="shared" si="25"/>
        <v>6470</v>
      </c>
      <c r="N87" s="218" t="str">
        <f t="shared" si="26"/>
        <v>PARTNER - PROJECT/ACTIVITY</v>
      </c>
      <c r="O87" s="218" t="str">
        <f t="shared" si="21"/>
        <v>DRCBUK</v>
      </c>
      <c r="P87" s="218" t="str">
        <f t="shared" si="27"/>
        <v>AP21QR</v>
      </c>
      <c r="Q87" s="218" t="str">
        <f>""</f>
        <v/>
      </c>
      <c r="R87" s="218" t="str">
        <f t="shared" si="32"/>
        <v>PBVE</v>
      </c>
      <c r="S87" s="218" t="str">
        <f t="shared" si="24"/>
        <v>020</v>
      </c>
      <c r="T87" s="218" t="str">
        <f t="shared" si="28"/>
        <v>D</v>
      </c>
      <c r="U87" s="218" t="str">
        <f t="shared" si="29"/>
        <v>AFR000</v>
      </c>
      <c r="V87" s="218" t="str">
        <f t="shared" si="30"/>
        <v>###</v>
      </c>
      <c r="W87" s="218">
        <v>25</v>
      </c>
      <c r="X87" s="218" t="str">
        <f t="shared" si="34"/>
        <v>USD</v>
      </c>
      <c r="Y87" s="218">
        <v>19.829999999999998</v>
      </c>
      <c r="Z87" s="218">
        <v>25</v>
      </c>
      <c r="AA87" s="218">
        <v>22.69</v>
      </c>
    </row>
    <row r="88" spans="1:27">
      <c r="A88" s="218" t="s">
        <v>2592</v>
      </c>
      <c r="F88" s="219" t="str">
        <f>"""IntAlert Live"",""ALERT UK"",""17"",""1"",""556085"""</f>
        <v>"IntAlert Live","ALERT UK","17","1","556085"</v>
      </c>
      <c r="G88" s="223">
        <v>43944</v>
      </c>
      <c r="H88" s="223"/>
      <c r="I88" s="218" t="str">
        <f t="shared" si="31"/>
        <v>DRCPARTNER/PBVE/AP21QR/2020/01</v>
      </c>
      <c r="K88" s="218" t="str">
        <f t="shared" si="33"/>
        <v>REÇU</v>
      </c>
      <c r="L88" s="218" t="str">
        <f>"Location salle de reunion entre jeunes membre des groupes de dialogues"</f>
        <v>Location salle de reunion entre jeunes membre des groupes de dialogues</v>
      </c>
      <c r="M88" s="218" t="str">
        <f t="shared" si="25"/>
        <v>6470</v>
      </c>
      <c r="N88" s="218" t="str">
        <f t="shared" si="26"/>
        <v>PARTNER - PROJECT/ACTIVITY</v>
      </c>
      <c r="O88" s="218" t="str">
        <f t="shared" si="21"/>
        <v>DRCBUK</v>
      </c>
      <c r="P88" s="218" t="str">
        <f t="shared" si="27"/>
        <v>AP21QR</v>
      </c>
      <c r="Q88" s="218" t="str">
        <f>""</f>
        <v/>
      </c>
      <c r="R88" s="218" t="str">
        <f t="shared" si="32"/>
        <v>PBVE</v>
      </c>
      <c r="S88" s="218" t="str">
        <f t="shared" si="24"/>
        <v>020</v>
      </c>
      <c r="T88" s="218" t="str">
        <f t="shared" si="28"/>
        <v>D</v>
      </c>
      <c r="U88" s="218" t="str">
        <f t="shared" si="29"/>
        <v>AFR000</v>
      </c>
      <c r="V88" s="218" t="str">
        <f t="shared" si="30"/>
        <v>###</v>
      </c>
      <c r="W88" s="218">
        <v>20</v>
      </c>
      <c r="X88" s="218" t="str">
        <f t="shared" si="34"/>
        <v>USD</v>
      </c>
      <c r="Y88" s="218">
        <v>15.87</v>
      </c>
      <c r="Z88" s="218">
        <v>20</v>
      </c>
      <c r="AA88" s="218">
        <v>18.16</v>
      </c>
    </row>
    <row r="89" spans="1:27">
      <c r="A89" s="218" t="s">
        <v>2592</v>
      </c>
      <c r="F89" s="219" t="str">
        <f>"""IntAlert Live"",""ALERT UK"",""17"",""1"",""556090"""</f>
        <v>"IntAlert Live","ALERT UK","17","1","556090"</v>
      </c>
      <c r="G89" s="223">
        <v>43945</v>
      </c>
      <c r="H89" s="223"/>
      <c r="I89" s="218" t="str">
        <f t="shared" si="31"/>
        <v>DRCPARTNER/PBVE/AP21QR/2020/01</v>
      </c>
      <c r="K89" s="218" t="str">
        <f t="shared" si="33"/>
        <v>REÇU</v>
      </c>
      <c r="L89" s="218" t="str">
        <f>"Location salle de reunion entre jeunes membre des groupes de dialogues"</f>
        <v>Location salle de reunion entre jeunes membre des groupes de dialogues</v>
      </c>
      <c r="M89" s="218" t="str">
        <f t="shared" si="25"/>
        <v>6470</v>
      </c>
      <c r="N89" s="218" t="str">
        <f t="shared" si="26"/>
        <v>PARTNER - PROJECT/ACTIVITY</v>
      </c>
      <c r="O89" s="218" t="str">
        <f t="shared" si="21"/>
        <v>DRCBUK</v>
      </c>
      <c r="P89" s="218" t="str">
        <f t="shared" si="27"/>
        <v>AP21QR</v>
      </c>
      <c r="Q89" s="218" t="str">
        <f>""</f>
        <v/>
      </c>
      <c r="R89" s="218" t="str">
        <f t="shared" si="32"/>
        <v>PBVE</v>
      </c>
      <c r="S89" s="218" t="str">
        <f t="shared" si="24"/>
        <v>020</v>
      </c>
      <c r="T89" s="218" t="str">
        <f t="shared" si="28"/>
        <v>D</v>
      </c>
      <c r="U89" s="218" t="str">
        <f t="shared" si="29"/>
        <v>AFR000</v>
      </c>
      <c r="V89" s="218" t="str">
        <f t="shared" si="30"/>
        <v>###</v>
      </c>
      <c r="W89" s="218">
        <v>10</v>
      </c>
      <c r="X89" s="218" t="str">
        <f t="shared" si="34"/>
        <v>USD</v>
      </c>
      <c r="Y89" s="218">
        <v>7.93</v>
      </c>
      <c r="Z89" s="218">
        <v>10</v>
      </c>
      <c r="AA89" s="218">
        <v>9.08</v>
      </c>
    </row>
    <row r="90" spans="1:27">
      <c r="A90" s="218" t="s">
        <v>2592</v>
      </c>
      <c r="F90" s="219" t="str">
        <f>"""IntAlert Live"",""ALERT UK"",""17"",""1"",""556091"""</f>
        <v>"IntAlert Live","ALERT UK","17","1","556091"</v>
      </c>
      <c r="G90" s="223">
        <v>43945</v>
      </c>
      <c r="H90" s="223"/>
      <c r="I90" s="218" t="str">
        <f t="shared" si="31"/>
        <v>DRCPARTNER/PBVE/AP21QR/2020/01</v>
      </c>
      <c r="K90" s="218" t="str">
        <f t="shared" si="33"/>
        <v>REÇU</v>
      </c>
      <c r="L90" s="218" t="str">
        <f>"Paiement frais facilitration reunion entre jeunes membre de groupes d"</f>
        <v>Paiement frais facilitration reunion entre jeunes membre de groupes d</v>
      </c>
      <c r="M90" s="218" t="str">
        <f t="shared" si="25"/>
        <v>6470</v>
      </c>
      <c r="N90" s="218" t="str">
        <f t="shared" si="26"/>
        <v>PARTNER - PROJECT/ACTIVITY</v>
      </c>
      <c r="O90" s="218" t="str">
        <f t="shared" si="21"/>
        <v>DRCBUK</v>
      </c>
      <c r="P90" s="218" t="str">
        <f t="shared" si="27"/>
        <v>AP21QR</v>
      </c>
      <c r="Q90" s="218" t="str">
        <f>""</f>
        <v/>
      </c>
      <c r="R90" s="218" t="str">
        <f t="shared" si="32"/>
        <v>PBVE</v>
      </c>
      <c r="S90" s="218" t="str">
        <f t="shared" si="24"/>
        <v>020</v>
      </c>
      <c r="T90" s="218" t="str">
        <f t="shared" si="28"/>
        <v>D</v>
      </c>
      <c r="U90" s="218" t="str">
        <f t="shared" si="29"/>
        <v>AFR000</v>
      </c>
      <c r="V90" s="218" t="str">
        <f t="shared" si="30"/>
        <v>###</v>
      </c>
      <c r="W90" s="218">
        <v>25</v>
      </c>
      <c r="X90" s="218" t="str">
        <f t="shared" si="34"/>
        <v>USD</v>
      </c>
      <c r="Y90" s="218">
        <v>19.829999999999998</v>
      </c>
      <c r="Z90" s="218">
        <v>25</v>
      </c>
      <c r="AA90" s="218">
        <v>22.69</v>
      </c>
    </row>
    <row r="91" spans="1:27">
      <c r="A91" s="218" t="s">
        <v>2592</v>
      </c>
      <c r="F91" s="219" t="str">
        <f>"""IntAlert Live"",""ALERT UK"",""17"",""1"",""556024"""</f>
        <v>"IntAlert Live","ALERT UK","17","1","556024"</v>
      </c>
      <c r="G91" s="223">
        <v>43908</v>
      </c>
      <c r="H91" s="223"/>
      <c r="I91" s="218" t="str">
        <f t="shared" si="31"/>
        <v>DRCPARTNER/PBVE/AP21QR/2020/01</v>
      </c>
      <c r="K91" s="218" t="str">
        <f>"FACTURE"</f>
        <v>FACTURE</v>
      </c>
      <c r="L91" s="218" t="str">
        <f>"Frais photocopie documents pour l'activité"</f>
        <v>Frais photocopie documents pour l'activité</v>
      </c>
      <c r="M91" s="218" t="str">
        <f t="shared" si="25"/>
        <v>6470</v>
      </c>
      <c r="N91" s="218" t="str">
        <f t="shared" si="26"/>
        <v>PARTNER - PROJECT/ACTIVITY</v>
      </c>
      <c r="O91" s="218" t="str">
        <f t="shared" ref="O91:O122" si="35">"DRCBUK"</f>
        <v>DRCBUK</v>
      </c>
      <c r="P91" s="218" t="str">
        <f t="shared" si="27"/>
        <v>AP21QR</v>
      </c>
      <c r="Q91" s="218" t="str">
        <f>""</f>
        <v/>
      </c>
      <c r="R91" s="218" t="str">
        <f t="shared" si="32"/>
        <v>PBVE</v>
      </c>
      <c r="S91" s="218" t="str">
        <f t="shared" ref="S91:S116" si="36">"021"</f>
        <v>021</v>
      </c>
      <c r="T91" s="218" t="str">
        <f t="shared" si="28"/>
        <v>D</v>
      </c>
      <c r="U91" s="218" t="str">
        <f t="shared" si="29"/>
        <v>AFR000</v>
      </c>
      <c r="V91" s="218" t="str">
        <f t="shared" si="30"/>
        <v>###</v>
      </c>
      <c r="W91" s="218">
        <v>20</v>
      </c>
      <c r="X91" s="218" t="str">
        <f t="shared" si="34"/>
        <v>USD</v>
      </c>
      <c r="Y91" s="218">
        <v>15.87</v>
      </c>
      <c r="Z91" s="218">
        <v>20</v>
      </c>
      <c r="AA91" s="218">
        <v>18.16</v>
      </c>
    </row>
    <row r="92" spans="1:27">
      <c r="A92" s="218" t="s">
        <v>2592</v>
      </c>
      <c r="F92" s="219" t="str">
        <f>"""IntAlert Live"",""ALERT UK"",""17"",""1"",""556026"""</f>
        <v>"IntAlert Live","ALERT UK","17","1","556026"</v>
      </c>
      <c r="G92" s="223">
        <v>43908</v>
      </c>
      <c r="H92" s="223"/>
      <c r="I92" s="218" t="str">
        <f t="shared" si="31"/>
        <v>DRCPARTNER/PBVE/AP21QR/2020/01</v>
      </c>
      <c r="K92" s="218" t="str">
        <f>"FACTURE"</f>
        <v>FACTURE</v>
      </c>
      <c r="L92" s="218" t="str">
        <f>"Frais impression calicot pour l'activité"</f>
        <v>Frais impression calicot pour l'activité</v>
      </c>
      <c r="M92" s="218" t="str">
        <f t="shared" si="25"/>
        <v>6470</v>
      </c>
      <c r="N92" s="218" t="str">
        <f t="shared" si="26"/>
        <v>PARTNER - PROJECT/ACTIVITY</v>
      </c>
      <c r="O92" s="218" t="str">
        <f t="shared" si="35"/>
        <v>DRCBUK</v>
      </c>
      <c r="P92" s="218" t="str">
        <f t="shared" si="27"/>
        <v>AP21QR</v>
      </c>
      <c r="Q92" s="218" t="str">
        <f>""</f>
        <v/>
      </c>
      <c r="R92" s="218" t="str">
        <f t="shared" si="32"/>
        <v>PBVE</v>
      </c>
      <c r="S92" s="218" t="str">
        <f t="shared" si="36"/>
        <v>021</v>
      </c>
      <c r="T92" s="218" t="str">
        <f t="shared" si="28"/>
        <v>D</v>
      </c>
      <c r="U92" s="218" t="str">
        <f t="shared" si="29"/>
        <v>AFR000</v>
      </c>
      <c r="V92" s="218" t="str">
        <f t="shared" si="30"/>
        <v>###</v>
      </c>
      <c r="W92" s="218">
        <v>60</v>
      </c>
      <c r="X92" s="218" t="str">
        <f t="shared" si="34"/>
        <v>USD</v>
      </c>
      <c r="Y92" s="218">
        <v>47.6</v>
      </c>
      <c r="Z92" s="218">
        <v>60</v>
      </c>
      <c r="AA92" s="218">
        <v>54.48</v>
      </c>
    </row>
    <row r="93" spans="1:27">
      <c r="A93" s="218" t="s">
        <v>2592</v>
      </c>
      <c r="F93" s="219" t="str">
        <f>"""IntAlert Live"",""ALERT UK"",""17"",""1"",""556030"""</f>
        <v>"IntAlert Live","ALERT UK","17","1","556030"</v>
      </c>
      <c r="G93" s="223">
        <v>43910</v>
      </c>
      <c r="H93" s="223"/>
      <c r="I93" s="218" t="str">
        <f t="shared" si="31"/>
        <v>DRCPARTNER/PBVE/AP21QR/2020/01</v>
      </c>
      <c r="K93" s="218" t="str">
        <f>"FICHE DE TRANSPORT"</f>
        <v>FICHE DE TRANSPORT</v>
      </c>
      <c r="L93" s="218" t="str">
        <f>"Frais de transport locale aux Animateurs de terrain"</f>
        <v>Frais de transport locale aux Animateurs de terrain</v>
      </c>
      <c r="M93" s="218" t="str">
        <f t="shared" si="25"/>
        <v>6470</v>
      </c>
      <c r="N93" s="218" t="str">
        <f t="shared" si="26"/>
        <v>PARTNER - PROJECT/ACTIVITY</v>
      </c>
      <c r="O93" s="218" t="str">
        <f t="shared" si="35"/>
        <v>DRCBUK</v>
      </c>
      <c r="P93" s="218" t="str">
        <f t="shared" si="27"/>
        <v>AP21QR</v>
      </c>
      <c r="Q93" s="218" t="str">
        <f>""</f>
        <v/>
      </c>
      <c r="R93" s="218" t="str">
        <f t="shared" si="32"/>
        <v>PBVE</v>
      </c>
      <c r="S93" s="218" t="str">
        <f t="shared" si="36"/>
        <v>021</v>
      </c>
      <c r="T93" s="218" t="str">
        <f t="shared" si="28"/>
        <v>D</v>
      </c>
      <c r="U93" s="218" t="str">
        <f t="shared" si="29"/>
        <v>AFR000</v>
      </c>
      <c r="V93" s="218" t="str">
        <f t="shared" si="30"/>
        <v>###</v>
      </c>
      <c r="W93" s="218">
        <v>10</v>
      </c>
      <c r="X93" s="218" t="str">
        <f t="shared" si="34"/>
        <v>USD</v>
      </c>
      <c r="Y93" s="218">
        <v>7.93</v>
      </c>
      <c r="Z93" s="218">
        <v>10</v>
      </c>
      <c r="AA93" s="218">
        <v>9.08</v>
      </c>
    </row>
    <row r="94" spans="1:27">
      <c r="A94" s="218" t="s">
        <v>2592</v>
      </c>
      <c r="F94" s="219" t="str">
        <f>"""IntAlert Live"",""ALERT UK"",""17"",""1"",""556031"""</f>
        <v>"IntAlert Live","ALERT UK","17","1","556031"</v>
      </c>
      <c r="G94" s="223">
        <v>43910</v>
      </c>
      <c r="H94" s="223"/>
      <c r="I94" s="218" t="str">
        <f t="shared" si="31"/>
        <v>DRCPARTNER/PBVE/AP21QR/2020/01</v>
      </c>
      <c r="K94" s="218" t="str">
        <f>"LISTE DE PRESENCE ET PAIEMENT FRAIS DE TRANSPORT"</f>
        <v>LISTE DE PRESENCE ET PAIEMENT FRAIS DE TRANSPORT</v>
      </c>
      <c r="L94" s="218" t="str">
        <f>"Remboursement frais de transport aux participants/ reunion des jeunes "</f>
        <v xml:space="preserve">Remboursement frais de transport aux participants/ reunion des jeunes </v>
      </c>
      <c r="M94" s="218" t="str">
        <f t="shared" si="25"/>
        <v>6470</v>
      </c>
      <c r="N94" s="218" t="str">
        <f t="shared" si="26"/>
        <v>PARTNER - PROJECT/ACTIVITY</v>
      </c>
      <c r="O94" s="218" t="str">
        <f t="shared" si="35"/>
        <v>DRCBUK</v>
      </c>
      <c r="P94" s="218" t="str">
        <f t="shared" si="27"/>
        <v>AP21QR</v>
      </c>
      <c r="Q94" s="218" t="str">
        <f>""</f>
        <v/>
      </c>
      <c r="R94" s="218" t="str">
        <f t="shared" si="32"/>
        <v>PBVE</v>
      </c>
      <c r="S94" s="218" t="str">
        <f t="shared" si="36"/>
        <v>021</v>
      </c>
      <c r="T94" s="218" t="str">
        <f t="shared" si="28"/>
        <v>D</v>
      </c>
      <c r="U94" s="218" t="str">
        <f t="shared" si="29"/>
        <v>AFR000</v>
      </c>
      <c r="V94" s="218" t="str">
        <f t="shared" si="30"/>
        <v>###</v>
      </c>
      <c r="W94" s="218">
        <v>82.5</v>
      </c>
      <c r="X94" s="218" t="str">
        <f t="shared" si="34"/>
        <v>USD</v>
      </c>
      <c r="Y94" s="218">
        <v>65.45</v>
      </c>
      <c r="Z94" s="218">
        <v>82.5</v>
      </c>
      <c r="AA94" s="218">
        <v>74.900000000000006</v>
      </c>
    </row>
    <row r="95" spans="1:27">
      <c r="A95" s="218" t="s">
        <v>2592</v>
      </c>
      <c r="F95" s="219" t="str">
        <f>"""IntAlert Live"",""ALERT UK"",""17"",""1"",""556033"""</f>
        <v>"IntAlert Live","ALERT UK","17","1","556033"</v>
      </c>
      <c r="G95" s="223">
        <v>43910</v>
      </c>
      <c r="H95" s="223"/>
      <c r="I95" s="218" t="str">
        <f t="shared" si="31"/>
        <v>DRCPARTNER/PBVE/AP21QR/2020/01</v>
      </c>
      <c r="K95" s="218" t="str">
        <f>"LISTE DE PRESENCE"</f>
        <v>LISTE DE PRESENCE</v>
      </c>
      <c r="L95" s="218" t="str">
        <f>"Remboursement frais de transport aux participants /reunion  des jeunes"</f>
        <v>Remboursement frais de transport aux participants /reunion  des jeunes</v>
      </c>
      <c r="M95" s="218" t="str">
        <f t="shared" si="25"/>
        <v>6470</v>
      </c>
      <c r="N95" s="218" t="str">
        <f t="shared" si="26"/>
        <v>PARTNER - PROJECT/ACTIVITY</v>
      </c>
      <c r="O95" s="218" t="str">
        <f t="shared" si="35"/>
        <v>DRCBUK</v>
      </c>
      <c r="P95" s="218" t="str">
        <f t="shared" si="27"/>
        <v>AP21QR</v>
      </c>
      <c r="Q95" s="218" t="str">
        <f>""</f>
        <v/>
      </c>
      <c r="R95" s="218" t="str">
        <f t="shared" si="32"/>
        <v>PBVE</v>
      </c>
      <c r="S95" s="218" t="str">
        <f t="shared" si="36"/>
        <v>021</v>
      </c>
      <c r="T95" s="218" t="str">
        <f t="shared" si="28"/>
        <v>D</v>
      </c>
      <c r="U95" s="218" t="str">
        <f t="shared" si="29"/>
        <v>AFR000</v>
      </c>
      <c r="V95" s="218" t="str">
        <f t="shared" si="30"/>
        <v>###</v>
      </c>
      <c r="W95" s="218">
        <v>125</v>
      </c>
      <c r="X95" s="218" t="str">
        <f t="shared" si="34"/>
        <v>USD</v>
      </c>
      <c r="Y95" s="218">
        <v>99.17</v>
      </c>
      <c r="Z95" s="218">
        <v>125</v>
      </c>
      <c r="AA95" s="218">
        <v>113.5</v>
      </c>
    </row>
    <row r="96" spans="1:27">
      <c r="A96" s="218" t="s">
        <v>2592</v>
      </c>
      <c r="F96" s="219" t="str">
        <f>"""IntAlert Live"",""ALERT UK"",""17"",""1"",""555707"""</f>
        <v>"IntAlert Live","ALERT UK","17","1","555707"</v>
      </c>
      <c r="G96" s="223">
        <v>43915</v>
      </c>
      <c r="H96" s="223"/>
      <c r="I96" s="218" t="str">
        <f>"DRCPARTNER/PAPU/AP21QR/2020/01"</f>
        <v>DRCPARTNER/PAPU/AP21QR/2020/01</v>
      </c>
      <c r="K96" s="218" t="str">
        <f>"PAPETERIE BYOSE"</f>
        <v>PAPETERIE BYOSE</v>
      </c>
      <c r="L96" s="218" t="str">
        <f>"Achat matériels et fournitures pour la réunion"</f>
        <v>Achat matériels et fournitures pour la réunion</v>
      </c>
      <c r="M96" s="218" t="str">
        <f t="shared" si="25"/>
        <v>6470</v>
      </c>
      <c r="N96" s="218" t="str">
        <f t="shared" si="26"/>
        <v>PARTNER - PROJECT/ACTIVITY</v>
      </c>
      <c r="O96" s="218" t="str">
        <f t="shared" si="35"/>
        <v>DRCBUK</v>
      </c>
      <c r="P96" s="218" t="str">
        <f t="shared" si="27"/>
        <v>AP21QR</v>
      </c>
      <c r="Q96" s="218" t="str">
        <f>""</f>
        <v/>
      </c>
      <c r="R96" s="218" t="str">
        <f>"PAPU"</f>
        <v>PAPU</v>
      </c>
      <c r="S96" s="218" t="str">
        <f t="shared" si="36"/>
        <v>021</v>
      </c>
      <c r="T96" s="218" t="str">
        <f t="shared" si="28"/>
        <v>D</v>
      </c>
      <c r="U96" s="218" t="str">
        <f t="shared" si="29"/>
        <v>AFR000</v>
      </c>
      <c r="V96" s="218" t="str">
        <f t="shared" si="30"/>
        <v>###</v>
      </c>
      <c r="W96" s="218">
        <v>90</v>
      </c>
      <c r="X96" s="218" t="str">
        <f t="shared" si="34"/>
        <v>USD</v>
      </c>
      <c r="Y96" s="218">
        <v>71.400000000000006</v>
      </c>
      <c r="Z96" s="218">
        <v>90</v>
      </c>
      <c r="AA96" s="218">
        <v>81.709999999999994</v>
      </c>
    </row>
    <row r="97" spans="1:27">
      <c r="A97" s="218" t="s">
        <v>2592</v>
      </c>
      <c r="F97" s="219" t="str">
        <f>"""IntAlert Live"",""ALERT UK"",""17"",""1"",""555708"""</f>
        <v>"IntAlert Live","ALERT UK","17","1","555708"</v>
      </c>
      <c r="G97" s="223">
        <v>43915</v>
      </c>
      <c r="H97" s="223"/>
      <c r="I97" s="218" t="str">
        <f>"DRCPARTNER/PAPU/AP21QR/2020/01"</f>
        <v>DRCPARTNER/PAPU/AP21QR/2020/01</v>
      </c>
      <c r="K97" s="218" t="str">
        <f>"POSTE D'ENCADREMENT MINEMBWE ET EGLISES"</f>
        <v>POSTE D'ENCADREMENT MINEMBWE ET EGLISES</v>
      </c>
      <c r="L97" s="218" t="str">
        <f>"Location salle réunion des groupes des dialogues à Basimuniaka Sud"</f>
        <v>Location salle réunion des groupes des dialogues à Basimuniaka Sud</v>
      </c>
      <c r="M97" s="218" t="str">
        <f t="shared" si="25"/>
        <v>6470</v>
      </c>
      <c r="N97" s="218" t="str">
        <f t="shared" si="26"/>
        <v>PARTNER - PROJECT/ACTIVITY</v>
      </c>
      <c r="O97" s="218" t="str">
        <f t="shared" si="35"/>
        <v>DRCBUK</v>
      </c>
      <c r="P97" s="218" t="str">
        <f t="shared" si="27"/>
        <v>AP21QR</v>
      </c>
      <c r="Q97" s="218" t="str">
        <f>""</f>
        <v/>
      </c>
      <c r="R97" s="218" t="str">
        <f>"PAPU"</f>
        <v>PAPU</v>
      </c>
      <c r="S97" s="218" t="str">
        <f t="shared" si="36"/>
        <v>021</v>
      </c>
      <c r="T97" s="218" t="str">
        <f t="shared" si="28"/>
        <v>D</v>
      </c>
      <c r="U97" s="218" t="str">
        <f t="shared" si="29"/>
        <v>AFR000</v>
      </c>
      <c r="V97" s="218" t="str">
        <f t="shared" si="30"/>
        <v>###</v>
      </c>
      <c r="W97" s="218">
        <v>150</v>
      </c>
      <c r="X97" s="218" t="str">
        <f t="shared" si="34"/>
        <v>USD</v>
      </c>
      <c r="Y97" s="218">
        <v>119.01</v>
      </c>
      <c r="Z97" s="218">
        <v>150</v>
      </c>
      <c r="AA97" s="218">
        <v>136.19999999999999</v>
      </c>
    </row>
    <row r="98" spans="1:27">
      <c r="A98" s="218" t="s">
        <v>2592</v>
      </c>
      <c r="F98" s="219" t="str">
        <f>"""IntAlert Live"",""ALERT UK"",""17"",""1"",""555709"""</f>
        <v>"IntAlert Live","ALERT UK","17","1","555709"</v>
      </c>
      <c r="G98" s="223">
        <v>43917</v>
      </c>
      <c r="H98" s="223"/>
      <c r="I98" s="218" t="str">
        <f>"DRCPARTNER/PAPU/AP21QR/2020/01"</f>
        <v>DRCPARTNER/PAPU/AP21QR/2020/01</v>
      </c>
      <c r="K98" s="218" t="str">
        <f>"PARTICIPANTS"</f>
        <v>PARTICIPANTS</v>
      </c>
      <c r="L98" s="218" t="str">
        <f>"Pmnt transport réunion des groupes des dialogues à Basimuniaka Sud"</f>
        <v>Pmnt transport réunion des groupes des dialogues à Basimuniaka Sud</v>
      </c>
      <c r="M98" s="218" t="str">
        <f t="shared" si="25"/>
        <v>6470</v>
      </c>
      <c r="N98" s="218" t="str">
        <f t="shared" si="26"/>
        <v>PARTNER - PROJECT/ACTIVITY</v>
      </c>
      <c r="O98" s="218" t="str">
        <f t="shared" si="35"/>
        <v>DRCBUK</v>
      </c>
      <c r="P98" s="218" t="str">
        <f t="shared" si="27"/>
        <v>AP21QR</v>
      </c>
      <c r="Q98" s="218" t="str">
        <f>""</f>
        <v/>
      </c>
      <c r="R98" s="218" t="str">
        <f>"PAPU"</f>
        <v>PAPU</v>
      </c>
      <c r="S98" s="218" t="str">
        <f t="shared" si="36"/>
        <v>021</v>
      </c>
      <c r="T98" s="218" t="str">
        <f t="shared" si="28"/>
        <v>D</v>
      </c>
      <c r="U98" s="218" t="str">
        <f t="shared" si="29"/>
        <v>AFR000</v>
      </c>
      <c r="V98" s="218" t="str">
        <f t="shared" si="30"/>
        <v>###</v>
      </c>
      <c r="W98" s="218">
        <v>225</v>
      </c>
      <c r="X98" s="218" t="str">
        <f t="shared" si="34"/>
        <v>USD</v>
      </c>
      <c r="Y98" s="218">
        <v>178.51</v>
      </c>
      <c r="Z98" s="218">
        <v>225</v>
      </c>
      <c r="AA98" s="218">
        <v>204.3</v>
      </c>
    </row>
    <row r="99" spans="1:27">
      <c r="A99" s="218" t="s">
        <v>2592</v>
      </c>
      <c r="F99" s="219" t="str">
        <f>"""IntAlert Live"",""ALERT UK"",""17"",""1"",""555711"""</f>
        <v>"IntAlert Live","ALERT UK","17","1","555711"</v>
      </c>
      <c r="G99" s="223">
        <v>43918</v>
      </c>
      <c r="H99" s="223"/>
      <c r="I99" s="218" t="str">
        <f>"DRCPARTNER/PAPU/AP21QR/2020/01"</f>
        <v>DRCPARTNER/PAPU/AP21QR/2020/01</v>
      </c>
      <c r="K99" s="218" t="str">
        <f>"EGLISE CLMC"</f>
        <v>EGLISE CLMC</v>
      </c>
      <c r="L99" s="218" t="str">
        <f>"Location salle réunion des groupes des dialogues à Basimwenda"</f>
        <v>Location salle réunion des groupes des dialogues à Basimwenda</v>
      </c>
      <c r="M99" s="218" t="str">
        <f t="shared" si="25"/>
        <v>6470</v>
      </c>
      <c r="N99" s="218" t="str">
        <f t="shared" si="26"/>
        <v>PARTNER - PROJECT/ACTIVITY</v>
      </c>
      <c r="O99" s="218" t="str">
        <f t="shared" si="35"/>
        <v>DRCBUK</v>
      </c>
      <c r="P99" s="218" t="str">
        <f t="shared" si="27"/>
        <v>AP21QR</v>
      </c>
      <c r="Q99" s="218" t="str">
        <f>""</f>
        <v/>
      </c>
      <c r="R99" s="218" t="str">
        <f>"PAPU"</f>
        <v>PAPU</v>
      </c>
      <c r="S99" s="218" t="str">
        <f t="shared" si="36"/>
        <v>021</v>
      </c>
      <c r="T99" s="218" t="str">
        <f t="shared" si="28"/>
        <v>D</v>
      </c>
      <c r="U99" s="218" t="str">
        <f t="shared" si="29"/>
        <v>AFR000</v>
      </c>
      <c r="V99" s="218" t="str">
        <f t="shared" si="30"/>
        <v>###</v>
      </c>
      <c r="W99" s="218">
        <v>150</v>
      </c>
      <c r="X99" s="218" t="str">
        <f t="shared" si="34"/>
        <v>USD</v>
      </c>
      <c r="Y99" s="218">
        <v>119.01</v>
      </c>
      <c r="Z99" s="218">
        <v>150</v>
      </c>
      <c r="AA99" s="218">
        <v>136.19999999999999</v>
      </c>
    </row>
    <row r="100" spans="1:27">
      <c r="A100" s="218" t="s">
        <v>2592</v>
      </c>
      <c r="F100" s="219" t="str">
        <f>"""IntAlert Live"",""ALERT UK"",""17"",""1"",""555712"""</f>
        <v>"IntAlert Live","ALERT UK","17","1","555712"</v>
      </c>
      <c r="G100" s="223">
        <v>43918</v>
      </c>
      <c r="H100" s="223"/>
      <c r="I100" s="218" t="str">
        <f>"DRCPARTNER/PAPU/AP21QR/2020/01"</f>
        <v>DRCPARTNER/PAPU/AP21QR/2020/01</v>
      </c>
      <c r="K100" s="218" t="str">
        <f>"PARTICIPANTS"</f>
        <v>PARTICIPANTS</v>
      </c>
      <c r="L100" s="218" t="str">
        <f>"Pmnt transport réunion des groupes des dialogues à Basimwenda"</f>
        <v>Pmnt transport réunion des groupes des dialogues à Basimwenda</v>
      </c>
      <c r="M100" s="218" t="str">
        <f t="shared" si="25"/>
        <v>6470</v>
      </c>
      <c r="N100" s="218" t="str">
        <f t="shared" si="26"/>
        <v>PARTNER - PROJECT/ACTIVITY</v>
      </c>
      <c r="O100" s="218" t="str">
        <f t="shared" si="35"/>
        <v>DRCBUK</v>
      </c>
      <c r="P100" s="218" t="str">
        <f t="shared" si="27"/>
        <v>AP21QR</v>
      </c>
      <c r="Q100" s="218" t="str">
        <f>""</f>
        <v/>
      </c>
      <c r="R100" s="218" t="str">
        <f>"PAPU"</f>
        <v>PAPU</v>
      </c>
      <c r="S100" s="218" t="str">
        <f t="shared" si="36"/>
        <v>021</v>
      </c>
      <c r="T100" s="218" t="str">
        <f t="shared" si="28"/>
        <v>D</v>
      </c>
      <c r="U100" s="218" t="str">
        <f t="shared" si="29"/>
        <v>AFR000</v>
      </c>
      <c r="V100" s="218" t="str">
        <f t="shared" si="30"/>
        <v>###</v>
      </c>
      <c r="W100" s="218">
        <v>225</v>
      </c>
      <c r="X100" s="218" t="str">
        <f t="shared" si="34"/>
        <v>USD</v>
      </c>
      <c r="Y100" s="218">
        <v>178.51</v>
      </c>
      <c r="Z100" s="218">
        <v>225</v>
      </c>
      <c r="AA100" s="218">
        <v>204.3</v>
      </c>
    </row>
    <row r="101" spans="1:27">
      <c r="A101" s="218" t="s">
        <v>2592</v>
      </c>
      <c r="F101" s="219" t="str">
        <f>"""IntAlert Live"",""ALERT UK"",""17"",""1"",""555851"""</f>
        <v>"IntAlert Live","ALERT UK","17","1","555851"</v>
      </c>
      <c r="G101" s="223">
        <v>43918</v>
      </c>
      <c r="H101" s="223"/>
      <c r="I101" s="218" t="str">
        <f>"DRCPARTNER/PSOL/AP21QR/2020/01"</f>
        <v>DRCPARTNER/PSOL/AP21QR/2020/01</v>
      </c>
      <c r="K101" s="218" t="str">
        <f>"MALIPO"</f>
        <v>MALIPO</v>
      </c>
      <c r="L101" s="218" t="str">
        <f>"Materiels pédagogique pdt Réunion des groupes de dialogue"</f>
        <v>Materiels pédagogique pdt Réunion des groupes de dialogue</v>
      </c>
      <c r="M101" s="218" t="str">
        <f t="shared" si="25"/>
        <v>6470</v>
      </c>
      <c r="N101" s="218" t="str">
        <f t="shared" si="26"/>
        <v>PARTNER - PROJECT/ACTIVITY</v>
      </c>
      <c r="O101" s="218" t="str">
        <f t="shared" si="35"/>
        <v>DRCBUK</v>
      </c>
      <c r="P101" s="218" t="str">
        <f t="shared" si="27"/>
        <v>AP21QR</v>
      </c>
      <c r="Q101" s="218" t="str">
        <f>""</f>
        <v/>
      </c>
      <c r="R101" s="218" t="str">
        <f>"PSOL"</f>
        <v>PSOL</v>
      </c>
      <c r="S101" s="218" t="str">
        <f t="shared" si="36"/>
        <v>021</v>
      </c>
      <c r="T101" s="218" t="str">
        <f t="shared" si="28"/>
        <v>D</v>
      </c>
      <c r="U101" s="218" t="str">
        <f t="shared" si="29"/>
        <v>AFR000</v>
      </c>
      <c r="V101" s="218" t="str">
        <f t="shared" si="30"/>
        <v>###</v>
      </c>
      <c r="W101" s="218">
        <v>30</v>
      </c>
      <c r="X101" s="218" t="str">
        <f t="shared" si="34"/>
        <v>USD</v>
      </c>
      <c r="Y101" s="218">
        <v>23.8</v>
      </c>
      <c r="Z101" s="218">
        <v>30</v>
      </c>
      <c r="AA101" s="218">
        <v>27.24</v>
      </c>
    </row>
    <row r="102" spans="1:27">
      <c r="A102" s="218" t="s">
        <v>2592</v>
      </c>
      <c r="F102" s="219" t="str">
        <f>"""IntAlert Live"",""ALERT UK"",""17"",""1"",""555852"""</f>
        <v>"IntAlert Live","ALERT UK","17","1","555852"</v>
      </c>
      <c r="G102" s="223">
        <v>43918</v>
      </c>
      <c r="H102" s="223"/>
      <c r="I102" s="218" t="str">
        <f>"DRCPARTNER/PSOL/AP21QR/2020/01"</f>
        <v>DRCPARTNER/PSOL/AP21QR/2020/01</v>
      </c>
      <c r="K102" s="218" t="str">
        <f>"MALIPO"</f>
        <v>MALIPO</v>
      </c>
      <c r="L102" s="218" t="str">
        <f>"Prime des facilitateurs pdt Réunion des groupes de dialogue"</f>
        <v>Prime des facilitateurs pdt Réunion des groupes de dialogue</v>
      </c>
      <c r="M102" s="218" t="str">
        <f t="shared" si="25"/>
        <v>6470</v>
      </c>
      <c r="N102" s="218" t="str">
        <f t="shared" si="26"/>
        <v>PARTNER - PROJECT/ACTIVITY</v>
      </c>
      <c r="O102" s="218" t="str">
        <f t="shared" si="35"/>
        <v>DRCBUK</v>
      </c>
      <c r="P102" s="218" t="str">
        <f t="shared" si="27"/>
        <v>AP21QR</v>
      </c>
      <c r="Q102" s="218" t="str">
        <f>""</f>
        <v/>
      </c>
      <c r="R102" s="218" t="str">
        <f>"PSOL"</f>
        <v>PSOL</v>
      </c>
      <c r="S102" s="218" t="str">
        <f t="shared" si="36"/>
        <v>021</v>
      </c>
      <c r="T102" s="218" t="str">
        <f t="shared" si="28"/>
        <v>D</v>
      </c>
      <c r="U102" s="218" t="str">
        <f t="shared" si="29"/>
        <v>AFR000</v>
      </c>
      <c r="V102" s="218" t="str">
        <f t="shared" si="30"/>
        <v>###</v>
      </c>
      <c r="W102" s="218">
        <v>300</v>
      </c>
      <c r="X102" s="218" t="str">
        <f t="shared" si="34"/>
        <v>USD</v>
      </c>
      <c r="Y102" s="218">
        <v>238.02</v>
      </c>
      <c r="Z102" s="218">
        <v>300</v>
      </c>
      <c r="AA102" s="218">
        <v>272.39999999999998</v>
      </c>
    </row>
    <row r="103" spans="1:27">
      <c r="A103" s="218" t="s">
        <v>2592</v>
      </c>
      <c r="F103" s="219" t="str">
        <f>"""IntAlert Live"",""ALERT UK"",""17"",""1"",""555853"""</f>
        <v>"IntAlert Live","ALERT UK","17","1","555853"</v>
      </c>
      <c r="G103" s="223">
        <v>43918</v>
      </c>
      <c r="H103" s="223"/>
      <c r="I103" s="218" t="str">
        <f>"DRCPARTNER/PSOL/AP21QR/2020/01"</f>
        <v>DRCPARTNER/PSOL/AP21QR/2020/01</v>
      </c>
      <c r="K103" s="218" t="str">
        <f>"MALIPO"</f>
        <v>MALIPO</v>
      </c>
      <c r="L103" s="218" t="str">
        <f>"Transport pdt Réunion des groupes de dialogue"</f>
        <v>Transport pdt Réunion des groupes de dialogue</v>
      </c>
      <c r="M103" s="218" t="str">
        <f t="shared" ref="M103:M129" si="37">"6470"</f>
        <v>6470</v>
      </c>
      <c r="N103" s="218" t="str">
        <f t="shared" ref="N103:N129" si="38">"PARTNER - PROJECT/ACTIVITY"</f>
        <v>PARTNER - PROJECT/ACTIVITY</v>
      </c>
      <c r="O103" s="218" t="str">
        <f t="shared" si="35"/>
        <v>DRCBUK</v>
      </c>
      <c r="P103" s="218" t="str">
        <f t="shared" si="27"/>
        <v>AP21QR</v>
      </c>
      <c r="Q103" s="218" t="str">
        <f>""</f>
        <v/>
      </c>
      <c r="R103" s="218" t="str">
        <f>"PSOL"</f>
        <v>PSOL</v>
      </c>
      <c r="S103" s="218" t="str">
        <f t="shared" si="36"/>
        <v>021</v>
      </c>
      <c r="T103" s="218" t="str">
        <f t="shared" ref="T103:T134" si="39">"D"</f>
        <v>D</v>
      </c>
      <c r="U103" s="218" t="str">
        <f t="shared" si="29"/>
        <v>AFR000</v>
      </c>
      <c r="V103" s="218" t="str">
        <f t="shared" si="30"/>
        <v>###</v>
      </c>
      <c r="W103" s="218">
        <v>450</v>
      </c>
      <c r="X103" s="218" t="str">
        <f t="shared" si="34"/>
        <v>USD</v>
      </c>
      <c r="Y103" s="218">
        <v>357.02</v>
      </c>
      <c r="Z103" s="218">
        <v>450</v>
      </c>
      <c r="AA103" s="218">
        <v>408.59</v>
      </c>
    </row>
    <row r="104" spans="1:27">
      <c r="A104" s="218" t="s">
        <v>2592</v>
      </c>
      <c r="F104" s="219" t="str">
        <f>"""IntAlert Live"",""ALERT UK"",""17"",""1"",""556039"""</f>
        <v>"IntAlert Live","ALERT UK","17","1","556039"</v>
      </c>
      <c r="G104" s="223">
        <v>43920</v>
      </c>
      <c r="H104" s="223"/>
      <c r="I104" s="218" t="str">
        <f t="shared" ref="I104:I112" si="40">"DRCPARTNER/PBVE/AP21QR/2020/01"</f>
        <v>DRCPARTNER/PBVE/AP21QR/2020/01</v>
      </c>
      <c r="K104" s="218" t="str">
        <f>"BILLET DE VOYAGE"</f>
        <v>BILLET DE VOYAGE</v>
      </c>
      <c r="L104" s="218" t="str">
        <f>"Paiement frais de treansport superviseur,chargé de suivi et aux Animat"</f>
        <v>Paiement frais de treansport superviseur,chargé de suivi et aux Animat</v>
      </c>
      <c r="M104" s="218" t="str">
        <f t="shared" si="37"/>
        <v>6470</v>
      </c>
      <c r="N104" s="218" t="str">
        <f t="shared" si="38"/>
        <v>PARTNER - PROJECT/ACTIVITY</v>
      </c>
      <c r="O104" s="218" t="str">
        <f t="shared" si="35"/>
        <v>DRCBUK</v>
      </c>
      <c r="P104" s="218" t="str">
        <f t="shared" si="27"/>
        <v>AP21QR</v>
      </c>
      <c r="Q104" s="218" t="str">
        <f>""</f>
        <v/>
      </c>
      <c r="R104" s="218" t="str">
        <f t="shared" ref="R104:R112" si="41">"PBVE"</f>
        <v>PBVE</v>
      </c>
      <c r="S104" s="218" t="str">
        <f t="shared" si="36"/>
        <v>021</v>
      </c>
      <c r="T104" s="218" t="str">
        <f t="shared" si="39"/>
        <v>D</v>
      </c>
      <c r="U104" s="218" t="str">
        <f t="shared" si="29"/>
        <v>AFR000</v>
      </c>
      <c r="V104" s="218" t="str">
        <f t="shared" si="30"/>
        <v>###</v>
      </c>
      <c r="W104" s="218">
        <v>60</v>
      </c>
      <c r="X104" s="218" t="str">
        <f t="shared" si="34"/>
        <v>USD</v>
      </c>
      <c r="Y104" s="218">
        <v>47.6</v>
      </c>
      <c r="Z104" s="218">
        <v>60</v>
      </c>
      <c r="AA104" s="218">
        <v>54.48</v>
      </c>
    </row>
    <row r="105" spans="1:27">
      <c r="A105" s="218" t="s">
        <v>2592</v>
      </c>
      <c r="F105" s="219" t="str">
        <f>"""IntAlert Live"",""ALERT UK"",""17"",""1"",""556052"""</f>
        <v>"IntAlert Live","ALERT UK","17","1","556052"</v>
      </c>
      <c r="G105" s="223">
        <v>43925</v>
      </c>
      <c r="H105" s="223"/>
      <c r="I105" s="218" t="str">
        <f t="shared" si="40"/>
        <v>DRCPARTNER/PBVE/AP21QR/2020/01</v>
      </c>
      <c r="K105" s="218" t="str">
        <f>"FACTURE"</f>
        <v>FACTURE</v>
      </c>
      <c r="L105" s="218" t="str">
        <f>"Frais de communication telephonique pour l'equipe de terrain"</f>
        <v>Frais de communication telephonique pour l'equipe de terrain</v>
      </c>
      <c r="M105" s="218" t="str">
        <f t="shared" si="37"/>
        <v>6470</v>
      </c>
      <c r="N105" s="218" t="str">
        <f t="shared" si="38"/>
        <v>PARTNER - PROJECT/ACTIVITY</v>
      </c>
      <c r="O105" s="218" t="str">
        <f t="shared" si="35"/>
        <v>DRCBUK</v>
      </c>
      <c r="P105" s="218" t="str">
        <f t="shared" si="27"/>
        <v>AP21QR</v>
      </c>
      <c r="Q105" s="218" t="str">
        <f>""</f>
        <v/>
      </c>
      <c r="R105" s="218" t="str">
        <f t="shared" si="41"/>
        <v>PBVE</v>
      </c>
      <c r="S105" s="218" t="str">
        <f t="shared" si="36"/>
        <v>021</v>
      </c>
      <c r="T105" s="218" t="str">
        <f t="shared" si="39"/>
        <v>D</v>
      </c>
      <c r="U105" s="218" t="str">
        <f t="shared" si="29"/>
        <v>AFR000</v>
      </c>
      <c r="V105" s="218" t="str">
        <f t="shared" si="30"/>
        <v>###</v>
      </c>
      <c r="W105" s="218">
        <v>10</v>
      </c>
      <c r="X105" s="218" t="str">
        <f t="shared" si="34"/>
        <v>USD</v>
      </c>
      <c r="Y105" s="218">
        <v>7.93</v>
      </c>
      <c r="Z105" s="218">
        <v>10</v>
      </c>
      <c r="AA105" s="218">
        <v>9.08</v>
      </c>
    </row>
    <row r="106" spans="1:27">
      <c r="A106" s="218" t="s">
        <v>2592</v>
      </c>
      <c r="F106" s="219" t="str">
        <f>"""IntAlert Live"",""ALERT UK"",""17"",""1"",""556057"""</f>
        <v>"IntAlert Live","ALERT UK","17","1","556057"</v>
      </c>
      <c r="G106" s="223">
        <v>43931</v>
      </c>
      <c r="H106" s="223"/>
      <c r="I106" s="218" t="str">
        <f t="shared" si="40"/>
        <v>DRCPARTNER/PBVE/AP21QR/2020/01</v>
      </c>
      <c r="K106" s="218" t="str">
        <f>"LISTE DE PRESENCE ET PAIEMENT PERDIEM"</f>
        <v>LISTE DE PRESENCE ET PAIEMENT PERDIEM</v>
      </c>
      <c r="L106" s="218" t="str">
        <f>"Paiement frais de transport aux jeunes participants à la reunion entre"</f>
        <v>Paiement frais de transport aux jeunes participants à la reunion entre</v>
      </c>
      <c r="M106" s="218" t="str">
        <f t="shared" si="37"/>
        <v>6470</v>
      </c>
      <c r="N106" s="218" t="str">
        <f t="shared" si="38"/>
        <v>PARTNER - PROJECT/ACTIVITY</v>
      </c>
      <c r="O106" s="218" t="str">
        <f t="shared" si="35"/>
        <v>DRCBUK</v>
      </c>
      <c r="P106" s="218" t="str">
        <f t="shared" si="27"/>
        <v>AP21QR</v>
      </c>
      <c r="Q106" s="218" t="str">
        <f>""</f>
        <v/>
      </c>
      <c r="R106" s="218" t="str">
        <f t="shared" si="41"/>
        <v>PBVE</v>
      </c>
      <c r="S106" s="218" t="str">
        <f t="shared" si="36"/>
        <v>021</v>
      </c>
      <c r="T106" s="218" t="str">
        <f t="shared" si="39"/>
        <v>D</v>
      </c>
      <c r="U106" s="218" t="str">
        <f t="shared" si="29"/>
        <v>AFR000</v>
      </c>
      <c r="V106" s="218" t="str">
        <f t="shared" si="30"/>
        <v>###</v>
      </c>
      <c r="W106" s="218">
        <v>40</v>
      </c>
      <c r="X106" s="218" t="str">
        <f t="shared" si="34"/>
        <v>USD</v>
      </c>
      <c r="Y106" s="218">
        <v>31.74</v>
      </c>
      <c r="Z106" s="218">
        <v>40</v>
      </c>
      <c r="AA106" s="218">
        <v>36.32</v>
      </c>
    </row>
    <row r="107" spans="1:27">
      <c r="A107" s="218" t="s">
        <v>2592</v>
      </c>
      <c r="F107" s="219" t="str">
        <f>"""IntAlert Live"",""ALERT UK"",""17"",""1"",""556066"""</f>
        <v>"IntAlert Live","ALERT UK","17","1","556066"</v>
      </c>
      <c r="G107" s="223">
        <v>43934</v>
      </c>
      <c r="H107" s="223"/>
      <c r="I107" s="218" t="str">
        <f t="shared" si="40"/>
        <v>DRCPARTNER/PBVE/AP21QR/2020/01</v>
      </c>
      <c r="K107" s="218" t="str">
        <f>"LISTE DE PRESENCE"</f>
        <v>LISTE DE PRESENCE</v>
      </c>
      <c r="L107" s="218" t="str">
        <f>"Paiement frais de transport aux participants reunion entre jeunes memb"</f>
        <v>Paiement frais de transport aux participants reunion entre jeunes memb</v>
      </c>
      <c r="M107" s="218" t="str">
        <f t="shared" si="37"/>
        <v>6470</v>
      </c>
      <c r="N107" s="218" t="str">
        <f t="shared" si="38"/>
        <v>PARTNER - PROJECT/ACTIVITY</v>
      </c>
      <c r="O107" s="218" t="str">
        <f t="shared" si="35"/>
        <v>DRCBUK</v>
      </c>
      <c r="P107" s="218" t="str">
        <f t="shared" si="27"/>
        <v>AP21QR</v>
      </c>
      <c r="Q107" s="218" t="str">
        <f>""</f>
        <v/>
      </c>
      <c r="R107" s="218" t="str">
        <f t="shared" si="41"/>
        <v>PBVE</v>
      </c>
      <c r="S107" s="218" t="str">
        <f t="shared" si="36"/>
        <v>021</v>
      </c>
      <c r="T107" s="218" t="str">
        <f t="shared" si="39"/>
        <v>D</v>
      </c>
      <c r="U107" s="218" t="str">
        <f t="shared" si="29"/>
        <v>AFR000</v>
      </c>
      <c r="V107" s="218" t="str">
        <f t="shared" si="30"/>
        <v>###</v>
      </c>
      <c r="W107" s="218">
        <v>40</v>
      </c>
      <c r="X107" s="218" t="str">
        <f t="shared" si="34"/>
        <v>USD</v>
      </c>
      <c r="Y107" s="218">
        <v>31.74</v>
      </c>
      <c r="Z107" s="218">
        <v>40</v>
      </c>
      <c r="AA107" s="218">
        <v>36.32</v>
      </c>
    </row>
    <row r="108" spans="1:27">
      <c r="A108" s="218" t="s">
        <v>2592</v>
      </c>
      <c r="F108" s="219" t="str">
        <f>"""IntAlert Live"",""ALERT UK"",""17"",""1"",""556073"""</f>
        <v>"IntAlert Live","ALERT UK","17","1","556073"</v>
      </c>
      <c r="G108" s="223">
        <v>43939</v>
      </c>
      <c r="H108" s="223"/>
      <c r="I108" s="218" t="str">
        <f t="shared" si="40"/>
        <v>DRCPARTNER/PBVE/AP21QR/2020/01</v>
      </c>
      <c r="K108" s="218" t="str">
        <f>"LISTE DE PRESENCE"</f>
        <v>LISTE DE PRESENCE</v>
      </c>
      <c r="L108" s="218" t="str">
        <f>"Paiement frais de transport aux participants reunion des jeunes membre"</f>
        <v>Paiement frais de transport aux participants reunion des jeunes membre</v>
      </c>
      <c r="M108" s="218" t="str">
        <f t="shared" si="37"/>
        <v>6470</v>
      </c>
      <c r="N108" s="218" t="str">
        <f t="shared" si="38"/>
        <v>PARTNER - PROJECT/ACTIVITY</v>
      </c>
      <c r="O108" s="218" t="str">
        <f t="shared" si="35"/>
        <v>DRCBUK</v>
      </c>
      <c r="P108" s="218" t="str">
        <f t="shared" si="27"/>
        <v>AP21QR</v>
      </c>
      <c r="Q108" s="218" t="str">
        <f>""</f>
        <v/>
      </c>
      <c r="R108" s="218" t="str">
        <f t="shared" si="41"/>
        <v>PBVE</v>
      </c>
      <c r="S108" s="218" t="str">
        <f t="shared" si="36"/>
        <v>021</v>
      </c>
      <c r="T108" s="218" t="str">
        <f t="shared" si="39"/>
        <v>D</v>
      </c>
      <c r="U108" s="218" t="str">
        <f t="shared" si="29"/>
        <v>AFR000</v>
      </c>
      <c r="V108" s="218" t="str">
        <f t="shared" si="30"/>
        <v>###</v>
      </c>
      <c r="W108" s="218">
        <v>40</v>
      </c>
      <c r="X108" s="218" t="str">
        <f t="shared" si="34"/>
        <v>USD</v>
      </c>
      <c r="Y108" s="218">
        <v>31.74</v>
      </c>
      <c r="Z108" s="218">
        <v>40</v>
      </c>
      <c r="AA108" s="218">
        <v>36.32</v>
      </c>
    </row>
    <row r="109" spans="1:27">
      <c r="A109" s="218" t="s">
        <v>2592</v>
      </c>
      <c r="F109" s="219" t="str">
        <f>"""IntAlert Live"",""ALERT UK"",""17"",""1"",""556075"""</f>
        <v>"IntAlert Live","ALERT UK","17","1","556075"</v>
      </c>
      <c r="G109" s="223">
        <v>43939</v>
      </c>
      <c r="H109" s="223"/>
      <c r="I109" s="218" t="str">
        <f t="shared" si="40"/>
        <v>DRCPARTNER/PBVE/AP21QR/2020/01</v>
      </c>
      <c r="K109" s="218" t="str">
        <f>"LISTE DE PRESENCE"</f>
        <v>LISTE DE PRESENCE</v>
      </c>
      <c r="L109" s="218" t="str">
        <f>"Paiement frais de transport aux particiopants reunion entre jeunes mem"</f>
        <v>Paiement frais de transport aux particiopants reunion entre jeunes mem</v>
      </c>
      <c r="M109" s="218" t="str">
        <f t="shared" si="37"/>
        <v>6470</v>
      </c>
      <c r="N109" s="218" t="str">
        <f t="shared" si="38"/>
        <v>PARTNER - PROJECT/ACTIVITY</v>
      </c>
      <c r="O109" s="218" t="str">
        <f t="shared" si="35"/>
        <v>DRCBUK</v>
      </c>
      <c r="P109" s="218" t="str">
        <f t="shared" si="27"/>
        <v>AP21QR</v>
      </c>
      <c r="Q109" s="218" t="str">
        <f>""</f>
        <v/>
      </c>
      <c r="R109" s="218" t="str">
        <f t="shared" si="41"/>
        <v>PBVE</v>
      </c>
      <c r="S109" s="218" t="str">
        <f t="shared" si="36"/>
        <v>021</v>
      </c>
      <c r="T109" s="218" t="str">
        <f t="shared" si="39"/>
        <v>D</v>
      </c>
      <c r="U109" s="218" t="str">
        <f t="shared" si="29"/>
        <v>AFR000</v>
      </c>
      <c r="V109" s="218" t="str">
        <f t="shared" si="30"/>
        <v>###</v>
      </c>
      <c r="W109" s="218">
        <v>42.5</v>
      </c>
      <c r="X109" s="218" t="str">
        <f t="shared" si="34"/>
        <v>USD</v>
      </c>
      <c r="Y109" s="218">
        <v>33.72</v>
      </c>
      <c r="Z109" s="218">
        <v>42.5</v>
      </c>
      <c r="AA109" s="218">
        <v>38.590000000000003</v>
      </c>
    </row>
    <row r="110" spans="1:27">
      <c r="A110" s="218" t="s">
        <v>2592</v>
      </c>
      <c r="F110" s="219" t="str">
        <f>"""IntAlert Live"",""ALERT UK"",""17"",""1"",""556078"""</f>
        <v>"IntAlert Live","ALERT UK","17","1","556078"</v>
      </c>
      <c r="G110" s="223">
        <v>43940</v>
      </c>
      <c r="H110" s="223"/>
      <c r="I110" s="218" t="str">
        <f t="shared" si="40"/>
        <v>DRCPARTNER/PBVE/AP21QR/2020/01</v>
      </c>
      <c r="K110" s="218" t="str">
        <f>"LISTE DE PRESENCE"</f>
        <v>LISTE DE PRESENCE</v>
      </c>
      <c r="L110" s="218" t="str">
        <f>"Paiement frais de transport aux particiopants reunion entre jeunes mem"</f>
        <v>Paiement frais de transport aux particiopants reunion entre jeunes mem</v>
      </c>
      <c r="M110" s="218" t="str">
        <f t="shared" si="37"/>
        <v>6470</v>
      </c>
      <c r="N110" s="218" t="str">
        <f t="shared" si="38"/>
        <v>PARTNER - PROJECT/ACTIVITY</v>
      </c>
      <c r="O110" s="218" t="str">
        <f t="shared" si="35"/>
        <v>DRCBUK</v>
      </c>
      <c r="P110" s="218" t="str">
        <f t="shared" si="27"/>
        <v>AP21QR</v>
      </c>
      <c r="Q110" s="218" t="str">
        <f>""</f>
        <v/>
      </c>
      <c r="R110" s="218" t="str">
        <f t="shared" si="41"/>
        <v>PBVE</v>
      </c>
      <c r="S110" s="218" t="str">
        <f t="shared" si="36"/>
        <v>021</v>
      </c>
      <c r="T110" s="218" t="str">
        <f t="shared" si="39"/>
        <v>D</v>
      </c>
      <c r="U110" s="218" t="str">
        <f t="shared" si="29"/>
        <v>AFR000</v>
      </c>
      <c r="V110" s="218" t="str">
        <f t="shared" si="30"/>
        <v>###</v>
      </c>
      <c r="W110" s="218">
        <v>42.5</v>
      </c>
      <c r="X110" s="218" t="str">
        <f t="shared" si="34"/>
        <v>USD</v>
      </c>
      <c r="Y110" s="218">
        <v>33.72</v>
      </c>
      <c r="Z110" s="218">
        <v>42.5</v>
      </c>
      <c r="AA110" s="218">
        <v>38.590000000000003</v>
      </c>
    </row>
    <row r="111" spans="1:27">
      <c r="A111" s="218" t="s">
        <v>2592</v>
      </c>
      <c r="F111" s="219" t="str">
        <f>"""IntAlert Live"",""ALERT UK"",""17"",""1"",""556086"""</f>
        <v>"IntAlert Live","ALERT UK","17","1","556086"</v>
      </c>
      <c r="G111" s="223">
        <v>43944</v>
      </c>
      <c r="H111" s="223"/>
      <c r="I111" s="218" t="str">
        <f t="shared" si="40"/>
        <v>DRCPARTNER/PBVE/AP21QR/2020/01</v>
      </c>
      <c r="K111" s="218" t="str">
        <f>"LISTE DE PRESENCE"</f>
        <v>LISTE DE PRESENCE</v>
      </c>
      <c r="L111" s="218" t="str">
        <f>"Paiement frais de transport aux participants reunion entre jeunes memb"</f>
        <v>Paiement frais de transport aux participants reunion entre jeunes memb</v>
      </c>
      <c r="M111" s="218" t="str">
        <f t="shared" si="37"/>
        <v>6470</v>
      </c>
      <c r="N111" s="218" t="str">
        <f t="shared" si="38"/>
        <v>PARTNER - PROJECT/ACTIVITY</v>
      </c>
      <c r="O111" s="218" t="str">
        <f t="shared" si="35"/>
        <v>DRCBUK</v>
      </c>
      <c r="P111" s="218" t="str">
        <f t="shared" si="27"/>
        <v>AP21QR</v>
      </c>
      <c r="Q111" s="218" t="str">
        <f>""</f>
        <v/>
      </c>
      <c r="R111" s="218" t="str">
        <f t="shared" si="41"/>
        <v>PBVE</v>
      </c>
      <c r="S111" s="218" t="str">
        <f t="shared" si="36"/>
        <v>021</v>
      </c>
      <c r="T111" s="218" t="str">
        <f t="shared" si="39"/>
        <v>D</v>
      </c>
      <c r="U111" s="218" t="str">
        <f t="shared" si="29"/>
        <v>AFR000</v>
      </c>
      <c r="V111" s="218" t="str">
        <f t="shared" si="30"/>
        <v>###</v>
      </c>
      <c r="W111" s="218">
        <v>77.5</v>
      </c>
      <c r="X111" s="218" t="str">
        <f t="shared" ref="X111:X142" si="42">"USD"</f>
        <v>USD</v>
      </c>
      <c r="Y111" s="218">
        <v>61.49</v>
      </c>
      <c r="Z111" s="218">
        <v>77.5</v>
      </c>
      <c r="AA111" s="218">
        <v>70.37</v>
      </c>
    </row>
    <row r="112" spans="1:27">
      <c r="A112" s="218" t="s">
        <v>2592</v>
      </c>
      <c r="F112" s="219" t="str">
        <f>"""IntAlert Live"",""ALERT UK"",""17"",""1"",""556092"""</f>
        <v>"IntAlert Live","ALERT UK","17","1","556092"</v>
      </c>
      <c r="G112" s="223">
        <v>43945</v>
      </c>
      <c r="H112" s="223"/>
      <c r="I112" s="218" t="str">
        <f t="shared" si="40"/>
        <v>DRCPARTNER/PBVE/AP21QR/2020/01</v>
      </c>
      <c r="K112" s="218" t="str">
        <f>"LISTE DE PRESENCE ET PAIEMENT PERDIEM"</f>
        <v>LISTE DE PRESENCE ET PAIEMENT PERDIEM</v>
      </c>
      <c r="L112" s="218" t="str">
        <f>"Remboursement frais de transport participent aux reunion entre jeunes "</f>
        <v xml:space="preserve">Remboursement frais de transport participent aux reunion entre jeunes </v>
      </c>
      <c r="M112" s="218" t="str">
        <f t="shared" si="37"/>
        <v>6470</v>
      </c>
      <c r="N112" s="218" t="str">
        <f t="shared" si="38"/>
        <v>PARTNER - PROJECT/ACTIVITY</v>
      </c>
      <c r="O112" s="218" t="str">
        <f t="shared" si="35"/>
        <v>DRCBUK</v>
      </c>
      <c r="P112" s="218" t="str">
        <f t="shared" si="27"/>
        <v>AP21QR</v>
      </c>
      <c r="Q112" s="218" t="str">
        <f>""</f>
        <v/>
      </c>
      <c r="R112" s="218" t="str">
        <f t="shared" si="41"/>
        <v>PBVE</v>
      </c>
      <c r="S112" s="218" t="str">
        <f t="shared" si="36"/>
        <v>021</v>
      </c>
      <c r="T112" s="218" t="str">
        <f t="shared" si="39"/>
        <v>D</v>
      </c>
      <c r="U112" s="218" t="str">
        <f t="shared" si="29"/>
        <v>AFR000</v>
      </c>
      <c r="V112" s="218" t="str">
        <f t="shared" si="30"/>
        <v>###</v>
      </c>
      <c r="W112" s="218">
        <v>42.5</v>
      </c>
      <c r="X112" s="218" t="str">
        <f t="shared" si="42"/>
        <v>USD</v>
      </c>
      <c r="Y112" s="218">
        <v>33.72</v>
      </c>
      <c r="Z112" s="218">
        <v>42.5</v>
      </c>
      <c r="AA112" s="218">
        <v>38.590000000000003</v>
      </c>
    </row>
    <row r="113" spans="1:27">
      <c r="A113" s="218" t="s">
        <v>2592</v>
      </c>
      <c r="F113" s="219" t="str">
        <f>"""IntAlert Live"",""ALERT UK"",""17"",""1"",""555912"""</f>
        <v>"IntAlert Live","ALERT UK","17","1","555912"</v>
      </c>
      <c r="G113" s="223">
        <v>43951</v>
      </c>
      <c r="H113" s="223"/>
      <c r="I113" s="218" t="str">
        <f>"DRCPARTNER/PSOL/AP21QR/2020/01"</f>
        <v>DRCPARTNER/PSOL/AP21QR/2020/01</v>
      </c>
      <c r="K113" s="218" t="str">
        <f>"MALIPO"</f>
        <v>MALIPO</v>
      </c>
      <c r="L113" s="218" t="str">
        <f>"Transport pdt réunion mensuelle des groupes de dialogues"</f>
        <v>Transport pdt réunion mensuelle des groupes de dialogues</v>
      </c>
      <c r="M113" s="218" t="str">
        <f t="shared" si="37"/>
        <v>6470</v>
      </c>
      <c r="N113" s="218" t="str">
        <f t="shared" si="38"/>
        <v>PARTNER - PROJECT/ACTIVITY</v>
      </c>
      <c r="O113" s="218" t="str">
        <f t="shared" si="35"/>
        <v>DRCBUK</v>
      </c>
      <c r="P113" s="218" t="str">
        <f t="shared" si="27"/>
        <v>AP21QR</v>
      </c>
      <c r="Q113" s="218" t="str">
        <f>""</f>
        <v/>
      </c>
      <c r="R113" s="218" t="str">
        <f>"PSOL"</f>
        <v>PSOL</v>
      </c>
      <c r="S113" s="218" t="str">
        <f t="shared" si="36"/>
        <v>021</v>
      </c>
      <c r="T113" s="218" t="str">
        <f t="shared" si="39"/>
        <v>D</v>
      </c>
      <c r="U113" s="218" t="str">
        <f t="shared" si="29"/>
        <v>AFR000</v>
      </c>
      <c r="V113" s="218" t="str">
        <f t="shared" si="30"/>
        <v>###</v>
      </c>
      <c r="W113" s="218">
        <v>300</v>
      </c>
      <c r="X113" s="218" t="str">
        <f t="shared" si="42"/>
        <v>USD</v>
      </c>
      <c r="Y113" s="218">
        <v>238.02</v>
      </c>
      <c r="Z113" s="218">
        <v>300</v>
      </c>
      <c r="AA113" s="218">
        <v>272.39999999999998</v>
      </c>
    </row>
    <row r="114" spans="1:27">
      <c r="A114" s="218" t="s">
        <v>2592</v>
      </c>
      <c r="F114" s="219" t="str">
        <f>"""IntAlert Live"",""ALERT UK"",""17"",""1"",""555913"""</f>
        <v>"IntAlert Live","ALERT UK","17","1","555913"</v>
      </c>
      <c r="G114" s="223">
        <v>43951</v>
      </c>
      <c r="H114" s="223"/>
      <c r="I114" s="218" t="str">
        <f>"DRCPARTNER/PSOL/AP21QR/2020/01"</f>
        <v>DRCPARTNER/PSOL/AP21QR/2020/01</v>
      </c>
      <c r="K114" s="218" t="str">
        <f>"MALIPO"</f>
        <v>MALIPO</v>
      </c>
      <c r="L114" s="218" t="str">
        <f>"Rafraihissement pdt réunion mensuelle des groupes de dialogues"</f>
        <v>Rafraihissement pdt réunion mensuelle des groupes de dialogues</v>
      </c>
      <c r="M114" s="218" t="str">
        <f t="shared" si="37"/>
        <v>6470</v>
      </c>
      <c r="N114" s="218" t="str">
        <f t="shared" si="38"/>
        <v>PARTNER - PROJECT/ACTIVITY</v>
      </c>
      <c r="O114" s="218" t="str">
        <f t="shared" si="35"/>
        <v>DRCBUK</v>
      </c>
      <c r="P114" s="218" t="str">
        <f t="shared" si="27"/>
        <v>AP21QR</v>
      </c>
      <c r="Q114" s="218" t="str">
        <f>""</f>
        <v/>
      </c>
      <c r="R114" s="218" t="str">
        <f>"PSOL"</f>
        <v>PSOL</v>
      </c>
      <c r="S114" s="218" t="str">
        <f t="shared" si="36"/>
        <v>021</v>
      </c>
      <c r="T114" s="218" t="str">
        <f t="shared" si="39"/>
        <v>D</v>
      </c>
      <c r="U114" s="218" t="str">
        <f t="shared" si="29"/>
        <v>AFR000</v>
      </c>
      <c r="V114" s="218" t="str">
        <f t="shared" si="30"/>
        <v>###</v>
      </c>
      <c r="W114" s="218">
        <v>60</v>
      </c>
      <c r="X114" s="218" t="str">
        <f t="shared" si="42"/>
        <v>USD</v>
      </c>
      <c r="Y114" s="218">
        <v>47.6</v>
      </c>
      <c r="Z114" s="218">
        <v>60</v>
      </c>
      <c r="AA114" s="218">
        <v>54.48</v>
      </c>
    </row>
    <row r="115" spans="1:27">
      <c r="A115" s="218" t="s">
        <v>2592</v>
      </c>
      <c r="F115" s="219" t="str">
        <f>"""IntAlert Live"",""ALERT UK"",""17"",""1"",""555914"""</f>
        <v>"IntAlert Live","ALERT UK","17","1","555914"</v>
      </c>
      <c r="G115" s="223">
        <v>43951</v>
      </c>
      <c r="H115" s="223"/>
      <c r="I115" s="218" t="str">
        <f>"DRCPARTNER/PSOL/AP21QR/2020/01"</f>
        <v>DRCPARTNER/PSOL/AP21QR/2020/01</v>
      </c>
      <c r="K115" s="218" t="str">
        <f>"MALIPO"</f>
        <v>MALIPO</v>
      </c>
      <c r="L115" s="218" t="str">
        <f>"Location salle pdt réunion mensuelle des groupes de dialogues"</f>
        <v>Location salle pdt réunion mensuelle des groupes de dialogues</v>
      </c>
      <c r="M115" s="218" t="str">
        <f t="shared" si="37"/>
        <v>6470</v>
      </c>
      <c r="N115" s="218" t="str">
        <f t="shared" si="38"/>
        <v>PARTNER - PROJECT/ACTIVITY</v>
      </c>
      <c r="O115" s="218" t="str">
        <f t="shared" si="35"/>
        <v>DRCBUK</v>
      </c>
      <c r="P115" s="218" t="str">
        <f t="shared" si="27"/>
        <v>AP21QR</v>
      </c>
      <c r="Q115" s="218" t="str">
        <f>""</f>
        <v/>
      </c>
      <c r="R115" s="218" t="str">
        <f>"PSOL"</f>
        <v>PSOL</v>
      </c>
      <c r="S115" s="218" t="str">
        <f t="shared" si="36"/>
        <v>021</v>
      </c>
      <c r="T115" s="218" t="str">
        <f t="shared" si="39"/>
        <v>D</v>
      </c>
      <c r="U115" s="218" t="str">
        <f t="shared" si="29"/>
        <v>AFR000</v>
      </c>
      <c r="V115" s="218" t="str">
        <f t="shared" si="30"/>
        <v>###</v>
      </c>
      <c r="W115" s="218">
        <v>90</v>
      </c>
      <c r="X115" s="218" t="str">
        <f t="shared" si="42"/>
        <v>USD</v>
      </c>
      <c r="Y115" s="218">
        <v>71.400000000000006</v>
      </c>
      <c r="Z115" s="218">
        <v>90</v>
      </c>
      <c r="AA115" s="218">
        <v>81.709999999999994</v>
      </c>
    </row>
    <row r="116" spans="1:27">
      <c r="A116" s="218" t="s">
        <v>2592</v>
      </c>
      <c r="F116" s="219" t="str">
        <f>"""IntAlert Live"",""ALERT UK"",""17"",""1"",""555915"""</f>
        <v>"IntAlert Live","ALERT UK","17","1","555915"</v>
      </c>
      <c r="G116" s="223">
        <v>43951</v>
      </c>
      <c r="H116" s="223"/>
      <c r="I116" s="218" t="str">
        <f>"DRCPARTNER/PSOL/AP21QR/2020/01"</f>
        <v>DRCPARTNER/PSOL/AP21QR/2020/01</v>
      </c>
      <c r="K116" s="218" t="str">
        <f>"MALIPO"</f>
        <v>MALIPO</v>
      </c>
      <c r="L116" s="218" t="str">
        <f>"Prime des facilitateurs pdt réunion mensuelle des groupes de dialogues"</f>
        <v>Prime des facilitateurs pdt réunion mensuelle des groupes de dialogues</v>
      </c>
      <c r="M116" s="218" t="str">
        <f t="shared" si="37"/>
        <v>6470</v>
      </c>
      <c r="N116" s="218" t="str">
        <f t="shared" si="38"/>
        <v>PARTNER - PROJECT/ACTIVITY</v>
      </c>
      <c r="O116" s="218" t="str">
        <f t="shared" si="35"/>
        <v>DRCBUK</v>
      </c>
      <c r="P116" s="218" t="str">
        <f t="shared" si="27"/>
        <v>AP21QR</v>
      </c>
      <c r="Q116" s="218" t="str">
        <f>""</f>
        <v/>
      </c>
      <c r="R116" s="218" t="str">
        <f>"PSOL"</f>
        <v>PSOL</v>
      </c>
      <c r="S116" s="218" t="str">
        <f t="shared" si="36"/>
        <v>021</v>
      </c>
      <c r="T116" s="218" t="str">
        <f t="shared" si="39"/>
        <v>D</v>
      </c>
      <c r="U116" s="218" t="str">
        <f t="shared" si="29"/>
        <v>AFR000</v>
      </c>
      <c r="V116" s="218" t="str">
        <f t="shared" si="30"/>
        <v>###</v>
      </c>
      <c r="W116" s="218">
        <v>300</v>
      </c>
      <c r="X116" s="218" t="str">
        <f t="shared" si="42"/>
        <v>USD</v>
      </c>
      <c r="Y116" s="218">
        <v>238.02</v>
      </c>
      <c r="Z116" s="218">
        <v>300</v>
      </c>
      <c r="AA116" s="218">
        <v>272.39999999999998</v>
      </c>
    </row>
    <row r="117" spans="1:27">
      <c r="A117" s="218" t="s">
        <v>2592</v>
      </c>
      <c r="F117" s="219" t="str">
        <f>"""IntAlert Live"",""ALERT UK"",""17"",""1"",""556036"""</f>
        <v>"IntAlert Live","ALERT UK","17","1","556036"</v>
      </c>
      <c r="G117" s="223">
        <v>43910</v>
      </c>
      <c r="H117" s="223"/>
      <c r="I117" s="218" t="str">
        <f>"DRCPARTNER/PBVE/AP21QR/2020/01"</f>
        <v>DRCPARTNER/PBVE/AP21QR/2020/01</v>
      </c>
      <c r="K117" s="218" t="str">
        <f>"LISTE DE PRESENCE"</f>
        <v>LISTE DE PRESENCE</v>
      </c>
      <c r="L117" s="218" t="str">
        <f>"Remboursement frais de transport aux participants reunion des jeunes"</f>
        <v>Remboursement frais de transport aux participants reunion des jeunes</v>
      </c>
      <c r="M117" s="218" t="str">
        <f t="shared" si="37"/>
        <v>6470</v>
      </c>
      <c r="N117" s="218" t="str">
        <f t="shared" si="38"/>
        <v>PARTNER - PROJECT/ACTIVITY</v>
      </c>
      <c r="O117" s="218" t="str">
        <f t="shared" si="35"/>
        <v>DRCBUK</v>
      </c>
      <c r="P117" s="218" t="str">
        <f t="shared" si="27"/>
        <v>AP21QR</v>
      </c>
      <c r="Q117" s="218" t="str">
        <f>""</f>
        <v/>
      </c>
      <c r="R117" s="218" t="str">
        <f>"PBVE"</f>
        <v>PBVE</v>
      </c>
      <c r="S117" s="218" t="str">
        <f t="shared" ref="S117:S122" si="43">"026"</f>
        <v>026</v>
      </c>
      <c r="T117" s="218" t="str">
        <f t="shared" si="39"/>
        <v>D</v>
      </c>
      <c r="U117" s="218" t="str">
        <f t="shared" si="29"/>
        <v>AFR000</v>
      </c>
      <c r="V117" s="218" t="str">
        <f t="shared" si="30"/>
        <v>###</v>
      </c>
      <c r="W117" s="218">
        <v>125</v>
      </c>
      <c r="X117" s="218" t="str">
        <f t="shared" si="42"/>
        <v>USD</v>
      </c>
      <c r="Y117" s="218">
        <v>99.17</v>
      </c>
      <c r="Z117" s="218">
        <v>125</v>
      </c>
      <c r="AA117" s="218">
        <v>113.5</v>
      </c>
    </row>
    <row r="118" spans="1:27">
      <c r="A118" s="218" t="s">
        <v>2592</v>
      </c>
      <c r="F118" s="219" t="str">
        <f>"""IntAlert Live"",""ALERT UK"",""17"",""1"",""555704"""</f>
        <v>"IntAlert Live","ALERT UK","17","1","555704"</v>
      </c>
      <c r="G118" s="223">
        <v>43914</v>
      </c>
      <c r="H118" s="223"/>
      <c r="I118" s="218" t="str">
        <f>"DRCPARTNER/PAPU/AP21QR/2020/01"</f>
        <v>DRCPARTNER/PAPU/AP21QR/2020/01</v>
      </c>
      <c r="K118" s="218" t="str">
        <f>"26E CLMC MISHASHU"</f>
        <v>26E CLMC MISHASHU</v>
      </c>
      <c r="L118" s="218" t="str">
        <f>"Location salle pr la réunion des clubs de mentorat à Basimwenda"</f>
        <v>Location salle pr la réunion des clubs de mentorat à Basimwenda</v>
      </c>
      <c r="M118" s="218" t="str">
        <f t="shared" si="37"/>
        <v>6470</v>
      </c>
      <c r="N118" s="218" t="str">
        <f t="shared" si="38"/>
        <v>PARTNER - PROJECT/ACTIVITY</v>
      </c>
      <c r="O118" s="218" t="str">
        <f t="shared" si="35"/>
        <v>DRCBUK</v>
      </c>
      <c r="P118" s="218" t="str">
        <f t="shared" si="27"/>
        <v>AP21QR</v>
      </c>
      <c r="Q118" s="218" t="str">
        <f>""</f>
        <v/>
      </c>
      <c r="R118" s="218" t="str">
        <f>"PAPU"</f>
        <v>PAPU</v>
      </c>
      <c r="S118" s="218" t="str">
        <f t="shared" si="43"/>
        <v>026</v>
      </c>
      <c r="T118" s="218" t="str">
        <f t="shared" si="39"/>
        <v>D</v>
      </c>
      <c r="U118" s="218" t="str">
        <f t="shared" si="29"/>
        <v>AFR000</v>
      </c>
      <c r="V118" s="218" t="str">
        <f t="shared" si="30"/>
        <v>###</v>
      </c>
      <c r="W118" s="218">
        <v>50</v>
      </c>
      <c r="X118" s="218" t="str">
        <f t="shared" si="42"/>
        <v>USD</v>
      </c>
      <c r="Y118" s="218">
        <v>39.67</v>
      </c>
      <c r="Z118" s="218">
        <v>50</v>
      </c>
      <c r="AA118" s="218">
        <v>45.4</v>
      </c>
    </row>
    <row r="119" spans="1:27">
      <c r="A119" s="218" t="s">
        <v>2592</v>
      </c>
      <c r="F119" s="219" t="str">
        <f>"""IntAlert Live"",""ALERT UK"",""17"",""1"",""555705"""</f>
        <v>"IntAlert Live","ALERT UK","17","1","555705"</v>
      </c>
      <c r="G119" s="223">
        <v>43914</v>
      </c>
      <c r="H119" s="223"/>
      <c r="I119" s="218" t="str">
        <f>"DRCPARTNER/PAPU/AP21QR/2020/01"</f>
        <v>DRCPARTNER/PAPU/AP21QR/2020/01</v>
      </c>
      <c r="K119" s="218" t="str">
        <f>"COFACILITATEURS"</f>
        <v>COFACILITATEURS</v>
      </c>
      <c r="L119" s="218" t="str">
        <f>"Frais de motivation co-facilitateurs"</f>
        <v>Frais de motivation co-facilitateurs</v>
      </c>
      <c r="M119" s="218" t="str">
        <f t="shared" si="37"/>
        <v>6470</v>
      </c>
      <c r="N119" s="218" t="str">
        <f t="shared" si="38"/>
        <v>PARTNER - PROJECT/ACTIVITY</v>
      </c>
      <c r="O119" s="218" t="str">
        <f t="shared" si="35"/>
        <v>DRCBUK</v>
      </c>
      <c r="P119" s="218" t="str">
        <f t="shared" si="27"/>
        <v>AP21QR</v>
      </c>
      <c r="Q119" s="218" t="str">
        <f>""</f>
        <v/>
      </c>
      <c r="R119" s="218" t="str">
        <f>"PAPU"</f>
        <v>PAPU</v>
      </c>
      <c r="S119" s="218" t="str">
        <f t="shared" si="43"/>
        <v>026</v>
      </c>
      <c r="T119" s="218" t="str">
        <f t="shared" si="39"/>
        <v>D</v>
      </c>
      <c r="U119" s="218" t="str">
        <f t="shared" si="29"/>
        <v>AFR000</v>
      </c>
      <c r="V119" s="218" t="str">
        <f t="shared" si="30"/>
        <v>###</v>
      </c>
      <c r="W119" s="218">
        <v>20</v>
      </c>
      <c r="X119" s="218" t="str">
        <f t="shared" si="42"/>
        <v>USD</v>
      </c>
      <c r="Y119" s="218">
        <v>15.87</v>
      </c>
      <c r="Z119" s="218">
        <v>20</v>
      </c>
      <c r="AA119" s="218">
        <v>18.16</v>
      </c>
    </row>
    <row r="120" spans="1:27">
      <c r="A120" s="218" t="s">
        <v>2592</v>
      </c>
      <c r="F120" s="219" t="str">
        <f>"""IntAlert Live"",""ALERT UK"",""17"",""1"",""555706"""</f>
        <v>"IntAlert Live","ALERT UK","17","1","555706"</v>
      </c>
      <c r="G120" s="223">
        <v>43914</v>
      </c>
      <c r="H120" s="223"/>
      <c r="I120" s="218" t="str">
        <f>"DRCPARTNER/PAPU/AP21QR/2020/01"</f>
        <v>DRCPARTNER/PAPU/AP21QR/2020/01</v>
      </c>
      <c r="K120" s="218" t="str">
        <f>"PARTICIPANTS"</f>
        <v>PARTICIPANTS</v>
      </c>
      <c r="L120" s="218" t="str">
        <f>"Pmnt Pause repas des participants"</f>
        <v>Pmnt Pause repas des participants</v>
      </c>
      <c r="M120" s="218" t="str">
        <f t="shared" si="37"/>
        <v>6470</v>
      </c>
      <c r="N120" s="218" t="str">
        <f t="shared" si="38"/>
        <v>PARTNER - PROJECT/ACTIVITY</v>
      </c>
      <c r="O120" s="218" t="str">
        <f t="shared" si="35"/>
        <v>DRCBUK</v>
      </c>
      <c r="P120" s="218" t="str">
        <f t="shared" si="27"/>
        <v>AP21QR</v>
      </c>
      <c r="Q120" s="218" t="str">
        <f>""</f>
        <v/>
      </c>
      <c r="R120" s="218" t="str">
        <f>"PAPU"</f>
        <v>PAPU</v>
      </c>
      <c r="S120" s="218" t="str">
        <f t="shared" si="43"/>
        <v>026</v>
      </c>
      <c r="T120" s="218" t="str">
        <f t="shared" si="39"/>
        <v>D</v>
      </c>
      <c r="U120" s="218" t="str">
        <f t="shared" si="29"/>
        <v>AFR000</v>
      </c>
      <c r="V120" s="218" t="str">
        <f t="shared" si="30"/>
        <v>###</v>
      </c>
      <c r="W120" s="218">
        <v>210</v>
      </c>
      <c r="X120" s="218" t="str">
        <f t="shared" si="42"/>
        <v>USD</v>
      </c>
      <c r="Y120" s="218">
        <v>166.61</v>
      </c>
      <c r="Z120" s="218">
        <v>210</v>
      </c>
      <c r="AA120" s="218">
        <v>190.68</v>
      </c>
    </row>
    <row r="121" spans="1:27">
      <c r="A121" s="218" t="s">
        <v>2592</v>
      </c>
      <c r="F121" s="219" t="str">
        <f>"""IntAlert Live"",""ALERT UK"",""17"",""1"",""555855"""</f>
        <v>"IntAlert Live","ALERT UK","17","1","555855"</v>
      </c>
      <c r="G121" s="223">
        <v>43918</v>
      </c>
      <c r="H121" s="223"/>
      <c r="I121" s="218" t="str">
        <f>"DRCPARTNER/PSOL/AP21QR/2020/01"</f>
        <v>DRCPARTNER/PSOL/AP21QR/2020/01</v>
      </c>
      <c r="K121" s="218" t="str">
        <f>"MALIPO"</f>
        <v>MALIPO</v>
      </c>
      <c r="L121" s="218" t="str">
        <f>"Restauration  pdt Réunion des clubs de mentorat"</f>
        <v>Restauration  pdt Réunion des clubs de mentorat</v>
      </c>
      <c r="M121" s="218" t="str">
        <f t="shared" si="37"/>
        <v>6470</v>
      </c>
      <c r="N121" s="218" t="str">
        <f t="shared" si="38"/>
        <v>PARTNER - PROJECT/ACTIVITY</v>
      </c>
      <c r="O121" s="218" t="str">
        <f t="shared" si="35"/>
        <v>DRCBUK</v>
      </c>
      <c r="P121" s="218" t="str">
        <f t="shared" si="27"/>
        <v>AP21QR</v>
      </c>
      <c r="Q121" s="218" t="str">
        <f>""</f>
        <v/>
      </c>
      <c r="R121" s="218" t="str">
        <f>"PSOL"</f>
        <v>PSOL</v>
      </c>
      <c r="S121" s="218" t="str">
        <f t="shared" si="43"/>
        <v>026</v>
      </c>
      <c r="T121" s="218" t="str">
        <f t="shared" si="39"/>
        <v>D</v>
      </c>
      <c r="U121" s="218" t="str">
        <f t="shared" si="29"/>
        <v>AFR000</v>
      </c>
      <c r="V121" s="218" t="str">
        <f t="shared" si="30"/>
        <v>###</v>
      </c>
      <c r="W121" s="218">
        <v>160</v>
      </c>
      <c r="X121" s="218" t="str">
        <f t="shared" si="42"/>
        <v>USD</v>
      </c>
      <c r="Y121" s="218">
        <v>126.94</v>
      </c>
      <c r="Z121" s="218">
        <v>160</v>
      </c>
      <c r="AA121" s="218">
        <v>145.28</v>
      </c>
    </row>
    <row r="122" spans="1:27">
      <c r="A122" s="218" t="s">
        <v>2592</v>
      </c>
      <c r="F122" s="219" t="str">
        <f>"""IntAlert Live"",""ALERT UK"",""17"",""1"",""555856"""</f>
        <v>"IntAlert Live","ALERT UK","17","1","555856"</v>
      </c>
      <c r="G122" s="223">
        <v>43918</v>
      </c>
      <c r="H122" s="223"/>
      <c r="I122" s="218" t="str">
        <f>"DRCPARTNER/PSOL/AP21QR/2020/01"</f>
        <v>DRCPARTNER/PSOL/AP21QR/2020/01</v>
      </c>
      <c r="K122" s="218" t="str">
        <f>"MALIPO"</f>
        <v>MALIPO</v>
      </c>
      <c r="L122" s="218" t="str">
        <f>"Prime des facilitateurs  Réunion des clubs de mentorat"</f>
        <v>Prime des facilitateurs  Réunion des clubs de mentorat</v>
      </c>
      <c r="M122" s="218" t="str">
        <f t="shared" si="37"/>
        <v>6470</v>
      </c>
      <c r="N122" s="218" t="str">
        <f t="shared" si="38"/>
        <v>PARTNER - PROJECT/ACTIVITY</v>
      </c>
      <c r="O122" s="218" t="str">
        <f t="shared" si="35"/>
        <v>DRCBUK</v>
      </c>
      <c r="P122" s="218" t="str">
        <f t="shared" si="27"/>
        <v>AP21QR</v>
      </c>
      <c r="Q122" s="218" t="str">
        <f>""</f>
        <v/>
      </c>
      <c r="R122" s="218" t="str">
        <f>"PSOL"</f>
        <v>PSOL</v>
      </c>
      <c r="S122" s="218" t="str">
        <f t="shared" si="43"/>
        <v>026</v>
      </c>
      <c r="T122" s="218" t="str">
        <f t="shared" si="39"/>
        <v>D</v>
      </c>
      <c r="U122" s="218" t="str">
        <f t="shared" si="29"/>
        <v>AFR000</v>
      </c>
      <c r="V122" s="218" t="str">
        <f t="shared" si="30"/>
        <v>###</v>
      </c>
      <c r="W122" s="218">
        <v>100</v>
      </c>
      <c r="X122" s="218" t="str">
        <f t="shared" si="42"/>
        <v>USD</v>
      </c>
      <c r="Y122" s="218">
        <v>79.34</v>
      </c>
      <c r="Z122" s="218">
        <v>100</v>
      </c>
      <c r="AA122" s="218">
        <v>90.8</v>
      </c>
    </row>
    <row r="123" spans="1:27">
      <c r="A123" s="218" t="s">
        <v>2592</v>
      </c>
      <c r="F123" s="219" t="str">
        <f>"""IntAlert Live"",""ALERT UK"",""17"",""1"",""556037"""</f>
        <v>"IntAlert Live","ALERT UK","17","1","556037"</v>
      </c>
      <c r="G123" s="223">
        <v>43912</v>
      </c>
      <c r="H123" s="223"/>
      <c r="I123" s="218" t="str">
        <f>"DRCPARTNER/PBVE/AP21QR/2020/01"</f>
        <v>DRCPARTNER/PBVE/AP21QR/2020/01</v>
      </c>
      <c r="K123" s="218" t="str">
        <f>"REÇU"</f>
        <v>REÇU</v>
      </c>
      <c r="L123" s="218" t="str">
        <f>"Frais de facilitation reunion clubs club de mantorat à Bijombo"</f>
        <v>Frais de facilitation reunion clubs club de mantorat à Bijombo</v>
      </c>
      <c r="M123" s="218" t="str">
        <f t="shared" si="37"/>
        <v>6470</v>
      </c>
      <c r="N123" s="218" t="str">
        <f t="shared" si="38"/>
        <v>PARTNER - PROJECT/ACTIVITY</v>
      </c>
      <c r="O123" s="218" t="str">
        <f t="shared" ref="O123:O154" si="44">"DRCBUK"</f>
        <v>DRCBUK</v>
      </c>
      <c r="P123" s="218" t="str">
        <f t="shared" si="27"/>
        <v>AP21QR</v>
      </c>
      <c r="Q123" s="218" t="str">
        <f>""</f>
        <v/>
      </c>
      <c r="R123" s="218" t="str">
        <f>"PBVE"</f>
        <v>PBVE</v>
      </c>
      <c r="S123" s="218" t="str">
        <f t="shared" ref="S123:S129" si="45">"030"</f>
        <v>030</v>
      </c>
      <c r="T123" s="218" t="str">
        <f t="shared" si="39"/>
        <v>D</v>
      </c>
      <c r="U123" s="218" t="str">
        <f t="shared" si="29"/>
        <v>AFR000</v>
      </c>
      <c r="V123" s="218" t="str">
        <f t="shared" si="30"/>
        <v>###</v>
      </c>
      <c r="W123" s="218">
        <v>40</v>
      </c>
      <c r="X123" s="218" t="str">
        <f t="shared" si="42"/>
        <v>USD</v>
      </c>
      <c r="Y123" s="218">
        <v>31.74</v>
      </c>
      <c r="Z123" s="218">
        <v>40</v>
      </c>
      <c r="AA123" s="218">
        <v>36.32</v>
      </c>
    </row>
    <row r="124" spans="1:27">
      <c r="A124" s="218" t="s">
        <v>2592</v>
      </c>
      <c r="F124" s="219" t="str">
        <f>"""IntAlert Live"",""ALERT UK"",""17"",""1"",""556038"""</f>
        <v>"IntAlert Live","ALERT UK","17","1","556038"</v>
      </c>
      <c r="G124" s="223">
        <v>43912</v>
      </c>
      <c r="H124" s="223"/>
      <c r="I124" s="218" t="str">
        <f>"DRCPARTNER/PBVE/AP21QR/2020/01"</f>
        <v>DRCPARTNER/PBVE/AP21QR/2020/01</v>
      </c>
      <c r="K124" s="218" t="str">
        <f>"REÇU"</f>
        <v>REÇU</v>
      </c>
      <c r="L124" s="218" t="str">
        <f>"Frais location salle de reunion activité reunion clubs de mentorat à "</f>
        <v xml:space="preserve">Frais location salle de reunion activité reunion clubs de mentorat à </v>
      </c>
      <c r="M124" s="218" t="str">
        <f t="shared" si="37"/>
        <v>6470</v>
      </c>
      <c r="N124" s="218" t="str">
        <f t="shared" si="38"/>
        <v>PARTNER - PROJECT/ACTIVITY</v>
      </c>
      <c r="O124" s="218" t="str">
        <f t="shared" si="44"/>
        <v>DRCBUK</v>
      </c>
      <c r="P124" s="218" t="str">
        <f t="shared" si="27"/>
        <v>AP21QR</v>
      </c>
      <c r="Q124" s="218" t="str">
        <f>""</f>
        <v/>
      </c>
      <c r="R124" s="218" t="str">
        <f>"PBVE"</f>
        <v>PBVE</v>
      </c>
      <c r="S124" s="218" t="str">
        <f t="shared" si="45"/>
        <v>030</v>
      </c>
      <c r="T124" s="218" t="str">
        <f t="shared" si="39"/>
        <v>D</v>
      </c>
      <c r="U124" s="218" t="str">
        <f t="shared" si="29"/>
        <v>AFR000</v>
      </c>
      <c r="V124" s="218" t="str">
        <f t="shared" si="30"/>
        <v>###</v>
      </c>
      <c r="W124" s="218">
        <v>20</v>
      </c>
      <c r="X124" s="218" t="str">
        <f t="shared" si="42"/>
        <v>USD</v>
      </c>
      <c r="Y124" s="218">
        <v>15.87</v>
      </c>
      <c r="Z124" s="218">
        <v>20</v>
      </c>
      <c r="AA124" s="218">
        <v>18.16</v>
      </c>
    </row>
    <row r="125" spans="1:27">
      <c r="A125" s="218" t="s">
        <v>2592</v>
      </c>
      <c r="F125" s="219" t="str">
        <f>"""IntAlert Live"",""ALERT UK"",""17"",""1"",""555701"""</f>
        <v>"IntAlert Live","ALERT UK","17","1","555701"</v>
      </c>
      <c r="G125" s="223">
        <v>43913</v>
      </c>
      <c r="H125" s="223"/>
      <c r="I125" s="218" t="str">
        <f>"DRCPARTNER/PAPU/AP21QR/2020/01"</f>
        <v>DRCPARTNER/PAPU/AP21QR/2020/01</v>
      </c>
      <c r="K125" s="218" t="str">
        <f>"26E CLMC/KABINGO"</f>
        <v>26E CLMC/KABINGO</v>
      </c>
      <c r="L125" s="218" t="str">
        <f>"Location salle pr la réunion des clubs de mentorat à Basimunyaka Sud"</f>
        <v>Location salle pr la réunion des clubs de mentorat à Basimunyaka Sud</v>
      </c>
      <c r="M125" s="218" t="str">
        <f t="shared" si="37"/>
        <v>6470</v>
      </c>
      <c r="N125" s="218" t="str">
        <f t="shared" si="38"/>
        <v>PARTNER - PROJECT/ACTIVITY</v>
      </c>
      <c r="O125" s="218" t="str">
        <f t="shared" si="44"/>
        <v>DRCBUK</v>
      </c>
      <c r="P125" s="218" t="str">
        <f t="shared" si="27"/>
        <v>AP21QR</v>
      </c>
      <c r="Q125" s="218" t="str">
        <f>""</f>
        <v/>
      </c>
      <c r="R125" s="218" t="str">
        <f>"PAPU"</f>
        <v>PAPU</v>
      </c>
      <c r="S125" s="218" t="str">
        <f t="shared" si="45"/>
        <v>030</v>
      </c>
      <c r="T125" s="218" t="str">
        <f t="shared" si="39"/>
        <v>D</v>
      </c>
      <c r="U125" s="218" t="str">
        <f t="shared" si="29"/>
        <v>AFR000</v>
      </c>
      <c r="V125" s="218" t="str">
        <f t="shared" si="30"/>
        <v>###</v>
      </c>
      <c r="W125" s="218">
        <v>50</v>
      </c>
      <c r="X125" s="218" t="str">
        <f t="shared" si="42"/>
        <v>USD</v>
      </c>
      <c r="Y125" s="218">
        <v>39.67</v>
      </c>
      <c r="Z125" s="218">
        <v>50</v>
      </c>
      <c r="AA125" s="218">
        <v>45.4</v>
      </c>
    </row>
    <row r="126" spans="1:27">
      <c r="A126" s="218" t="s">
        <v>2592</v>
      </c>
      <c r="F126" s="219" t="str">
        <f>"""IntAlert Live"",""ALERT UK"",""17"",""1"",""555702"""</f>
        <v>"IntAlert Live","ALERT UK","17","1","555702"</v>
      </c>
      <c r="G126" s="223">
        <v>43913</v>
      </c>
      <c r="H126" s="223"/>
      <c r="I126" s="218" t="str">
        <f>"DRCPARTNER/PAPU/AP21QR/2020/01"</f>
        <v>DRCPARTNER/PAPU/AP21QR/2020/01</v>
      </c>
      <c r="K126" s="218" t="str">
        <f>"PAPETERIE BYOSE"</f>
        <v>PAPETERIE BYOSE</v>
      </c>
      <c r="L126" s="218" t="str">
        <f>"Achat matériels et fournitures de la réunion"</f>
        <v>Achat matériels et fournitures de la réunion</v>
      </c>
      <c r="M126" s="218" t="str">
        <f t="shared" si="37"/>
        <v>6470</v>
      </c>
      <c r="N126" s="218" t="str">
        <f t="shared" si="38"/>
        <v>PARTNER - PROJECT/ACTIVITY</v>
      </c>
      <c r="O126" s="218" t="str">
        <f t="shared" si="44"/>
        <v>DRCBUK</v>
      </c>
      <c r="P126" s="218" t="str">
        <f t="shared" si="27"/>
        <v>AP21QR</v>
      </c>
      <c r="Q126" s="218" t="str">
        <f>""</f>
        <v/>
      </c>
      <c r="R126" s="218" t="str">
        <f>"PAPU"</f>
        <v>PAPU</v>
      </c>
      <c r="S126" s="218" t="str">
        <f t="shared" si="45"/>
        <v>030</v>
      </c>
      <c r="T126" s="218" t="str">
        <f t="shared" si="39"/>
        <v>D</v>
      </c>
      <c r="U126" s="218" t="str">
        <f t="shared" si="29"/>
        <v>AFR000</v>
      </c>
      <c r="V126" s="218" t="str">
        <f t="shared" si="30"/>
        <v>###</v>
      </c>
      <c r="W126" s="218">
        <v>18</v>
      </c>
      <c r="X126" s="218" t="str">
        <f t="shared" si="42"/>
        <v>USD</v>
      </c>
      <c r="Y126" s="218">
        <v>14.28</v>
      </c>
      <c r="Z126" s="218">
        <v>18</v>
      </c>
      <c r="AA126" s="218">
        <v>16.34</v>
      </c>
    </row>
    <row r="127" spans="1:27">
      <c r="A127" s="218" t="s">
        <v>2592</v>
      </c>
      <c r="F127" s="219" t="str">
        <f>"""IntAlert Live"",""ALERT UK"",""17"",""1"",""555703"""</f>
        <v>"IntAlert Live","ALERT UK","17","1","555703"</v>
      </c>
      <c r="G127" s="223">
        <v>43913</v>
      </c>
      <c r="H127" s="223"/>
      <c r="I127" s="218" t="str">
        <f>"DRCPARTNER/PAPU/AP21QR/2020/01"</f>
        <v>DRCPARTNER/PAPU/AP21QR/2020/01</v>
      </c>
      <c r="K127" s="218" t="str">
        <f>"CO-FACILITATEURS"</f>
        <v>CO-FACILITATEURS</v>
      </c>
      <c r="L127" s="218" t="str">
        <f>"Frais de motivation co-facilitateurs"</f>
        <v>Frais de motivation co-facilitateurs</v>
      </c>
      <c r="M127" s="218" t="str">
        <f t="shared" si="37"/>
        <v>6470</v>
      </c>
      <c r="N127" s="218" t="str">
        <f t="shared" si="38"/>
        <v>PARTNER - PROJECT/ACTIVITY</v>
      </c>
      <c r="O127" s="218" t="str">
        <f t="shared" si="44"/>
        <v>DRCBUK</v>
      </c>
      <c r="P127" s="218" t="str">
        <f t="shared" si="27"/>
        <v>AP21QR</v>
      </c>
      <c r="Q127" s="218" t="str">
        <f>""</f>
        <v/>
      </c>
      <c r="R127" s="218" t="str">
        <f>"PAPU"</f>
        <v>PAPU</v>
      </c>
      <c r="S127" s="218" t="str">
        <f t="shared" si="45"/>
        <v>030</v>
      </c>
      <c r="T127" s="218" t="str">
        <f t="shared" si="39"/>
        <v>D</v>
      </c>
      <c r="U127" s="218" t="str">
        <f t="shared" si="29"/>
        <v>AFR000</v>
      </c>
      <c r="V127" s="218" t="str">
        <f t="shared" si="30"/>
        <v>###</v>
      </c>
      <c r="W127" s="218">
        <v>20</v>
      </c>
      <c r="X127" s="218" t="str">
        <f t="shared" si="42"/>
        <v>USD</v>
      </c>
      <c r="Y127" s="218">
        <v>15.87</v>
      </c>
      <c r="Z127" s="218">
        <v>20</v>
      </c>
      <c r="AA127" s="218">
        <v>18.16</v>
      </c>
    </row>
    <row r="128" spans="1:27">
      <c r="A128" s="218" t="s">
        <v>2592</v>
      </c>
      <c r="F128" s="219" t="str">
        <f>"""IntAlert Live"",""ALERT UK"",""17"",""1"",""555854"""</f>
        <v>"IntAlert Live","ALERT UK","17","1","555854"</v>
      </c>
      <c r="G128" s="223">
        <v>43918</v>
      </c>
      <c r="H128" s="223"/>
      <c r="I128" s="218" t="str">
        <f>"DRCPARTNER/PSOL/AP21QR/2020/01"</f>
        <v>DRCPARTNER/PSOL/AP21QR/2020/01</v>
      </c>
      <c r="K128" s="218" t="str">
        <f>"MALIPO"</f>
        <v>MALIPO</v>
      </c>
      <c r="L128" s="218" t="str">
        <f>"Materiels pédagogique pdt Réunion des clubs de mentorat"</f>
        <v>Materiels pédagogique pdt Réunion des clubs de mentorat</v>
      </c>
      <c r="M128" s="218" t="str">
        <f t="shared" si="37"/>
        <v>6470</v>
      </c>
      <c r="N128" s="218" t="str">
        <f t="shared" si="38"/>
        <v>PARTNER - PROJECT/ACTIVITY</v>
      </c>
      <c r="O128" s="218" t="str">
        <f t="shared" si="44"/>
        <v>DRCBUK</v>
      </c>
      <c r="P128" s="218" t="str">
        <f t="shared" si="27"/>
        <v>AP21QR</v>
      </c>
      <c r="Q128" s="218" t="str">
        <f>""</f>
        <v/>
      </c>
      <c r="R128" s="218" t="str">
        <f>"PSOL"</f>
        <v>PSOL</v>
      </c>
      <c r="S128" s="218" t="str">
        <f t="shared" si="45"/>
        <v>030</v>
      </c>
      <c r="T128" s="218" t="str">
        <f t="shared" si="39"/>
        <v>D</v>
      </c>
      <c r="U128" s="218" t="str">
        <f t="shared" si="29"/>
        <v>AFR000</v>
      </c>
      <c r="V128" s="218" t="str">
        <f t="shared" si="30"/>
        <v>###</v>
      </c>
      <c r="W128" s="218">
        <v>10</v>
      </c>
      <c r="X128" s="218" t="str">
        <f t="shared" si="42"/>
        <v>USD</v>
      </c>
      <c r="Y128" s="218">
        <v>7.93</v>
      </c>
      <c r="Z128" s="218">
        <v>10</v>
      </c>
      <c r="AA128" s="218">
        <v>9.08</v>
      </c>
    </row>
    <row r="129" spans="1:27">
      <c r="A129" s="218" t="s">
        <v>2592</v>
      </c>
      <c r="F129" s="219" t="str">
        <f>"""IntAlert Live"",""ALERT UK"",""17"",""1"",""555857"""</f>
        <v>"IntAlert Live","ALERT UK","17","1","555857"</v>
      </c>
      <c r="G129" s="223">
        <v>43918</v>
      </c>
      <c r="H129" s="223"/>
      <c r="I129" s="218" t="str">
        <f>"DRCPARTNER/PSOL/AP21QR/2020/01"</f>
        <v>DRCPARTNER/PSOL/AP21QR/2020/01</v>
      </c>
      <c r="K129" s="218" t="str">
        <f>"MALIPO"</f>
        <v>MALIPO</v>
      </c>
      <c r="L129" s="218" t="str">
        <f>"Transport pdt Réunion des clubs de mentorat"</f>
        <v>Transport pdt Réunion des clubs de mentorat</v>
      </c>
      <c r="M129" s="218" t="str">
        <f t="shared" si="37"/>
        <v>6470</v>
      </c>
      <c r="N129" s="218" t="str">
        <f t="shared" si="38"/>
        <v>PARTNER - PROJECT/ACTIVITY</v>
      </c>
      <c r="O129" s="218" t="str">
        <f t="shared" si="44"/>
        <v>DRCBUK</v>
      </c>
      <c r="P129" s="218" t="str">
        <f t="shared" si="27"/>
        <v>AP21QR</v>
      </c>
      <c r="Q129" s="218" t="str">
        <f>""</f>
        <v/>
      </c>
      <c r="R129" s="218" t="str">
        <f>"PSOL"</f>
        <v>PSOL</v>
      </c>
      <c r="S129" s="218" t="str">
        <f t="shared" si="45"/>
        <v>030</v>
      </c>
      <c r="T129" s="218" t="str">
        <f t="shared" si="39"/>
        <v>D</v>
      </c>
      <c r="U129" s="218" t="str">
        <f t="shared" si="29"/>
        <v>AFR000</v>
      </c>
      <c r="V129" s="218" t="str">
        <f t="shared" si="30"/>
        <v>###</v>
      </c>
      <c r="W129" s="218">
        <v>100</v>
      </c>
      <c r="X129" s="218" t="str">
        <f t="shared" si="42"/>
        <v>USD</v>
      </c>
      <c r="Y129" s="218">
        <v>79.34</v>
      </c>
      <c r="Z129" s="218">
        <v>100</v>
      </c>
      <c r="AA129" s="218">
        <v>90.8</v>
      </c>
    </row>
    <row r="130" spans="1:27">
      <c r="A130" s="218" t="s">
        <v>2592</v>
      </c>
      <c r="F130" s="219" t="str">
        <f>"""IntAlert Live"",""ALERT UK"",""17"",""1"",""556002"""</f>
        <v>"IntAlert Live","ALERT UK","17","1","556002"</v>
      </c>
      <c r="G130" s="223">
        <v>43951</v>
      </c>
      <c r="H130" s="223"/>
      <c r="I130" s="218" t="str">
        <f t="shared" ref="I130:I135" si="46">"DRCPARTNER/PBVE/AP21QR/2020/01"</f>
        <v>DRCPARTNER/PBVE/AP21QR/2020/01</v>
      </c>
      <c r="K130" s="218" t="str">
        <f>"MURHABAZI"</f>
        <v>MURHABAZI</v>
      </c>
      <c r="L130" s="218" t="str">
        <f>"Salaire Murhabazi Avril 2020"</f>
        <v>Salaire Murhabazi Avril 2020</v>
      </c>
      <c r="M130" s="218" t="str">
        <f t="shared" ref="M130:M135" si="47">"6410"</f>
        <v>6410</v>
      </c>
      <c r="N130" s="218" t="str">
        <f t="shared" ref="N130:N135" si="48">"PARTNER - EMPLOYMENT COST"</f>
        <v>PARTNER - EMPLOYMENT COST</v>
      </c>
      <c r="O130" s="218" t="str">
        <f t="shared" si="44"/>
        <v>DRCBUK</v>
      </c>
      <c r="P130" s="218" t="str">
        <f t="shared" si="27"/>
        <v>AP21QR</v>
      </c>
      <c r="Q130" s="218" t="str">
        <f>""</f>
        <v/>
      </c>
      <c r="R130" s="218" t="str">
        <f t="shared" ref="R130:R135" si="49">"PBVE"</f>
        <v>PBVE</v>
      </c>
      <c r="S130" s="218" t="str">
        <f t="shared" ref="S130:S135" si="50">"037"</f>
        <v>037</v>
      </c>
      <c r="T130" s="218" t="str">
        <f t="shared" si="39"/>
        <v>D</v>
      </c>
      <c r="U130" s="218" t="str">
        <f t="shared" si="29"/>
        <v>AFR000</v>
      </c>
      <c r="V130" s="218" t="str">
        <f t="shared" si="30"/>
        <v>###</v>
      </c>
      <c r="W130" s="218">
        <v>600</v>
      </c>
      <c r="X130" s="218" t="str">
        <f t="shared" si="42"/>
        <v>USD</v>
      </c>
      <c r="Y130" s="218">
        <v>476.03</v>
      </c>
      <c r="Z130" s="218">
        <v>600</v>
      </c>
      <c r="AA130" s="218">
        <v>544.79</v>
      </c>
    </row>
    <row r="131" spans="1:27">
      <c r="A131" s="218" t="s">
        <v>2592</v>
      </c>
      <c r="F131" s="219" t="str">
        <f>"""IntAlert Live"",""ALERT UK"",""17"",""1"",""556095"""</f>
        <v>"IntAlert Live","ALERT UK","17","1","556095"</v>
      </c>
      <c r="G131" s="223">
        <v>43951</v>
      </c>
      <c r="H131" s="223"/>
      <c r="I131" s="218" t="str">
        <f t="shared" si="46"/>
        <v>DRCPARTNER/PBVE/AP21QR/2020/01</v>
      </c>
      <c r="K131" s="218" t="str">
        <f>"RUKUMBUKA RODRUGUE"</f>
        <v>RUKUMBUKA RODRUGUE</v>
      </c>
      <c r="L131" s="218" t="str">
        <f>"Salaire Rukumbuzi superviseur de terrain Avril 2020"</f>
        <v>Salaire Rukumbuzi superviseur de terrain Avril 2020</v>
      </c>
      <c r="M131" s="218" t="str">
        <f t="shared" si="47"/>
        <v>6410</v>
      </c>
      <c r="N131" s="218" t="str">
        <f t="shared" si="48"/>
        <v>PARTNER - EMPLOYMENT COST</v>
      </c>
      <c r="O131" s="218" t="str">
        <f t="shared" si="44"/>
        <v>DRCBUK</v>
      </c>
      <c r="P131" s="218" t="str">
        <f t="shared" si="27"/>
        <v>AP21QR</v>
      </c>
      <c r="Q131" s="218" t="str">
        <f>""</f>
        <v/>
      </c>
      <c r="R131" s="218" t="str">
        <f t="shared" si="49"/>
        <v>PBVE</v>
      </c>
      <c r="S131" s="218" t="str">
        <f t="shared" si="50"/>
        <v>037</v>
      </c>
      <c r="T131" s="218" t="str">
        <f t="shared" si="39"/>
        <v>D</v>
      </c>
      <c r="U131" s="218" t="str">
        <f t="shared" si="29"/>
        <v>AFR000</v>
      </c>
      <c r="V131" s="218" t="str">
        <f t="shared" si="30"/>
        <v>###</v>
      </c>
      <c r="W131" s="218">
        <v>450</v>
      </c>
      <c r="X131" s="218" t="str">
        <f t="shared" si="42"/>
        <v>USD</v>
      </c>
      <c r="Y131" s="218">
        <v>357.02</v>
      </c>
      <c r="Z131" s="218">
        <v>450</v>
      </c>
      <c r="AA131" s="218">
        <v>408.59</v>
      </c>
    </row>
    <row r="132" spans="1:27">
      <c r="A132" s="218" t="s">
        <v>2592</v>
      </c>
      <c r="F132" s="219" t="str">
        <f>"""IntAlert Live"",""ALERT UK"",""17"",""1"",""556097"""</f>
        <v>"IntAlert Live","ALERT UK","17","1","556097"</v>
      </c>
      <c r="G132" s="223">
        <v>43951</v>
      </c>
      <c r="H132" s="223"/>
      <c r="I132" s="218" t="str">
        <f t="shared" si="46"/>
        <v>DRCPARTNER/PBVE/AP21QR/2020/01</v>
      </c>
      <c r="K132" s="218" t="str">
        <f>"BYARUREMA SAMSO"</f>
        <v>BYARUREMA SAMSO</v>
      </c>
      <c r="L132" s="218" t="str">
        <f>"Byarurema Animateurs de terrain Avril 2020 (Bijombo)"</f>
        <v>Byarurema Animateurs de terrain Avril 2020 (Bijombo)</v>
      </c>
      <c r="M132" s="218" t="str">
        <f t="shared" si="47"/>
        <v>6410</v>
      </c>
      <c r="N132" s="218" t="str">
        <f t="shared" si="48"/>
        <v>PARTNER - EMPLOYMENT COST</v>
      </c>
      <c r="O132" s="218" t="str">
        <f t="shared" si="44"/>
        <v>DRCBUK</v>
      </c>
      <c r="P132" s="218" t="str">
        <f t="shared" si="27"/>
        <v>AP21QR</v>
      </c>
      <c r="Q132" s="218" t="str">
        <f>""</f>
        <v/>
      </c>
      <c r="R132" s="218" t="str">
        <f t="shared" si="49"/>
        <v>PBVE</v>
      </c>
      <c r="S132" s="218" t="str">
        <f t="shared" si="50"/>
        <v>037</v>
      </c>
      <c r="T132" s="218" t="str">
        <f t="shared" si="39"/>
        <v>D</v>
      </c>
      <c r="U132" s="218" t="str">
        <f t="shared" si="29"/>
        <v>AFR000</v>
      </c>
      <c r="V132" s="218" t="str">
        <f t="shared" si="30"/>
        <v>###</v>
      </c>
      <c r="W132" s="218">
        <v>250</v>
      </c>
      <c r="X132" s="218" t="str">
        <f t="shared" si="42"/>
        <v>USD</v>
      </c>
      <c r="Y132" s="218">
        <v>198.35</v>
      </c>
      <c r="Z132" s="218">
        <v>250</v>
      </c>
      <c r="AA132" s="218">
        <v>227</v>
      </c>
    </row>
    <row r="133" spans="1:27">
      <c r="A133" s="218" t="s">
        <v>2592</v>
      </c>
      <c r="F133" s="219" t="str">
        <f>"""IntAlert Live"",""ALERT UK"",""17"",""1"",""556098"""</f>
        <v>"IntAlert Live","ALERT UK","17","1","556098"</v>
      </c>
      <c r="G133" s="223">
        <v>43951</v>
      </c>
      <c r="H133" s="223"/>
      <c r="I133" s="218" t="str">
        <f t="shared" si="46"/>
        <v>DRCPARTNER/PBVE/AP21QR/2020/01</v>
      </c>
      <c r="K133" s="218" t="str">
        <f>"NGONGO SAWAKE"</f>
        <v>NGONGO SAWAKE</v>
      </c>
      <c r="L133" s="218" t="str">
        <f>"Ngonge Animateurs de terrain Avril  2020 (Bijombo)"</f>
        <v>Ngonge Animateurs de terrain Avril  2020 (Bijombo)</v>
      </c>
      <c r="M133" s="218" t="str">
        <f t="shared" si="47"/>
        <v>6410</v>
      </c>
      <c r="N133" s="218" t="str">
        <f t="shared" si="48"/>
        <v>PARTNER - EMPLOYMENT COST</v>
      </c>
      <c r="O133" s="218" t="str">
        <f t="shared" si="44"/>
        <v>DRCBUK</v>
      </c>
      <c r="P133" s="218" t="str">
        <f t="shared" si="27"/>
        <v>AP21QR</v>
      </c>
      <c r="Q133" s="218" t="str">
        <f>""</f>
        <v/>
      </c>
      <c r="R133" s="218" t="str">
        <f t="shared" si="49"/>
        <v>PBVE</v>
      </c>
      <c r="S133" s="218" t="str">
        <f t="shared" si="50"/>
        <v>037</v>
      </c>
      <c r="T133" s="218" t="str">
        <f t="shared" si="39"/>
        <v>D</v>
      </c>
      <c r="U133" s="218" t="str">
        <f t="shared" si="29"/>
        <v>AFR000</v>
      </c>
      <c r="V133" s="218" t="str">
        <f t="shared" si="30"/>
        <v>###</v>
      </c>
      <c r="W133" s="218">
        <v>250</v>
      </c>
      <c r="X133" s="218" t="str">
        <f t="shared" si="42"/>
        <v>USD</v>
      </c>
      <c r="Y133" s="218">
        <v>198.35</v>
      </c>
      <c r="Z133" s="218">
        <v>250</v>
      </c>
      <c r="AA133" s="218">
        <v>227</v>
      </c>
    </row>
    <row r="134" spans="1:27">
      <c r="A134" s="218" t="s">
        <v>2592</v>
      </c>
      <c r="F134" s="219" t="str">
        <f>"""IntAlert Live"",""ALERT UK"",""17"",""1"",""556099"""</f>
        <v>"IntAlert Live","ALERT UK","17","1","556099"</v>
      </c>
      <c r="G134" s="223">
        <v>43951</v>
      </c>
      <c r="H134" s="223"/>
      <c r="I134" s="218" t="str">
        <f t="shared" si="46"/>
        <v>DRCPARTNER/PBVE/AP21QR/2020/01</v>
      </c>
      <c r="K134" s="218" t="str">
        <f>"FICHE DE PAIE SALAIRE MENSUEL"</f>
        <v>FICHE DE PAIE SALAIRE MENSUEL</v>
      </c>
      <c r="L134" s="218" t="str">
        <f>"Salaire Bukuru Animateurs de terrain Avril 2020 (Bijombo)"</f>
        <v>Salaire Bukuru Animateurs de terrain Avril 2020 (Bijombo)</v>
      </c>
      <c r="M134" s="218" t="str">
        <f t="shared" si="47"/>
        <v>6410</v>
      </c>
      <c r="N134" s="218" t="str">
        <f t="shared" si="48"/>
        <v>PARTNER - EMPLOYMENT COST</v>
      </c>
      <c r="O134" s="218" t="str">
        <f t="shared" si="44"/>
        <v>DRCBUK</v>
      </c>
      <c r="P134" s="218" t="str">
        <f t="shared" si="27"/>
        <v>AP21QR</v>
      </c>
      <c r="Q134" s="218" t="str">
        <f>""</f>
        <v/>
      </c>
      <c r="R134" s="218" t="str">
        <f t="shared" si="49"/>
        <v>PBVE</v>
      </c>
      <c r="S134" s="218" t="str">
        <f t="shared" si="50"/>
        <v>037</v>
      </c>
      <c r="T134" s="218" t="str">
        <f t="shared" si="39"/>
        <v>D</v>
      </c>
      <c r="U134" s="218" t="str">
        <f t="shared" si="29"/>
        <v>AFR000</v>
      </c>
      <c r="V134" s="218" t="str">
        <f t="shared" si="30"/>
        <v>###</v>
      </c>
      <c r="W134" s="218">
        <v>250</v>
      </c>
      <c r="X134" s="218" t="str">
        <f t="shared" si="42"/>
        <v>USD</v>
      </c>
      <c r="Y134" s="218">
        <v>198.35</v>
      </c>
      <c r="Z134" s="218">
        <v>250</v>
      </c>
      <c r="AA134" s="218">
        <v>227</v>
      </c>
    </row>
    <row r="135" spans="1:27">
      <c r="A135" s="218" t="s">
        <v>2592</v>
      </c>
      <c r="F135" s="219" t="str">
        <f>"""IntAlert Live"",""ALERT UK"",""17"",""1"",""556100"""</f>
        <v>"IntAlert Live","ALERT UK","17","1","556100"</v>
      </c>
      <c r="G135" s="223">
        <v>43951</v>
      </c>
      <c r="H135" s="223"/>
      <c r="I135" s="218" t="str">
        <f t="shared" si="46"/>
        <v>DRCPARTNER/PBVE/AP21QR/2020/01</v>
      </c>
      <c r="K135" s="218" t="str">
        <f>"MWIZERWA CHARLES"</f>
        <v>MWIZERWA CHARLES</v>
      </c>
      <c r="L135" s="218" t="str">
        <f>"Salaire Mwizerwa Animateurs de terrain Avril 2020(Bijombo)"</f>
        <v>Salaire Mwizerwa Animateurs de terrain Avril 2020(Bijombo)</v>
      </c>
      <c r="M135" s="218" t="str">
        <f t="shared" si="47"/>
        <v>6410</v>
      </c>
      <c r="N135" s="218" t="str">
        <f t="shared" si="48"/>
        <v>PARTNER - EMPLOYMENT COST</v>
      </c>
      <c r="O135" s="218" t="str">
        <f t="shared" si="44"/>
        <v>DRCBUK</v>
      </c>
      <c r="P135" s="218" t="str">
        <f t="shared" ref="P135:P198" si="51">"AP21QR"</f>
        <v>AP21QR</v>
      </c>
      <c r="Q135" s="218" t="str">
        <f>""</f>
        <v/>
      </c>
      <c r="R135" s="218" t="str">
        <f t="shared" si="49"/>
        <v>PBVE</v>
      </c>
      <c r="S135" s="218" t="str">
        <f t="shared" si="50"/>
        <v>037</v>
      </c>
      <c r="T135" s="218" t="str">
        <f t="shared" ref="T135:T166" si="52">"D"</f>
        <v>D</v>
      </c>
      <c r="U135" s="218" t="str">
        <f t="shared" ref="U135:U198" si="53">"AFR000"</f>
        <v>AFR000</v>
      </c>
      <c r="V135" s="218" t="str">
        <f t="shared" ref="V135:V198" si="54">"###"</f>
        <v>###</v>
      </c>
      <c r="W135" s="218">
        <v>250</v>
      </c>
      <c r="X135" s="218" t="str">
        <f t="shared" si="42"/>
        <v>USD</v>
      </c>
      <c r="Y135" s="218">
        <v>198.35</v>
      </c>
      <c r="Z135" s="218">
        <v>250</v>
      </c>
      <c r="AA135" s="218">
        <v>227</v>
      </c>
    </row>
    <row r="136" spans="1:27">
      <c r="A136" s="218" t="s">
        <v>2592</v>
      </c>
      <c r="F136" s="219" t="str">
        <f>"""IntAlert Live"",""ALERT UK"",""17"",""1"",""555909"""</f>
        <v>"IntAlert Live","ALERT UK","17","1","555909"</v>
      </c>
      <c r="G136" s="223">
        <v>43951</v>
      </c>
      <c r="H136" s="223"/>
      <c r="I136" s="218" t="str">
        <f>"DRCPARTNER/PSOL/AP21QR/2020/01"</f>
        <v>DRCPARTNER/PSOL/AP21QR/2020/01</v>
      </c>
      <c r="K136" s="218" t="str">
        <f>"MALIPO"</f>
        <v>MALIPO</v>
      </c>
      <c r="L136" s="218" t="str">
        <f>"Transport pdt sensibilisation sur le dialogue entre jeunes et parents"</f>
        <v>Transport pdt sensibilisation sur le dialogue entre jeunes et parents</v>
      </c>
      <c r="M136" s="218" t="str">
        <f t="shared" ref="M136:M166" si="55">"6470"</f>
        <v>6470</v>
      </c>
      <c r="N136" s="218" t="str">
        <f t="shared" ref="N136:N166" si="56">"PARTNER - PROJECT/ACTIVITY"</f>
        <v>PARTNER - PROJECT/ACTIVITY</v>
      </c>
      <c r="O136" s="218" t="str">
        <f t="shared" si="44"/>
        <v>DRCBUK</v>
      </c>
      <c r="P136" s="218" t="str">
        <f t="shared" si="51"/>
        <v>AP21QR</v>
      </c>
      <c r="Q136" s="218" t="str">
        <f>""</f>
        <v/>
      </c>
      <c r="R136" s="218" t="str">
        <f>"PSOL"</f>
        <v>PSOL</v>
      </c>
      <c r="S136" s="218" t="str">
        <f>"039"</f>
        <v>039</v>
      </c>
      <c r="T136" s="218" t="str">
        <f t="shared" si="52"/>
        <v>D</v>
      </c>
      <c r="U136" s="218" t="str">
        <f t="shared" si="53"/>
        <v>AFR000</v>
      </c>
      <c r="V136" s="218" t="str">
        <f t="shared" si="54"/>
        <v>###</v>
      </c>
      <c r="W136" s="218">
        <v>800</v>
      </c>
      <c r="X136" s="218" t="str">
        <f t="shared" si="42"/>
        <v>USD</v>
      </c>
      <c r="Y136" s="218">
        <v>634.71</v>
      </c>
      <c r="Z136" s="218">
        <v>800</v>
      </c>
      <c r="AA136" s="218">
        <v>726.39</v>
      </c>
    </row>
    <row r="137" spans="1:27">
      <c r="A137" s="218" t="s">
        <v>2592</v>
      </c>
      <c r="F137" s="219" t="str">
        <f>"""IntAlert Live"",""ALERT UK"",""17"",""1"",""555910"""</f>
        <v>"IntAlert Live","ALERT UK","17","1","555910"</v>
      </c>
      <c r="G137" s="223">
        <v>43951</v>
      </c>
      <c r="H137" s="223"/>
      <c r="I137" s="218" t="str">
        <f>"DRCPARTNER/PSOL/AP21QR/2020/01"</f>
        <v>DRCPARTNER/PSOL/AP21QR/2020/01</v>
      </c>
      <c r="K137" s="218" t="str">
        <f>"MALIPO"</f>
        <v>MALIPO</v>
      </c>
      <c r="L137" s="218" t="str">
        <f>"Location salle pdt sensibilisation sur le dialogue entre jeunes et parents"</f>
        <v>Location salle pdt sensibilisation sur le dialogue entre jeunes et parents</v>
      </c>
      <c r="M137" s="218" t="str">
        <f t="shared" si="55"/>
        <v>6470</v>
      </c>
      <c r="N137" s="218" t="str">
        <f t="shared" si="56"/>
        <v>PARTNER - PROJECT/ACTIVITY</v>
      </c>
      <c r="O137" s="218" t="str">
        <f t="shared" si="44"/>
        <v>DRCBUK</v>
      </c>
      <c r="P137" s="218" t="str">
        <f t="shared" si="51"/>
        <v>AP21QR</v>
      </c>
      <c r="Q137" s="218" t="str">
        <f>""</f>
        <v/>
      </c>
      <c r="R137" s="218" t="str">
        <f>"PSOL"</f>
        <v>PSOL</v>
      </c>
      <c r="S137" s="218" t="str">
        <f>"039"</f>
        <v>039</v>
      </c>
      <c r="T137" s="218" t="str">
        <f t="shared" si="52"/>
        <v>D</v>
      </c>
      <c r="U137" s="218" t="str">
        <f t="shared" si="53"/>
        <v>AFR000</v>
      </c>
      <c r="V137" s="218" t="str">
        <f t="shared" si="54"/>
        <v>###</v>
      </c>
      <c r="W137" s="218">
        <v>120</v>
      </c>
      <c r="X137" s="218" t="str">
        <f t="shared" si="42"/>
        <v>USD</v>
      </c>
      <c r="Y137" s="218">
        <v>95.21</v>
      </c>
      <c r="Z137" s="218">
        <v>120</v>
      </c>
      <c r="AA137" s="218">
        <v>108.96</v>
      </c>
    </row>
    <row r="138" spans="1:27">
      <c r="A138" s="218" t="s">
        <v>2592</v>
      </c>
      <c r="F138" s="219" t="str">
        <f>"""IntAlert Live"",""ALERT UK"",""17"",""1"",""555911"""</f>
        <v>"IntAlert Live","ALERT UK","17","1","555911"</v>
      </c>
      <c r="G138" s="223">
        <v>43951</v>
      </c>
      <c r="H138" s="223"/>
      <c r="I138" s="218" t="str">
        <f>"DRCPARTNER/PSOL/AP21QR/2020/01"</f>
        <v>DRCPARTNER/PSOL/AP21QR/2020/01</v>
      </c>
      <c r="K138" s="218" t="str">
        <f>"MALIPO"</f>
        <v>MALIPO</v>
      </c>
      <c r="L138" s="218" t="str">
        <f>"Restauration pdt sensibilisation sur le dialogue entre jeunes et parents"</f>
        <v>Restauration pdt sensibilisation sur le dialogue entre jeunes et parents</v>
      </c>
      <c r="M138" s="218" t="str">
        <f t="shared" si="55"/>
        <v>6470</v>
      </c>
      <c r="N138" s="218" t="str">
        <f t="shared" si="56"/>
        <v>PARTNER - PROJECT/ACTIVITY</v>
      </c>
      <c r="O138" s="218" t="str">
        <f t="shared" si="44"/>
        <v>DRCBUK</v>
      </c>
      <c r="P138" s="218" t="str">
        <f t="shared" si="51"/>
        <v>AP21QR</v>
      </c>
      <c r="Q138" s="218" t="str">
        <f>""</f>
        <v/>
      </c>
      <c r="R138" s="218" t="str">
        <f>"PSOL"</f>
        <v>PSOL</v>
      </c>
      <c r="S138" s="218" t="str">
        <f>"039"</f>
        <v>039</v>
      </c>
      <c r="T138" s="218" t="str">
        <f t="shared" si="52"/>
        <v>D</v>
      </c>
      <c r="U138" s="218" t="str">
        <f t="shared" si="53"/>
        <v>AFR000</v>
      </c>
      <c r="V138" s="218" t="str">
        <f t="shared" si="54"/>
        <v>###</v>
      </c>
      <c r="W138" s="218">
        <v>400</v>
      </c>
      <c r="X138" s="218" t="str">
        <f t="shared" si="42"/>
        <v>USD</v>
      </c>
      <c r="Y138" s="218">
        <v>317.35000000000002</v>
      </c>
      <c r="Z138" s="218">
        <v>400</v>
      </c>
      <c r="AA138" s="218">
        <v>363.19</v>
      </c>
    </row>
    <row r="139" spans="1:27">
      <c r="A139" s="218" t="s">
        <v>2592</v>
      </c>
      <c r="F139" s="219" t="str">
        <f>"""IntAlert Live"",""ALERT UK"",""17"",""1"",""556048"""</f>
        <v>"IntAlert Live","ALERT UK","17","1","556048"</v>
      </c>
      <c r="G139" s="223">
        <v>43924</v>
      </c>
      <c r="H139" s="223"/>
      <c r="I139" s="218" t="str">
        <f t="shared" ref="I139:I162" si="57">"DRCPARTNER/PBVE/AP21QR/2020/01"</f>
        <v>DRCPARTNER/PBVE/AP21QR/2020/01</v>
      </c>
      <c r="K139" s="218" t="str">
        <f>"FACTURE"</f>
        <v>FACTURE</v>
      </c>
      <c r="L139" s="218" t="str">
        <f>"Achat matreiels pedagogique pour les activité"</f>
        <v>Achat matreiels pedagogique pour les activité</v>
      </c>
      <c r="M139" s="218" t="str">
        <f t="shared" si="55"/>
        <v>6470</v>
      </c>
      <c r="N139" s="218" t="str">
        <f t="shared" si="56"/>
        <v>PARTNER - PROJECT/ACTIVITY</v>
      </c>
      <c r="O139" s="218" t="str">
        <f t="shared" si="44"/>
        <v>DRCBUK</v>
      </c>
      <c r="P139" s="218" t="str">
        <f t="shared" si="51"/>
        <v>AP21QR</v>
      </c>
      <c r="Q139" s="218" t="str">
        <f>""</f>
        <v/>
      </c>
      <c r="R139" s="218" t="str">
        <f t="shared" ref="R139:R162" si="58">"PBVE"</f>
        <v>PBVE</v>
      </c>
      <c r="S139" s="218" t="str">
        <f t="shared" ref="S139:S166" si="59">"040"</f>
        <v>040</v>
      </c>
      <c r="T139" s="218" t="str">
        <f t="shared" si="52"/>
        <v>D</v>
      </c>
      <c r="U139" s="218" t="str">
        <f t="shared" si="53"/>
        <v>AFR000</v>
      </c>
      <c r="V139" s="218" t="str">
        <f t="shared" si="54"/>
        <v>###</v>
      </c>
      <c r="W139" s="218">
        <v>130</v>
      </c>
      <c r="X139" s="218" t="str">
        <f t="shared" si="42"/>
        <v>USD</v>
      </c>
      <c r="Y139" s="218">
        <v>103.14</v>
      </c>
      <c r="Z139" s="218">
        <v>130</v>
      </c>
      <c r="AA139" s="218">
        <v>118.04</v>
      </c>
    </row>
    <row r="140" spans="1:27">
      <c r="A140" s="218" t="s">
        <v>2592</v>
      </c>
      <c r="F140" s="219" t="str">
        <f>"""IntAlert Live"",""ALERT UK"",""17"",""1"",""556049"""</f>
        <v>"IntAlert Live","ALERT UK","17","1","556049"</v>
      </c>
      <c r="G140" s="223">
        <v>43924</v>
      </c>
      <c r="H140" s="223"/>
      <c r="I140" s="218" t="str">
        <f t="shared" si="57"/>
        <v>DRCPARTNER/PBVE/AP21QR/2020/01</v>
      </c>
      <c r="K140" s="218" t="str">
        <f>"FACTURE"</f>
        <v>FACTURE</v>
      </c>
      <c r="L140" s="218" t="str">
        <f>"Impression calicot pour l'activité"</f>
        <v>Impression calicot pour l'activité</v>
      </c>
      <c r="M140" s="218" t="str">
        <f t="shared" si="55"/>
        <v>6470</v>
      </c>
      <c r="N140" s="218" t="str">
        <f t="shared" si="56"/>
        <v>PARTNER - PROJECT/ACTIVITY</v>
      </c>
      <c r="O140" s="218" t="str">
        <f t="shared" si="44"/>
        <v>DRCBUK</v>
      </c>
      <c r="P140" s="218" t="str">
        <f t="shared" si="51"/>
        <v>AP21QR</v>
      </c>
      <c r="Q140" s="218" t="str">
        <f>""</f>
        <v/>
      </c>
      <c r="R140" s="218" t="str">
        <f t="shared" si="58"/>
        <v>PBVE</v>
      </c>
      <c r="S140" s="218" t="str">
        <f t="shared" si="59"/>
        <v>040</v>
      </c>
      <c r="T140" s="218" t="str">
        <f t="shared" si="52"/>
        <v>D</v>
      </c>
      <c r="U140" s="218" t="str">
        <f t="shared" si="53"/>
        <v>AFR000</v>
      </c>
      <c r="V140" s="218" t="str">
        <f t="shared" si="54"/>
        <v>###</v>
      </c>
      <c r="W140" s="218">
        <v>30</v>
      </c>
      <c r="X140" s="218" t="str">
        <f t="shared" si="42"/>
        <v>USD</v>
      </c>
      <c r="Y140" s="218">
        <v>23.8</v>
      </c>
      <c r="Z140" s="218">
        <v>30</v>
      </c>
      <c r="AA140" s="218">
        <v>27.24</v>
      </c>
    </row>
    <row r="141" spans="1:27">
      <c r="A141" s="218" t="s">
        <v>2592</v>
      </c>
      <c r="F141" s="219" t="str">
        <f>"""IntAlert Live"",""ALERT UK"",""17"",""1"",""556054"""</f>
        <v>"IntAlert Live","ALERT UK","17","1","556054"</v>
      </c>
      <c r="G141" s="223">
        <v>43929</v>
      </c>
      <c r="H141" s="223"/>
      <c r="I141" s="218" t="str">
        <f t="shared" si="57"/>
        <v>DRCPARTNER/PBVE/AP21QR/2020/01</v>
      </c>
      <c r="K141" s="218" t="str">
        <f>"REÇU"</f>
        <v>REÇU</v>
      </c>
      <c r="L141" s="218" t="str">
        <f>"Paiement frais de transport uvira- bijombo,transport local au terrain "</f>
        <v xml:space="preserve">Paiement frais de transport uvira- bijombo,transport local au terrain </v>
      </c>
      <c r="M141" s="218" t="str">
        <f t="shared" si="55"/>
        <v>6470</v>
      </c>
      <c r="N141" s="218" t="str">
        <f t="shared" si="56"/>
        <v>PARTNER - PROJECT/ACTIVITY</v>
      </c>
      <c r="O141" s="218" t="str">
        <f t="shared" si="44"/>
        <v>DRCBUK</v>
      </c>
      <c r="P141" s="218" t="str">
        <f t="shared" si="51"/>
        <v>AP21QR</v>
      </c>
      <c r="Q141" s="218" t="str">
        <f>""</f>
        <v/>
      </c>
      <c r="R141" s="218" t="str">
        <f t="shared" si="58"/>
        <v>PBVE</v>
      </c>
      <c r="S141" s="218" t="str">
        <f t="shared" si="59"/>
        <v>040</v>
      </c>
      <c r="T141" s="218" t="str">
        <f t="shared" si="52"/>
        <v>D</v>
      </c>
      <c r="U141" s="218" t="str">
        <f t="shared" si="53"/>
        <v>AFR000</v>
      </c>
      <c r="V141" s="218" t="str">
        <f t="shared" si="54"/>
        <v>###</v>
      </c>
      <c r="W141" s="218">
        <v>150</v>
      </c>
      <c r="X141" s="218" t="str">
        <f t="shared" si="42"/>
        <v>USD</v>
      </c>
      <c r="Y141" s="218">
        <v>119.01</v>
      </c>
      <c r="Z141" s="218">
        <v>150</v>
      </c>
      <c r="AA141" s="218">
        <v>136.19999999999999</v>
      </c>
    </row>
    <row r="142" spans="1:27">
      <c r="A142" s="218" t="s">
        <v>2592</v>
      </c>
      <c r="F142" s="219" t="str">
        <f>"""IntAlert Live"",""ALERT UK"",""17"",""1"",""556058"""</f>
        <v>"IntAlert Live","ALERT UK","17","1","556058"</v>
      </c>
      <c r="G142" s="223">
        <v>43932</v>
      </c>
      <c r="H142" s="223"/>
      <c r="I142" s="218" t="str">
        <f t="shared" si="57"/>
        <v>DRCPARTNER/PBVE/AP21QR/2020/01</v>
      </c>
      <c r="K142" s="218" t="str">
        <f>"REÇU"</f>
        <v>REÇU</v>
      </c>
      <c r="L142" s="218" t="str">
        <f>"location salle de reunion entre jeunes et parants à Binjigi"</f>
        <v>location salle de reunion entre jeunes et parants à Binjigi</v>
      </c>
      <c r="M142" s="218" t="str">
        <f t="shared" si="55"/>
        <v>6470</v>
      </c>
      <c r="N142" s="218" t="str">
        <f t="shared" si="56"/>
        <v>PARTNER - PROJECT/ACTIVITY</v>
      </c>
      <c r="O142" s="218" t="str">
        <f t="shared" si="44"/>
        <v>DRCBUK</v>
      </c>
      <c r="P142" s="218" t="str">
        <f t="shared" si="51"/>
        <v>AP21QR</v>
      </c>
      <c r="Q142" s="218" t="str">
        <f>""</f>
        <v/>
      </c>
      <c r="R142" s="218" t="str">
        <f t="shared" si="58"/>
        <v>PBVE</v>
      </c>
      <c r="S142" s="218" t="str">
        <f t="shared" si="59"/>
        <v>040</v>
      </c>
      <c r="T142" s="218" t="str">
        <f t="shared" si="52"/>
        <v>D</v>
      </c>
      <c r="U142" s="218" t="str">
        <f t="shared" si="53"/>
        <v>AFR000</v>
      </c>
      <c r="V142" s="218" t="str">
        <f t="shared" si="54"/>
        <v>###</v>
      </c>
      <c r="W142" s="218">
        <v>10</v>
      </c>
      <c r="X142" s="218" t="str">
        <f t="shared" si="42"/>
        <v>USD</v>
      </c>
      <c r="Y142" s="218">
        <v>7.93</v>
      </c>
      <c r="Z142" s="218">
        <v>10</v>
      </c>
      <c r="AA142" s="218">
        <v>9.08</v>
      </c>
    </row>
    <row r="143" spans="1:27">
      <c r="A143" s="218" t="s">
        <v>2592</v>
      </c>
      <c r="F143" s="219" t="str">
        <f>"""IntAlert Live"",""ALERT UK"",""17"",""1"",""556059"""</f>
        <v>"IntAlert Live","ALERT UK","17","1","556059"</v>
      </c>
      <c r="G143" s="223">
        <v>43932</v>
      </c>
      <c r="H143" s="223"/>
      <c r="I143" s="218" t="str">
        <f t="shared" si="57"/>
        <v>DRCPARTNER/PBVE/AP21QR/2020/01</v>
      </c>
      <c r="K143" s="218" t="str">
        <f>"REÇU"</f>
        <v>REÇU</v>
      </c>
      <c r="L143" s="218" t="str">
        <f>"Paiement frais facilitation reunion des jeunes entre parents à Binjgi"</f>
        <v>Paiement frais facilitation reunion des jeunes entre parents à Binjgi</v>
      </c>
      <c r="M143" s="218" t="str">
        <f t="shared" si="55"/>
        <v>6470</v>
      </c>
      <c r="N143" s="218" t="str">
        <f t="shared" si="56"/>
        <v>PARTNER - PROJECT/ACTIVITY</v>
      </c>
      <c r="O143" s="218" t="str">
        <f t="shared" si="44"/>
        <v>DRCBUK</v>
      </c>
      <c r="P143" s="218" t="str">
        <f t="shared" si="51"/>
        <v>AP21QR</v>
      </c>
      <c r="Q143" s="218" t="str">
        <f>""</f>
        <v/>
      </c>
      <c r="R143" s="218" t="str">
        <f t="shared" si="58"/>
        <v>PBVE</v>
      </c>
      <c r="S143" s="218" t="str">
        <f t="shared" si="59"/>
        <v>040</v>
      </c>
      <c r="T143" s="218" t="str">
        <f t="shared" si="52"/>
        <v>D</v>
      </c>
      <c r="U143" s="218" t="str">
        <f t="shared" si="53"/>
        <v>AFR000</v>
      </c>
      <c r="V143" s="218" t="str">
        <f t="shared" si="54"/>
        <v>###</v>
      </c>
      <c r="W143" s="218">
        <v>25</v>
      </c>
      <c r="X143" s="218" t="str">
        <f t="shared" ref="X143:X174" si="60">"USD"</f>
        <v>USD</v>
      </c>
      <c r="Y143" s="218">
        <v>19.829999999999998</v>
      </c>
      <c r="Z143" s="218">
        <v>25</v>
      </c>
      <c r="AA143" s="218">
        <v>22.69</v>
      </c>
    </row>
    <row r="144" spans="1:27">
      <c r="A144" s="218" t="s">
        <v>2592</v>
      </c>
      <c r="F144" s="219" t="str">
        <f>"""IntAlert Live"",""ALERT UK"",""17"",""1"",""556060"""</f>
        <v>"IntAlert Live","ALERT UK","17","1","556060"</v>
      </c>
      <c r="G144" s="223">
        <v>43932</v>
      </c>
      <c r="H144" s="223"/>
      <c r="I144" s="218" t="str">
        <f t="shared" si="57"/>
        <v>DRCPARTNER/PBVE/AP21QR/2020/01</v>
      </c>
      <c r="K144" s="218" t="str">
        <f>"LISTE DE PRESENCE"</f>
        <v>LISTE DE PRESENCE</v>
      </c>
      <c r="L144" s="218" t="str">
        <f>"Paiement frais de transport aux participants reunion des jeunes entre "</f>
        <v xml:space="preserve">Paiement frais de transport aux participants reunion des jeunes entre </v>
      </c>
      <c r="M144" s="218" t="str">
        <f t="shared" si="55"/>
        <v>6470</v>
      </c>
      <c r="N144" s="218" t="str">
        <f t="shared" si="56"/>
        <v>PARTNER - PROJECT/ACTIVITY</v>
      </c>
      <c r="O144" s="218" t="str">
        <f t="shared" si="44"/>
        <v>DRCBUK</v>
      </c>
      <c r="P144" s="218" t="str">
        <f t="shared" si="51"/>
        <v>AP21QR</v>
      </c>
      <c r="Q144" s="218" t="str">
        <f>""</f>
        <v/>
      </c>
      <c r="R144" s="218" t="str">
        <f t="shared" si="58"/>
        <v>PBVE</v>
      </c>
      <c r="S144" s="218" t="str">
        <f t="shared" si="59"/>
        <v>040</v>
      </c>
      <c r="T144" s="218" t="str">
        <f t="shared" si="52"/>
        <v>D</v>
      </c>
      <c r="U144" s="218" t="str">
        <f t="shared" si="53"/>
        <v>AFR000</v>
      </c>
      <c r="V144" s="218" t="str">
        <f t="shared" si="54"/>
        <v>###</v>
      </c>
      <c r="W144" s="218">
        <v>42.5</v>
      </c>
      <c r="X144" s="218" t="str">
        <f t="shared" si="60"/>
        <v>USD</v>
      </c>
      <c r="Y144" s="218">
        <v>33.72</v>
      </c>
      <c r="Z144" s="218">
        <v>42.5</v>
      </c>
      <c r="AA144" s="218">
        <v>38.590000000000003</v>
      </c>
    </row>
    <row r="145" spans="1:27">
      <c r="A145" s="218" t="s">
        <v>2592</v>
      </c>
      <c r="F145" s="219" t="str">
        <f>"""IntAlert Live"",""ALERT UK"",""17"",""1"",""556061"""</f>
        <v>"IntAlert Live","ALERT UK","17","1","556061"</v>
      </c>
      <c r="G145" s="223">
        <v>43933</v>
      </c>
      <c r="H145" s="223"/>
      <c r="I145" s="218" t="str">
        <f t="shared" si="57"/>
        <v>DRCPARTNER/PBVE/AP21QR/2020/01</v>
      </c>
      <c r="K145" s="218" t="str">
        <f>"REÇU"</f>
        <v>REÇU</v>
      </c>
      <c r="L145" s="218" t="str">
        <f>"location salle de reunion des jeunes membre de groupe de dialogue"</f>
        <v>location salle de reunion des jeunes membre de groupe de dialogue</v>
      </c>
      <c r="M145" s="218" t="str">
        <f t="shared" si="55"/>
        <v>6470</v>
      </c>
      <c r="N145" s="218" t="str">
        <f t="shared" si="56"/>
        <v>PARTNER - PROJECT/ACTIVITY</v>
      </c>
      <c r="O145" s="218" t="str">
        <f t="shared" si="44"/>
        <v>DRCBUK</v>
      </c>
      <c r="P145" s="218" t="str">
        <f t="shared" si="51"/>
        <v>AP21QR</v>
      </c>
      <c r="Q145" s="218" t="str">
        <f>""</f>
        <v/>
      </c>
      <c r="R145" s="218" t="str">
        <f t="shared" si="58"/>
        <v>PBVE</v>
      </c>
      <c r="S145" s="218" t="str">
        <f t="shared" si="59"/>
        <v>040</v>
      </c>
      <c r="T145" s="218" t="str">
        <f t="shared" si="52"/>
        <v>D</v>
      </c>
      <c r="U145" s="218" t="str">
        <f t="shared" si="53"/>
        <v>AFR000</v>
      </c>
      <c r="V145" s="218" t="str">
        <f t="shared" si="54"/>
        <v>###</v>
      </c>
      <c r="W145" s="218">
        <v>10</v>
      </c>
      <c r="X145" s="218" t="str">
        <f t="shared" si="60"/>
        <v>USD</v>
      </c>
      <c r="Y145" s="218">
        <v>7.93</v>
      </c>
      <c r="Z145" s="218">
        <v>10</v>
      </c>
      <c r="AA145" s="218">
        <v>9.08</v>
      </c>
    </row>
    <row r="146" spans="1:27">
      <c r="A146" s="218" t="s">
        <v>2592</v>
      </c>
      <c r="F146" s="219" t="str">
        <f>"""IntAlert Live"",""ALERT UK"",""17"",""1"",""556062"""</f>
        <v>"IntAlert Live","ALERT UK","17","1","556062"</v>
      </c>
      <c r="G146" s="223">
        <v>43933</v>
      </c>
      <c r="H146" s="223"/>
      <c r="I146" s="218" t="str">
        <f t="shared" si="57"/>
        <v>DRCPARTNER/PBVE/AP21QR/2020/01</v>
      </c>
      <c r="K146" s="218" t="str">
        <f>"REÇU"</f>
        <v>REÇU</v>
      </c>
      <c r="L146" s="218" t="str">
        <f>"Paiement frais facilitation reunion jeunes membre de groupes de dialog"</f>
        <v>Paiement frais facilitation reunion jeunes membre de groupes de dialog</v>
      </c>
      <c r="M146" s="218" t="str">
        <f t="shared" si="55"/>
        <v>6470</v>
      </c>
      <c r="N146" s="218" t="str">
        <f t="shared" si="56"/>
        <v>PARTNER - PROJECT/ACTIVITY</v>
      </c>
      <c r="O146" s="218" t="str">
        <f t="shared" si="44"/>
        <v>DRCBUK</v>
      </c>
      <c r="P146" s="218" t="str">
        <f t="shared" si="51"/>
        <v>AP21QR</v>
      </c>
      <c r="Q146" s="218" t="str">
        <f>""</f>
        <v/>
      </c>
      <c r="R146" s="218" t="str">
        <f t="shared" si="58"/>
        <v>PBVE</v>
      </c>
      <c r="S146" s="218" t="str">
        <f t="shared" si="59"/>
        <v>040</v>
      </c>
      <c r="T146" s="218" t="str">
        <f t="shared" si="52"/>
        <v>D</v>
      </c>
      <c r="U146" s="218" t="str">
        <f t="shared" si="53"/>
        <v>AFR000</v>
      </c>
      <c r="V146" s="218" t="str">
        <f t="shared" si="54"/>
        <v>###</v>
      </c>
      <c r="W146" s="218">
        <v>25</v>
      </c>
      <c r="X146" s="218" t="str">
        <f t="shared" si="60"/>
        <v>USD</v>
      </c>
      <c r="Y146" s="218">
        <v>19.829999999999998</v>
      </c>
      <c r="Z146" s="218">
        <v>25</v>
      </c>
      <c r="AA146" s="218">
        <v>22.69</v>
      </c>
    </row>
    <row r="147" spans="1:27">
      <c r="A147" s="218" t="s">
        <v>2592</v>
      </c>
      <c r="F147" s="219" t="str">
        <f>"""IntAlert Live"",""ALERT UK"",""17"",""1"",""556063"""</f>
        <v>"IntAlert Live","ALERT UK","17","1","556063"</v>
      </c>
      <c r="G147" s="223">
        <v>43933</v>
      </c>
      <c r="H147" s="223"/>
      <c r="I147" s="218" t="str">
        <f t="shared" si="57"/>
        <v>DRCPARTNER/PBVE/AP21QR/2020/01</v>
      </c>
      <c r="K147" s="218" t="str">
        <f>"LISTE DE PRESENCE"</f>
        <v>LISTE DE PRESENCE</v>
      </c>
      <c r="L147" s="218" t="str">
        <f>"Paiement frais de transport aux participants reunion des jeunes entre "</f>
        <v xml:space="preserve">Paiement frais de transport aux participants reunion des jeunes entre </v>
      </c>
      <c r="M147" s="218" t="str">
        <f t="shared" si="55"/>
        <v>6470</v>
      </c>
      <c r="N147" s="218" t="str">
        <f t="shared" si="56"/>
        <v>PARTNER - PROJECT/ACTIVITY</v>
      </c>
      <c r="O147" s="218" t="str">
        <f t="shared" si="44"/>
        <v>DRCBUK</v>
      </c>
      <c r="P147" s="218" t="str">
        <f t="shared" si="51"/>
        <v>AP21QR</v>
      </c>
      <c r="Q147" s="218" t="str">
        <f>""</f>
        <v/>
      </c>
      <c r="R147" s="218" t="str">
        <f t="shared" si="58"/>
        <v>PBVE</v>
      </c>
      <c r="S147" s="218" t="str">
        <f t="shared" si="59"/>
        <v>040</v>
      </c>
      <c r="T147" s="218" t="str">
        <f t="shared" si="52"/>
        <v>D</v>
      </c>
      <c r="U147" s="218" t="str">
        <f t="shared" si="53"/>
        <v>AFR000</v>
      </c>
      <c r="V147" s="218" t="str">
        <f t="shared" si="54"/>
        <v>###</v>
      </c>
      <c r="W147" s="218">
        <v>40</v>
      </c>
      <c r="X147" s="218" t="str">
        <f t="shared" si="60"/>
        <v>USD</v>
      </c>
      <c r="Y147" s="218">
        <v>31.74</v>
      </c>
      <c r="Z147" s="218">
        <v>40</v>
      </c>
      <c r="AA147" s="218">
        <v>36.32</v>
      </c>
    </row>
    <row r="148" spans="1:27">
      <c r="A148" s="218" t="s">
        <v>2592</v>
      </c>
      <c r="F148" s="219" t="str">
        <f>"""IntAlert Live"",""ALERT UK"",""17"",""1"",""556067"""</f>
        <v>"IntAlert Live","ALERT UK","17","1","556067"</v>
      </c>
      <c r="G148" s="223">
        <v>43935</v>
      </c>
      <c r="H148" s="223"/>
      <c r="I148" s="218" t="str">
        <f t="shared" si="57"/>
        <v>DRCPARTNER/PBVE/AP21QR/2020/01</v>
      </c>
      <c r="K148" s="218" t="str">
        <f>"REÇU"</f>
        <v>REÇU</v>
      </c>
      <c r="L148" s="218" t="str">
        <f>"Location salle de reunion jeunes membres des groupes de dialogue et p"</f>
        <v>Location salle de reunion jeunes membres des groupes de dialogue et p</v>
      </c>
      <c r="M148" s="218" t="str">
        <f t="shared" si="55"/>
        <v>6470</v>
      </c>
      <c r="N148" s="218" t="str">
        <f t="shared" si="56"/>
        <v>PARTNER - PROJECT/ACTIVITY</v>
      </c>
      <c r="O148" s="218" t="str">
        <f t="shared" si="44"/>
        <v>DRCBUK</v>
      </c>
      <c r="P148" s="218" t="str">
        <f t="shared" si="51"/>
        <v>AP21QR</v>
      </c>
      <c r="Q148" s="218" t="str">
        <f>""</f>
        <v/>
      </c>
      <c r="R148" s="218" t="str">
        <f t="shared" si="58"/>
        <v>PBVE</v>
      </c>
      <c r="S148" s="218" t="str">
        <f t="shared" si="59"/>
        <v>040</v>
      </c>
      <c r="T148" s="218" t="str">
        <f t="shared" si="52"/>
        <v>D</v>
      </c>
      <c r="U148" s="218" t="str">
        <f t="shared" si="53"/>
        <v>AFR000</v>
      </c>
      <c r="V148" s="218" t="str">
        <f t="shared" si="54"/>
        <v>###</v>
      </c>
      <c r="W148" s="218">
        <v>10</v>
      </c>
      <c r="X148" s="218" t="str">
        <f t="shared" si="60"/>
        <v>USD</v>
      </c>
      <c r="Y148" s="218">
        <v>7.93</v>
      </c>
      <c r="Z148" s="218">
        <v>10</v>
      </c>
      <c r="AA148" s="218">
        <v>9.08</v>
      </c>
    </row>
    <row r="149" spans="1:27">
      <c r="A149" s="218" t="s">
        <v>2592</v>
      </c>
      <c r="F149" s="219" t="str">
        <f>"""IntAlert Live"",""ALERT UK"",""17"",""1"",""556068"""</f>
        <v>"IntAlert Live","ALERT UK","17","1","556068"</v>
      </c>
      <c r="G149" s="223">
        <v>43935</v>
      </c>
      <c r="H149" s="223"/>
      <c r="I149" s="218" t="str">
        <f t="shared" si="57"/>
        <v>DRCPARTNER/PBVE/AP21QR/2020/01</v>
      </c>
      <c r="K149" s="218" t="str">
        <f>"LISTE DE PRESENCE"</f>
        <v>LISTE DE PRESENCE</v>
      </c>
      <c r="L149" s="218" t="str">
        <f>"Paiement frais de transport aux participants reunion des jeunes membre"</f>
        <v>Paiement frais de transport aux participants reunion des jeunes membre</v>
      </c>
      <c r="M149" s="218" t="str">
        <f t="shared" si="55"/>
        <v>6470</v>
      </c>
      <c r="N149" s="218" t="str">
        <f t="shared" si="56"/>
        <v>PARTNER - PROJECT/ACTIVITY</v>
      </c>
      <c r="O149" s="218" t="str">
        <f t="shared" si="44"/>
        <v>DRCBUK</v>
      </c>
      <c r="P149" s="218" t="str">
        <f t="shared" si="51"/>
        <v>AP21QR</v>
      </c>
      <c r="Q149" s="218" t="str">
        <f>""</f>
        <v/>
      </c>
      <c r="R149" s="218" t="str">
        <f t="shared" si="58"/>
        <v>PBVE</v>
      </c>
      <c r="S149" s="218" t="str">
        <f t="shared" si="59"/>
        <v>040</v>
      </c>
      <c r="T149" s="218" t="str">
        <f t="shared" si="52"/>
        <v>D</v>
      </c>
      <c r="U149" s="218" t="str">
        <f t="shared" si="53"/>
        <v>AFR000</v>
      </c>
      <c r="V149" s="218" t="str">
        <f t="shared" si="54"/>
        <v>###</v>
      </c>
      <c r="W149" s="218">
        <v>42.5</v>
      </c>
      <c r="X149" s="218" t="str">
        <f t="shared" si="60"/>
        <v>USD</v>
      </c>
      <c r="Y149" s="218">
        <v>33.72</v>
      </c>
      <c r="Z149" s="218">
        <v>42.5</v>
      </c>
      <c r="AA149" s="218">
        <v>38.590000000000003</v>
      </c>
    </row>
    <row r="150" spans="1:27">
      <c r="A150" s="218" t="s">
        <v>2592</v>
      </c>
      <c r="F150" s="219" t="str">
        <f>"""IntAlert Live"",""ALERT UK"",""17"",""1"",""556069"""</f>
        <v>"IntAlert Live","ALERT UK","17","1","556069"</v>
      </c>
      <c r="G150" s="223">
        <v>43936</v>
      </c>
      <c r="H150" s="223"/>
      <c r="I150" s="218" t="str">
        <f t="shared" si="57"/>
        <v>DRCPARTNER/PBVE/AP21QR/2020/01</v>
      </c>
      <c r="K150" s="218" t="str">
        <f>"REÇU"</f>
        <v>REÇU</v>
      </c>
      <c r="L150" s="218" t="str">
        <f>"Location salle de reunion jeunes membres des groupes de dialogue et p"</f>
        <v>Location salle de reunion jeunes membres des groupes de dialogue et p</v>
      </c>
      <c r="M150" s="218" t="str">
        <f t="shared" si="55"/>
        <v>6470</v>
      </c>
      <c r="N150" s="218" t="str">
        <f t="shared" si="56"/>
        <v>PARTNER - PROJECT/ACTIVITY</v>
      </c>
      <c r="O150" s="218" t="str">
        <f t="shared" si="44"/>
        <v>DRCBUK</v>
      </c>
      <c r="P150" s="218" t="str">
        <f t="shared" si="51"/>
        <v>AP21QR</v>
      </c>
      <c r="Q150" s="218" t="str">
        <f>""</f>
        <v/>
      </c>
      <c r="R150" s="218" t="str">
        <f t="shared" si="58"/>
        <v>PBVE</v>
      </c>
      <c r="S150" s="218" t="str">
        <f t="shared" si="59"/>
        <v>040</v>
      </c>
      <c r="T150" s="218" t="str">
        <f t="shared" si="52"/>
        <v>D</v>
      </c>
      <c r="U150" s="218" t="str">
        <f t="shared" si="53"/>
        <v>AFR000</v>
      </c>
      <c r="V150" s="218" t="str">
        <f t="shared" si="54"/>
        <v>###</v>
      </c>
      <c r="W150" s="218">
        <v>10</v>
      </c>
      <c r="X150" s="218" t="str">
        <f t="shared" si="60"/>
        <v>USD</v>
      </c>
      <c r="Y150" s="218">
        <v>7.93</v>
      </c>
      <c r="Z150" s="218">
        <v>10</v>
      </c>
      <c r="AA150" s="218">
        <v>9.08</v>
      </c>
    </row>
    <row r="151" spans="1:27">
      <c r="A151" s="218" t="s">
        <v>2592</v>
      </c>
      <c r="F151" s="219" t="str">
        <f>"""IntAlert Live"",""ALERT UK"",""17"",""1"",""556070"""</f>
        <v>"IntAlert Live","ALERT UK","17","1","556070"</v>
      </c>
      <c r="G151" s="223">
        <v>43936</v>
      </c>
      <c r="H151" s="223"/>
      <c r="I151" s="218" t="str">
        <f t="shared" si="57"/>
        <v>DRCPARTNER/PBVE/AP21QR/2020/01</v>
      </c>
      <c r="K151" s="218" t="str">
        <f>"LISTE DE PRESENCE"</f>
        <v>LISTE DE PRESENCE</v>
      </c>
      <c r="L151" s="218" t="str">
        <f>"Paiement frais de transport aux participants reunion des jeunes membre"</f>
        <v>Paiement frais de transport aux participants reunion des jeunes membre</v>
      </c>
      <c r="M151" s="218" t="str">
        <f t="shared" si="55"/>
        <v>6470</v>
      </c>
      <c r="N151" s="218" t="str">
        <f t="shared" si="56"/>
        <v>PARTNER - PROJECT/ACTIVITY</v>
      </c>
      <c r="O151" s="218" t="str">
        <f t="shared" si="44"/>
        <v>DRCBUK</v>
      </c>
      <c r="P151" s="218" t="str">
        <f t="shared" si="51"/>
        <v>AP21QR</v>
      </c>
      <c r="Q151" s="218" t="str">
        <f>""</f>
        <v/>
      </c>
      <c r="R151" s="218" t="str">
        <f t="shared" si="58"/>
        <v>PBVE</v>
      </c>
      <c r="S151" s="218" t="str">
        <f t="shared" si="59"/>
        <v>040</v>
      </c>
      <c r="T151" s="218" t="str">
        <f t="shared" si="52"/>
        <v>D</v>
      </c>
      <c r="U151" s="218" t="str">
        <f t="shared" si="53"/>
        <v>AFR000</v>
      </c>
      <c r="V151" s="218" t="str">
        <f t="shared" si="54"/>
        <v>###</v>
      </c>
      <c r="W151" s="218">
        <v>42.5</v>
      </c>
      <c r="X151" s="218" t="str">
        <f t="shared" si="60"/>
        <v>USD</v>
      </c>
      <c r="Y151" s="218">
        <v>33.72</v>
      </c>
      <c r="Z151" s="218">
        <v>42.5</v>
      </c>
      <c r="AA151" s="218">
        <v>38.590000000000003</v>
      </c>
    </row>
    <row r="152" spans="1:27">
      <c r="A152" s="218" t="s">
        <v>2592</v>
      </c>
      <c r="F152" s="219" t="str">
        <f>"""IntAlert Live"",""ALERT UK"",""17"",""1"",""556079"""</f>
        <v>"IntAlert Live","ALERT UK","17","1","556079"</v>
      </c>
      <c r="G152" s="223">
        <v>43940</v>
      </c>
      <c r="H152" s="223"/>
      <c r="I152" s="218" t="str">
        <f t="shared" si="57"/>
        <v>DRCPARTNER/PBVE/AP21QR/2020/01</v>
      </c>
      <c r="K152" s="218" t="str">
        <f>"REÇU"</f>
        <v>REÇU</v>
      </c>
      <c r="L152" s="218" t="str">
        <f>"location salle de reunion des jeunes membre de groupe de dialogue "</f>
        <v xml:space="preserve">location salle de reunion des jeunes membre de groupe de dialogue </v>
      </c>
      <c r="M152" s="218" t="str">
        <f t="shared" si="55"/>
        <v>6470</v>
      </c>
      <c r="N152" s="218" t="str">
        <f t="shared" si="56"/>
        <v>PARTNER - PROJECT/ACTIVITY</v>
      </c>
      <c r="O152" s="218" t="str">
        <f t="shared" si="44"/>
        <v>DRCBUK</v>
      </c>
      <c r="P152" s="218" t="str">
        <f t="shared" si="51"/>
        <v>AP21QR</v>
      </c>
      <c r="Q152" s="218" t="str">
        <f>""</f>
        <v/>
      </c>
      <c r="R152" s="218" t="str">
        <f t="shared" si="58"/>
        <v>PBVE</v>
      </c>
      <c r="S152" s="218" t="str">
        <f t="shared" si="59"/>
        <v>040</v>
      </c>
      <c r="T152" s="218" t="str">
        <f t="shared" si="52"/>
        <v>D</v>
      </c>
      <c r="U152" s="218" t="str">
        <f t="shared" si="53"/>
        <v>AFR000</v>
      </c>
      <c r="V152" s="218" t="str">
        <f t="shared" si="54"/>
        <v>###</v>
      </c>
      <c r="W152" s="218">
        <v>10</v>
      </c>
      <c r="X152" s="218" t="str">
        <f t="shared" si="60"/>
        <v>USD</v>
      </c>
      <c r="Y152" s="218">
        <v>7.93</v>
      </c>
      <c r="Z152" s="218">
        <v>10</v>
      </c>
      <c r="AA152" s="218">
        <v>9.08</v>
      </c>
    </row>
    <row r="153" spans="1:27">
      <c r="A153" s="218" t="s">
        <v>2592</v>
      </c>
      <c r="F153" s="219" t="str">
        <f>"""IntAlert Live"",""ALERT UK"",""17"",""1"",""556080"""</f>
        <v>"IntAlert Live","ALERT UK","17","1","556080"</v>
      </c>
      <c r="G153" s="223">
        <v>43940</v>
      </c>
      <c r="H153" s="223"/>
      <c r="I153" s="218" t="str">
        <f t="shared" si="57"/>
        <v>DRCPARTNER/PBVE/AP21QR/2020/01</v>
      </c>
      <c r="K153" s="218" t="str">
        <f>"REÇU"</f>
        <v>REÇU</v>
      </c>
      <c r="L153" s="218" t="str">
        <f>"Paiement frais fa&amp;cilitation reunieon entre  jeunes membre des groupes"</f>
        <v>Paiement frais fa&amp;cilitation reunieon entre  jeunes membre des groupes</v>
      </c>
      <c r="M153" s="218" t="str">
        <f t="shared" si="55"/>
        <v>6470</v>
      </c>
      <c r="N153" s="218" t="str">
        <f t="shared" si="56"/>
        <v>PARTNER - PROJECT/ACTIVITY</v>
      </c>
      <c r="O153" s="218" t="str">
        <f t="shared" si="44"/>
        <v>DRCBUK</v>
      </c>
      <c r="P153" s="218" t="str">
        <f t="shared" si="51"/>
        <v>AP21QR</v>
      </c>
      <c r="Q153" s="218" t="str">
        <f>""</f>
        <v/>
      </c>
      <c r="R153" s="218" t="str">
        <f t="shared" si="58"/>
        <v>PBVE</v>
      </c>
      <c r="S153" s="218" t="str">
        <f t="shared" si="59"/>
        <v>040</v>
      </c>
      <c r="T153" s="218" t="str">
        <f t="shared" si="52"/>
        <v>D</v>
      </c>
      <c r="U153" s="218" t="str">
        <f t="shared" si="53"/>
        <v>AFR000</v>
      </c>
      <c r="V153" s="218" t="str">
        <f t="shared" si="54"/>
        <v>###</v>
      </c>
      <c r="W153" s="218">
        <v>25</v>
      </c>
      <c r="X153" s="218" t="str">
        <f t="shared" si="60"/>
        <v>USD</v>
      </c>
      <c r="Y153" s="218">
        <v>19.829999999999998</v>
      </c>
      <c r="Z153" s="218">
        <v>25</v>
      </c>
      <c r="AA153" s="218">
        <v>22.69</v>
      </c>
    </row>
    <row r="154" spans="1:27">
      <c r="A154" s="218" t="s">
        <v>2592</v>
      </c>
      <c r="F154" s="219" t="str">
        <f>"""IntAlert Live"",""ALERT UK"",""17"",""1"",""556081"""</f>
        <v>"IntAlert Live","ALERT UK","17","1","556081"</v>
      </c>
      <c r="G154" s="223">
        <v>43940</v>
      </c>
      <c r="H154" s="223"/>
      <c r="I154" s="218" t="str">
        <f t="shared" si="57"/>
        <v>DRCPARTNER/PBVE/AP21QR/2020/01</v>
      </c>
      <c r="K154" s="218" t="str">
        <f>"LISTE DE PRESENCE"</f>
        <v>LISTE DE PRESENCE</v>
      </c>
      <c r="L154" s="218" t="str">
        <f>"Paiement frais de transpport aux participants reunion entre jeunes "</f>
        <v xml:space="preserve">Paiement frais de transpport aux participants reunion entre jeunes </v>
      </c>
      <c r="M154" s="218" t="str">
        <f t="shared" si="55"/>
        <v>6470</v>
      </c>
      <c r="N154" s="218" t="str">
        <f t="shared" si="56"/>
        <v>PARTNER - PROJECT/ACTIVITY</v>
      </c>
      <c r="O154" s="218" t="str">
        <f t="shared" si="44"/>
        <v>DRCBUK</v>
      </c>
      <c r="P154" s="218" t="str">
        <f t="shared" si="51"/>
        <v>AP21QR</v>
      </c>
      <c r="Q154" s="218" t="str">
        <f>""</f>
        <v/>
      </c>
      <c r="R154" s="218" t="str">
        <f t="shared" si="58"/>
        <v>PBVE</v>
      </c>
      <c r="S154" s="218" t="str">
        <f t="shared" si="59"/>
        <v>040</v>
      </c>
      <c r="T154" s="218" t="str">
        <f t="shared" si="52"/>
        <v>D</v>
      </c>
      <c r="U154" s="218" t="str">
        <f t="shared" si="53"/>
        <v>AFR000</v>
      </c>
      <c r="V154" s="218" t="str">
        <f t="shared" si="54"/>
        <v>###</v>
      </c>
      <c r="W154" s="218">
        <v>40</v>
      </c>
      <c r="X154" s="218" t="str">
        <f t="shared" si="60"/>
        <v>USD</v>
      </c>
      <c r="Y154" s="218">
        <v>31.74</v>
      </c>
      <c r="Z154" s="218">
        <v>40</v>
      </c>
      <c r="AA154" s="218">
        <v>36.32</v>
      </c>
    </row>
    <row r="155" spans="1:27">
      <c r="A155" s="218" t="s">
        <v>2592</v>
      </c>
      <c r="F155" s="219" t="str">
        <f>"""IntAlert Live"",""ALERT UK"",""17"",""1"",""556082"""</f>
        <v>"IntAlert Live","ALERT UK","17","1","556082"</v>
      </c>
      <c r="G155" s="223">
        <v>43941</v>
      </c>
      <c r="H155" s="223"/>
      <c r="I155" s="218" t="str">
        <f t="shared" si="57"/>
        <v>DRCPARTNER/PBVE/AP21QR/2020/01</v>
      </c>
      <c r="K155" s="218" t="str">
        <f>"REÇU"</f>
        <v>REÇU</v>
      </c>
      <c r="L155" s="218" t="str">
        <f>"Location salle de reunion jeunes membres des groupes de dialogue "</f>
        <v xml:space="preserve">Location salle de reunion jeunes membres des groupes de dialogue </v>
      </c>
      <c r="M155" s="218" t="str">
        <f t="shared" si="55"/>
        <v>6470</v>
      </c>
      <c r="N155" s="218" t="str">
        <f t="shared" si="56"/>
        <v>PARTNER - PROJECT/ACTIVITY</v>
      </c>
      <c r="O155" s="218" t="str">
        <f t="shared" ref="O155:O181" si="61">"DRCBUK"</f>
        <v>DRCBUK</v>
      </c>
      <c r="P155" s="218" t="str">
        <f t="shared" si="51"/>
        <v>AP21QR</v>
      </c>
      <c r="Q155" s="218" t="str">
        <f>""</f>
        <v/>
      </c>
      <c r="R155" s="218" t="str">
        <f t="shared" si="58"/>
        <v>PBVE</v>
      </c>
      <c r="S155" s="218" t="str">
        <f t="shared" si="59"/>
        <v>040</v>
      </c>
      <c r="T155" s="218" t="str">
        <f t="shared" si="52"/>
        <v>D</v>
      </c>
      <c r="U155" s="218" t="str">
        <f t="shared" si="53"/>
        <v>AFR000</v>
      </c>
      <c r="V155" s="218" t="str">
        <f t="shared" si="54"/>
        <v>###</v>
      </c>
      <c r="W155" s="218">
        <v>20</v>
      </c>
      <c r="X155" s="218" t="str">
        <f t="shared" si="60"/>
        <v>USD</v>
      </c>
      <c r="Y155" s="218">
        <v>15.87</v>
      </c>
      <c r="Z155" s="218">
        <v>20</v>
      </c>
      <c r="AA155" s="218">
        <v>18.16</v>
      </c>
    </row>
    <row r="156" spans="1:27">
      <c r="A156" s="218" t="s">
        <v>2592</v>
      </c>
      <c r="F156" s="219" t="str">
        <f>"""IntAlert Live"",""ALERT UK"",""17"",""1"",""556083"""</f>
        <v>"IntAlert Live","ALERT UK","17","1","556083"</v>
      </c>
      <c r="G156" s="223">
        <v>43941</v>
      </c>
      <c r="H156" s="223"/>
      <c r="I156" s="218" t="str">
        <f t="shared" si="57"/>
        <v>DRCPARTNER/PBVE/AP21QR/2020/01</v>
      </c>
      <c r="K156" s="218" t="str">
        <f>"REÇU"</f>
        <v>REÇU</v>
      </c>
      <c r="L156" s="218" t="str">
        <f>"Paiement frais facilitration reunion entre jeunes membre de groupes "</f>
        <v xml:space="preserve">Paiement frais facilitration reunion entre jeunes membre de groupes </v>
      </c>
      <c r="M156" s="218" t="str">
        <f t="shared" si="55"/>
        <v>6470</v>
      </c>
      <c r="N156" s="218" t="str">
        <f t="shared" si="56"/>
        <v>PARTNER - PROJECT/ACTIVITY</v>
      </c>
      <c r="O156" s="218" t="str">
        <f t="shared" si="61"/>
        <v>DRCBUK</v>
      </c>
      <c r="P156" s="218" t="str">
        <f t="shared" si="51"/>
        <v>AP21QR</v>
      </c>
      <c r="Q156" s="218" t="str">
        <f>""</f>
        <v/>
      </c>
      <c r="R156" s="218" t="str">
        <f t="shared" si="58"/>
        <v>PBVE</v>
      </c>
      <c r="S156" s="218" t="str">
        <f t="shared" si="59"/>
        <v>040</v>
      </c>
      <c r="T156" s="218" t="str">
        <f t="shared" si="52"/>
        <v>D</v>
      </c>
      <c r="U156" s="218" t="str">
        <f t="shared" si="53"/>
        <v>AFR000</v>
      </c>
      <c r="V156" s="218" t="str">
        <f t="shared" si="54"/>
        <v>###</v>
      </c>
      <c r="W156" s="218">
        <v>50</v>
      </c>
      <c r="X156" s="218" t="str">
        <f t="shared" si="60"/>
        <v>USD</v>
      </c>
      <c r="Y156" s="218">
        <v>39.67</v>
      </c>
      <c r="Z156" s="218">
        <v>50</v>
      </c>
      <c r="AA156" s="218">
        <v>45.4</v>
      </c>
    </row>
    <row r="157" spans="1:27">
      <c r="A157" s="218" t="s">
        <v>2592</v>
      </c>
      <c r="F157" s="219" t="str">
        <f>"""IntAlert Live"",""ALERT UK"",""17"",""1"",""556084"""</f>
        <v>"IntAlert Live","ALERT UK","17","1","556084"</v>
      </c>
      <c r="G157" s="223">
        <v>43941</v>
      </c>
      <c r="H157" s="223"/>
      <c r="I157" s="218" t="str">
        <f t="shared" si="57"/>
        <v>DRCPARTNER/PBVE/AP21QR/2020/01</v>
      </c>
      <c r="K157" s="218" t="str">
        <f>"LISTE DE PRESENCE"</f>
        <v>LISTE DE PRESENCE</v>
      </c>
      <c r="L157" s="218" t="str">
        <f>"Paiement frais facilitaion reunion entre jeunes membre de groupe de "</f>
        <v xml:space="preserve">Paiement frais facilitaion reunion entre jeunes membre de groupe de </v>
      </c>
      <c r="M157" s="218" t="str">
        <f t="shared" si="55"/>
        <v>6470</v>
      </c>
      <c r="N157" s="218" t="str">
        <f t="shared" si="56"/>
        <v>PARTNER - PROJECT/ACTIVITY</v>
      </c>
      <c r="O157" s="218" t="str">
        <f t="shared" si="61"/>
        <v>DRCBUK</v>
      </c>
      <c r="P157" s="218" t="str">
        <f t="shared" si="51"/>
        <v>AP21QR</v>
      </c>
      <c r="Q157" s="218" t="str">
        <f>""</f>
        <v/>
      </c>
      <c r="R157" s="218" t="str">
        <f t="shared" si="58"/>
        <v>PBVE</v>
      </c>
      <c r="S157" s="218" t="str">
        <f t="shared" si="59"/>
        <v>040</v>
      </c>
      <c r="T157" s="218" t="str">
        <f t="shared" si="52"/>
        <v>D</v>
      </c>
      <c r="U157" s="218" t="str">
        <f t="shared" si="53"/>
        <v>AFR000</v>
      </c>
      <c r="V157" s="218" t="str">
        <f t="shared" si="54"/>
        <v>###</v>
      </c>
      <c r="W157" s="218">
        <v>85</v>
      </c>
      <c r="X157" s="218" t="str">
        <f t="shared" si="60"/>
        <v>USD</v>
      </c>
      <c r="Y157" s="218">
        <v>67.44</v>
      </c>
      <c r="Z157" s="218">
        <v>85</v>
      </c>
      <c r="AA157" s="218">
        <v>77.180000000000007</v>
      </c>
    </row>
    <row r="158" spans="1:27">
      <c r="A158" s="218" t="s">
        <v>2592</v>
      </c>
      <c r="F158" s="219" t="str">
        <f>"""IntAlert Live"",""ALERT UK"",""17"",""1"",""556087"""</f>
        <v>"IntAlert Live","ALERT UK","17","1","556087"</v>
      </c>
      <c r="G158" s="223">
        <v>43945</v>
      </c>
      <c r="H158" s="223"/>
      <c r="I158" s="218" t="str">
        <f t="shared" si="57"/>
        <v>DRCPARTNER/PBVE/AP21QR/2020/01</v>
      </c>
      <c r="K158" s="218" t="str">
        <f>"REÇU"</f>
        <v>REÇU</v>
      </c>
      <c r="L158" s="218" t="str">
        <f>"Location salle de reunion pour reunion entre jeunes membre de groupes "</f>
        <v xml:space="preserve">Location salle de reunion pour reunion entre jeunes membre de groupes </v>
      </c>
      <c r="M158" s="218" t="str">
        <f t="shared" si="55"/>
        <v>6470</v>
      </c>
      <c r="N158" s="218" t="str">
        <f t="shared" si="56"/>
        <v>PARTNER - PROJECT/ACTIVITY</v>
      </c>
      <c r="O158" s="218" t="str">
        <f t="shared" si="61"/>
        <v>DRCBUK</v>
      </c>
      <c r="P158" s="218" t="str">
        <f t="shared" si="51"/>
        <v>AP21QR</v>
      </c>
      <c r="Q158" s="218" t="str">
        <f>""</f>
        <v/>
      </c>
      <c r="R158" s="218" t="str">
        <f t="shared" si="58"/>
        <v>PBVE</v>
      </c>
      <c r="S158" s="218" t="str">
        <f t="shared" si="59"/>
        <v>040</v>
      </c>
      <c r="T158" s="218" t="str">
        <f t="shared" si="52"/>
        <v>D</v>
      </c>
      <c r="U158" s="218" t="str">
        <f t="shared" si="53"/>
        <v>AFR000</v>
      </c>
      <c r="V158" s="218" t="str">
        <f t="shared" si="54"/>
        <v>###</v>
      </c>
      <c r="W158" s="218">
        <v>10</v>
      </c>
      <c r="X158" s="218" t="str">
        <f t="shared" si="60"/>
        <v>USD</v>
      </c>
      <c r="Y158" s="218">
        <v>7.93</v>
      </c>
      <c r="Z158" s="218">
        <v>10</v>
      </c>
      <c r="AA158" s="218">
        <v>9.08</v>
      </c>
    </row>
    <row r="159" spans="1:27">
      <c r="A159" s="218" t="s">
        <v>2592</v>
      </c>
      <c r="F159" s="219" t="str">
        <f>"""IntAlert Live"",""ALERT UK"",""17"",""1"",""556088"""</f>
        <v>"IntAlert Live","ALERT UK","17","1","556088"</v>
      </c>
      <c r="G159" s="223">
        <v>43945</v>
      </c>
      <c r="H159" s="223"/>
      <c r="I159" s="218" t="str">
        <f t="shared" si="57"/>
        <v>DRCPARTNER/PBVE/AP21QR/2020/01</v>
      </c>
      <c r="K159" s="218" t="str">
        <f>"REÇU"</f>
        <v>REÇU</v>
      </c>
      <c r="L159" s="218" t="str">
        <f>"Paiement frais facilitation reunion entre jeunes membres des groupes "</f>
        <v xml:space="preserve">Paiement frais facilitation reunion entre jeunes membres des groupes </v>
      </c>
      <c r="M159" s="218" t="str">
        <f t="shared" si="55"/>
        <v>6470</v>
      </c>
      <c r="N159" s="218" t="str">
        <f t="shared" si="56"/>
        <v>PARTNER - PROJECT/ACTIVITY</v>
      </c>
      <c r="O159" s="218" t="str">
        <f t="shared" si="61"/>
        <v>DRCBUK</v>
      </c>
      <c r="P159" s="218" t="str">
        <f t="shared" si="51"/>
        <v>AP21QR</v>
      </c>
      <c r="Q159" s="218" t="str">
        <f>""</f>
        <v/>
      </c>
      <c r="R159" s="218" t="str">
        <f t="shared" si="58"/>
        <v>PBVE</v>
      </c>
      <c r="S159" s="218" t="str">
        <f t="shared" si="59"/>
        <v>040</v>
      </c>
      <c r="T159" s="218" t="str">
        <f t="shared" si="52"/>
        <v>D</v>
      </c>
      <c r="U159" s="218" t="str">
        <f t="shared" si="53"/>
        <v>AFR000</v>
      </c>
      <c r="V159" s="218" t="str">
        <f t="shared" si="54"/>
        <v>###</v>
      </c>
      <c r="W159" s="218">
        <v>25</v>
      </c>
      <c r="X159" s="218" t="str">
        <f t="shared" si="60"/>
        <v>USD</v>
      </c>
      <c r="Y159" s="218">
        <v>19.829999999999998</v>
      </c>
      <c r="Z159" s="218">
        <v>25</v>
      </c>
      <c r="AA159" s="218">
        <v>22.69</v>
      </c>
    </row>
    <row r="160" spans="1:27">
      <c r="A160" s="218" t="s">
        <v>2592</v>
      </c>
      <c r="F160" s="219" t="str">
        <f>"""IntAlert Live"",""ALERT UK"",""17"",""1"",""556089"""</f>
        <v>"IntAlert Live","ALERT UK","17","1","556089"</v>
      </c>
      <c r="G160" s="223">
        <v>43945</v>
      </c>
      <c r="H160" s="223"/>
      <c r="I160" s="218" t="str">
        <f t="shared" si="57"/>
        <v>DRCPARTNER/PBVE/AP21QR/2020/01</v>
      </c>
      <c r="K160" s="218" t="str">
        <f>"LISTE DE PRESENCE"</f>
        <v>LISTE DE PRESENCE</v>
      </c>
      <c r="L160" s="218" t="str">
        <f>"Paiement frais facilitration reunion entre jeunes membre de groupes "</f>
        <v xml:space="preserve">Paiement frais facilitration reunion entre jeunes membre de groupes </v>
      </c>
      <c r="M160" s="218" t="str">
        <f t="shared" si="55"/>
        <v>6470</v>
      </c>
      <c r="N160" s="218" t="str">
        <f t="shared" si="56"/>
        <v>PARTNER - PROJECT/ACTIVITY</v>
      </c>
      <c r="O160" s="218" t="str">
        <f t="shared" si="61"/>
        <v>DRCBUK</v>
      </c>
      <c r="P160" s="218" t="str">
        <f t="shared" si="51"/>
        <v>AP21QR</v>
      </c>
      <c r="Q160" s="218" t="str">
        <f>""</f>
        <v/>
      </c>
      <c r="R160" s="218" t="str">
        <f t="shared" si="58"/>
        <v>PBVE</v>
      </c>
      <c r="S160" s="218" t="str">
        <f t="shared" si="59"/>
        <v>040</v>
      </c>
      <c r="T160" s="218" t="str">
        <f t="shared" si="52"/>
        <v>D</v>
      </c>
      <c r="U160" s="218" t="str">
        <f t="shared" si="53"/>
        <v>AFR000</v>
      </c>
      <c r="V160" s="218" t="str">
        <f t="shared" si="54"/>
        <v>###</v>
      </c>
      <c r="W160" s="218">
        <v>42.5</v>
      </c>
      <c r="X160" s="218" t="str">
        <f t="shared" si="60"/>
        <v>USD</v>
      </c>
      <c r="Y160" s="218">
        <v>33.72</v>
      </c>
      <c r="Z160" s="218">
        <v>42.5</v>
      </c>
      <c r="AA160" s="218">
        <v>38.590000000000003</v>
      </c>
    </row>
    <row r="161" spans="1:27">
      <c r="A161" s="218" t="s">
        <v>2592</v>
      </c>
      <c r="F161" s="219" t="str">
        <f>"""IntAlert Live"",""ALERT UK"",""17"",""1"",""556093"""</f>
        <v>"IntAlert Live","ALERT UK","17","1","556093"</v>
      </c>
      <c r="G161" s="223">
        <v>43946</v>
      </c>
      <c r="H161" s="223"/>
      <c r="I161" s="218" t="str">
        <f t="shared" si="57"/>
        <v>DRCPARTNER/PBVE/AP21QR/2020/01</v>
      </c>
      <c r="K161" s="218" t="str">
        <f>"REÇU"</f>
        <v>REÇU</v>
      </c>
      <c r="L161" s="218" t="str">
        <f>"Location salle de reunion pour reunion entre jeunes membre de groupes "</f>
        <v xml:space="preserve">Location salle de reunion pour reunion entre jeunes membre de groupes </v>
      </c>
      <c r="M161" s="218" t="str">
        <f t="shared" si="55"/>
        <v>6470</v>
      </c>
      <c r="N161" s="218" t="str">
        <f t="shared" si="56"/>
        <v>PARTNER - PROJECT/ACTIVITY</v>
      </c>
      <c r="O161" s="218" t="str">
        <f t="shared" si="61"/>
        <v>DRCBUK</v>
      </c>
      <c r="P161" s="218" t="str">
        <f t="shared" si="51"/>
        <v>AP21QR</v>
      </c>
      <c r="Q161" s="218" t="str">
        <f>""</f>
        <v/>
      </c>
      <c r="R161" s="218" t="str">
        <f t="shared" si="58"/>
        <v>PBVE</v>
      </c>
      <c r="S161" s="218" t="str">
        <f t="shared" si="59"/>
        <v>040</v>
      </c>
      <c r="T161" s="218" t="str">
        <f t="shared" si="52"/>
        <v>D</v>
      </c>
      <c r="U161" s="218" t="str">
        <f t="shared" si="53"/>
        <v>AFR000</v>
      </c>
      <c r="V161" s="218" t="str">
        <f t="shared" si="54"/>
        <v>###</v>
      </c>
      <c r="W161" s="218">
        <v>20</v>
      </c>
      <c r="X161" s="218" t="str">
        <f t="shared" si="60"/>
        <v>USD</v>
      </c>
      <c r="Y161" s="218">
        <v>15.87</v>
      </c>
      <c r="Z161" s="218">
        <v>20</v>
      </c>
      <c r="AA161" s="218">
        <v>18.16</v>
      </c>
    </row>
    <row r="162" spans="1:27">
      <c r="A162" s="218" t="s">
        <v>2592</v>
      </c>
      <c r="F162" s="219" t="str">
        <f>"""IntAlert Live"",""ALERT UK"",""17"",""1"",""556094"""</f>
        <v>"IntAlert Live","ALERT UK","17","1","556094"</v>
      </c>
      <c r="G162" s="223">
        <v>43946</v>
      </c>
      <c r="H162" s="223"/>
      <c r="I162" s="218" t="str">
        <f t="shared" si="57"/>
        <v>DRCPARTNER/PBVE/AP21QR/2020/01</v>
      </c>
      <c r="K162" s="218" t="str">
        <f>"LISTE DE PRESENCE ET PAIEMENT PERDIEM"</f>
        <v>LISTE DE PRESENCE ET PAIEMENT PERDIEM</v>
      </c>
      <c r="L162" s="218" t="str">
        <f>"Paiement frais facilitration reunion entre jeunes membre de groupes "</f>
        <v xml:space="preserve">Paiement frais facilitration reunion entre jeunes membre de groupes </v>
      </c>
      <c r="M162" s="218" t="str">
        <f t="shared" si="55"/>
        <v>6470</v>
      </c>
      <c r="N162" s="218" t="str">
        <f t="shared" si="56"/>
        <v>PARTNER - PROJECT/ACTIVITY</v>
      </c>
      <c r="O162" s="218" t="str">
        <f t="shared" si="61"/>
        <v>DRCBUK</v>
      </c>
      <c r="P162" s="218" t="str">
        <f t="shared" si="51"/>
        <v>AP21QR</v>
      </c>
      <c r="Q162" s="218" t="str">
        <f>""</f>
        <v/>
      </c>
      <c r="R162" s="218" t="str">
        <f t="shared" si="58"/>
        <v>PBVE</v>
      </c>
      <c r="S162" s="218" t="str">
        <f t="shared" si="59"/>
        <v>040</v>
      </c>
      <c r="T162" s="218" t="str">
        <f t="shared" si="52"/>
        <v>D</v>
      </c>
      <c r="U162" s="218" t="str">
        <f t="shared" si="53"/>
        <v>AFR000</v>
      </c>
      <c r="V162" s="218" t="str">
        <f t="shared" si="54"/>
        <v>###</v>
      </c>
      <c r="W162" s="218">
        <v>82.5</v>
      </c>
      <c r="X162" s="218" t="str">
        <f t="shared" si="60"/>
        <v>USD</v>
      </c>
      <c r="Y162" s="218">
        <v>65.45</v>
      </c>
      <c r="Z162" s="218">
        <v>82.5</v>
      </c>
      <c r="AA162" s="218">
        <v>74.900000000000006</v>
      </c>
    </row>
    <row r="163" spans="1:27">
      <c r="A163" s="218" t="s">
        <v>2592</v>
      </c>
      <c r="F163" s="219" t="str">
        <f>"""IntAlert Live"",""ALERT UK"",""17"",""1"",""555937"""</f>
        <v>"IntAlert Live","ALERT UK","17","1","555937"</v>
      </c>
      <c r="G163" s="223">
        <v>43971</v>
      </c>
      <c r="H163" s="223"/>
      <c r="I163" s="218" t="str">
        <f>"DRCPARTNER/PSOL/AP21QR/2020/01"</f>
        <v>DRCPARTNER/PSOL/AP21QR/2020/01</v>
      </c>
      <c r="K163" s="218" t="str">
        <f>"MALIPO"</f>
        <v>MALIPO</v>
      </c>
      <c r="L163" s="218" t="str">
        <f>" Transport pdt le dialogue entre les jeunes et les parents"</f>
        <v xml:space="preserve"> Transport pdt le dialogue entre les jeunes et les parents</v>
      </c>
      <c r="M163" s="218" t="str">
        <f t="shared" si="55"/>
        <v>6470</v>
      </c>
      <c r="N163" s="218" t="str">
        <f t="shared" si="56"/>
        <v>PARTNER - PROJECT/ACTIVITY</v>
      </c>
      <c r="O163" s="218" t="str">
        <f t="shared" si="61"/>
        <v>DRCBUK</v>
      </c>
      <c r="P163" s="218" t="str">
        <f t="shared" si="51"/>
        <v>AP21QR</v>
      </c>
      <c r="Q163" s="218" t="str">
        <f>""</f>
        <v/>
      </c>
      <c r="R163" s="218" t="str">
        <f>"PSOL"</f>
        <v>PSOL</v>
      </c>
      <c r="S163" s="218" t="str">
        <f t="shared" si="59"/>
        <v>040</v>
      </c>
      <c r="T163" s="218" t="str">
        <f t="shared" si="52"/>
        <v>D</v>
      </c>
      <c r="U163" s="218" t="str">
        <f t="shared" si="53"/>
        <v>AFR000</v>
      </c>
      <c r="V163" s="218" t="str">
        <f t="shared" si="54"/>
        <v>###</v>
      </c>
      <c r="W163" s="218">
        <v>560</v>
      </c>
      <c r="X163" s="218" t="str">
        <f t="shared" si="60"/>
        <v>USD</v>
      </c>
      <c r="Y163" s="218">
        <v>444.3</v>
      </c>
      <c r="Z163" s="218">
        <v>560</v>
      </c>
      <c r="AA163" s="218">
        <v>508.48</v>
      </c>
    </row>
    <row r="164" spans="1:27">
      <c r="A164" s="218" t="s">
        <v>2592</v>
      </c>
      <c r="F164" s="219" t="str">
        <f>"""IntAlert Live"",""ALERT UK"",""17"",""1"",""555938"""</f>
        <v>"IntAlert Live","ALERT UK","17","1","555938"</v>
      </c>
      <c r="G164" s="223">
        <v>43971</v>
      </c>
      <c r="H164" s="223"/>
      <c r="I164" s="218" t="str">
        <f>"DRCPARTNER/PSOL/AP21QR/2020/01"</f>
        <v>DRCPARTNER/PSOL/AP21QR/2020/01</v>
      </c>
      <c r="K164" s="218" t="str">
        <f>""</f>
        <v/>
      </c>
      <c r="L164" s="218" t="str">
        <f>"Location salle  pdt le dialogue entre les jeunes et les parents"</f>
        <v>Location salle  pdt le dialogue entre les jeunes et les parents</v>
      </c>
      <c r="M164" s="218" t="str">
        <f t="shared" si="55"/>
        <v>6470</v>
      </c>
      <c r="N164" s="218" t="str">
        <f t="shared" si="56"/>
        <v>PARTNER - PROJECT/ACTIVITY</v>
      </c>
      <c r="O164" s="218" t="str">
        <f t="shared" si="61"/>
        <v>DRCBUK</v>
      </c>
      <c r="P164" s="218" t="str">
        <f t="shared" si="51"/>
        <v>AP21QR</v>
      </c>
      <c r="Q164" s="218" t="str">
        <f>""</f>
        <v/>
      </c>
      <c r="R164" s="218" t="str">
        <f>"PSOL"</f>
        <v>PSOL</v>
      </c>
      <c r="S164" s="218" t="str">
        <f t="shared" si="59"/>
        <v>040</v>
      </c>
      <c r="T164" s="218" t="str">
        <f t="shared" si="52"/>
        <v>D</v>
      </c>
      <c r="U164" s="218" t="str">
        <f t="shared" si="53"/>
        <v>AFR000</v>
      </c>
      <c r="V164" s="218" t="str">
        <f t="shared" si="54"/>
        <v>###</v>
      </c>
      <c r="W164" s="218">
        <v>60</v>
      </c>
      <c r="X164" s="218" t="str">
        <f t="shared" si="60"/>
        <v>USD</v>
      </c>
      <c r="Y164" s="218">
        <v>47.6</v>
      </c>
      <c r="Z164" s="218">
        <v>60</v>
      </c>
      <c r="AA164" s="218">
        <v>54.48</v>
      </c>
    </row>
    <row r="165" spans="1:27">
      <c r="A165" s="218" t="s">
        <v>2592</v>
      </c>
      <c r="F165" s="219" t="str">
        <f>"""IntAlert Live"",""ALERT UK"",""17"",""1"",""555939"""</f>
        <v>"IntAlert Live","ALERT UK","17","1","555939"</v>
      </c>
      <c r="G165" s="223">
        <v>43971</v>
      </c>
      <c r="H165" s="223"/>
      <c r="I165" s="218" t="str">
        <f>"DRCPARTNER/PSOL/AP21QR/2020/01"</f>
        <v>DRCPARTNER/PSOL/AP21QR/2020/01</v>
      </c>
      <c r="K165" s="218" t="str">
        <f>""</f>
        <v/>
      </c>
      <c r="L165" s="218" t="str">
        <f>"Restauration pdt le dialogue entre les jeunes et les parents"</f>
        <v>Restauration pdt le dialogue entre les jeunes et les parents</v>
      </c>
      <c r="M165" s="218" t="str">
        <f t="shared" si="55"/>
        <v>6470</v>
      </c>
      <c r="N165" s="218" t="str">
        <f t="shared" si="56"/>
        <v>PARTNER - PROJECT/ACTIVITY</v>
      </c>
      <c r="O165" s="218" t="str">
        <f t="shared" si="61"/>
        <v>DRCBUK</v>
      </c>
      <c r="P165" s="218" t="str">
        <f t="shared" si="51"/>
        <v>AP21QR</v>
      </c>
      <c r="Q165" s="218" t="str">
        <f>""</f>
        <v/>
      </c>
      <c r="R165" s="218" t="str">
        <f>"PSOL"</f>
        <v>PSOL</v>
      </c>
      <c r="S165" s="218" t="str">
        <f t="shared" si="59"/>
        <v>040</v>
      </c>
      <c r="T165" s="218" t="str">
        <f t="shared" si="52"/>
        <v>D</v>
      </c>
      <c r="U165" s="218" t="str">
        <f t="shared" si="53"/>
        <v>AFR000</v>
      </c>
      <c r="V165" s="218" t="str">
        <f t="shared" si="54"/>
        <v>###</v>
      </c>
      <c r="W165" s="218">
        <v>288</v>
      </c>
      <c r="X165" s="218" t="str">
        <f t="shared" si="60"/>
        <v>USD</v>
      </c>
      <c r="Y165" s="218">
        <v>228.5</v>
      </c>
      <c r="Z165" s="218">
        <v>288</v>
      </c>
      <c r="AA165" s="218">
        <v>261.51</v>
      </c>
    </row>
    <row r="166" spans="1:27">
      <c r="A166" s="218" t="s">
        <v>2592</v>
      </c>
      <c r="F166" s="219" t="str">
        <f>"""IntAlert Live"",""ALERT UK"",""17"",""1"",""555940"""</f>
        <v>"IntAlert Live","ALERT UK","17","1","555940"</v>
      </c>
      <c r="G166" s="223">
        <v>43971</v>
      </c>
      <c r="H166" s="223"/>
      <c r="I166" s="218" t="str">
        <f>"DRCPARTNER/PSOL/AP21QR/2020/01"</f>
        <v>DRCPARTNER/PSOL/AP21QR/2020/01</v>
      </c>
      <c r="K166" s="218" t="str">
        <f>""</f>
        <v/>
      </c>
      <c r="L166" s="218" t="str">
        <f>"Materiels pdt le dialogue entre les jeunes et les parents"</f>
        <v>Materiels pdt le dialogue entre les jeunes et les parents</v>
      </c>
      <c r="M166" s="218" t="str">
        <f t="shared" si="55"/>
        <v>6470</v>
      </c>
      <c r="N166" s="218" t="str">
        <f t="shared" si="56"/>
        <v>PARTNER - PROJECT/ACTIVITY</v>
      </c>
      <c r="O166" s="218" t="str">
        <f t="shared" si="61"/>
        <v>DRCBUK</v>
      </c>
      <c r="P166" s="218" t="str">
        <f t="shared" si="51"/>
        <v>AP21QR</v>
      </c>
      <c r="Q166" s="218" t="str">
        <f>""</f>
        <v/>
      </c>
      <c r="R166" s="218" t="str">
        <f>"PSOL"</f>
        <v>PSOL</v>
      </c>
      <c r="S166" s="218" t="str">
        <f t="shared" si="59"/>
        <v>040</v>
      </c>
      <c r="T166" s="218" t="str">
        <f t="shared" si="52"/>
        <v>D</v>
      </c>
      <c r="U166" s="218" t="str">
        <f t="shared" si="53"/>
        <v>AFR000</v>
      </c>
      <c r="V166" s="218" t="str">
        <f t="shared" si="54"/>
        <v>###</v>
      </c>
      <c r="W166" s="218">
        <v>98</v>
      </c>
      <c r="X166" s="218" t="str">
        <f t="shared" si="60"/>
        <v>USD</v>
      </c>
      <c r="Y166" s="218">
        <v>77.75</v>
      </c>
      <c r="Z166" s="218">
        <v>98</v>
      </c>
      <c r="AA166" s="218">
        <v>88.98</v>
      </c>
    </row>
    <row r="167" spans="1:27">
      <c r="A167" s="218" t="s">
        <v>2592</v>
      </c>
      <c r="F167" s="219" t="str">
        <f>"""IntAlert Live"",""ALERT UK"",""17"",""1"",""546069"""</f>
        <v>"IntAlert Live","ALERT UK","17","1","546069"</v>
      </c>
      <c r="G167" s="223">
        <v>43948</v>
      </c>
      <c r="H167" s="223"/>
      <c r="I167" s="218" t="str">
        <f>"DRCBUK/BANK/2020/04/012"</f>
        <v>DRCBUK/BANK/2020/04/012</v>
      </c>
      <c r="K167" s="218" t="str">
        <f>"PAPSON NYAMUSHALA"</f>
        <v>PAPSON NYAMUSHALA</v>
      </c>
      <c r="L167" s="218" t="str">
        <f>"Salaire- Avril 2020  Papson NYAMUSHALA MWANZA"</f>
        <v>Salaire- Avril 2020  Papson NYAMUSHALA MWANZA</v>
      </c>
      <c r="M167" s="218" t="str">
        <f>"5100"</f>
        <v>5100</v>
      </c>
      <c r="N167" s="218" t="str">
        <f>"BASIC EMPLOYMENT COSTS"</f>
        <v>BASIC EMPLOYMENT COSTS</v>
      </c>
      <c r="O167" s="218" t="str">
        <f t="shared" si="61"/>
        <v>DRCBUK</v>
      </c>
      <c r="P167" s="218" t="str">
        <f t="shared" si="51"/>
        <v>AP21QR</v>
      </c>
      <c r="Q167" s="218" t="str">
        <f t="shared" ref="Q167:Q176" si="62">"MWA"</f>
        <v>MWA</v>
      </c>
      <c r="R167" s="218" t="str">
        <f>""</f>
        <v/>
      </c>
      <c r="S167" s="218" t="str">
        <f t="shared" ref="S167:S176" si="63">"047"</f>
        <v>047</v>
      </c>
      <c r="T167" s="218" t="str">
        <f t="shared" ref="T167:T190" si="64">"D"</f>
        <v>D</v>
      </c>
      <c r="U167" s="218" t="str">
        <f t="shared" si="53"/>
        <v>AFR000</v>
      </c>
      <c r="V167" s="218" t="str">
        <f t="shared" si="54"/>
        <v>###</v>
      </c>
      <c r="W167" s="218">
        <v>2810.52</v>
      </c>
      <c r="X167" s="218" t="str">
        <f t="shared" si="60"/>
        <v>USD</v>
      </c>
      <c r="Y167" s="218">
        <v>2256.5700000000002</v>
      </c>
      <c r="Z167" s="218">
        <v>2810.52</v>
      </c>
      <c r="AA167" s="218">
        <v>2538.33</v>
      </c>
    </row>
    <row r="168" spans="1:27">
      <c r="A168" s="218" t="s">
        <v>2592</v>
      </c>
      <c r="F168" s="219" t="str">
        <f>"""IntAlert Live"",""ALERT UK"",""17"",""1"",""546103"""</f>
        <v>"IntAlert Live","ALERT UK","17","1","546103"</v>
      </c>
      <c r="G168" s="223">
        <v>43948</v>
      </c>
      <c r="H168" s="223"/>
      <c r="I168" s="218" t="str">
        <f>"DRCBUK/BANK/2020/04/013"</f>
        <v>DRCBUK/BANK/2020/04/013</v>
      </c>
      <c r="K168" s="218" t="str">
        <f>"DGI SUD KIVU"</f>
        <v>DGI SUD KIVU</v>
      </c>
      <c r="L168" s="218" t="str">
        <f>"IPR- Avril 2020  Papson NYAMUSHALA MWANZA"</f>
        <v>IPR- Avril 2020  Papson NYAMUSHALA MWANZA</v>
      </c>
      <c r="M168" s="218" t="str">
        <f>"5100"</f>
        <v>5100</v>
      </c>
      <c r="N168" s="218" t="str">
        <f>"BASIC EMPLOYMENT COSTS"</f>
        <v>BASIC EMPLOYMENT COSTS</v>
      </c>
      <c r="O168" s="218" t="str">
        <f t="shared" si="61"/>
        <v>DRCBUK</v>
      </c>
      <c r="P168" s="218" t="str">
        <f t="shared" si="51"/>
        <v>AP21QR</v>
      </c>
      <c r="Q168" s="218" t="str">
        <f t="shared" si="62"/>
        <v>MWA</v>
      </c>
      <c r="R168" s="218" t="str">
        <f>""</f>
        <v/>
      </c>
      <c r="S168" s="218" t="str">
        <f t="shared" si="63"/>
        <v>047</v>
      </c>
      <c r="T168" s="218" t="str">
        <f t="shared" si="64"/>
        <v>D</v>
      </c>
      <c r="U168" s="218" t="str">
        <f t="shared" si="53"/>
        <v>AFR000</v>
      </c>
      <c r="V168" s="218" t="str">
        <f t="shared" si="54"/>
        <v>###</v>
      </c>
      <c r="W168" s="218">
        <v>531.69000000000005</v>
      </c>
      <c r="X168" s="218" t="str">
        <f t="shared" si="60"/>
        <v>USD</v>
      </c>
      <c r="Y168" s="218">
        <v>426.9</v>
      </c>
      <c r="Z168" s="218">
        <v>531.69000000000005</v>
      </c>
      <c r="AA168" s="218">
        <v>480.2</v>
      </c>
    </row>
    <row r="169" spans="1:27">
      <c r="A169" s="218" t="s">
        <v>2592</v>
      </c>
      <c r="F169" s="219" t="str">
        <f>"""IntAlert Live"",""ALERT UK"",""17"",""1"",""546139"""</f>
        <v>"IntAlert Live","ALERT UK","17","1","546139"</v>
      </c>
      <c r="G169" s="223">
        <v>43948</v>
      </c>
      <c r="H169" s="223"/>
      <c r="I169" s="218" t="str">
        <f>"DRCBUK/BANK/2020/04/014"</f>
        <v>DRCBUK/BANK/2020/04/014</v>
      </c>
      <c r="K169" s="218" t="str">
        <f>"CNSS BUKAVU"</f>
        <v>CNSS BUKAVU</v>
      </c>
      <c r="L169" s="218" t="str">
        <f>"CNSS- Avril 2020  Papson NYAMUSHALA MWANZA"</f>
        <v>CNSS- Avril 2020  Papson NYAMUSHALA MWANZA</v>
      </c>
      <c r="M169" s="218" t="str">
        <f>"5110"</f>
        <v>5110</v>
      </c>
      <c r="N169" s="218" t="str">
        <f>"EMPLOYER'S PENSION COSTS"</f>
        <v>EMPLOYER'S PENSION COSTS</v>
      </c>
      <c r="O169" s="218" t="str">
        <f t="shared" si="61"/>
        <v>DRCBUK</v>
      </c>
      <c r="P169" s="218" t="str">
        <f t="shared" si="51"/>
        <v>AP21QR</v>
      </c>
      <c r="Q169" s="218" t="str">
        <f t="shared" si="62"/>
        <v>MWA</v>
      </c>
      <c r="R169" s="218" t="str">
        <f>""</f>
        <v/>
      </c>
      <c r="S169" s="218" t="str">
        <f t="shared" si="63"/>
        <v>047</v>
      </c>
      <c r="T169" s="218" t="str">
        <f t="shared" si="64"/>
        <v>D</v>
      </c>
      <c r="U169" s="218" t="str">
        <f t="shared" si="53"/>
        <v>AFR000</v>
      </c>
      <c r="V169" s="218" t="str">
        <f t="shared" si="54"/>
        <v>###</v>
      </c>
      <c r="W169" s="218">
        <v>461.32</v>
      </c>
      <c r="X169" s="218" t="str">
        <f t="shared" si="60"/>
        <v>USD</v>
      </c>
      <c r="Y169" s="218">
        <v>370.39</v>
      </c>
      <c r="Z169" s="218">
        <v>461.32</v>
      </c>
      <c r="AA169" s="218">
        <v>416.64</v>
      </c>
    </row>
    <row r="170" spans="1:27">
      <c r="A170" s="218" t="s">
        <v>2592</v>
      </c>
      <c r="F170" s="219" t="str">
        <f>"""IntAlert Live"",""ALERT UK"",""17"",""1"",""546174"""</f>
        <v>"IntAlert Live","ALERT UK","17","1","546174"</v>
      </c>
      <c r="G170" s="223">
        <v>43948</v>
      </c>
      <c r="H170" s="223"/>
      <c r="I170" s="218" t="str">
        <f>"DRCBUK/BANK/2020/04/015"</f>
        <v>DRCBUK/BANK/2020/04/015</v>
      </c>
      <c r="K170" s="218" t="str">
        <f>"INPP SUD-KIVU"</f>
        <v>INPP SUD-KIVU</v>
      </c>
      <c r="L170" s="218" t="str">
        <f>"INPP- Avril 2020  Papson NYAMUSHALA MWANZA"</f>
        <v>INPP- Avril 2020  Papson NYAMUSHALA MWANZA</v>
      </c>
      <c r="M170" s="218" t="str">
        <f>"5160"</f>
        <v>5160</v>
      </c>
      <c r="N170" s="218" t="str">
        <f>"EMPLOYMENT BENEFITS COSTS"</f>
        <v>EMPLOYMENT BENEFITS COSTS</v>
      </c>
      <c r="O170" s="218" t="str">
        <f t="shared" si="61"/>
        <v>DRCBUK</v>
      </c>
      <c r="P170" s="218" t="str">
        <f t="shared" si="51"/>
        <v>AP21QR</v>
      </c>
      <c r="Q170" s="218" t="str">
        <f t="shared" si="62"/>
        <v>MWA</v>
      </c>
      <c r="R170" s="218" t="str">
        <f>""</f>
        <v/>
      </c>
      <c r="S170" s="218" t="str">
        <f t="shared" si="63"/>
        <v>047</v>
      </c>
      <c r="T170" s="218" t="str">
        <f t="shared" si="64"/>
        <v>D</v>
      </c>
      <c r="U170" s="218" t="str">
        <f t="shared" si="53"/>
        <v>AFR000</v>
      </c>
      <c r="V170" s="218" t="str">
        <f t="shared" si="54"/>
        <v>###</v>
      </c>
      <c r="W170" s="218">
        <v>76.89</v>
      </c>
      <c r="X170" s="218" t="str">
        <f t="shared" si="60"/>
        <v>USD</v>
      </c>
      <c r="Y170" s="218">
        <v>61.74</v>
      </c>
      <c r="Z170" s="218">
        <v>76.89</v>
      </c>
      <c r="AA170" s="218">
        <v>69.45</v>
      </c>
    </row>
    <row r="171" spans="1:27">
      <c r="A171" s="218" t="s">
        <v>2592</v>
      </c>
      <c r="F171" s="219" t="str">
        <f>"""IntAlert Live"",""ALERT UK"",""17"",""1"",""546318"""</f>
        <v>"IntAlert Live","ALERT UK","17","1","546318"</v>
      </c>
      <c r="G171" s="223">
        <v>43951</v>
      </c>
      <c r="H171" s="223"/>
      <c r="I171" s="218" t="str">
        <f>"DRCBUK/CAISSE/2020/04/002"</f>
        <v>DRCBUK/CAISSE/2020/04/002</v>
      </c>
      <c r="K171" s="218" t="str">
        <f>"ONEM"</f>
        <v>ONEM</v>
      </c>
      <c r="L171" s="218" t="str">
        <f>"ONEM- Avril 2020  Papson NYAMUSHALA MWANZA"</f>
        <v>ONEM- Avril 2020  Papson NYAMUSHALA MWANZA</v>
      </c>
      <c r="M171" s="218" t="str">
        <f>"5160"</f>
        <v>5160</v>
      </c>
      <c r="N171" s="218" t="str">
        <f>"EMPLOYMENT BENEFITS COSTS"</f>
        <v>EMPLOYMENT BENEFITS COSTS</v>
      </c>
      <c r="O171" s="218" t="str">
        <f t="shared" si="61"/>
        <v>DRCBUK</v>
      </c>
      <c r="P171" s="218" t="str">
        <f t="shared" si="51"/>
        <v>AP21QR</v>
      </c>
      <c r="Q171" s="218" t="str">
        <f t="shared" si="62"/>
        <v>MWA</v>
      </c>
      <c r="R171" s="218" t="str">
        <f>""</f>
        <v/>
      </c>
      <c r="S171" s="218" t="str">
        <f t="shared" si="63"/>
        <v>047</v>
      </c>
      <c r="T171" s="218" t="str">
        <f t="shared" si="64"/>
        <v>D</v>
      </c>
      <c r="U171" s="218" t="str">
        <f t="shared" si="53"/>
        <v>AFR000</v>
      </c>
      <c r="V171" s="218" t="str">
        <f t="shared" si="54"/>
        <v>###</v>
      </c>
      <c r="W171" s="218">
        <v>5.13</v>
      </c>
      <c r="X171" s="218" t="str">
        <f t="shared" si="60"/>
        <v>USD</v>
      </c>
      <c r="Y171" s="218">
        <v>4.12</v>
      </c>
      <c r="Z171" s="218">
        <v>5.13</v>
      </c>
      <c r="AA171" s="218">
        <v>4.63</v>
      </c>
    </row>
    <row r="172" spans="1:27">
      <c r="A172" s="218" t="s">
        <v>2592</v>
      </c>
      <c r="F172" s="219" t="str">
        <f>"""IntAlert Live"",""ALERT UK"",""17"",""1"",""555190"""</f>
        <v>"IntAlert Live","ALERT UK","17","1","555190"</v>
      </c>
      <c r="G172" s="223">
        <v>43976</v>
      </c>
      <c r="H172" s="223"/>
      <c r="I172" s="218" t="str">
        <f>"DRCBUK/BANK/2020/05/015"</f>
        <v>DRCBUK/BANK/2020/05/015</v>
      </c>
      <c r="K172" s="218" t="str">
        <f>"PAPSON NYAMUSHALA"</f>
        <v>PAPSON NYAMUSHALA</v>
      </c>
      <c r="L172" s="218" t="str">
        <f>"Salaire-Mai 020 Papson NYAMUSHALA MWANZA"</f>
        <v>Salaire-Mai 020 Papson NYAMUSHALA MWANZA</v>
      </c>
      <c r="M172" s="218" t="str">
        <f>"5100"</f>
        <v>5100</v>
      </c>
      <c r="N172" s="218" t="str">
        <f>"BASIC EMPLOYMENT COSTS"</f>
        <v>BASIC EMPLOYMENT COSTS</v>
      </c>
      <c r="O172" s="218" t="str">
        <f t="shared" si="61"/>
        <v>DRCBUK</v>
      </c>
      <c r="P172" s="218" t="str">
        <f t="shared" si="51"/>
        <v>AP21QR</v>
      </c>
      <c r="Q172" s="218" t="str">
        <f t="shared" si="62"/>
        <v>MWA</v>
      </c>
      <c r="R172" s="218" t="str">
        <f>""</f>
        <v/>
      </c>
      <c r="S172" s="218" t="str">
        <f t="shared" si="63"/>
        <v>047</v>
      </c>
      <c r="T172" s="218" t="str">
        <f t="shared" si="64"/>
        <v>D</v>
      </c>
      <c r="U172" s="218" t="str">
        <f t="shared" si="53"/>
        <v>AFR000</v>
      </c>
      <c r="V172" s="218" t="str">
        <f t="shared" si="54"/>
        <v>###</v>
      </c>
      <c r="W172" s="218">
        <v>2747.52</v>
      </c>
      <c r="X172" s="218" t="str">
        <f t="shared" si="60"/>
        <v>USD</v>
      </c>
      <c r="Y172" s="218">
        <v>2179.85</v>
      </c>
      <c r="Z172" s="218">
        <v>2747.52</v>
      </c>
      <c r="AA172" s="218">
        <v>2494.73</v>
      </c>
    </row>
    <row r="173" spans="1:27">
      <c r="A173" s="218" t="s">
        <v>2592</v>
      </c>
      <c r="F173" s="219" t="str">
        <f>"""IntAlert Live"",""ALERT UK"",""17"",""1"",""555228"""</f>
        <v>"IntAlert Live","ALERT UK","17","1","555228"</v>
      </c>
      <c r="G173" s="223">
        <v>43976</v>
      </c>
      <c r="H173" s="223"/>
      <c r="I173" s="218" t="str">
        <f>"DRCBUK/BANK/2020/05/016"</f>
        <v>DRCBUK/BANK/2020/05/016</v>
      </c>
      <c r="K173" s="218" t="str">
        <f>"DGI/DPI SUD-KIVU"</f>
        <v>DGI/DPI SUD-KIVU</v>
      </c>
      <c r="L173" s="218" t="str">
        <f>"IPR-Mai 020 Papson NYAMUSHALA MWANZA"</f>
        <v>IPR-Mai 020 Papson NYAMUSHALA MWANZA</v>
      </c>
      <c r="M173" s="218" t="str">
        <f>"5100"</f>
        <v>5100</v>
      </c>
      <c r="N173" s="218" t="str">
        <f>"BASIC EMPLOYMENT COSTS"</f>
        <v>BASIC EMPLOYMENT COSTS</v>
      </c>
      <c r="O173" s="218" t="str">
        <f t="shared" si="61"/>
        <v>DRCBUK</v>
      </c>
      <c r="P173" s="218" t="str">
        <f t="shared" si="51"/>
        <v>AP21QR</v>
      </c>
      <c r="Q173" s="218" t="str">
        <f t="shared" si="62"/>
        <v>MWA</v>
      </c>
      <c r="R173" s="218" t="str">
        <f>""</f>
        <v/>
      </c>
      <c r="S173" s="218" t="str">
        <f t="shared" si="63"/>
        <v>047</v>
      </c>
      <c r="T173" s="218" t="str">
        <f t="shared" si="64"/>
        <v>D</v>
      </c>
      <c r="U173" s="218" t="str">
        <f t="shared" si="53"/>
        <v>AFR000</v>
      </c>
      <c r="V173" s="218" t="str">
        <f t="shared" si="54"/>
        <v>###</v>
      </c>
      <c r="W173" s="218">
        <v>534.69000000000005</v>
      </c>
      <c r="X173" s="218" t="str">
        <f t="shared" si="60"/>
        <v>USD</v>
      </c>
      <c r="Y173" s="218">
        <v>424.22</v>
      </c>
      <c r="Z173" s="218">
        <v>534.69000000000005</v>
      </c>
      <c r="AA173" s="218">
        <v>485.5</v>
      </c>
    </row>
    <row r="174" spans="1:27">
      <c r="A174" s="218" t="s">
        <v>2592</v>
      </c>
      <c r="F174" s="219" t="str">
        <f>"""IntAlert Live"",""ALERT UK"",""17"",""1"",""555268"""</f>
        <v>"IntAlert Live","ALERT UK","17","1","555268"</v>
      </c>
      <c r="G174" s="223">
        <v>43976</v>
      </c>
      <c r="H174" s="223"/>
      <c r="I174" s="218" t="str">
        <f>"DRCBUK/BANK/2020/05/017"</f>
        <v>DRCBUK/BANK/2020/05/017</v>
      </c>
      <c r="K174" s="218" t="str">
        <f>"CNSS SUD KIVU"</f>
        <v>CNSS SUD KIVU</v>
      </c>
      <c r="L174" s="218" t="str">
        <f>"CNSS-Mai 020 Papson NYAMUSHALA MWANZA"</f>
        <v>CNSS-Mai 020 Papson NYAMUSHALA MWANZA</v>
      </c>
      <c r="M174" s="218" t="str">
        <f>"5160"</f>
        <v>5160</v>
      </c>
      <c r="N174" s="218" t="str">
        <f>"EMPLOYMENT BENEFITS COSTS"</f>
        <v>EMPLOYMENT BENEFITS COSTS</v>
      </c>
      <c r="O174" s="218" t="str">
        <f t="shared" si="61"/>
        <v>DRCBUK</v>
      </c>
      <c r="P174" s="218" t="str">
        <f t="shared" si="51"/>
        <v>AP21QR</v>
      </c>
      <c r="Q174" s="218" t="str">
        <f t="shared" si="62"/>
        <v>MWA</v>
      </c>
      <c r="R174" s="218" t="str">
        <f>""</f>
        <v/>
      </c>
      <c r="S174" s="218" t="str">
        <f t="shared" si="63"/>
        <v>047</v>
      </c>
      <c r="T174" s="218" t="str">
        <f t="shared" si="64"/>
        <v>D</v>
      </c>
      <c r="U174" s="218" t="str">
        <f t="shared" si="53"/>
        <v>AFR000</v>
      </c>
      <c r="V174" s="218" t="str">
        <f t="shared" si="54"/>
        <v>###</v>
      </c>
      <c r="W174" s="218">
        <v>461.32</v>
      </c>
      <c r="X174" s="218" t="str">
        <f t="shared" si="60"/>
        <v>USD</v>
      </c>
      <c r="Y174" s="218">
        <v>366.01</v>
      </c>
      <c r="Z174" s="218">
        <v>461.32</v>
      </c>
      <c r="AA174" s="218">
        <v>418.88</v>
      </c>
    </row>
    <row r="175" spans="1:27">
      <c r="A175" s="218" t="s">
        <v>2592</v>
      </c>
      <c r="F175" s="219" t="str">
        <f>"""IntAlert Live"",""ALERT UK"",""17"",""1"",""555307"""</f>
        <v>"IntAlert Live","ALERT UK","17","1","555307"</v>
      </c>
      <c r="G175" s="223">
        <v>43976</v>
      </c>
      <c r="H175" s="223"/>
      <c r="I175" s="218" t="str">
        <f>"DRCBUK/BANK/2020/05/018"</f>
        <v>DRCBUK/BANK/2020/05/018</v>
      </c>
      <c r="K175" s="218" t="str">
        <f>"INPP SUD KIVU"</f>
        <v>INPP SUD KIVU</v>
      </c>
      <c r="L175" s="218" t="str">
        <f>"INPP-Mai 020 Papson NYAMUSHALA MWANZA"</f>
        <v>INPP-Mai 020 Papson NYAMUSHALA MWANZA</v>
      </c>
      <c r="M175" s="218" t="str">
        <f>"5160"</f>
        <v>5160</v>
      </c>
      <c r="N175" s="218" t="str">
        <f>"EMPLOYMENT BENEFITS COSTS"</f>
        <v>EMPLOYMENT BENEFITS COSTS</v>
      </c>
      <c r="O175" s="218" t="str">
        <f t="shared" si="61"/>
        <v>DRCBUK</v>
      </c>
      <c r="P175" s="218" t="str">
        <f t="shared" si="51"/>
        <v>AP21QR</v>
      </c>
      <c r="Q175" s="218" t="str">
        <f t="shared" si="62"/>
        <v>MWA</v>
      </c>
      <c r="R175" s="218" t="str">
        <f>""</f>
        <v/>
      </c>
      <c r="S175" s="218" t="str">
        <f t="shared" si="63"/>
        <v>047</v>
      </c>
      <c r="T175" s="218" t="str">
        <f t="shared" si="64"/>
        <v>D</v>
      </c>
      <c r="U175" s="218" t="str">
        <f t="shared" si="53"/>
        <v>AFR000</v>
      </c>
      <c r="V175" s="218" t="str">
        <f t="shared" si="54"/>
        <v>###</v>
      </c>
      <c r="W175" s="218">
        <v>76.89</v>
      </c>
      <c r="X175" s="218" t="str">
        <f t="shared" ref="X175:X181" si="65">"USD"</f>
        <v>USD</v>
      </c>
      <c r="Y175" s="218">
        <v>61</v>
      </c>
      <c r="Z175" s="218">
        <v>76.89</v>
      </c>
      <c r="AA175" s="218">
        <v>69.81</v>
      </c>
    </row>
    <row r="176" spans="1:27">
      <c r="A176" s="218" t="s">
        <v>2592</v>
      </c>
      <c r="F176" s="219" t="str">
        <f>"""IntAlert Live"",""ALERT UK"",""17"",""1"",""555489"""</f>
        <v>"IntAlert Live","ALERT UK","17","1","555489"</v>
      </c>
      <c r="G176" s="223">
        <v>43980</v>
      </c>
      <c r="H176" s="223"/>
      <c r="I176" s="218" t="str">
        <f>"DRCBUK/CAISSE/2020/05/002"</f>
        <v>DRCBUK/CAISSE/2020/05/002</v>
      </c>
      <c r="K176" s="218" t="str">
        <f>"ONEM"</f>
        <v>ONEM</v>
      </c>
      <c r="L176" s="218" t="str">
        <f>"ONEM-Mai 020 Papson NYAMUSHALA MWANZA"</f>
        <v>ONEM-Mai 020 Papson NYAMUSHALA MWANZA</v>
      </c>
      <c r="M176" s="218" t="str">
        <f>"5160"</f>
        <v>5160</v>
      </c>
      <c r="N176" s="218" t="str">
        <f>"EMPLOYMENT BENEFITS COSTS"</f>
        <v>EMPLOYMENT BENEFITS COSTS</v>
      </c>
      <c r="O176" s="218" t="str">
        <f t="shared" si="61"/>
        <v>DRCBUK</v>
      </c>
      <c r="P176" s="218" t="str">
        <f t="shared" si="51"/>
        <v>AP21QR</v>
      </c>
      <c r="Q176" s="218" t="str">
        <f t="shared" si="62"/>
        <v>MWA</v>
      </c>
      <c r="R176" s="218" t="str">
        <f>""</f>
        <v/>
      </c>
      <c r="S176" s="218" t="str">
        <f t="shared" si="63"/>
        <v>047</v>
      </c>
      <c r="T176" s="218" t="str">
        <f t="shared" si="64"/>
        <v>D</v>
      </c>
      <c r="U176" s="218" t="str">
        <f t="shared" si="53"/>
        <v>AFR000</v>
      </c>
      <c r="V176" s="218" t="str">
        <f t="shared" si="54"/>
        <v>###</v>
      </c>
      <c r="W176" s="218">
        <v>5.13</v>
      </c>
      <c r="X176" s="218" t="str">
        <f t="shared" si="65"/>
        <v>USD</v>
      </c>
      <c r="Y176" s="218">
        <v>4.07</v>
      </c>
      <c r="Z176" s="218">
        <v>5.13</v>
      </c>
      <c r="AA176" s="218">
        <v>4.66</v>
      </c>
    </row>
    <row r="177" spans="1:27">
      <c r="A177" s="218" t="s">
        <v>2592</v>
      </c>
      <c r="F177" s="219" t="str">
        <f>"""IntAlert Live"",""ALERT UK"",""17"",""1"",""555198"""</f>
        <v>"IntAlert Live","ALERT UK","17","1","555198"</v>
      </c>
      <c r="G177" s="223">
        <v>43976</v>
      </c>
      <c r="H177" s="223"/>
      <c r="I177" s="218" t="str">
        <f>"DRCBUK/BANK/2020/05/015"</f>
        <v>DRCBUK/BANK/2020/05/015</v>
      </c>
      <c r="K177" s="218" t="str">
        <f>"LAURENT MIKALANO"</f>
        <v>LAURENT MIKALANO</v>
      </c>
      <c r="L177" s="218" t="str">
        <f>"Salaire-Mai 020 Laurent MIKALANO MULOTWA"</f>
        <v>Salaire-Mai 020 Laurent MIKALANO MULOTWA</v>
      </c>
      <c r="M177" s="218" t="str">
        <f>"5100"</f>
        <v>5100</v>
      </c>
      <c r="N177" s="218" t="str">
        <f>"BASIC EMPLOYMENT COSTS"</f>
        <v>BASIC EMPLOYMENT COSTS</v>
      </c>
      <c r="O177" s="218" t="str">
        <f t="shared" si="61"/>
        <v>DRCBUK</v>
      </c>
      <c r="P177" s="218" t="str">
        <f t="shared" si="51"/>
        <v>AP21QR</v>
      </c>
      <c r="Q177" s="218" t="str">
        <f>"MLO"</f>
        <v>MLO</v>
      </c>
      <c r="R177" s="218" t="str">
        <f>""</f>
        <v/>
      </c>
      <c r="S177" s="218" t="str">
        <f>"048"</f>
        <v>048</v>
      </c>
      <c r="T177" s="218" t="str">
        <f t="shared" si="64"/>
        <v>D</v>
      </c>
      <c r="U177" s="218" t="str">
        <f t="shared" si="53"/>
        <v>AFR000</v>
      </c>
      <c r="V177" s="218" t="str">
        <f t="shared" si="54"/>
        <v>###</v>
      </c>
      <c r="W177" s="218">
        <v>1873.52</v>
      </c>
      <c r="X177" s="218" t="str">
        <f t="shared" si="65"/>
        <v>USD</v>
      </c>
      <c r="Y177" s="218">
        <v>1486.43</v>
      </c>
      <c r="Z177" s="218">
        <v>1873.52</v>
      </c>
      <c r="AA177" s="218">
        <v>1701.14</v>
      </c>
    </row>
    <row r="178" spans="1:27">
      <c r="A178" s="218" t="s">
        <v>2592</v>
      </c>
      <c r="F178" s="219" t="str">
        <f>"""IntAlert Live"",""ALERT UK"",""17"",""1"",""555237"""</f>
        <v>"IntAlert Live","ALERT UK","17","1","555237"</v>
      </c>
      <c r="G178" s="223">
        <v>43976</v>
      </c>
      <c r="H178" s="223"/>
      <c r="I178" s="218" t="str">
        <f>"DRCBUK/BANK/2020/05/016"</f>
        <v>DRCBUK/BANK/2020/05/016</v>
      </c>
      <c r="K178" s="218" t="str">
        <f>"DGI/DPI SUD-KIVU"</f>
        <v>DGI/DPI SUD-KIVU</v>
      </c>
      <c r="L178" s="218" t="str">
        <f>"IPR-Mai 020 Laurent MIKALANO MULOTWA"</f>
        <v>IPR-Mai 020 Laurent MIKALANO MULOTWA</v>
      </c>
      <c r="M178" s="218" t="str">
        <f>"5100"</f>
        <v>5100</v>
      </c>
      <c r="N178" s="218" t="str">
        <f>"BASIC EMPLOYMENT COSTS"</f>
        <v>BASIC EMPLOYMENT COSTS</v>
      </c>
      <c r="O178" s="218" t="str">
        <f t="shared" si="61"/>
        <v>DRCBUK</v>
      </c>
      <c r="P178" s="218" t="str">
        <f t="shared" si="51"/>
        <v>AP21QR</v>
      </c>
      <c r="Q178" s="218" t="str">
        <f>"MLO"</f>
        <v>MLO</v>
      </c>
      <c r="R178" s="218" t="str">
        <f>""</f>
        <v/>
      </c>
      <c r="S178" s="218" t="str">
        <f>"048"</f>
        <v>048</v>
      </c>
      <c r="T178" s="218" t="str">
        <f t="shared" si="64"/>
        <v>D</v>
      </c>
      <c r="U178" s="218" t="str">
        <f t="shared" si="53"/>
        <v>AFR000</v>
      </c>
      <c r="V178" s="218" t="str">
        <f t="shared" si="54"/>
        <v>###</v>
      </c>
      <c r="W178" s="218">
        <v>191.24</v>
      </c>
      <c r="X178" s="218" t="str">
        <f t="shared" si="65"/>
        <v>USD</v>
      </c>
      <c r="Y178" s="218">
        <v>151.72999999999999</v>
      </c>
      <c r="Z178" s="218">
        <v>191.24</v>
      </c>
      <c r="AA178" s="218">
        <v>173.65</v>
      </c>
    </row>
    <row r="179" spans="1:27">
      <c r="A179" s="218" t="s">
        <v>2592</v>
      </c>
      <c r="F179" s="219" t="str">
        <f>"""IntAlert Live"",""ALERT UK"",""17"",""1"",""555277"""</f>
        <v>"IntAlert Live","ALERT UK","17","1","555277"</v>
      </c>
      <c r="G179" s="223">
        <v>43976</v>
      </c>
      <c r="H179" s="223"/>
      <c r="I179" s="218" t="str">
        <f>"DRCBUK/BANK/2020/05/017"</f>
        <v>DRCBUK/BANK/2020/05/017</v>
      </c>
      <c r="K179" s="218" t="str">
        <f>"CNSS SUD KIVU"</f>
        <v>CNSS SUD KIVU</v>
      </c>
      <c r="L179" s="218" t="str">
        <f>"CNSS-Mai 020 Laurent MIKALANO MULOTWA"</f>
        <v>CNSS-Mai 020 Laurent MIKALANO MULOTWA</v>
      </c>
      <c r="M179" s="218" t="str">
        <f>"5160"</f>
        <v>5160</v>
      </c>
      <c r="N179" s="218" t="str">
        <f>"EMPLOYMENT BENEFITS COSTS"</f>
        <v>EMPLOYMENT BENEFITS COSTS</v>
      </c>
      <c r="O179" s="218" t="str">
        <f t="shared" si="61"/>
        <v>DRCBUK</v>
      </c>
      <c r="P179" s="218" t="str">
        <f t="shared" si="51"/>
        <v>AP21QR</v>
      </c>
      <c r="Q179" s="218" t="str">
        <f>"MLO"</f>
        <v>MLO</v>
      </c>
      <c r="R179" s="218" t="str">
        <f>""</f>
        <v/>
      </c>
      <c r="S179" s="218" t="str">
        <f>"048"</f>
        <v>048</v>
      </c>
      <c r="T179" s="218" t="str">
        <f t="shared" si="64"/>
        <v>D</v>
      </c>
      <c r="U179" s="218" t="str">
        <f t="shared" si="53"/>
        <v>AFR000</v>
      </c>
      <c r="V179" s="218" t="str">
        <f t="shared" si="54"/>
        <v>###</v>
      </c>
      <c r="W179" s="218">
        <v>287.58999999999997</v>
      </c>
      <c r="X179" s="218" t="str">
        <f t="shared" si="65"/>
        <v>USD</v>
      </c>
      <c r="Y179" s="218">
        <v>228.17</v>
      </c>
      <c r="Z179" s="218">
        <v>287.58999999999997</v>
      </c>
      <c r="AA179" s="218">
        <v>261.13</v>
      </c>
    </row>
    <row r="180" spans="1:27">
      <c r="A180" s="218" t="s">
        <v>2592</v>
      </c>
      <c r="F180" s="219" t="str">
        <f>"""IntAlert Live"",""ALERT UK"",""17"",""1"",""555316"""</f>
        <v>"IntAlert Live","ALERT UK","17","1","555316"</v>
      </c>
      <c r="G180" s="223">
        <v>43976</v>
      </c>
      <c r="H180" s="223"/>
      <c r="I180" s="218" t="str">
        <f>"DRCBUK/BANK/2020/05/018"</f>
        <v>DRCBUK/BANK/2020/05/018</v>
      </c>
      <c r="K180" s="218" t="str">
        <f>"INPP SUD KIVU"</f>
        <v>INPP SUD KIVU</v>
      </c>
      <c r="L180" s="218" t="str">
        <f>"INPP-Mai 020 Laurent MIKALANO MULOTWA"</f>
        <v>INPP-Mai 020 Laurent MIKALANO MULOTWA</v>
      </c>
      <c r="M180" s="218" t="str">
        <f>"5160"</f>
        <v>5160</v>
      </c>
      <c r="N180" s="218" t="str">
        <f>"EMPLOYMENT BENEFITS COSTS"</f>
        <v>EMPLOYMENT BENEFITS COSTS</v>
      </c>
      <c r="O180" s="218" t="str">
        <f t="shared" si="61"/>
        <v>DRCBUK</v>
      </c>
      <c r="P180" s="218" t="str">
        <f t="shared" si="51"/>
        <v>AP21QR</v>
      </c>
      <c r="Q180" s="218" t="str">
        <f>"MLO"</f>
        <v>MLO</v>
      </c>
      <c r="R180" s="218" t="str">
        <f>""</f>
        <v/>
      </c>
      <c r="S180" s="218" t="str">
        <f>"048"</f>
        <v>048</v>
      </c>
      <c r="T180" s="218" t="str">
        <f t="shared" si="64"/>
        <v>D</v>
      </c>
      <c r="U180" s="218" t="str">
        <f t="shared" si="53"/>
        <v>AFR000</v>
      </c>
      <c r="V180" s="218" t="str">
        <f t="shared" si="54"/>
        <v>###</v>
      </c>
      <c r="W180" s="218">
        <v>47.93</v>
      </c>
      <c r="X180" s="218" t="str">
        <f t="shared" si="65"/>
        <v>USD</v>
      </c>
      <c r="Y180" s="218">
        <v>38.03</v>
      </c>
      <c r="Z180" s="218">
        <v>47.93</v>
      </c>
      <c r="AA180" s="218">
        <v>43.52</v>
      </c>
    </row>
    <row r="181" spans="1:27">
      <c r="A181" s="218" t="s">
        <v>2592</v>
      </c>
      <c r="F181" s="219" t="str">
        <f>"""IntAlert Live"",""ALERT UK"",""17"",""1"",""555498"""</f>
        <v>"IntAlert Live","ALERT UK","17","1","555498"</v>
      </c>
      <c r="G181" s="223">
        <v>43980</v>
      </c>
      <c r="H181" s="223"/>
      <c r="I181" s="218" t="str">
        <f>"DRCBUK/CAISSE/2020/05/002"</f>
        <v>DRCBUK/CAISSE/2020/05/002</v>
      </c>
      <c r="K181" s="218" t="str">
        <f>"ONEM"</f>
        <v>ONEM</v>
      </c>
      <c r="L181" s="218" t="str">
        <f>"ONEM-Mai 020 Laurent MIKALANO MULOTWA"</f>
        <v>ONEM-Mai 020 Laurent MIKALANO MULOTWA</v>
      </c>
      <c r="M181" s="218" t="str">
        <f>"5160"</f>
        <v>5160</v>
      </c>
      <c r="N181" s="218" t="str">
        <f>"EMPLOYMENT BENEFITS COSTS"</f>
        <v>EMPLOYMENT BENEFITS COSTS</v>
      </c>
      <c r="O181" s="218" t="str">
        <f t="shared" si="61"/>
        <v>DRCBUK</v>
      </c>
      <c r="P181" s="218" t="str">
        <f t="shared" si="51"/>
        <v>AP21QR</v>
      </c>
      <c r="Q181" s="218" t="str">
        <f>"MLO"</f>
        <v>MLO</v>
      </c>
      <c r="R181" s="218" t="str">
        <f>""</f>
        <v/>
      </c>
      <c r="S181" s="218" t="str">
        <f>"048"</f>
        <v>048</v>
      </c>
      <c r="T181" s="218" t="str">
        <f t="shared" si="64"/>
        <v>D</v>
      </c>
      <c r="U181" s="218" t="str">
        <f t="shared" si="53"/>
        <v>AFR000</v>
      </c>
      <c r="V181" s="218" t="str">
        <f t="shared" si="54"/>
        <v>###</v>
      </c>
      <c r="W181" s="218">
        <v>3.2</v>
      </c>
      <c r="X181" s="218" t="str">
        <f t="shared" si="65"/>
        <v>USD</v>
      </c>
      <c r="Y181" s="218">
        <v>2.54</v>
      </c>
      <c r="Z181" s="218">
        <v>3.2</v>
      </c>
      <c r="AA181" s="218">
        <v>2.91</v>
      </c>
    </row>
    <row r="182" spans="1:27">
      <c r="A182" s="218" t="s">
        <v>2592</v>
      </c>
      <c r="F182" s="219" t="str">
        <f>"""IntAlert Live"",""ALERT UK"",""17"",""1"",""556126"""</f>
        <v>"IntAlert Live","ALERT UK","17","1","556126"</v>
      </c>
      <c r="G182" s="223">
        <v>43959</v>
      </c>
      <c r="H182" s="223"/>
      <c r="I182" s="218" t="str">
        <f>""</f>
        <v/>
      </c>
      <c r="K182" s="218" t="str">
        <f t="shared" ref="K182:K187" si="66">"10057848"</f>
        <v>10057848</v>
      </c>
      <c r="L182" s="218" t="str">
        <f t="shared" ref="L182:L187" si="67">"CAM partners staff training conflict mgt"</f>
        <v>CAM partners staff training conflict mgt</v>
      </c>
      <c r="M182" s="218" t="str">
        <f>"6020"</f>
        <v>6020</v>
      </c>
      <c r="N182" s="218" t="str">
        <f>"STAFF TRAVEL LOCAL"</f>
        <v>STAFF TRAVEL LOCAL</v>
      </c>
      <c r="O182" s="218" t="str">
        <f t="shared" ref="O182:O187" si="68">"RWAKIG"</f>
        <v>RWAKIG</v>
      </c>
      <c r="P182" s="218" t="str">
        <f t="shared" si="51"/>
        <v>AP21QR</v>
      </c>
      <c r="Q182" s="218" t="str">
        <f t="shared" ref="Q182:Q187" si="69">"BAZ"</f>
        <v>BAZ</v>
      </c>
      <c r="R182" s="218" t="str">
        <f>""</f>
        <v/>
      </c>
      <c r="S182" s="218" t="str">
        <f t="shared" ref="S182:S187" si="70">"049"</f>
        <v>049</v>
      </c>
      <c r="T182" s="218" t="str">
        <f t="shared" si="64"/>
        <v>D</v>
      </c>
      <c r="U182" s="218" t="str">
        <f t="shared" si="53"/>
        <v>AFR000</v>
      </c>
      <c r="V182" s="218" t="str">
        <f t="shared" si="54"/>
        <v>###</v>
      </c>
      <c r="W182" s="218">
        <v>2000</v>
      </c>
      <c r="X182" s="218" t="str">
        <f t="shared" ref="X182:X187" si="71">"RWF"</f>
        <v>RWF</v>
      </c>
      <c r="Y182" s="218">
        <v>1.69</v>
      </c>
      <c r="Z182" s="218">
        <v>2.13</v>
      </c>
      <c r="AA182" s="218">
        <v>1.93</v>
      </c>
    </row>
    <row r="183" spans="1:27">
      <c r="A183" s="218" t="s">
        <v>2592</v>
      </c>
      <c r="F183" s="219" t="str">
        <f>"""IntAlert Live"",""ALERT UK"",""17"",""1"",""556127"""</f>
        <v>"IntAlert Live","ALERT UK","17","1","556127"</v>
      </c>
      <c r="G183" s="223">
        <v>43959</v>
      </c>
      <c r="H183" s="223"/>
      <c r="I183" s="218" t="str">
        <f>""</f>
        <v/>
      </c>
      <c r="K183" s="218" t="str">
        <f t="shared" si="66"/>
        <v>10057848</v>
      </c>
      <c r="L183" s="218" t="str">
        <f t="shared" si="67"/>
        <v>CAM partners staff training conflict mgt</v>
      </c>
      <c r="M183" s="218" t="str">
        <f>"6080"</f>
        <v>6080</v>
      </c>
      <c r="N183" s="218" t="str">
        <f>"STAFF PER DIEMS"</f>
        <v>STAFF PER DIEMS</v>
      </c>
      <c r="O183" s="218" t="str">
        <f t="shared" si="68"/>
        <v>RWAKIG</v>
      </c>
      <c r="P183" s="218" t="str">
        <f t="shared" si="51"/>
        <v>AP21QR</v>
      </c>
      <c r="Q183" s="218" t="str">
        <f t="shared" si="69"/>
        <v>BAZ</v>
      </c>
      <c r="R183" s="218" t="str">
        <f>""</f>
        <v/>
      </c>
      <c r="S183" s="218" t="str">
        <f t="shared" si="70"/>
        <v>049</v>
      </c>
      <c r="T183" s="218" t="str">
        <f t="shared" si="64"/>
        <v>D</v>
      </c>
      <c r="U183" s="218" t="str">
        <f t="shared" si="53"/>
        <v>AFR000</v>
      </c>
      <c r="V183" s="218" t="str">
        <f t="shared" si="54"/>
        <v>###</v>
      </c>
      <c r="W183" s="218">
        <v>72842</v>
      </c>
      <c r="X183" s="218" t="str">
        <f t="shared" si="71"/>
        <v>RWF</v>
      </c>
      <c r="Y183" s="218">
        <v>61.66</v>
      </c>
      <c r="Z183" s="218">
        <v>77.72</v>
      </c>
      <c r="AA183" s="218">
        <v>70.569999999999993</v>
      </c>
    </row>
    <row r="184" spans="1:27">
      <c r="A184" s="218" t="s">
        <v>2592</v>
      </c>
      <c r="F184" s="219" t="str">
        <f>"""IntAlert Live"",""ALERT UK"",""17"",""1"",""556128"""</f>
        <v>"IntAlert Live","ALERT UK","17","1","556128"</v>
      </c>
      <c r="G184" s="223">
        <v>43959</v>
      </c>
      <c r="H184" s="223"/>
      <c r="I184" s="218" t="str">
        <f>""</f>
        <v/>
      </c>
      <c r="K184" s="218" t="str">
        <f t="shared" si="66"/>
        <v>10057848</v>
      </c>
      <c r="L184" s="218" t="str">
        <f t="shared" si="67"/>
        <v>CAM partners staff training conflict mgt</v>
      </c>
      <c r="M184" s="218" t="str">
        <f>"6040"</f>
        <v>6040</v>
      </c>
      <c r="N184" s="218" t="str">
        <f>"STAFF ACCOMMODATION   OTHER"</f>
        <v>STAFF ACCOMMODATION   OTHER</v>
      </c>
      <c r="O184" s="218" t="str">
        <f t="shared" si="68"/>
        <v>RWAKIG</v>
      </c>
      <c r="P184" s="218" t="str">
        <f t="shared" si="51"/>
        <v>AP21QR</v>
      </c>
      <c r="Q184" s="218" t="str">
        <f t="shared" si="69"/>
        <v>BAZ</v>
      </c>
      <c r="R184" s="218" t="str">
        <f>""</f>
        <v/>
      </c>
      <c r="S184" s="218" t="str">
        <f t="shared" si="70"/>
        <v>049</v>
      </c>
      <c r="T184" s="218" t="str">
        <f t="shared" si="64"/>
        <v>D</v>
      </c>
      <c r="U184" s="218" t="str">
        <f t="shared" si="53"/>
        <v>AFR000</v>
      </c>
      <c r="V184" s="218" t="str">
        <f t="shared" si="54"/>
        <v>###</v>
      </c>
      <c r="W184" s="218">
        <v>30000</v>
      </c>
      <c r="X184" s="218" t="str">
        <f t="shared" si="71"/>
        <v>RWF</v>
      </c>
      <c r="Y184" s="218">
        <v>25.4</v>
      </c>
      <c r="Z184" s="218">
        <v>32.01</v>
      </c>
      <c r="AA184" s="218">
        <v>29.07</v>
      </c>
    </row>
    <row r="185" spans="1:27">
      <c r="A185" s="218" t="s">
        <v>2592</v>
      </c>
      <c r="F185" s="219" t="str">
        <f>"""IntAlert Live"",""ALERT UK"",""17"",""1"",""556129"""</f>
        <v>"IntAlert Live","ALERT UK","17","1","556129"</v>
      </c>
      <c r="G185" s="223">
        <v>43959</v>
      </c>
      <c r="H185" s="223"/>
      <c r="I185" s="218" t="str">
        <f>""</f>
        <v/>
      </c>
      <c r="K185" s="218" t="str">
        <f t="shared" si="66"/>
        <v>10057848</v>
      </c>
      <c r="L185" s="218" t="str">
        <f t="shared" si="67"/>
        <v>CAM partners staff training conflict mgt</v>
      </c>
      <c r="M185" s="218" t="str">
        <f>"6020"</f>
        <v>6020</v>
      </c>
      <c r="N185" s="218" t="str">
        <f>"STAFF TRAVEL LOCAL"</f>
        <v>STAFF TRAVEL LOCAL</v>
      </c>
      <c r="O185" s="218" t="str">
        <f t="shared" si="68"/>
        <v>RWAKIG</v>
      </c>
      <c r="P185" s="218" t="str">
        <f t="shared" si="51"/>
        <v>AP21QR</v>
      </c>
      <c r="Q185" s="218" t="str">
        <f t="shared" si="69"/>
        <v>BAZ</v>
      </c>
      <c r="R185" s="218" t="str">
        <f>""</f>
        <v/>
      </c>
      <c r="S185" s="218" t="str">
        <f t="shared" si="70"/>
        <v>049</v>
      </c>
      <c r="T185" s="218" t="str">
        <f t="shared" si="64"/>
        <v>D</v>
      </c>
      <c r="U185" s="218" t="str">
        <f t="shared" si="53"/>
        <v>AFR000</v>
      </c>
      <c r="V185" s="218" t="str">
        <f t="shared" si="54"/>
        <v>###</v>
      </c>
      <c r="W185" s="218">
        <v>5000</v>
      </c>
      <c r="X185" s="218" t="str">
        <f t="shared" si="71"/>
        <v>RWF</v>
      </c>
      <c r="Y185" s="218">
        <v>4.2300000000000004</v>
      </c>
      <c r="Z185" s="218">
        <v>5.33</v>
      </c>
      <c r="AA185" s="218">
        <v>4.84</v>
      </c>
    </row>
    <row r="186" spans="1:27">
      <c r="A186" s="218" t="s">
        <v>2592</v>
      </c>
      <c r="F186" s="219" t="str">
        <f>"""IntAlert Live"",""ALERT UK"",""17"",""1"",""556130"""</f>
        <v>"IntAlert Live","ALERT UK","17","1","556130"</v>
      </c>
      <c r="G186" s="223">
        <v>43959</v>
      </c>
      <c r="H186" s="223"/>
      <c r="I186" s="218" t="str">
        <f>""</f>
        <v/>
      </c>
      <c r="K186" s="218" t="str">
        <f t="shared" si="66"/>
        <v>10057848</v>
      </c>
      <c r="L186" s="218" t="str">
        <f t="shared" si="67"/>
        <v>CAM partners staff training conflict mgt</v>
      </c>
      <c r="M186" s="218" t="str">
        <f>"6020"</f>
        <v>6020</v>
      </c>
      <c r="N186" s="218" t="str">
        <f>"STAFF TRAVEL LOCAL"</f>
        <v>STAFF TRAVEL LOCAL</v>
      </c>
      <c r="O186" s="218" t="str">
        <f t="shared" si="68"/>
        <v>RWAKIG</v>
      </c>
      <c r="P186" s="218" t="str">
        <f t="shared" si="51"/>
        <v>AP21QR</v>
      </c>
      <c r="Q186" s="218" t="str">
        <f t="shared" si="69"/>
        <v>BAZ</v>
      </c>
      <c r="R186" s="218" t="str">
        <f>""</f>
        <v/>
      </c>
      <c r="S186" s="218" t="str">
        <f t="shared" si="70"/>
        <v>049</v>
      </c>
      <c r="T186" s="218" t="str">
        <f t="shared" si="64"/>
        <v>D</v>
      </c>
      <c r="U186" s="218" t="str">
        <f t="shared" si="53"/>
        <v>AFR000</v>
      </c>
      <c r="V186" s="218" t="str">
        <f t="shared" si="54"/>
        <v>###</v>
      </c>
      <c r="W186" s="218">
        <v>7000</v>
      </c>
      <c r="X186" s="218" t="str">
        <f t="shared" si="71"/>
        <v>RWF</v>
      </c>
      <c r="Y186" s="218">
        <v>5.93</v>
      </c>
      <c r="Z186" s="218">
        <v>7.47</v>
      </c>
      <c r="AA186" s="218">
        <v>6.79</v>
      </c>
    </row>
    <row r="187" spans="1:27">
      <c r="A187" s="218" t="s">
        <v>2592</v>
      </c>
      <c r="F187" s="219" t="str">
        <f>"""IntAlert Live"",""ALERT UK"",""17"",""1"",""556131"""</f>
        <v>"IntAlert Live","ALERT UK","17","1","556131"</v>
      </c>
      <c r="G187" s="223">
        <v>43959</v>
      </c>
      <c r="H187" s="223"/>
      <c r="I187" s="218" t="str">
        <f>""</f>
        <v/>
      </c>
      <c r="K187" s="218" t="str">
        <f t="shared" si="66"/>
        <v>10057848</v>
      </c>
      <c r="L187" s="218" t="str">
        <f t="shared" si="67"/>
        <v>CAM partners staff training conflict mgt</v>
      </c>
      <c r="M187" s="218" t="str">
        <f>"6020"</f>
        <v>6020</v>
      </c>
      <c r="N187" s="218" t="str">
        <f>"STAFF TRAVEL LOCAL"</f>
        <v>STAFF TRAVEL LOCAL</v>
      </c>
      <c r="O187" s="218" t="str">
        <f t="shared" si="68"/>
        <v>RWAKIG</v>
      </c>
      <c r="P187" s="218" t="str">
        <f t="shared" si="51"/>
        <v>AP21QR</v>
      </c>
      <c r="Q187" s="218" t="str">
        <f t="shared" si="69"/>
        <v>BAZ</v>
      </c>
      <c r="R187" s="218" t="str">
        <f>""</f>
        <v/>
      </c>
      <c r="S187" s="218" t="str">
        <f t="shared" si="70"/>
        <v>049</v>
      </c>
      <c r="T187" s="218" t="str">
        <f t="shared" si="64"/>
        <v>D</v>
      </c>
      <c r="U187" s="218" t="str">
        <f t="shared" si="53"/>
        <v>AFR000</v>
      </c>
      <c r="V187" s="218" t="str">
        <f t="shared" si="54"/>
        <v>###</v>
      </c>
      <c r="W187" s="218">
        <v>10000</v>
      </c>
      <c r="X187" s="218" t="str">
        <f t="shared" si="71"/>
        <v>RWF</v>
      </c>
      <c r="Y187" s="218">
        <v>8.4700000000000006</v>
      </c>
      <c r="Z187" s="218">
        <v>10.68</v>
      </c>
      <c r="AA187" s="218">
        <v>9.69</v>
      </c>
    </row>
    <row r="188" spans="1:27">
      <c r="A188" s="218" t="s">
        <v>2592</v>
      </c>
      <c r="F188" s="219" t="str">
        <f>"""IntAlert Live"",""ALERT UK"",""17"",""1"",""548720"""</f>
        <v>"IntAlert Live","ALERT UK","17","1","548720"</v>
      </c>
      <c r="G188" s="223">
        <v>43951</v>
      </c>
      <c r="H188" s="223"/>
      <c r="I188" s="218" t="str">
        <f>""</f>
        <v/>
      </c>
      <c r="K188" s="218" t="str">
        <f>"PR APR JNL"</f>
        <v>PR APR JNL</v>
      </c>
      <c r="L188" s="218" t="str">
        <f t="shared" ref="L188:L197" si="72">"C Chungong 5%"</f>
        <v>C Chungong 5%</v>
      </c>
      <c r="M188" s="218" t="str">
        <f>"5100"</f>
        <v>5100</v>
      </c>
      <c r="N188" s="218" t="str">
        <f>"BASIC EMPLOYMENT COSTS"</f>
        <v>BASIC EMPLOYMENT COSTS</v>
      </c>
      <c r="O188" s="218" t="str">
        <f t="shared" ref="O188:O197" si="73">"UNILON"</f>
        <v>UNILON</v>
      </c>
      <c r="P188" s="218" t="str">
        <f t="shared" si="51"/>
        <v>AP21QR</v>
      </c>
      <c r="Q188" s="218" t="str">
        <f t="shared" ref="Q188:Q197" si="74">"CHO"</f>
        <v>CHO</v>
      </c>
      <c r="R188" s="218" t="str">
        <f>""</f>
        <v/>
      </c>
      <c r="S188" s="218" t="str">
        <f t="shared" ref="S188:S197" si="75">"050"</f>
        <v>050</v>
      </c>
      <c r="T188" s="218" t="str">
        <f t="shared" si="64"/>
        <v>D</v>
      </c>
      <c r="U188" s="218" t="str">
        <f t="shared" si="53"/>
        <v>AFR000</v>
      </c>
      <c r="V188" s="218" t="str">
        <f t="shared" si="54"/>
        <v>###</v>
      </c>
      <c r="W188" s="218">
        <v>0</v>
      </c>
      <c r="X188" s="218" t="str">
        <f>""</f>
        <v/>
      </c>
      <c r="Y188" s="218">
        <v>256.07</v>
      </c>
      <c r="Z188" s="218">
        <v>318.93</v>
      </c>
      <c r="AA188" s="218">
        <v>288.04000000000002</v>
      </c>
    </row>
    <row r="189" spans="1:27">
      <c r="A189" s="218" t="s">
        <v>2592</v>
      </c>
      <c r="F189" s="219" t="str">
        <f>"""IntAlert Live"",""ALERT UK"",""17"",""1"",""548859"""</f>
        <v>"IntAlert Live","ALERT UK","17","1","548859"</v>
      </c>
      <c r="G189" s="223">
        <v>43951</v>
      </c>
      <c r="H189" s="223"/>
      <c r="I189" s="218" t="str">
        <f>""</f>
        <v/>
      </c>
      <c r="K189" s="218" t="str">
        <f>"PR APR JNL"</f>
        <v>PR APR JNL</v>
      </c>
      <c r="L189" s="218" t="str">
        <f t="shared" si="72"/>
        <v>C Chungong 5%</v>
      </c>
      <c r="M189" s="218" t="str">
        <f>"5120"</f>
        <v>5120</v>
      </c>
      <c r="N189" s="218" t="str">
        <f>"EMPLOYER'S NI"</f>
        <v>EMPLOYER'S NI</v>
      </c>
      <c r="O189" s="218" t="str">
        <f t="shared" si="73"/>
        <v>UNILON</v>
      </c>
      <c r="P189" s="218" t="str">
        <f t="shared" si="51"/>
        <v>AP21QR</v>
      </c>
      <c r="Q189" s="218" t="str">
        <f t="shared" si="74"/>
        <v>CHO</v>
      </c>
      <c r="R189" s="218" t="str">
        <f>""</f>
        <v/>
      </c>
      <c r="S189" s="218" t="str">
        <f t="shared" si="75"/>
        <v>050</v>
      </c>
      <c r="T189" s="218" t="str">
        <f t="shared" si="64"/>
        <v>D</v>
      </c>
      <c r="U189" s="218" t="str">
        <f t="shared" si="53"/>
        <v>AFR000</v>
      </c>
      <c r="V189" s="218" t="str">
        <f t="shared" si="54"/>
        <v>###</v>
      </c>
      <c r="W189" s="218">
        <v>0</v>
      </c>
      <c r="X189" s="218" t="str">
        <f>""</f>
        <v/>
      </c>
      <c r="Y189" s="218">
        <v>30.29</v>
      </c>
      <c r="Z189" s="218">
        <v>37.729999999999997</v>
      </c>
      <c r="AA189" s="218">
        <v>34.07</v>
      </c>
    </row>
    <row r="190" spans="1:27">
      <c r="A190" s="218" t="s">
        <v>2592</v>
      </c>
      <c r="F190" s="219" t="str">
        <f>"""IntAlert Live"",""ALERT UK"",""17"",""1"",""548994"""</f>
        <v>"IntAlert Live","ALERT UK","17","1","548994"</v>
      </c>
      <c r="G190" s="223">
        <v>43951</v>
      </c>
      <c r="H190" s="223"/>
      <c r="I190" s="218" t="str">
        <f>""</f>
        <v/>
      </c>
      <c r="K190" s="218" t="str">
        <f>"PR APR JNL"</f>
        <v>PR APR JNL</v>
      </c>
      <c r="L190" s="218" t="str">
        <f t="shared" si="72"/>
        <v>C Chungong 5%</v>
      </c>
      <c r="M190" s="218" t="str">
        <f>"5110"</f>
        <v>5110</v>
      </c>
      <c r="N190" s="218" t="str">
        <f>"EMPLOYER'S PENSION COSTS"</f>
        <v>EMPLOYER'S PENSION COSTS</v>
      </c>
      <c r="O190" s="218" t="str">
        <f t="shared" si="73"/>
        <v>UNILON</v>
      </c>
      <c r="P190" s="218" t="str">
        <f t="shared" si="51"/>
        <v>AP21QR</v>
      </c>
      <c r="Q190" s="218" t="str">
        <f t="shared" si="74"/>
        <v>CHO</v>
      </c>
      <c r="R190" s="218" t="str">
        <f>""</f>
        <v/>
      </c>
      <c r="S190" s="218" t="str">
        <f t="shared" si="75"/>
        <v>050</v>
      </c>
      <c r="T190" s="218" t="str">
        <f t="shared" si="64"/>
        <v>D</v>
      </c>
      <c r="U190" s="218" t="str">
        <f t="shared" si="53"/>
        <v>AFR000</v>
      </c>
      <c r="V190" s="218" t="str">
        <f t="shared" si="54"/>
        <v>###</v>
      </c>
      <c r="W190" s="218">
        <v>0</v>
      </c>
      <c r="X190" s="218" t="str">
        <f>""</f>
        <v/>
      </c>
      <c r="Y190" s="218">
        <v>25.61</v>
      </c>
      <c r="Z190" s="218">
        <v>31.9</v>
      </c>
      <c r="AA190" s="218">
        <v>28.81</v>
      </c>
    </row>
    <row r="191" spans="1:27">
      <c r="A191" s="218" t="s">
        <v>2592</v>
      </c>
      <c r="F191" s="219" t="str">
        <f>"""IntAlert Live"",""ALERT UK"",""17"",""1"",""549147"""</f>
        <v>"IntAlert Live","ALERT UK","17","1","549147"</v>
      </c>
      <c r="G191" s="223">
        <v>43951</v>
      </c>
      <c r="H191" s="223"/>
      <c r="I191" s="218" t="str">
        <f>""</f>
        <v/>
      </c>
      <c r="K191" s="218" t="str">
        <f>"HR SCF CHG APR20"</f>
        <v>HR SCF CHG APR20</v>
      </c>
      <c r="L191" s="218" t="str">
        <f t="shared" si="72"/>
        <v>C Chungong 5%</v>
      </c>
      <c r="M191" s="218" t="str">
        <f>"5100"</f>
        <v>5100</v>
      </c>
      <c r="N191" s="218" t="str">
        <f>"BASIC EMPLOYMENT COSTS"</f>
        <v>BASIC EMPLOYMENT COSTS</v>
      </c>
      <c r="O191" s="218" t="str">
        <f t="shared" si="73"/>
        <v>UNILON</v>
      </c>
      <c r="P191" s="218" t="str">
        <f t="shared" si="51"/>
        <v>AP21QR</v>
      </c>
      <c r="Q191" s="218" t="str">
        <f t="shared" si="74"/>
        <v>CHO</v>
      </c>
      <c r="R191" s="218" t="str">
        <f>""</f>
        <v/>
      </c>
      <c r="S191" s="218" t="str">
        <f t="shared" si="75"/>
        <v>050</v>
      </c>
      <c r="T191" s="218" t="str">
        <f>"C"</f>
        <v>C</v>
      </c>
      <c r="U191" s="218" t="str">
        <f t="shared" si="53"/>
        <v>AFR000</v>
      </c>
      <c r="V191" s="218" t="str">
        <f t="shared" si="54"/>
        <v>###</v>
      </c>
      <c r="W191" s="218">
        <v>0</v>
      </c>
      <c r="X191" s="218" t="str">
        <f>""</f>
        <v/>
      </c>
      <c r="Y191" s="218">
        <v>7.68</v>
      </c>
      <c r="Z191" s="218">
        <v>9.57</v>
      </c>
      <c r="AA191" s="218">
        <v>8.64</v>
      </c>
    </row>
    <row r="192" spans="1:27">
      <c r="A192" s="218" t="s">
        <v>2592</v>
      </c>
      <c r="F192" s="219" t="str">
        <f>"""IntAlert Live"",""ALERT UK"",""17"",""1"",""549284"""</f>
        <v>"IntAlert Live","ALERT UK","17","1","549284"</v>
      </c>
      <c r="G192" s="223">
        <v>43951</v>
      </c>
      <c r="H192" s="223"/>
      <c r="I192" s="218" t="str">
        <f>""</f>
        <v/>
      </c>
      <c r="K192" s="218" t="str">
        <f>"HR CHG APR20"</f>
        <v>HR CHG APR20</v>
      </c>
      <c r="L192" s="218" t="str">
        <f t="shared" si="72"/>
        <v>C Chungong 5%</v>
      </c>
      <c r="M192" s="218" t="str">
        <f>"5100"</f>
        <v>5100</v>
      </c>
      <c r="N192" s="218" t="str">
        <f>"BASIC EMPLOYMENT COSTS"</f>
        <v>BASIC EMPLOYMENT COSTS</v>
      </c>
      <c r="O192" s="218" t="str">
        <f t="shared" si="73"/>
        <v>UNILON</v>
      </c>
      <c r="P192" s="218" t="str">
        <f t="shared" si="51"/>
        <v>AP21QR</v>
      </c>
      <c r="Q192" s="218" t="str">
        <f t="shared" si="74"/>
        <v>CHO</v>
      </c>
      <c r="R192" s="218" t="str">
        <f>""</f>
        <v/>
      </c>
      <c r="S192" s="218" t="str">
        <f t="shared" si="75"/>
        <v>050</v>
      </c>
      <c r="T192" s="218" t="str">
        <f>"S"</f>
        <v>S</v>
      </c>
      <c r="U192" s="218" t="str">
        <f t="shared" si="53"/>
        <v>AFR000</v>
      </c>
      <c r="V192" s="218" t="str">
        <f t="shared" si="54"/>
        <v>###</v>
      </c>
      <c r="W192" s="218">
        <v>0</v>
      </c>
      <c r="X192" s="218" t="str">
        <f>""</f>
        <v/>
      </c>
      <c r="Y192" s="218">
        <v>12.8</v>
      </c>
      <c r="Z192" s="218">
        <v>15.94</v>
      </c>
      <c r="AA192" s="218">
        <v>14.4</v>
      </c>
    </row>
    <row r="193" spans="1:27">
      <c r="A193" s="218" t="s">
        <v>2592</v>
      </c>
      <c r="F193" s="219" t="str">
        <f>"""IntAlert Live"",""ALERT UK"",""17"",""1"",""556822"""</f>
        <v>"IntAlert Live","ALERT UK","17","1","556822"</v>
      </c>
      <c r="G193" s="223">
        <v>43982</v>
      </c>
      <c r="H193" s="223"/>
      <c r="I193" s="218" t="str">
        <f>""</f>
        <v/>
      </c>
      <c r="K193" s="218" t="str">
        <f>"PR MAY JNL"</f>
        <v>PR MAY JNL</v>
      </c>
      <c r="L193" s="218" t="str">
        <f t="shared" si="72"/>
        <v>C Chungong 5%</v>
      </c>
      <c r="M193" s="218" t="str">
        <f>"5100"</f>
        <v>5100</v>
      </c>
      <c r="N193" s="218" t="str">
        <f>"BASIC EMPLOYMENT COSTS"</f>
        <v>BASIC EMPLOYMENT COSTS</v>
      </c>
      <c r="O193" s="218" t="str">
        <f t="shared" si="73"/>
        <v>UNILON</v>
      </c>
      <c r="P193" s="218" t="str">
        <f t="shared" si="51"/>
        <v>AP21QR</v>
      </c>
      <c r="Q193" s="218" t="str">
        <f t="shared" si="74"/>
        <v>CHO</v>
      </c>
      <c r="R193" s="218" t="str">
        <f>""</f>
        <v/>
      </c>
      <c r="S193" s="218" t="str">
        <f t="shared" si="75"/>
        <v>050</v>
      </c>
      <c r="T193" s="218" t="str">
        <f>"D"</f>
        <v>D</v>
      </c>
      <c r="U193" s="218" t="str">
        <f t="shared" si="53"/>
        <v>AFR000</v>
      </c>
      <c r="V193" s="218" t="str">
        <f t="shared" si="54"/>
        <v>###</v>
      </c>
      <c r="W193" s="218">
        <v>0</v>
      </c>
      <c r="X193" s="218" t="str">
        <f>""</f>
        <v/>
      </c>
      <c r="Y193" s="218">
        <v>256.07</v>
      </c>
      <c r="Z193" s="218">
        <v>322.76</v>
      </c>
      <c r="AA193" s="218">
        <v>293.06</v>
      </c>
    </row>
    <row r="194" spans="1:27">
      <c r="A194" s="218" t="s">
        <v>2592</v>
      </c>
      <c r="F194" s="219" t="str">
        <f>"""IntAlert Live"",""ALERT UK"",""17"",""1"",""556961"""</f>
        <v>"IntAlert Live","ALERT UK","17","1","556961"</v>
      </c>
      <c r="G194" s="223">
        <v>43982</v>
      </c>
      <c r="H194" s="223"/>
      <c r="I194" s="218" t="str">
        <f>""</f>
        <v/>
      </c>
      <c r="K194" s="218" t="str">
        <f>"PR MAY JNL"</f>
        <v>PR MAY JNL</v>
      </c>
      <c r="L194" s="218" t="str">
        <f t="shared" si="72"/>
        <v>C Chungong 5%</v>
      </c>
      <c r="M194" s="218" t="str">
        <f>"5120"</f>
        <v>5120</v>
      </c>
      <c r="N194" s="218" t="str">
        <f>"EMPLOYER'S NI"</f>
        <v>EMPLOYER'S NI</v>
      </c>
      <c r="O194" s="218" t="str">
        <f t="shared" si="73"/>
        <v>UNILON</v>
      </c>
      <c r="P194" s="218" t="str">
        <f t="shared" si="51"/>
        <v>AP21QR</v>
      </c>
      <c r="Q194" s="218" t="str">
        <f t="shared" si="74"/>
        <v>CHO</v>
      </c>
      <c r="R194" s="218" t="str">
        <f>""</f>
        <v/>
      </c>
      <c r="S194" s="218" t="str">
        <f t="shared" si="75"/>
        <v>050</v>
      </c>
      <c r="T194" s="218" t="str">
        <f>"D"</f>
        <v>D</v>
      </c>
      <c r="U194" s="218" t="str">
        <f t="shared" si="53"/>
        <v>AFR000</v>
      </c>
      <c r="V194" s="218" t="str">
        <f t="shared" si="54"/>
        <v>###</v>
      </c>
      <c r="W194" s="218">
        <v>0</v>
      </c>
      <c r="X194" s="218" t="str">
        <f>""</f>
        <v/>
      </c>
      <c r="Y194" s="218">
        <v>30.29</v>
      </c>
      <c r="Z194" s="218">
        <v>38.18</v>
      </c>
      <c r="AA194" s="218">
        <v>34.67</v>
      </c>
    </row>
    <row r="195" spans="1:27">
      <c r="A195" s="218" t="s">
        <v>2592</v>
      </c>
      <c r="F195" s="219" t="str">
        <f>"""IntAlert Live"",""ALERT UK"",""17"",""1"",""557097"""</f>
        <v>"IntAlert Live","ALERT UK","17","1","557097"</v>
      </c>
      <c r="G195" s="223">
        <v>43982</v>
      </c>
      <c r="H195" s="223"/>
      <c r="I195" s="218" t="str">
        <f>""</f>
        <v/>
      </c>
      <c r="K195" s="218" t="str">
        <f>"PR MAY JNL"</f>
        <v>PR MAY JNL</v>
      </c>
      <c r="L195" s="218" t="str">
        <f t="shared" si="72"/>
        <v>C Chungong 5%</v>
      </c>
      <c r="M195" s="218" t="str">
        <f>"5110"</f>
        <v>5110</v>
      </c>
      <c r="N195" s="218" t="str">
        <f>"EMPLOYER'S PENSION COSTS"</f>
        <v>EMPLOYER'S PENSION COSTS</v>
      </c>
      <c r="O195" s="218" t="str">
        <f t="shared" si="73"/>
        <v>UNILON</v>
      </c>
      <c r="P195" s="218" t="str">
        <f t="shared" si="51"/>
        <v>AP21QR</v>
      </c>
      <c r="Q195" s="218" t="str">
        <f t="shared" si="74"/>
        <v>CHO</v>
      </c>
      <c r="R195" s="218" t="str">
        <f>""</f>
        <v/>
      </c>
      <c r="S195" s="218" t="str">
        <f t="shared" si="75"/>
        <v>050</v>
      </c>
      <c r="T195" s="218" t="str">
        <f>"D"</f>
        <v>D</v>
      </c>
      <c r="U195" s="218" t="str">
        <f t="shared" si="53"/>
        <v>AFR000</v>
      </c>
      <c r="V195" s="218" t="str">
        <f t="shared" si="54"/>
        <v>###</v>
      </c>
      <c r="W195" s="218">
        <v>0</v>
      </c>
      <c r="X195" s="218" t="str">
        <f>""</f>
        <v/>
      </c>
      <c r="Y195" s="218">
        <v>25.61</v>
      </c>
      <c r="Z195" s="218">
        <v>32.28</v>
      </c>
      <c r="AA195" s="218">
        <v>29.31</v>
      </c>
    </row>
    <row r="196" spans="1:27">
      <c r="A196" s="218" t="s">
        <v>2592</v>
      </c>
      <c r="F196" s="219" t="str">
        <f>"""IntAlert Live"",""ALERT UK"",""17"",""1"",""557252"""</f>
        <v>"IntAlert Live","ALERT UK","17","1","557252"</v>
      </c>
      <c r="G196" s="223">
        <v>43982</v>
      </c>
      <c r="H196" s="223"/>
      <c r="I196" s="218" t="str">
        <f>""</f>
        <v/>
      </c>
      <c r="K196" s="218" t="str">
        <f>"HR SCF CHG MAY20"</f>
        <v>HR SCF CHG MAY20</v>
      </c>
      <c r="L196" s="218" t="str">
        <f t="shared" si="72"/>
        <v>C Chungong 5%</v>
      </c>
      <c r="M196" s="218" t="str">
        <f>"5100"</f>
        <v>5100</v>
      </c>
      <c r="N196" s="218" t="str">
        <f>"BASIC EMPLOYMENT COSTS"</f>
        <v>BASIC EMPLOYMENT COSTS</v>
      </c>
      <c r="O196" s="218" t="str">
        <f t="shared" si="73"/>
        <v>UNILON</v>
      </c>
      <c r="P196" s="218" t="str">
        <f t="shared" si="51"/>
        <v>AP21QR</v>
      </c>
      <c r="Q196" s="218" t="str">
        <f t="shared" si="74"/>
        <v>CHO</v>
      </c>
      <c r="R196" s="218" t="str">
        <f>""</f>
        <v/>
      </c>
      <c r="S196" s="218" t="str">
        <f t="shared" si="75"/>
        <v>050</v>
      </c>
      <c r="T196" s="218" t="str">
        <f>"C"</f>
        <v>C</v>
      </c>
      <c r="U196" s="218" t="str">
        <f t="shared" si="53"/>
        <v>AFR000</v>
      </c>
      <c r="V196" s="218" t="str">
        <f t="shared" si="54"/>
        <v>###</v>
      </c>
      <c r="W196" s="218">
        <v>0</v>
      </c>
      <c r="X196" s="218" t="str">
        <f>""</f>
        <v/>
      </c>
      <c r="Y196" s="218">
        <v>7.68</v>
      </c>
      <c r="Z196" s="218">
        <v>9.68</v>
      </c>
      <c r="AA196" s="218">
        <v>8.7899999999999991</v>
      </c>
    </row>
    <row r="197" spans="1:27">
      <c r="A197" s="218" t="s">
        <v>2592</v>
      </c>
      <c r="F197" s="219" t="str">
        <f>"""IntAlert Live"",""ALERT UK"",""17"",""1"",""557383"""</f>
        <v>"IntAlert Live","ALERT UK","17","1","557383"</v>
      </c>
      <c r="G197" s="223">
        <v>43982</v>
      </c>
      <c r="H197" s="223"/>
      <c r="I197" s="218" t="str">
        <f>""</f>
        <v/>
      </c>
      <c r="K197" s="218" t="str">
        <f>"HR CHG MAY20"</f>
        <v>HR CHG MAY20</v>
      </c>
      <c r="L197" s="218" t="str">
        <f t="shared" si="72"/>
        <v>C Chungong 5%</v>
      </c>
      <c r="M197" s="218" t="str">
        <f>"5100"</f>
        <v>5100</v>
      </c>
      <c r="N197" s="218" t="str">
        <f>"BASIC EMPLOYMENT COSTS"</f>
        <v>BASIC EMPLOYMENT COSTS</v>
      </c>
      <c r="O197" s="218" t="str">
        <f t="shared" si="73"/>
        <v>UNILON</v>
      </c>
      <c r="P197" s="218" t="str">
        <f t="shared" si="51"/>
        <v>AP21QR</v>
      </c>
      <c r="Q197" s="218" t="str">
        <f t="shared" si="74"/>
        <v>CHO</v>
      </c>
      <c r="R197" s="218" t="str">
        <f>""</f>
        <v/>
      </c>
      <c r="S197" s="218" t="str">
        <f t="shared" si="75"/>
        <v>050</v>
      </c>
      <c r="T197" s="218" t="str">
        <f>"S"</f>
        <v>S</v>
      </c>
      <c r="U197" s="218" t="str">
        <f t="shared" si="53"/>
        <v>AFR000</v>
      </c>
      <c r="V197" s="218" t="str">
        <f t="shared" si="54"/>
        <v>###</v>
      </c>
      <c r="W197" s="218">
        <v>0</v>
      </c>
      <c r="X197" s="218" t="str">
        <f>""</f>
        <v/>
      </c>
      <c r="Y197" s="218">
        <v>12.8</v>
      </c>
      <c r="Z197" s="218">
        <v>16.13</v>
      </c>
      <c r="AA197" s="218">
        <v>14.65</v>
      </c>
    </row>
    <row r="198" spans="1:27">
      <c r="A198" s="218" t="s">
        <v>2592</v>
      </c>
      <c r="F198" s="219" t="str">
        <f>"""IntAlert Live"",""ALERT UK"",""17"",""1"",""545604"""</f>
        <v>"IntAlert Live","ALERT UK","17","1","545604"</v>
      </c>
      <c r="G198" s="223">
        <v>43949</v>
      </c>
      <c r="H198" s="223"/>
      <c r="I198" s="218" t="str">
        <f>"DRCGOM/ BANQUE/2020/004/010"</f>
        <v>DRCGOM/ BANQUE/2020/004/010</v>
      </c>
      <c r="K198" s="218" t="str">
        <f>"SALAIRE-APR'20-PAUL MAKOMA"</f>
        <v>SALAIRE-APR'20-PAUL MAKOMA</v>
      </c>
      <c r="L198" s="218" t="str">
        <f>"Salaire-Apr'20-Paul MAKOMA KANYIHATA 15%"</f>
        <v>Salaire-Apr'20-Paul MAKOMA KANYIHATA 15%</v>
      </c>
      <c r="M198" s="218" t="str">
        <f>"5100"</f>
        <v>5100</v>
      </c>
      <c r="N198" s="218" t="str">
        <f>"BASIC EMPLOYMENT COSTS"</f>
        <v>BASIC EMPLOYMENT COSTS</v>
      </c>
      <c r="O198" s="218" t="str">
        <f>"DRCGOM"</f>
        <v>DRCGOM</v>
      </c>
      <c r="P198" s="218" t="str">
        <f t="shared" si="51"/>
        <v>AP21QR</v>
      </c>
      <c r="Q198" s="218" t="str">
        <f>"PMA"</f>
        <v>PMA</v>
      </c>
      <c r="R198" s="218" t="str">
        <f>""</f>
        <v/>
      </c>
      <c r="S198" s="218" t="str">
        <f t="shared" ref="S198:S205" si="76">"051"</f>
        <v>051</v>
      </c>
      <c r="T198" s="218" t="str">
        <f t="shared" ref="T198:T212" si="77">"D"</f>
        <v>D</v>
      </c>
      <c r="U198" s="218" t="str">
        <f t="shared" si="53"/>
        <v>AFR000</v>
      </c>
      <c r="V198" s="218" t="str">
        <f t="shared" si="54"/>
        <v>###</v>
      </c>
      <c r="W198" s="218">
        <v>493.59</v>
      </c>
      <c r="X198" s="218" t="str">
        <f t="shared" ref="X198:X209" si="78">"USD"</f>
        <v>USD</v>
      </c>
      <c r="Y198" s="218">
        <v>396.3</v>
      </c>
      <c r="Z198" s="218">
        <v>493.59</v>
      </c>
      <c r="AA198" s="218">
        <v>445.78</v>
      </c>
    </row>
    <row r="199" spans="1:27">
      <c r="A199" s="218" t="s">
        <v>2592</v>
      </c>
      <c r="F199" s="219" t="str">
        <f>"""IntAlert Live"",""ALERT UK"",""17"",""1"",""545938"""</f>
        <v>"IntAlert Live","ALERT UK","17","1","545938"</v>
      </c>
      <c r="G199" s="223">
        <v>43949</v>
      </c>
      <c r="H199" s="223"/>
      <c r="I199" s="218" t="str">
        <f>"DRCGOM/ CAISSE/2020/004/001"</f>
        <v>DRCGOM/ CAISSE/2020/004/001</v>
      </c>
      <c r="K199" s="218" t="str">
        <f>"ONEM APRIL 2020"</f>
        <v>ONEM APRIL 2020</v>
      </c>
      <c r="L199" s="218" t="str">
        <f>"ONEM-Apr'20-Paul MAKOMA KANYIHATA 15%"</f>
        <v>ONEM-Apr'20-Paul MAKOMA KANYIHATA 15%</v>
      </c>
      <c r="M199" s="218" t="str">
        <f>"5150"</f>
        <v>5150</v>
      </c>
      <c r="N199" s="218" t="str">
        <f>"EMPLOYMENT RELOCATION COSTS"</f>
        <v>EMPLOYMENT RELOCATION COSTS</v>
      </c>
      <c r="O199" s="218" t="str">
        <f>"DRCGOM"</f>
        <v>DRCGOM</v>
      </c>
      <c r="P199" s="218" t="str">
        <f t="shared" ref="P199:P262" si="79">"AP21QR"</f>
        <v>AP21QR</v>
      </c>
      <c r="Q199" s="218" t="str">
        <f>"PMA"</f>
        <v>PMA</v>
      </c>
      <c r="R199" s="218" t="str">
        <f>""</f>
        <v/>
      </c>
      <c r="S199" s="218" t="str">
        <f t="shared" si="76"/>
        <v>051</v>
      </c>
      <c r="T199" s="218" t="str">
        <f t="shared" si="77"/>
        <v>D</v>
      </c>
      <c r="U199" s="218" t="str">
        <f t="shared" ref="U199:U262" si="80">"AFR000"</f>
        <v>AFR000</v>
      </c>
      <c r="V199" s="218" t="str">
        <f t="shared" ref="V199:V262" si="81">"###"</f>
        <v>###</v>
      </c>
      <c r="W199" s="218">
        <v>0.77</v>
      </c>
      <c r="X199" s="218" t="str">
        <f t="shared" si="78"/>
        <v>USD</v>
      </c>
      <c r="Y199" s="218">
        <v>0.62</v>
      </c>
      <c r="Z199" s="218">
        <v>0.77</v>
      </c>
      <c r="AA199" s="218">
        <v>0.7</v>
      </c>
    </row>
    <row r="200" spans="1:27">
      <c r="A200" s="218" t="s">
        <v>2592</v>
      </c>
      <c r="F200" s="219" t="str">
        <f>"""IntAlert Live"",""ALERT UK"",""17"",""1"",""545665"""</f>
        <v>"IntAlert Live","ALERT UK","17","1","545665"</v>
      </c>
      <c r="G200" s="223">
        <v>43950</v>
      </c>
      <c r="H200" s="223"/>
      <c r="I200" s="218" t="str">
        <f>"DRCGOM/ BANQUE/2020/004/011"</f>
        <v>DRCGOM/ BANQUE/2020/004/011</v>
      </c>
      <c r="K200" s="218" t="str">
        <f>"CNSS-APRIL 2020"</f>
        <v>CNSS-APRIL 2020</v>
      </c>
      <c r="L200" s="218" t="str">
        <f>"CNSS-Apr'20-Paul MAKOMA KANYIHATA 15%"</f>
        <v>CNSS-Apr'20-Paul MAKOMA KANYIHATA 15%</v>
      </c>
      <c r="M200" s="218" t="str">
        <f>"5110"</f>
        <v>5110</v>
      </c>
      <c r="N200" s="218" t="str">
        <f>"EMPLOYER'S PENSION COSTS"</f>
        <v>EMPLOYER'S PENSION COSTS</v>
      </c>
      <c r="O200" s="218" t="str">
        <f>"DRCGOM"</f>
        <v>DRCGOM</v>
      </c>
      <c r="P200" s="218" t="str">
        <f t="shared" si="79"/>
        <v>AP21QR</v>
      </c>
      <c r="Q200" s="218" t="str">
        <f>"PMA"</f>
        <v>PMA</v>
      </c>
      <c r="R200" s="218" t="str">
        <f>""</f>
        <v/>
      </c>
      <c r="S200" s="218" t="str">
        <f t="shared" si="76"/>
        <v>051</v>
      </c>
      <c r="T200" s="218" t="str">
        <f t="shared" si="77"/>
        <v>D</v>
      </c>
      <c r="U200" s="218" t="str">
        <f t="shared" si="80"/>
        <v>AFR000</v>
      </c>
      <c r="V200" s="218" t="str">
        <f t="shared" si="81"/>
        <v>###</v>
      </c>
      <c r="W200" s="218">
        <v>69.42</v>
      </c>
      <c r="X200" s="218" t="str">
        <f t="shared" si="78"/>
        <v>USD</v>
      </c>
      <c r="Y200" s="218">
        <v>55.74</v>
      </c>
      <c r="Z200" s="218">
        <v>69.42</v>
      </c>
      <c r="AA200" s="218">
        <v>62.7</v>
      </c>
    </row>
    <row r="201" spans="1:27">
      <c r="A201" s="218" t="s">
        <v>2592</v>
      </c>
      <c r="F201" s="219" t="str">
        <f>"""IntAlert Live"",""ALERT UK"",""17"",""1"",""545725"""</f>
        <v>"IntAlert Live","ALERT UK","17","1","545725"</v>
      </c>
      <c r="G201" s="223">
        <v>43950</v>
      </c>
      <c r="H201" s="223"/>
      <c r="I201" s="218" t="str">
        <f>"DRCGOM/ BANQUE/2020/004/012"</f>
        <v>DRCGOM/ BANQUE/2020/004/012</v>
      </c>
      <c r="K201" s="218" t="str">
        <f>"INPP APRIL 2020"</f>
        <v>INPP APRIL 2020</v>
      </c>
      <c r="L201" s="218" t="str">
        <f>"INPP-Apr'20-Paul MAKOMA KANYIHATA 15%"</f>
        <v>INPP-Apr'20-Paul MAKOMA KANYIHATA 15%</v>
      </c>
      <c r="M201" s="218" t="str">
        <f>"5150"</f>
        <v>5150</v>
      </c>
      <c r="N201" s="218" t="str">
        <f>"EMPLOYMENT RELOCATION COSTS"</f>
        <v>EMPLOYMENT RELOCATION COSTS</v>
      </c>
      <c r="O201" s="218" t="str">
        <f>"DRCGOM"</f>
        <v>DRCGOM</v>
      </c>
      <c r="P201" s="218" t="str">
        <f t="shared" si="79"/>
        <v>AP21QR</v>
      </c>
      <c r="Q201" s="218" t="str">
        <f>"PMA"</f>
        <v>PMA</v>
      </c>
      <c r="R201" s="218" t="str">
        <f>""</f>
        <v/>
      </c>
      <c r="S201" s="218" t="str">
        <f t="shared" si="76"/>
        <v>051</v>
      </c>
      <c r="T201" s="218" t="str">
        <f t="shared" si="77"/>
        <v>D</v>
      </c>
      <c r="U201" s="218" t="str">
        <f t="shared" si="80"/>
        <v>AFR000</v>
      </c>
      <c r="V201" s="218" t="str">
        <f t="shared" si="81"/>
        <v>###</v>
      </c>
      <c r="W201" s="218">
        <v>11.58</v>
      </c>
      <c r="X201" s="218" t="str">
        <f t="shared" si="78"/>
        <v>USD</v>
      </c>
      <c r="Y201" s="218">
        <v>9.3000000000000007</v>
      </c>
      <c r="Z201" s="218">
        <v>11.58</v>
      </c>
      <c r="AA201" s="218">
        <v>10.46</v>
      </c>
    </row>
    <row r="202" spans="1:27">
      <c r="A202" s="218" t="s">
        <v>2592</v>
      </c>
      <c r="F202" s="219" t="str">
        <f>"""IntAlert Live"",""ALERT UK"",""17"",""1"",""555108"""</f>
        <v>"IntAlert Live","ALERT UK","17","1","555108"</v>
      </c>
      <c r="G202" s="223">
        <v>43963</v>
      </c>
      <c r="H202" s="223"/>
      <c r="I202" s="218" t="str">
        <f>"DRCBUK/BANK/2020/05/006"</f>
        <v>DRCBUK/BANK/2020/05/006</v>
      </c>
      <c r="K202" s="218" t="str">
        <f>"PETROX CONGO"</f>
        <v>PETROX CONGO</v>
      </c>
      <c r="L202" s="218" t="str">
        <f>"Consommation Carburant Bureau Avril 2020 25%"</f>
        <v>Consommation Carburant Bureau Avril 2020 25%</v>
      </c>
      <c r="M202" s="218" t="str">
        <f>"8250"</f>
        <v>8250</v>
      </c>
      <c r="N202" s="218" t="str">
        <f>"VEHICLE FUEL"</f>
        <v>VEHICLE FUEL</v>
      </c>
      <c r="O202" s="218" t="str">
        <f>"DRCBUK"</f>
        <v>DRCBUK</v>
      </c>
      <c r="P202" s="218" t="str">
        <f t="shared" si="79"/>
        <v>AP21QR</v>
      </c>
      <c r="Q202" s="218" t="str">
        <f>""</f>
        <v/>
      </c>
      <c r="R202" s="218" t="str">
        <f>""</f>
        <v/>
      </c>
      <c r="S202" s="218" t="str">
        <f t="shared" si="76"/>
        <v>051</v>
      </c>
      <c r="T202" s="218" t="str">
        <f t="shared" si="77"/>
        <v>D</v>
      </c>
      <c r="U202" s="218" t="str">
        <f t="shared" si="80"/>
        <v>AFR000</v>
      </c>
      <c r="V202" s="218" t="str">
        <f t="shared" si="81"/>
        <v>###</v>
      </c>
      <c r="W202" s="218">
        <v>102.08</v>
      </c>
      <c r="X202" s="218" t="str">
        <f t="shared" si="78"/>
        <v>USD</v>
      </c>
      <c r="Y202" s="218">
        <v>80.989999999999995</v>
      </c>
      <c r="Z202" s="218">
        <v>102.08</v>
      </c>
      <c r="AA202" s="218">
        <v>92.69</v>
      </c>
    </row>
    <row r="203" spans="1:27">
      <c r="A203" s="218" t="s">
        <v>2592</v>
      </c>
      <c r="F203" s="219" t="str">
        <f>"""IntAlert Live"",""ALERT UK"",""17"",""1"",""554649"""</f>
        <v>"IntAlert Live","ALERT UK","17","1","554649"</v>
      </c>
      <c r="G203" s="223">
        <v>43977</v>
      </c>
      <c r="H203" s="223"/>
      <c r="I203" s="218" t="str">
        <f>"DRCGOM/ BANQUE/2020/005/010"</f>
        <v>DRCGOM/ BANQUE/2020/005/010</v>
      </c>
      <c r="K203" s="218" t="str">
        <f>"SALAIRE-PAUL MAKOMA KANYIHATA"</f>
        <v>SALAIRE-PAUL MAKOMA KANYIHATA</v>
      </c>
      <c r="L203" s="218" t="str">
        <f>"Salaire-May'20Paul MAKOMA KANYIHATA "</f>
        <v xml:space="preserve">Salaire-May'20Paul MAKOMA KANYIHATA </v>
      </c>
      <c r="M203" s="218" t="str">
        <f>"5100"</f>
        <v>5100</v>
      </c>
      <c r="N203" s="218" t="str">
        <f>"BASIC EMPLOYMENT COSTS"</f>
        <v>BASIC EMPLOYMENT COSTS</v>
      </c>
      <c r="O203" s="218" t="str">
        <f t="shared" ref="O203:O209" si="82">"DRCGOM"</f>
        <v>DRCGOM</v>
      </c>
      <c r="P203" s="218" t="str">
        <f t="shared" si="79"/>
        <v>AP21QR</v>
      </c>
      <c r="Q203" s="218" t="str">
        <f>"PMA"</f>
        <v>PMA</v>
      </c>
      <c r="R203" s="218" t="str">
        <f>""</f>
        <v/>
      </c>
      <c r="S203" s="218" t="str">
        <f t="shared" si="76"/>
        <v>051</v>
      </c>
      <c r="T203" s="218" t="str">
        <f t="shared" si="77"/>
        <v>D</v>
      </c>
      <c r="U203" s="218" t="str">
        <f t="shared" si="80"/>
        <v>AFR000</v>
      </c>
      <c r="V203" s="218" t="str">
        <f t="shared" si="81"/>
        <v>###</v>
      </c>
      <c r="W203" s="218">
        <v>490.59</v>
      </c>
      <c r="X203" s="218" t="str">
        <f t="shared" si="78"/>
        <v>USD</v>
      </c>
      <c r="Y203" s="218">
        <v>389.23</v>
      </c>
      <c r="Z203" s="218">
        <v>490.59</v>
      </c>
      <c r="AA203" s="218">
        <v>445.45</v>
      </c>
    </row>
    <row r="204" spans="1:27">
      <c r="A204" s="218" t="s">
        <v>2592</v>
      </c>
      <c r="F204" s="219" t="str">
        <f>"""IntAlert Live"",""ALERT UK"",""17"",""1"",""554770"""</f>
        <v>"IntAlert Live","ALERT UK","17","1","554770"</v>
      </c>
      <c r="G204" s="223">
        <v>43977</v>
      </c>
      <c r="H204" s="223"/>
      <c r="I204" s="218" t="str">
        <f>"DRCGOM/ BANQUE/2020/005/012"</f>
        <v>DRCGOM/ BANQUE/2020/005/012</v>
      </c>
      <c r="K204" s="218" t="str">
        <f>"INPP-MAY 2020"</f>
        <v>INPP-MAY 2020</v>
      </c>
      <c r="L204" s="218" t="str">
        <f>"INPP-Paul MAKOMA KANYIHATA "</f>
        <v xml:space="preserve">INPP-Paul MAKOMA KANYIHATA </v>
      </c>
      <c r="M204" s="218" t="str">
        <f>"5150"</f>
        <v>5150</v>
      </c>
      <c r="N204" s="218" t="str">
        <f>"EMPLOYMENT RELOCATION COSTS"</f>
        <v>EMPLOYMENT RELOCATION COSTS</v>
      </c>
      <c r="O204" s="218" t="str">
        <f t="shared" si="82"/>
        <v>DRCGOM</v>
      </c>
      <c r="P204" s="218" t="str">
        <f t="shared" si="79"/>
        <v>AP21QR</v>
      </c>
      <c r="Q204" s="218" t="str">
        <f>"PMA"</f>
        <v>PMA</v>
      </c>
      <c r="R204" s="218" t="str">
        <f>""</f>
        <v/>
      </c>
      <c r="S204" s="218" t="str">
        <f t="shared" si="76"/>
        <v>051</v>
      </c>
      <c r="T204" s="218" t="str">
        <f t="shared" si="77"/>
        <v>D</v>
      </c>
      <c r="U204" s="218" t="str">
        <f t="shared" si="80"/>
        <v>AFR000</v>
      </c>
      <c r="V204" s="218" t="str">
        <f t="shared" si="81"/>
        <v>###</v>
      </c>
      <c r="W204" s="218">
        <v>11.57</v>
      </c>
      <c r="X204" s="218" t="str">
        <f t="shared" si="78"/>
        <v>USD</v>
      </c>
      <c r="Y204" s="218">
        <v>9.18</v>
      </c>
      <c r="Z204" s="218">
        <v>11.57</v>
      </c>
      <c r="AA204" s="218">
        <v>10.51</v>
      </c>
    </row>
    <row r="205" spans="1:27">
      <c r="A205" s="218" t="s">
        <v>2592</v>
      </c>
      <c r="F205" s="219" t="str">
        <f>"""IntAlert Live"",""ALERT UK"",""17"",""1"",""555001"""</f>
        <v>"IntAlert Live","ALERT UK","17","1","555001"</v>
      </c>
      <c r="G205" s="223">
        <v>43980</v>
      </c>
      <c r="H205" s="223"/>
      <c r="I205" s="218" t="str">
        <f>"DRCGOM/ CAISSE/2020/005/001"</f>
        <v>DRCGOM/ CAISSE/2020/005/001</v>
      </c>
      <c r="K205" s="218" t="str">
        <f>"ONEM MAI 2020"</f>
        <v>ONEM MAI 2020</v>
      </c>
      <c r="L205" s="218" t="str">
        <f>"ONEM-May'20Paul MAKOMA KANYIHATA "</f>
        <v xml:space="preserve">ONEM-May'20Paul MAKOMA KANYIHATA </v>
      </c>
      <c r="M205" s="218" t="str">
        <f>"5150"</f>
        <v>5150</v>
      </c>
      <c r="N205" s="218" t="str">
        <f>"EMPLOYMENT RELOCATION COSTS"</f>
        <v>EMPLOYMENT RELOCATION COSTS</v>
      </c>
      <c r="O205" s="218" t="str">
        <f t="shared" si="82"/>
        <v>DRCGOM</v>
      </c>
      <c r="P205" s="218" t="str">
        <f t="shared" si="79"/>
        <v>AP21QR</v>
      </c>
      <c r="Q205" s="218" t="str">
        <f>"PMA"</f>
        <v>PMA</v>
      </c>
      <c r="R205" s="218" t="str">
        <f>""</f>
        <v/>
      </c>
      <c r="S205" s="218" t="str">
        <f t="shared" si="76"/>
        <v>051</v>
      </c>
      <c r="T205" s="218" t="str">
        <f t="shared" si="77"/>
        <v>D</v>
      </c>
      <c r="U205" s="218" t="str">
        <f t="shared" si="80"/>
        <v>AFR000</v>
      </c>
      <c r="V205" s="218" t="str">
        <f t="shared" si="81"/>
        <v>###</v>
      </c>
      <c r="W205" s="218">
        <v>0.77</v>
      </c>
      <c r="X205" s="218" t="str">
        <f t="shared" si="78"/>
        <v>USD</v>
      </c>
      <c r="Y205" s="218">
        <v>0.61</v>
      </c>
      <c r="Z205" s="218">
        <v>0.77</v>
      </c>
      <c r="AA205" s="218">
        <v>0.7</v>
      </c>
    </row>
    <row r="206" spans="1:27">
      <c r="A206" s="218" t="s">
        <v>2592</v>
      </c>
      <c r="F206" s="219" t="str">
        <f>"""IntAlert Live"",""ALERT UK"",""17"",""1"",""545568"""</f>
        <v>"IntAlert Live","ALERT UK","17","1","545568"</v>
      </c>
      <c r="G206" s="223">
        <v>43937</v>
      </c>
      <c r="H206" s="223"/>
      <c r="I206" s="218" t="str">
        <f>"DRCGOM/ BANQUE/2020/004/006"</f>
        <v>DRCGOM/ BANQUE/2020/004/006</v>
      </c>
      <c r="K206" s="218" t="str">
        <f>"STATION IBB"</f>
        <v>STATION IBB</v>
      </c>
      <c r="L206" s="218" t="str">
        <f>"Fuel Generator JeanBosco march'20 25%"</f>
        <v>Fuel Generator JeanBosco march'20 25%</v>
      </c>
      <c r="M206" s="218" t="str">
        <f>"5130"</f>
        <v>5130</v>
      </c>
      <c r="N206" s="218" t="str">
        <f>"EMPLOYMENT HOUSING  COSTS"</f>
        <v>EMPLOYMENT HOUSING  COSTS</v>
      </c>
      <c r="O206" s="218" t="str">
        <f t="shared" si="82"/>
        <v>DRCGOM</v>
      </c>
      <c r="P206" s="218" t="str">
        <f t="shared" si="79"/>
        <v>AP21QR</v>
      </c>
      <c r="Q206" s="218" t="str">
        <f>"SIB"</f>
        <v>SIB</v>
      </c>
      <c r="R206" s="218" t="str">
        <f>""</f>
        <v/>
      </c>
      <c r="S206" s="218" t="str">
        <f>"052"</f>
        <v>052</v>
      </c>
      <c r="T206" s="218" t="str">
        <f t="shared" si="77"/>
        <v>D</v>
      </c>
      <c r="U206" s="218" t="str">
        <f t="shared" si="80"/>
        <v>AFR000</v>
      </c>
      <c r="V206" s="218" t="str">
        <f t="shared" si="81"/>
        <v>###</v>
      </c>
      <c r="W206" s="218">
        <v>11</v>
      </c>
      <c r="X206" s="218" t="str">
        <f t="shared" si="78"/>
        <v>USD</v>
      </c>
      <c r="Y206" s="218">
        <v>8.83</v>
      </c>
      <c r="Z206" s="218">
        <v>11</v>
      </c>
      <c r="AA206" s="218">
        <v>9.93</v>
      </c>
    </row>
    <row r="207" spans="1:27">
      <c r="A207" s="218" t="s">
        <v>2592</v>
      </c>
      <c r="F207" s="219" t="str">
        <f>"""IntAlert Live"",""ALERT UK"",""17"",""1"",""554610"""</f>
        <v>"IntAlert Live","ALERT UK","17","1","554610"</v>
      </c>
      <c r="G207" s="223">
        <v>43956</v>
      </c>
      <c r="H207" s="223"/>
      <c r="I207" s="218" t="str">
        <f>"DRCGOM/ BANQUE/2020/005/006"</f>
        <v>DRCGOM/ BANQUE/2020/005/006</v>
      </c>
      <c r="K207" s="218" t="str">
        <f>"AHANA KIRIZA BRAYAN"</f>
        <v>AHANA KIRIZA BRAYAN</v>
      </c>
      <c r="L207" s="218" t="str">
        <f>" Loyer Christine 1 May 2020-31 July 2020 20%"</f>
        <v xml:space="preserve"> Loyer Christine 1 May 2020-31 July 2020 20%</v>
      </c>
      <c r="M207" s="218" t="str">
        <f>"5130"</f>
        <v>5130</v>
      </c>
      <c r="N207" s="218" t="str">
        <f>"EMPLOYMENT HOUSING  COSTS"</f>
        <v>EMPLOYMENT HOUSING  COSTS</v>
      </c>
      <c r="O207" s="218" t="str">
        <f t="shared" si="82"/>
        <v>DRCGOM</v>
      </c>
      <c r="P207" s="218" t="str">
        <f t="shared" si="79"/>
        <v>AP21QR</v>
      </c>
      <c r="Q207" s="218" t="str">
        <f>"BUU"</f>
        <v>BUU</v>
      </c>
      <c r="R207" s="218" t="str">
        <f>""</f>
        <v/>
      </c>
      <c r="S207" s="218" t="str">
        <f>"052"</f>
        <v>052</v>
      </c>
      <c r="T207" s="218" t="str">
        <f t="shared" si="77"/>
        <v>D</v>
      </c>
      <c r="U207" s="218" t="str">
        <f t="shared" si="80"/>
        <v>AFR000</v>
      </c>
      <c r="V207" s="218" t="str">
        <f t="shared" si="81"/>
        <v>###</v>
      </c>
      <c r="W207" s="218">
        <v>400</v>
      </c>
      <c r="X207" s="218" t="str">
        <f t="shared" si="78"/>
        <v>USD</v>
      </c>
      <c r="Y207" s="218">
        <v>317.35000000000002</v>
      </c>
      <c r="Z207" s="218">
        <v>400</v>
      </c>
      <c r="AA207" s="218">
        <v>363.19</v>
      </c>
    </row>
    <row r="208" spans="1:27">
      <c r="A208" s="218" t="s">
        <v>2592</v>
      </c>
      <c r="F208" s="219" t="str">
        <f>"""IntAlert Live"",""ALERT UK"",""17"",""1"",""554616"""</f>
        <v>"IntAlert Live","ALERT UK","17","1","554616"</v>
      </c>
      <c r="G208" s="223">
        <v>43956</v>
      </c>
      <c r="H208" s="223"/>
      <c r="I208" s="218" t="str">
        <f>"DRCGOM/ BANQUE/2020/005/006"</f>
        <v>DRCGOM/ BANQUE/2020/005/006</v>
      </c>
      <c r="K208" s="218" t="str">
        <f>"AHANA KIRIZA BRAYAN"</f>
        <v>AHANA KIRIZA BRAYAN</v>
      </c>
      <c r="L208" s="218" t="str">
        <f>" Loyer Christine 1 May 2020-31 July 2020 20%"</f>
        <v xml:space="preserve"> Loyer Christine 1 May 2020-31 July 2020 20%</v>
      </c>
      <c r="M208" s="218" t="str">
        <f>"5130"</f>
        <v>5130</v>
      </c>
      <c r="N208" s="218" t="str">
        <f>"EMPLOYMENT HOUSING  COSTS"</f>
        <v>EMPLOYMENT HOUSING  COSTS</v>
      </c>
      <c r="O208" s="218" t="str">
        <f t="shared" si="82"/>
        <v>DRCGOM</v>
      </c>
      <c r="P208" s="218" t="str">
        <f t="shared" si="79"/>
        <v>AP21QR</v>
      </c>
      <c r="Q208" s="218" t="str">
        <f>"BUU"</f>
        <v>BUU</v>
      </c>
      <c r="R208" s="218" t="str">
        <f>""</f>
        <v/>
      </c>
      <c r="S208" s="218" t="str">
        <f>"052"</f>
        <v>052</v>
      </c>
      <c r="T208" s="218" t="str">
        <f t="shared" si="77"/>
        <v>D</v>
      </c>
      <c r="U208" s="218" t="str">
        <f t="shared" si="80"/>
        <v>AFR000</v>
      </c>
      <c r="V208" s="218" t="str">
        <f t="shared" si="81"/>
        <v>###</v>
      </c>
      <c r="W208" s="218">
        <v>500</v>
      </c>
      <c r="X208" s="218" t="str">
        <f t="shared" si="78"/>
        <v>USD</v>
      </c>
      <c r="Y208" s="218">
        <v>396.69</v>
      </c>
      <c r="Z208" s="218">
        <v>500</v>
      </c>
      <c r="AA208" s="218">
        <v>453.99</v>
      </c>
    </row>
    <row r="209" spans="1:27">
      <c r="A209" s="218" t="s">
        <v>2592</v>
      </c>
      <c r="F209" s="219" t="str">
        <f>"""IntAlert Live"",""ALERT UK"",""17"",""1"",""554811"""</f>
        <v>"IntAlert Live","ALERT UK","17","1","554811"</v>
      </c>
      <c r="G209" s="223">
        <v>43977</v>
      </c>
      <c r="H209" s="223"/>
      <c r="I209" s="218" t="str">
        <f>"DRCGOM/ BANQUE/2020/005/013"</f>
        <v>DRCGOM/ BANQUE/2020/005/013</v>
      </c>
      <c r="K209" s="218" t="str">
        <f>"DGRNK"</f>
        <v>DGRNK</v>
      </c>
      <c r="L209" s="218" t="str">
        <f>" IRL Loyer Christine 1 May 2020-31 July 2020 20%"</f>
        <v xml:space="preserve"> IRL Loyer Christine 1 May 2020-31 July 2020 20%</v>
      </c>
      <c r="M209" s="218" t="str">
        <f>"5130"</f>
        <v>5130</v>
      </c>
      <c r="N209" s="218" t="str">
        <f>"EMPLOYMENT HOUSING  COSTS"</f>
        <v>EMPLOYMENT HOUSING  COSTS</v>
      </c>
      <c r="O209" s="218" t="str">
        <f t="shared" si="82"/>
        <v>DRCGOM</v>
      </c>
      <c r="P209" s="218" t="str">
        <f t="shared" si="79"/>
        <v>AP21QR</v>
      </c>
      <c r="Q209" s="218" t="str">
        <f>"BUU"</f>
        <v>BUU</v>
      </c>
      <c r="R209" s="218" t="str">
        <f>""</f>
        <v/>
      </c>
      <c r="S209" s="218" t="str">
        <f>"052"</f>
        <v>052</v>
      </c>
      <c r="T209" s="218" t="str">
        <f t="shared" si="77"/>
        <v>D</v>
      </c>
      <c r="U209" s="218" t="str">
        <f t="shared" si="80"/>
        <v>AFR000</v>
      </c>
      <c r="V209" s="218" t="str">
        <f t="shared" si="81"/>
        <v>###</v>
      </c>
      <c r="W209" s="218">
        <v>158.80000000000001</v>
      </c>
      <c r="X209" s="218" t="str">
        <f t="shared" si="78"/>
        <v>USD</v>
      </c>
      <c r="Y209" s="218">
        <v>125.99</v>
      </c>
      <c r="Z209" s="218">
        <v>158.80000000000001</v>
      </c>
      <c r="AA209" s="218">
        <v>144.19</v>
      </c>
    </row>
    <row r="210" spans="1:27">
      <c r="A210" s="218" t="s">
        <v>2592</v>
      </c>
      <c r="F210" s="219" t="str">
        <f>"""IntAlert Live"",""ALERT UK"",""17"",""1"",""548691"""</f>
        <v>"IntAlert Live","ALERT UK","17","1","548691"</v>
      </c>
      <c r="G210" s="223">
        <v>43951</v>
      </c>
      <c r="H210" s="223"/>
      <c r="I210" s="218" t="str">
        <f>""</f>
        <v/>
      </c>
      <c r="K210" s="218" t="str">
        <f>"PR APR JNL"</f>
        <v>PR APR JNL</v>
      </c>
      <c r="L210" s="218" t="str">
        <f>"L Williams 25%"</f>
        <v>L Williams 25%</v>
      </c>
      <c r="M210" s="218" t="str">
        <f>"5100"</f>
        <v>5100</v>
      </c>
      <c r="N210" s="218" t="str">
        <f>"BASIC EMPLOYMENT COSTS"</f>
        <v>BASIC EMPLOYMENT COSTS</v>
      </c>
      <c r="O210" s="218" t="str">
        <f t="shared" ref="O210:O219" si="83">"UNILON"</f>
        <v>UNILON</v>
      </c>
      <c r="P210" s="218" t="str">
        <f t="shared" si="79"/>
        <v>AP21QR</v>
      </c>
      <c r="Q210" s="218" t="str">
        <f t="shared" ref="Q210:Q219" si="84">"WIA"</f>
        <v>WIA</v>
      </c>
      <c r="R210" s="218" t="str">
        <f>""</f>
        <v/>
      </c>
      <c r="S210" s="218" t="str">
        <f t="shared" ref="S210:S219" si="85">"053"</f>
        <v>053</v>
      </c>
      <c r="T210" s="218" t="str">
        <f t="shared" si="77"/>
        <v>D</v>
      </c>
      <c r="U210" s="218" t="str">
        <f t="shared" si="80"/>
        <v>AFR000</v>
      </c>
      <c r="V210" s="218" t="str">
        <f t="shared" si="81"/>
        <v>###</v>
      </c>
      <c r="W210" s="218">
        <v>0</v>
      </c>
      <c r="X210" s="218" t="str">
        <f>""</f>
        <v/>
      </c>
      <c r="Y210" s="218">
        <v>969.79</v>
      </c>
      <c r="Z210" s="218">
        <v>1207.8599999999999</v>
      </c>
      <c r="AA210" s="218">
        <v>1090.8800000000001</v>
      </c>
    </row>
    <row r="211" spans="1:27">
      <c r="A211" s="218" t="s">
        <v>2592</v>
      </c>
      <c r="F211" s="219" t="str">
        <f>"""IntAlert Live"",""ALERT UK"",""17"",""1"",""548841"""</f>
        <v>"IntAlert Live","ALERT UK","17","1","548841"</v>
      </c>
      <c r="G211" s="223">
        <v>43951</v>
      </c>
      <c r="H211" s="223"/>
      <c r="I211" s="218" t="str">
        <f>""</f>
        <v/>
      </c>
      <c r="K211" s="218" t="str">
        <f>"PR APR JNL"</f>
        <v>PR APR JNL</v>
      </c>
      <c r="L211" s="218" t="str">
        <f>"L Williams 25%"</f>
        <v>L Williams 25%</v>
      </c>
      <c r="M211" s="218" t="str">
        <f>"5120"</f>
        <v>5120</v>
      </c>
      <c r="N211" s="218" t="str">
        <f>"EMPLOYER'S NI"</f>
        <v>EMPLOYER'S NI</v>
      </c>
      <c r="O211" s="218" t="str">
        <f t="shared" si="83"/>
        <v>UNILON</v>
      </c>
      <c r="P211" s="218" t="str">
        <f t="shared" si="79"/>
        <v>AP21QR</v>
      </c>
      <c r="Q211" s="218" t="str">
        <f t="shared" si="84"/>
        <v>WIA</v>
      </c>
      <c r="R211" s="218" t="str">
        <f>""</f>
        <v/>
      </c>
      <c r="S211" s="218" t="str">
        <f t="shared" si="85"/>
        <v>053</v>
      </c>
      <c r="T211" s="218" t="str">
        <f t="shared" si="77"/>
        <v>D</v>
      </c>
      <c r="U211" s="218" t="str">
        <f t="shared" si="80"/>
        <v>AFR000</v>
      </c>
      <c r="V211" s="218" t="str">
        <f t="shared" si="81"/>
        <v>###</v>
      </c>
      <c r="W211" s="218">
        <v>0</v>
      </c>
      <c r="X211" s="218" t="str">
        <f>""</f>
        <v/>
      </c>
      <c r="Y211" s="218">
        <v>108.58</v>
      </c>
      <c r="Z211" s="218">
        <v>135.22999999999999</v>
      </c>
      <c r="AA211" s="218">
        <v>122.14</v>
      </c>
    </row>
    <row r="212" spans="1:27">
      <c r="A212" s="218" t="s">
        <v>2592</v>
      </c>
      <c r="F212" s="219" t="str">
        <f>"""IntAlert Live"",""ALERT UK"",""17"",""1"",""548965"""</f>
        <v>"IntAlert Live","ALERT UK","17","1","548965"</v>
      </c>
      <c r="G212" s="223">
        <v>43951</v>
      </c>
      <c r="H212" s="223"/>
      <c r="I212" s="218" t="str">
        <f>""</f>
        <v/>
      </c>
      <c r="K212" s="218" t="str">
        <f>"PR APR JNL"</f>
        <v>PR APR JNL</v>
      </c>
      <c r="L212" s="218" t="str">
        <f>"L Williams 25%"</f>
        <v>L Williams 25%</v>
      </c>
      <c r="M212" s="218" t="str">
        <f>"5110"</f>
        <v>5110</v>
      </c>
      <c r="N212" s="218" t="str">
        <f>"EMPLOYER'S PENSION COSTS"</f>
        <v>EMPLOYER'S PENSION COSTS</v>
      </c>
      <c r="O212" s="218" t="str">
        <f t="shared" si="83"/>
        <v>UNILON</v>
      </c>
      <c r="P212" s="218" t="str">
        <f t="shared" si="79"/>
        <v>AP21QR</v>
      </c>
      <c r="Q212" s="218" t="str">
        <f t="shared" si="84"/>
        <v>WIA</v>
      </c>
      <c r="R212" s="218" t="str">
        <f>""</f>
        <v/>
      </c>
      <c r="S212" s="218" t="str">
        <f t="shared" si="85"/>
        <v>053</v>
      </c>
      <c r="T212" s="218" t="str">
        <f t="shared" si="77"/>
        <v>D</v>
      </c>
      <c r="U212" s="218" t="str">
        <f t="shared" si="80"/>
        <v>AFR000</v>
      </c>
      <c r="V212" s="218" t="str">
        <f t="shared" si="81"/>
        <v>###</v>
      </c>
      <c r="W212" s="218">
        <v>0</v>
      </c>
      <c r="X212" s="218" t="str">
        <f>""</f>
        <v/>
      </c>
      <c r="Y212" s="218">
        <v>96.98</v>
      </c>
      <c r="Z212" s="218">
        <v>120.79</v>
      </c>
      <c r="AA212" s="218">
        <v>109.09</v>
      </c>
    </row>
    <row r="213" spans="1:27">
      <c r="A213" s="218" t="s">
        <v>2592</v>
      </c>
      <c r="F213" s="219" t="str">
        <f>"""IntAlert Live"",""ALERT UK"",""17"",""1"",""549119"""</f>
        <v>"IntAlert Live","ALERT UK","17","1","549119"</v>
      </c>
      <c r="G213" s="223">
        <v>43951</v>
      </c>
      <c r="H213" s="223"/>
      <c r="I213" s="218" t="str">
        <f>""</f>
        <v/>
      </c>
      <c r="K213" s="218" t="str">
        <f>"HR SCF CHG APR20"</f>
        <v>HR SCF CHG APR20</v>
      </c>
      <c r="L213" s="218" t="str">
        <f>"L Williams 25%"</f>
        <v>L Williams 25%</v>
      </c>
      <c r="M213" s="218" t="str">
        <f>"5100"</f>
        <v>5100</v>
      </c>
      <c r="N213" s="218" t="str">
        <f>"BASIC EMPLOYMENT COSTS"</f>
        <v>BASIC EMPLOYMENT COSTS</v>
      </c>
      <c r="O213" s="218" t="str">
        <f t="shared" si="83"/>
        <v>UNILON</v>
      </c>
      <c r="P213" s="218" t="str">
        <f t="shared" si="79"/>
        <v>AP21QR</v>
      </c>
      <c r="Q213" s="218" t="str">
        <f t="shared" si="84"/>
        <v>WIA</v>
      </c>
      <c r="R213" s="218" t="str">
        <f>""</f>
        <v/>
      </c>
      <c r="S213" s="218" t="str">
        <f t="shared" si="85"/>
        <v>053</v>
      </c>
      <c r="T213" s="218" t="str">
        <f>"C"</f>
        <v>C</v>
      </c>
      <c r="U213" s="218" t="str">
        <f t="shared" si="80"/>
        <v>AFR000</v>
      </c>
      <c r="V213" s="218" t="str">
        <f t="shared" si="81"/>
        <v>###</v>
      </c>
      <c r="W213" s="218">
        <v>0</v>
      </c>
      <c r="X213" s="218" t="str">
        <f>""</f>
        <v/>
      </c>
      <c r="Y213" s="218">
        <v>29.09</v>
      </c>
      <c r="Z213" s="218">
        <v>36.229999999999997</v>
      </c>
      <c r="AA213" s="218">
        <v>32.72</v>
      </c>
    </row>
    <row r="214" spans="1:27">
      <c r="A214" s="218" t="s">
        <v>2592</v>
      </c>
      <c r="F214" s="219" t="str">
        <f>"""IntAlert Live"",""ALERT UK"",""17"",""1"",""549256"""</f>
        <v>"IntAlert Live","ALERT UK","17","1","549256"</v>
      </c>
      <c r="G214" s="223">
        <v>43951</v>
      </c>
      <c r="H214" s="223"/>
      <c r="I214" s="218" t="str">
        <f>""</f>
        <v/>
      </c>
      <c r="K214" s="218" t="str">
        <f>"HR CHG APR20"</f>
        <v>HR CHG APR20</v>
      </c>
      <c r="L214" s="218" t="str">
        <f>"L Williams 25%"</f>
        <v>L Williams 25%</v>
      </c>
      <c r="M214" s="218" t="str">
        <f>"5100"</f>
        <v>5100</v>
      </c>
      <c r="N214" s="218" t="str">
        <f>"BASIC EMPLOYMENT COSTS"</f>
        <v>BASIC EMPLOYMENT COSTS</v>
      </c>
      <c r="O214" s="218" t="str">
        <f t="shared" si="83"/>
        <v>UNILON</v>
      </c>
      <c r="P214" s="218" t="str">
        <f t="shared" si="79"/>
        <v>AP21QR</v>
      </c>
      <c r="Q214" s="218" t="str">
        <f t="shared" si="84"/>
        <v>WIA</v>
      </c>
      <c r="R214" s="218" t="str">
        <f>""</f>
        <v/>
      </c>
      <c r="S214" s="218" t="str">
        <f t="shared" si="85"/>
        <v>053</v>
      </c>
      <c r="T214" s="218" t="str">
        <f>"S"</f>
        <v>S</v>
      </c>
      <c r="U214" s="218" t="str">
        <f t="shared" si="80"/>
        <v>AFR000</v>
      </c>
      <c r="V214" s="218" t="str">
        <f t="shared" si="81"/>
        <v>###</v>
      </c>
      <c r="W214" s="218">
        <v>0</v>
      </c>
      <c r="X214" s="218" t="str">
        <f>""</f>
        <v/>
      </c>
      <c r="Y214" s="218">
        <v>48.49</v>
      </c>
      <c r="Z214" s="218">
        <v>60.39</v>
      </c>
      <c r="AA214" s="218">
        <v>54.54</v>
      </c>
    </row>
    <row r="215" spans="1:27">
      <c r="A215" s="218" t="s">
        <v>2592</v>
      </c>
      <c r="F215" s="219" t="str">
        <f>"""IntAlert Live"",""ALERT UK"",""17"",""1"",""556791"""</f>
        <v>"IntAlert Live","ALERT UK","17","1","556791"</v>
      </c>
      <c r="G215" s="223">
        <v>43982</v>
      </c>
      <c r="H215" s="223"/>
      <c r="I215" s="218" t="str">
        <f>""</f>
        <v/>
      </c>
      <c r="K215" s="218" t="str">
        <f>"PR MAY JNL"</f>
        <v>PR MAY JNL</v>
      </c>
      <c r="L215" s="218" t="str">
        <f>"L Williams 20%"</f>
        <v>L Williams 20%</v>
      </c>
      <c r="M215" s="218" t="str">
        <f>"5100"</f>
        <v>5100</v>
      </c>
      <c r="N215" s="218" t="str">
        <f>"BASIC EMPLOYMENT COSTS"</f>
        <v>BASIC EMPLOYMENT COSTS</v>
      </c>
      <c r="O215" s="218" t="str">
        <f t="shared" si="83"/>
        <v>UNILON</v>
      </c>
      <c r="P215" s="218" t="str">
        <f t="shared" si="79"/>
        <v>AP21QR</v>
      </c>
      <c r="Q215" s="218" t="str">
        <f t="shared" si="84"/>
        <v>WIA</v>
      </c>
      <c r="R215" s="218" t="str">
        <f>""</f>
        <v/>
      </c>
      <c r="S215" s="218" t="str">
        <f t="shared" si="85"/>
        <v>053</v>
      </c>
      <c r="T215" s="218" t="str">
        <f>"D"</f>
        <v>D</v>
      </c>
      <c r="U215" s="218" t="str">
        <f t="shared" si="80"/>
        <v>AFR000</v>
      </c>
      <c r="V215" s="218" t="str">
        <f t="shared" si="81"/>
        <v>###</v>
      </c>
      <c r="W215" s="218">
        <v>0</v>
      </c>
      <c r="X215" s="218" t="str">
        <f>""</f>
        <v/>
      </c>
      <c r="Y215" s="218">
        <v>775.83</v>
      </c>
      <c r="Z215" s="218">
        <v>977.87</v>
      </c>
      <c r="AA215" s="218">
        <v>887.9</v>
      </c>
    </row>
    <row r="216" spans="1:27">
      <c r="A216" s="218" t="s">
        <v>2592</v>
      </c>
      <c r="F216" s="219" t="str">
        <f>"""IntAlert Live"",""ALERT UK"",""17"",""1"",""556941"""</f>
        <v>"IntAlert Live","ALERT UK","17","1","556941"</v>
      </c>
      <c r="G216" s="223">
        <v>43982</v>
      </c>
      <c r="H216" s="223"/>
      <c r="I216" s="218" t="str">
        <f>""</f>
        <v/>
      </c>
      <c r="K216" s="218" t="str">
        <f>"PR MAY JNL"</f>
        <v>PR MAY JNL</v>
      </c>
      <c r="L216" s="218" t="str">
        <f>"L Williams 20%"</f>
        <v>L Williams 20%</v>
      </c>
      <c r="M216" s="218" t="str">
        <f>"5120"</f>
        <v>5120</v>
      </c>
      <c r="N216" s="218" t="str">
        <f>"EMPLOYER'S NI"</f>
        <v>EMPLOYER'S NI</v>
      </c>
      <c r="O216" s="218" t="str">
        <f t="shared" si="83"/>
        <v>UNILON</v>
      </c>
      <c r="P216" s="218" t="str">
        <f t="shared" si="79"/>
        <v>AP21QR</v>
      </c>
      <c r="Q216" s="218" t="str">
        <f t="shared" si="84"/>
        <v>WIA</v>
      </c>
      <c r="R216" s="218" t="str">
        <f>""</f>
        <v/>
      </c>
      <c r="S216" s="218" t="str">
        <f t="shared" si="85"/>
        <v>053</v>
      </c>
      <c r="T216" s="218" t="str">
        <f>"D"</f>
        <v>D</v>
      </c>
      <c r="U216" s="218" t="str">
        <f t="shared" si="80"/>
        <v>AFR000</v>
      </c>
      <c r="V216" s="218" t="str">
        <f t="shared" si="81"/>
        <v>###</v>
      </c>
      <c r="W216" s="218">
        <v>0</v>
      </c>
      <c r="X216" s="218" t="str">
        <f>""</f>
        <v/>
      </c>
      <c r="Y216" s="218">
        <v>86.86</v>
      </c>
      <c r="Z216" s="218">
        <v>109.48</v>
      </c>
      <c r="AA216" s="218">
        <v>99.41</v>
      </c>
    </row>
    <row r="217" spans="1:27">
      <c r="A217" s="218" t="s">
        <v>2592</v>
      </c>
      <c r="F217" s="219" t="str">
        <f>"""IntAlert Live"",""ALERT UK"",""17"",""1"",""557066"""</f>
        <v>"IntAlert Live","ALERT UK","17","1","557066"</v>
      </c>
      <c r="G217" s="223">
        <v>43982</v>
      </c>
      <c r="H217" s="223"/>
      <c r="I217" s="218" t="str">
        <f>""</f>
        <v/>
      </c>
      <c r="K217" s="218" t="str">
        <f>"PR MAY JNL"</f>
        <v>PR MAY JNL</v>
      </c>
      <c r="L217" s="218" t="str">
        <f>"L Williams 20%"</f>
        <v>L Williams 20%</v>
      </c>
      <c r="M217" s="218" t="str">
        <f>"5110"</f>
        <v>5110</v>
      </c>
      <c r="N217" s="218" t="str">
        <f>"EMPLOYER'S PENSION COSTS"</f>
        <v>EMPLOYER'S PENSION COSTS</v>
      </c>
      <c r="O217" s="218" t="str">
        <f t="shared" si="83"/>
        <v>UNILON</v>
      </c>
      <c r="P217" s="218" t="str">
        <f t="shared" si="79"/>
        <v>AP21QR</v>
      </c>
      <c r="Q217" s="218" t="str">
        <f t="shared" si="84"/>
        <v>WIA</v>
      </c>
      <c r="R217" s="218" t="str">
        <f>""</f>
        <v/>
      </c>
      <c r="S217" s="218" t="str">
        <f t="shared" si="85"/>
        <v>053</v>
      </c>
      <c r="T217" s="218" t="str">
        <f>"D"</f>
        <v>D</v>
      </c>
      <c r="U217" s="218" t="str">
        <f t="shared" si="80"/>
        <v>AFR000</v>
      </c>
      <c r="V217" s="218" t="str">
        <f t="shared" si="81"/>
        <v>###</v>
      </c>
      <c r="W217" s="218">
        <v>0</v>
      </c>
      <c r="X217" s="218" t="str">
        <f>""</f>
        <v/>
      </c>
      <c r="Y217" s="218">
        <v>77.58</v>
      </c>
      <c r="Z217" s="218">
        <v>97.78</v>
      </c>
      <c r="AA217" s="218">
        <v>88.79</v>
      </c>
    </row>
    <row r="218" spans="1:27">
      <c r="A218" s="218" t="s">
        <v>2592</v>
      </c>
      <c r="F218" s="219" t="str">
        <f>"""IntAlert Live"",""ALERT UK"",""17"",""1"",""557223"""</f>
        <v>"IntAlert Live","ALERT UK","17","1","557223"</v>
      </c>
      <c r="G218" s="223">
        <v>43982</v>
      </c>
      <c r="H218" s="223"/>
      <c r="I218" s="218" t="str">
        <f>""</f>
        <v/>
      </c>
      <c r="K218" s="218" t="str">
        <f>"HR SCF CHG MAY20"</f>
        <v>HR SCF CHG MAY20</v>
      </c>
      <c r="L218" s="218" t="str">
        <f>"L Williams 20%"</f>
        <v>L Williams 20%</v>
      </c>
      <c r="M218" s="218" t="str">
        <f>"5100"</f>
        <v>5100</v>
      </c>
      <c r="N218" s="218" t="str">
        <f>"BASIC EMPLOYMENT COSTS"</f>
        <v>BASIC EMPLOYMENT COSTS</v>
      </c>
      <c r="O218" s="218" t="str">
        <f t="shared" si="83"/>
        <v>UNILON</v>
      </c>
      <c r="P218" s="218" t="str">
        <f t="shared" si="79"/>
        <v>AP21QR</v>
      </c>
      <c r="Q218" s="218" t="str">
        <f t="shared" si="84"/>
        <v>WIA</v>
      </c>
      <c r="R218" s="218" t="str">
        <f>""</f>
        <v/>
      </c>
      <c r="S218" s="218" t="str">
        <f t="shared" si="85"/>
        <v>053</v>
      </c>
      <c r="T218" s="218" t="str">
        <f>"C"</f>
        <v>C</v>
      </c>
      <c r="U218" s="218" t="str">
        <f t="shared" si="80"/>
        <v>AFR000</v>
      </c>
      <c r="V218" s="218" t="str">
        <f t="shared" si="81"/>
        <v>###</v>
      </c>
      <c r="W218" s="218">
        <v>0</v>
      </c>
      <c r="X218" s="218" t="str">
        <f>""</f>
        <v/>
      </c>
      <c r="Y218" s="218">
        <v>23.27</v>
      </c>
      <c r="Z218" s="218">
        <v>29.33</v>
      </c>
      <c r="AA218" s="218">
        <v>26.63</v>
      </c>
    </row>
    <row r="219" spans="1:27">
      <c r="A219" s="218" t="s">
        <v>2592</v>
      </c>
      <c r="F219" s="219" t="str">
        <f>"""IntAlert Live"",""ALERT UK"",""17"",""1"",""557354"""</f>
        <v>"IntAlert Live","ALERT UK","17","1","557354"</v>
      </c>
      <c r="G219" s="223">
        <v>43982</v>
      </c>
      <c r="H219" s="223"/>
      <c r="I219" s="218" t="str">
        <f>""</f>
        <v/>
      </c>
      <c r="K219" s="218" t="str">
        <f>"HR CHG MAY20"</f>
        <v>HR CHG MAY20</v>
      </c>
      <c r="L219" s="218" t="str">
        <f>"L Williams 20%"</f>
        <v>L Williams 20%</v>
      </c>
      <c r="M219" s="218" t="str">
        <f>"5100"</f>
        <v>5100</v>
      </c>
      <c r="N219" s="218" t="str">
        <f>"BASIC EMPLOYMENT COSTS"</f>
        <v>BASIC EMPLOYMENT COSTS</v>
      </c>
      <c r="O219" s="218" t="str">
        <f t="shared" si="83"/>
        <v>UNILON</v>
      </c>
      <c r="P219" s="218" t="str">
        <f t="shared" si="79"/>
        <v>AP21QR</v>
      </c>
      <c r="Q219" s="218" t="str">
        <f t="shared" si="84"/>
        <v>WIA</v>
      </c>
      <c r="R219" s="218" t="str">
        <f>""</f>
        <v/>
      </c>
      <c r="S219" s="218" t="str">
        <f t="shared" si="85"/>
        <v>053</v>
      </c>
      <c r="T219" s="218" t="str">
        <f>"S"</f>
        <v>S</v>
      </c>
      <c r="U219" s="218" t="str">
        <f t="shared" si="80"/>
        <v>AFR000</v>
      </c>
      <c r="V219" s="218" t="str">
        <f t="shared" si="81"/>
        <v>###</v>
      </c>
      <c r="W219" s="218">
        <v>0</v>
      </c>
      <c r="X219" s="218" t="str">
        <f>""</f>
        <v/>
      </c>
      <c r="Y219" s="218">
        <v>38.79</v>
      </c>
      <c r="Z219" s="218">
        <v>48.89</v>
      </c>
      <c r="AA219" s="218">
        <v>44.39</v>
      </c>
    </row>
    <row r="220" spans="1:27">
      <c r="A220" s="218" t="s">
        <v>2592</v>
      </c>
      <c r="F220" s="219" t="str">
        <f>"""IntAlert Live"",""ALERT UK"",""17"",""1"",""546088"""</f>
        <v>"IntAlert Live","ALERT UK","17","1","546088"</v>
      </c>
      <c r="G220" s="223">
        <v>43948</v>
      </c>
      <c r="H220" s="223"/>
      <c r="I220" s="218" t="str">
        <f>"DRCBUK/BANK/2020/04/012"</f>
        <v>DRCBUK/BANK/2020/04/012</v>
      </c>
      <c r="K220" s="218" t="str">
        <f>"DANIEL MWENDANGA"</f>
        <v>DANIEL MWENDANGA</v>
      </c>
      <c r="L220" s="218" t="str">
        <f>"Salaire-Avril 2020  Daniel MWENDANGA-25%"</f>
        <v>Salaire-Avril 2020  Daniel MWENDANGA-25%</v>
      </c>
      <c r="M220" s="218" t="str">
        <f>"5100"</f>
        <v>5100</v>
      </c>
      <c r="N220" s="218" t="str">
        <f>"BASIC EMPLOYMENT COSTS"</f>
        <v>BASIC EMPLOYMENT COSTS</v>
      </c>
      <c r="O220" s="218" t="str">
        <f t="shared" ref="O220:O235" si="86">"DRCBUK"</f>
        <v>DRCBUK</v>
      </c>
      <c r="P220" s="218" t="str">
        <f t="shared" si="79"/>
        <v>AP21QR</v>
      </c>
      <c r="Q220" s="218" t="str">
        <f t="shared" ref="Q220:Q230" si="87">"MWN"</f>
        <v>MWN</v>
      </c>
      <c r="R220" s="218" t="str">
        <f>""</f>
        <v/>
      </c>
      <c r="S220" s="218" t="str">
        <f t="shared" ref="S220:S230" si="88">"054"</f>
        <v>054</v>
      </c>
      <c r="T220" s="218" t="str">
        <f t="shared" ref="T220:T243" si="89">"D"</f>
        <v>D</v>
      </c>
      <c r="U220" s="218" t="str">
        <f t="shared" si="80"/>
        <v>AFR000</v>
      </c>
      <c r="V220" s="218" t="str">
        <f t="shared" si="81"/>
        <v>###</v>
      </c>
      <c r="W220" s="218">
        <v>321.17</v>
      </c>
      <c r="X220" s="218" t="str">
        <f t="shared" ref="X220:X241" si="90">"USD"</f>
        <v>USD</v>
      </c>
      <c r="Y220" s="218">
        <v>257.87</v>
      </c>
      <c r="Z220" s="218">
        <v>321.17</v>
      </c>
      <c r="AA220" s="218">
        <v>290.07</v>
      </c>
    </row>
    <row r="221" spans="1:27">
      <c r="A221" s="218" t="s">
        <v>2592</v>
      </c>
      <c r="F221" s="219" t="str">
        <f>"""IntAlert Live"",""ALERT UK"",""17"",""1"",""546123"""</f>
        <v>"IntAlert Live","ALERT UK","17","1","546123"</v>
      </c>
      <c r="G221" s="223">
        <v>43948</v>
      </c>
      <c r="H221" s="223"/>
      <c r="I221" s="218" t="str">
        <f>"DRCBUK/BANK/2020/04/013"</f>
        <v>DRCBUK/BANK/2020/04/013</v>
      </c>
      <c r="K221" s="218" t="str">
        <f>"DGI SUD KIVU"</f>
        <v>DGI SUD KIVU</v>
      </c>
      <c r="L221" s="218" t="str">
        <f>"IPR-Avril 2020  Daniel MWENDANGA-25%"</f>
        <v>IPR-Avril 2020  Daniel MWENDANGA-25%</v>
      </c>
      <c r="M221" s="218" t="str">
        <f>"5100"</f>
        <v>5100</v>
      </c>
      <c r="N221" s="218" t="str">
        <f>"BASIC EMPLOYMENT COSTS"</f>
        <v>BASIC EMPLOYMENT COSTS</v>
      </c>
      <c r="O221" s="218" t="str">
        <f t="shared" si="86"/>
        <v>DRCBUK</v>
      </c>
      <c r="P221" s="218" t="str">
        <f t="shared" si="79"/>
        <v>AP21QR</v>
      </c>
      <c r="Q221" s="218" t="str">
        <f t="shared" si="87"/>
        <v>MWN</v>
      </c>
      <c r="R221" s="218" t="str">
        <f>""</f>
        <v/>
      </c>
      <c r="S221" s="218" t="str">
        <f t="shared" si="88"/>
        <v>054</v>
      </c>
      <c r="T221" s="218" t="str">
        <f t="shared" si="89"/>
        <v>D</v>
      </c>
      <c r="U221" s="218" t="str">
        <f t="shared" si="80"/>
        <v>AFR000</v>
      </c>
      <c r="V221" s="218" t="str">
        <f t="shared" si="81"/>
        <v>###</v>
      </c>
      <c r="W221" s="218">
        <v>124.3</v>
      </c>
      <c r="X221" s="218" t="str">
        <f t="shared" si="90"/>
        <v>USD</v>
      </c>
      <c r="Y221" s="218">
        <v>99.8</v>
      </c>
      <c r="Z221" s="218">
        <v>124.3</v>
      </c>
      <c r="AA221" s="218">
        <v>112.26</v>
      </c>
    </row>
    <row r="222" spans="1:27">
      <c r="A222" s="218" t="s">
        <v>2592</v>
      </c>
      <c r="F222" s="219" t="str">
        <f>"""IntAlert Live"",""ALERT UK"",""17"",""1"",""546159"""</f>
        <v>"IntAlert Live","ALERT UK","17","1","546159"</v>
      </c>
      <c r="G222" s="223">
        <v>43948</v>
      </c>
      <c r="H222" s="223"/>
      <c r="I222" s="218" t="str">
        <f>"DRCBUK/BANK/2020/04/014"</f>
        <v>DRCBUK/BANK/2020/04/014</v>
      </c>
      <c r="K222" s="218" t="str">
        <f>"CNSS BUKAVU"</f>
        <v>CNSS BUKAVU</v>
      </c>
      <c r="L222" s="218" t="str">
        <f>"CNSS-Avril 2020  Daniel MWENDANGA-25%"</f>
        <v>CNSS-Avril 2020  Daniel MWENDANGA-25%</v>
      </c>
      <c r="M222" s="218" t="str">
        <f>"5110"</f>
        <v>5110</v>
      </c>
      <c r="N222" s="218" t="str">
        <f>"EMPLOYER'S PENSION COSTS"</f>
        <v>EMPLOYER'S PENSION COSTS</v>
      </c>
      <c r="O222" s="218" t="str">
        <f t="shared" si="86"/>
        <v>DRCBUK</v>
      </c>
      <c r="P222" s="218" t="str">
        <f t="shared" si="79"/>
        <v>AP21QR</v>
      </c>
      <c r="Q222" s="218" t="str">
        <f t="shared" si="87"/>
        <v>MWN</v>
      </c>
      <c r="R222" s="218" t="str">
        <f>""</f>
        <v/>
      </c>
      <c r="S222" s="218" t="str">
        <f t="shared" si="88"/>
        <v>054</v>
      </c>
      <c r="T222" s="218" t="str">
        <f t="shared" si="89"/>
        <v>D</v>
      </c>
      <c r="U222" s="218" t="str">
        <f t="shared" si="80"/>
        <v>AFR000</v>
      </c>
      <c r="V222" s="218" t="str">
        <f t="shared" si="81"/>
        <v>###</v>
      </c>
      <c r="W222" s="218">
        <v>105.32</v>
      </c>
      <c r="X222" s="218" t="str">
        <f t="shared" si="90"/>
        <v>USD</v>
      </c>
      <c r="Y222" s="218">
        <v>84.56</v>
      </c>
      <c r="Z222" s="218">
        <v>105.32</v>
      </c>
      <c r="AA222" s="218">
        <v>95.12</v>
      </c>
    </row>
    <row r="223" spans="1:27">
      <c r="A223" s="218" t="s">
        <v>2592</v>
      </c>
      <c r="F223" s="219" t="str">
        <f>"""IntAlert Live"",""ALERT UK"",""17"",""1"",""546194"""</f>
        <v>"IntAlert Live","ALERT UK","17","1","546194"</v>
      </c>
      <c r="G223" s="223">
        <v>43948</v>
      </c>
      <c r="H223" s="223"/>
      <c r="I223" s="218" t="str">
        <f>"DRCBUK/BANK/2020/04/015"</f>
        <v>DRCBUK/BANK/2020/04/015</v>
      </c>
      <c r="K223" s="218" t="str">
        <f>"INPP SUD-KIVU"</f>
        <v>INPP SUD-KIVU</v>
      </c>
      <c r="L223" s="218" t="str">
        <f>"INPP-Avril 2020  Daniel MWENDANGA-25%"</f>
        <v>INPP-Avril 2020  Daniel MWENDANGA-25%</v>
      </c>
      <c r="M223" s="218" t="str">
        <f>"5160"</f>
        <v>5160</v>
      </c>
      <c r="N223" s="218" t="str">
        <f>"EMPLOYMENT BENEFITS COSTS"</f>
        <v>EMPLOYMENT BENEFITS COSTS</v>
      </c>
      <c r="O223" s="218" t="str">
        <f t="shared" si="86"/>
        <v>DRCBUK</v>
      </c>
      <c r="P223" s="218" t="str">
        <f t="shared" si="79"/>
        <v>AP21QR</v>
      </c>
      <c r="Q223" s="218" t="str">
        <f t="shared" si="87"/>
        <v>MWN</v>
      </c>
      <c r="R223" s="218" t="str">
        <f>""</f>
        <v/>
      </c>
      <c r="S223" s="218" t="str">
        <f t="shared" si="88"/>
        <v>054</v>
      </c>
      <c r="T223" s="218" t="str">
        <f t="shared" si="89"/>
        <v>D</v>
      </c>
      <c r="U223" s="218" t="str">
        <f t="shared" si="80"/>
        <v>AFR000</v>
      </c>
      <c r="V223" s="218" t="str">
        <f t="shared" si="81"/>
        <v>###</v>
      </c>
      <c r="W223" s="218">
        <v>17.559999999999999</v>
      </c>
      <c r="X223" s="218" t="str">
        <f t="shared" si="90"/>
        <v>USD</v>
      </c>
      <c r="Y223" s="218">
        <v>14.1</v>
      </c>
      <c r="Z223" s="218">
        <v>17.559999999999999</v>
      </c>
      <c r="AA223" s="218">
        <v>15.86</v>
      </c>
    </row>
    <row r="224" spans="1:27">
      <c r="A224" s="218" t="s">
        <v>2592</v>
      </c>
      <c r="F224" s="219" t="str">
        <f>"""IntAlert Live"",""ALERT UK"",""17"",""1"",""546345"""</f>
        <v>"IntAlert Live","ALERT UK","17","1","546345"</v>
      </c>
      <c r="G224" s="223">
        <v>43948</v>
      </c>
      <c r="H224" s="223"/>
      <c r="I224" s="218" t="str">
        <f>"DRCBUK/GENJNL/2020/04/001"</f>
        <v>DRCBUK/GENJNL/2020/04/001</v>
      </c>
      <c r="K224" s="218" t="str">
        <f>"DANIEL MWENDANGA"</f>
        <v>DANIEL MWENDANGA</v>
      </c>
      <c r="L224" s="218" t="str">
        <f>"AV s/Salaire-Avril 2020  Daniel MWENDANGA-25%"</f>
        <v>AV s/Salaire-Avril 2020  Daniel MWENDANGA-25%</v>
      </c>
      <c r="M224" s="218" t="str">
        <f>"5100"</f>
        <v>5100</v>
      </c>
      <c r="N224" s="218" t="str">
        <f>"BASIC EMPLOYMENT COSTS"</f>
        <v>BASIC EMPLOYMENT COSTS</v>
      </c>
      <c r="O224" s="218" t="str">
        <f t="shared" si="86"/>
        <v>DRCBUK</v>
      </c>
      <c r="P224" s="218" t="str">
        <f t="shared" si="79"/>
        <v>AP21QR</v>
      </c>
      <c r="Q224" s="218" t="str">
        <f t="shared" si="87"/>
        <v>MWN</v>
      </c>
      <c r="R224" s="218" t="str">
        <f>""</f>
        <v/>
      </c>
      <c r="S224" s="218" t="str">
        <f t="shared" si="88"/>
        <v>054</v>
      </c>
      <c r="T224" s="218" t="str">
        <f t="shared" si="89"/>
        <v>D</v>
      </c>
      <c r="U224" s="218" t="str">
        <f t="shared" si="80"/>
        <v>AFR000</v>
      </c>
      <c r="V224" s="218" t="str">
        <f t="shared" si="81"/>
        <v>###</v>
      </c>
      <c r="W224" s="218">
        <v>312.5</v>
      </c>
      <c r="X224" s="218" t="str">
        <f t="shared" si="90"/>
        <v>USD</v>
      </c>
      <c r="Y224" s="218">
        <v>250.91</v>
      </c>
      <c r="Z224" s="218">
        <v>312.5</v>
      </c>
      <c r="AA224" s="218">
        <v>282.24</v>
      </c>
    </row>
    <row r="225" spans="1:27">
      <c r="A225" s="218" t="s">
        <v>2592</v>
      </c>
      <c r="F225" s="219" t="str">
        <f>"""IntAlert Live"",""ALERT UK"",""17"",""1"",""546338"""</f>
        <v>"IntAlert Live","ALERT UK","17","1","546338"</v>
      </c>
      <c r="G225" s="223">
        <v>43951</v>
      </c>
      <c r="H225" s="223"/>
      <c r="I225" s="218" t="str">
        <f>"DRCBUK/CAISSE/2020/04/002"</f>
        <v>DRCBUK/CAISSE/2020/04/002</v>
      </c>
      <c r="K225" s="218" t="str">
        <f>"ONEM"</f>
        <v>ONEM</v>
      </c>
      <c r="L225" s="218" t="str">
        <f>"ONEM-Avril 2020  Daniel MWENDANGA-25%"</f>
        <v>ONEM-Avril 2020  Daniel MWENDANGA-25%</v>
      </c>
      <c r="M225" s="218" t="str">
        <f>"5160"</f>
        <v>5160</v>
      </c>
      <c r="N225" s="218" t="str">
        <f>"EMPLOYMENT BENEFITS COSTS"</f>
        <v>EMPLOYMENT BENEFITS COSTS</v>
      </c>
      <c r="O225" s="218" t="str">
        <f t="shared" si="86"/>
        <v>DRCBUK</v>
      </c>
      <c r="P225" s="218" t="str">
        <f t="shared" si="79"/>
        <v>AP21QR</v>
      </c>
      <c r="Q225" s="218" t="str">
        <f t="shared" si="87"/>
        <v>MWN</v>
      </c>
      <c r="R225" s="218" t="str">
        <f>""</f>
        <v/>
      </c>
      <c r="S225" s="218" t="str">
        <f t="shared" si="88"/>
        <v>054</v>
      </c>
      <c r="T225" s="218" t="str">
        <f t="shared" si="89"/>
        <v>D</v>
      </c>
      <c r="U225" s="218" t="str">
        <f t="shared" si="80"/>
        <v>AFR000</v>
      </c>
      <c r="V225" s="218" t="str">
        <f t="shared" si="81"/>
        <v>###</v>
      </c>
      <c r="W225" s="218">
        <v>0.82</v>
      </c>
      <c r="X225" s="218" t="str">
        <f t="shared" si="90"/>
        <v>USD</v>
      </c>
      <c r="Y225" s="218">
        <v>0.66</v>
      </c>
      <c r="Z225" s="218">
        <v>0.82</v>
      </c>
      <c r="AA225" s="218">
        <v>0.74</v>
      </c>
    </row>
    <row r="226" spans="1:27">
      <c r="A226" s="218" t="s">
        <v>2592</v>
      </c>
      <c r="F226" s="219" t="str">
        <f>"""IntAlert Live"",""ALERT UK"",""17"",""1"",""555210"""</f>
        <v>"IntAlert Live","ALERT UK","17","1","555210"</v>
      </c>
      <c r="G226" s="223">
        <v>43976</v>
      </c>
      <c r="H226" s="223"/>
      <c r="I226" s="218" t="str">
        <f>"DRCBUK/BANK/2020/05/015"</f>
        <v>DRCBUK/BANK/2020/05/015</v>
      </c>
      <c r="K226" s="218" t="str">
        <f>"DANIEL MWENDANGA"</f>
        <v>DANIEL MWENDANGA</v>
      </c>
      <c r="L226" s="218" t="str">
        <f>"Salaire-Mai 020 Daniel MWENDANGA MUDASA 20%"</f>
        <v>Salaire-Mai 020 Daniel MWENDANGA MUDASA 20%</v>
      </c>
      <c r="M226" s="218" t="str">
        <f>"5100"</f>
        <v>5100</v>
      </c>
      <c r="N226" s="218" t="str">
        <f>"BASIC EMPLOYMENT COSTS"</f>
        <v>BASIC EMPLOYMENT COSTS</v>
      </c>
      <c r="O226" s="218" t="str">
        <f t="shared" si="86"/>
        <v>DRCBUK</v>
      </c>
      <c r="P226" s="218" t="str">
        <f t="shared" si="79"/>
        <v>AP21QR</v>
      </c>
      <c r="Q226" s="218" t="str">
        <f t="shared" si="87"/>
        <v>MWN</v>
      </c>
      <c r="R226" s="218" t="str">
        <f>""</f>
        <v/>
      </c>
      <c r="S226" s="218" t="str">
        <f t="shared" si="88"/>
        <v>054</v>
      </c>
      <c r="T226" s="218" t="str">
        <f t="shared" si="89"/>
        <v>D</v>
      </c>
      <c r="U226" s="218" t="str">
        <f t="shared" si="80"/>
        <v>AFR000</v>
      </c>
      <c r="V226" s="218" t="str">
        <f t="shared" si="81"/>
        <v>###</v>
      </c>
      <c r="W226" s="218">
        <v>500.67</v>
      </c>
      <c r="X226" s="218" t="str">
        <f t="shared" si="90"/>
        <v>USD</v>
      </c>
      <c r="Y226" s="218">
        <v>397.23</v>
      </c>
      <c r="Z226" s="218">
        <v>500.67</v>
      </c>
      <c r="AA226" s="218">
        <v>454.61</v>
      </c>
    </row>
    <row r="227" spans="1:27">
      <c r="A227" s="218" t="s">
        <v>2592</v>
      </c>
      <c r="F227" s="219" t="str">
        <f>"""IntAlert Live"",""ALERT UK"",""17"",""1"",""555249"""</f>
        <v>"IntAlert Live","ALERT UK","17","1","555249"</v>
      </c>
      <c r="G227" s="223">
        <v>43976</v>
      </c>
      <c r="H227" s="223"/>
      <c r="I227" s="218" t="str">
        <f>"DRCBUK/BANK/2020/05/016"</f>
        <v>DRCBUK/BANK/2020/05/016</v>
      </c>
      <c r="K227" s="218" t="str">
        <f>"DGI/DPI SUD-KIVU"</f>
        <v>DGI/DPI SUD-KIVU</v>
      </c>
      <c r="L227" s="218" t="str">
        <f>"IPR-Mai 020 Daniel MWENDANGA MUDASA 20%"</f>
        <v>IPR-Mai 020 Daniel MWENDANGA MUDASA 20%</v>
      </c>
      <c r="M227" s="218" t="str">
        <f>"5100"</f>
        <v>5100</v>
      </c>
      <c r="N227" s="218" t="str">
        <f>"BASIC EMPLOYMENT COSTS"</f>
        <v>BASIC EMPLOYMENT COSTS</v>
      </c>
      <c r="O227" s="218" t="str">
        <f t="shared" si="86"/>
        <v>DRCBUK</v>
      </c>
      <c r="P227" s="218" t="str">
        <f t="shared" si="79"/>
        <v>AP21QR</v>
      </c>
      <c r="Q227" s="218" t="str">
        <f t="shared" si="87"/>
        <v>MWN</v>
      </c>
      <c r="R227" s="218" t="str">
        <f>""</f>
        <v/>
      </c>
      <c r="S227" s="218" t="str">
        <f t="shared" si="88"/>
        <v>054</v>
      </c>
      <c r="T227" s="218" t="str">
        <f t="shared" si="89"/>
        <v>D</v>
      </c>
      <c r="U227" s="218" t="str">
        <f t="shared" si="80"/>
        <v>AFR000</v>
      </c>
      <c r="V227" s="218" t="str">
        <f t="shared" si="81"/>
        <v>###</v>
      </c>
      <c r="W227" s="218">
        <v>100.92</v>
      </c>
      <c r="X227" s="218" t="str">
        <f t="shared" si="90"/>
        <v>USD</v>
      </c>
      <c r="Y227" s="218">
        <v>80.069999999999993</v>
      </c>
      <c r="Z227" s="218">
        <v>100.92</v>
      </c>
      <c r="AA227" s="218">
        <v>91.64</v>
      </c>
    </row>
    <row r="228" spans="1:27">
      <c r="A228" s="218" t="s">
        <v>2592</v>
      </c>
      <c r="F228" s="219" t="str">
        <f>"""IntAlert Live"",""ALERT UK"",""17"",""1"",""555289"""</f>
        <v>"IntAlert Live","ALERT UK","17","1","555289"</v>
      </c>
      <c r="G228" s="223">
        <v>43976</v>
      </c>
      <c r="H228" s="223"/>
      <c r="I228" s="218" t="str">
        <f>"DRCBUK/BANK/2020/05/017"</f>
        <v>DRCBUK/BANK/2020/05/017</v>
      </c>
      <c r="K228" s="218" t="str">
        <f>"CNSS SUD KIVU"</f>
        <v>CNSS SUD KIVU</v>
      </c>
      <c r="L228" s="218" t="str">
        <f>"CNSS-Mai 020 Daniel MWENDANGA MUDASA 20%"</f>
        <v>CNSS-Mai 020 Daniel MWENDANGA MUDASA 20%</v>
      </c>
      <c r="M228" s="218" t="str">
        <f>"5160"</f>
        <v>5160</v>
      </c>
      <c r="N228" s="218" t="str">
        <f>"EMPLOYMENT BENEFITS COSTS"</f>
        <v>EMPLOYMENT BENEFITS COSTS</v>
      </c>
      <c r="O228" s="218" t="str">
        <f t="shared" si="86"/>
        <v>DRCBUK</v>
      </c>
      <c r="P228" s="218" t="str">
        <f t="shared" si="79"/>
        <v>AP21QR</v>
      </c>
      <c r="Q228" s="218" t="str">
        <f t="shared" si="87"/>
        <v>MWN</v>
      </c>
      <c r="R228" s="218" t="str">
        <f>""</f>
        <v/>
      </c>
      <c r="S228" s="218" t="str">
        <f t="shared" si="88"/>
        <v>054</v>
      </c>
      <c r="T228" s="218" t="str">
        <f t="shared" si="89"/>
        <v>D</v>
      </c>
      <c r="U228" s="218" t="str">
        <f t="shared" si="80"/>
        <v>AFR000</v>
      </c>
      <c r="V228" s="218" t="str">
        <f t="shared" si="81"/>
        <v>###</v>
      </c>
      <c r="W228" s="218">
        <v>84.23</v>
      </c>
      <c r="X228" s="218" t="str">
        <f t="shared" si="90"/>
        <v>USD</v>
      </c>
      <c r="Y228" s="218">
        <v>66.83</v>
      </c>
      <c r="Z228" s="218">
        <v>84.23</v>
      </c>
      <c r="AA228" s="218">
        <v>76.48</v>
      </c>
    </row>
    <row r="229" spans="1:27">
      <c r="A229" s="218" t="s">
        <v>2592</v>
      </c>
      <c r="F229" s="219" t="str">
        <f>"""IntAlert Live"",""ALERT UK"",""17"",""1"",""555328"""</f>
        <v>"IntAlert Live","ALERT UK","17","1","555328"</v>
      </c>
      <c r="G229" s="223">
        <v>43976</v>
      </c>
      <c r="H229" s="223"/>
      <c r="I229" s="218" t="str">
        <f>"DRCBUK/BANK/2020/05/018"</f>
        <v>DRCBUK/BANK/2020/05/018</v>
      </c>
      <c r="K229" s="218" t="str">
        <f>"INPP SUD KIVU"</f>
        <v>INPP SUD KIVU</v>
      </c>
      <c r="L229" s="218" t="str">
        <f>"INPP-Mai 020 Daniel MWENDANGA MUDASA 20%"</f>
        <v>INPP-Mai 020 Daniel MWENDANGA MUDASA 20%</v>
      </c>
      <c r="M229" s="218" t="str">
        <f>"5160"</f>
        <v>5160</v>
      </c>
      <c r="N229" s="218" t="str">
        <f>"EMPLOYMENT BENEFITS COSTS"</f>
        <v>EMPLOYMENT BENEFITS COSTS</v>
      </c>
      <c r="O229" s="218" t="str">
        <f t="shared" si="86"/>
        <v>DRCBUK</v>
      </c>
      <c r="P229" s="218" t="str">
        <f t="shared" si="79"/>
        <v>AP21QR</v>
      </c>
      <c r="Q229" s="218" t="str">
        <f t="shared" si="87"/>
        <v>MWN</v>
      </c>
      <c r="R229" s="218" t="str">
        <f>""</f>
        <v/>
      </c>
      <c r="S229" s="218" t="str">
        <f t="shared" si="88"/>
        <v>054</v>
      </c>
      <c r="T229" s="218" t="str">
        <f t="shared" si="89"/>
        <v>D</v>
      </c>
      <c r="U229" s="218" t="str">
        <f t="shared" si="80"/>
        <v>AFR000</v>
      </c>
      <c r="V229" s="218" t="str">
        <f t="shared" si="81"/>
        <v>###</v>
      </c>
      <c r="W229" s="218">
        <v>14.04</v>
      </c>
      <c r="X229" s="218" t="str">
        <f t="shared" si="90"/>
        <v>USD</v>
      </c>
      <c r="Y229" s="218">
        <v>11.14</v>
      </c>
      <c r="Z229" s="218">
        <v>14.04</v>
      </c>
      <c r="AA229" s="218">
        <v>12.75</v>
      </c>
    </row>
    <row r="230" spans="1:27">
      <c r="A230" s="218" t="s">
        <v>2592</v>
      </c>
      <c r="F230" s="219" t="str">
        <f>"""IntAlert Live"",""ALERT UK"",""17"",""1"",""555510"""</f>
        <v>"IntAlert Live","ALERT UK","17","1","555510"</v>
      </c>
      <c r="G230" s="223">
        <v>43980</v>
      </c>
      <c r="H230" s="223"/>
      <c r="I230" s="218" t="str">
        <f>"DRCBUK/CAISSE/2020/05/002"</f>
        <v>DRCBUK/CAISSE/2020/05/002</v>
      </c>
      <c r="K230" s="218" t="str">
        <f>"ONEM"</f>
        <v>ONEM</v>
      </c>
      <c r="L230" s="218" t="str">
        <f>"ONEM-Mai 020 Daniel MWENDANGA MUDASA 20%"</f>
        <v>ONEM-Mai 020 Daniel MWENDANGA MUDASA 20%</v>
      </c>
      <c r="M230" s="218" t="str">
        <f>"5160"</f>
        <v>5160</v>
      </c>
      <c r="N230" s="218" t="str">
        <f>"EMPLOYMENT BENEFITS COSTS"</f>
        <v>EMPLOYMENT BENEFITS COSTS</v>
      </c>
      <c r="O230" s="218" t="str">
        <f t="shared" si="86"/>
        <v>DRCBUK</v>
      </c>
      <c r="P230" s="218" t="str">
        <f t="shared" si="79"/>
        <v>AP21QR</v>
      </c>
      <c r="Q230" s="218" t="str">
        <f t="shared" si="87"/>
        <v>MWN</v>
      </c>
      <c r="R230" s="218" t="str">
        <f>""</f>
        <v/>
      </c>
      <c r="S230" s="218" t="str">
        <f t="shared" si="88"/>
        <v>054</v>
      </c>
      <c r="T230" s="218" t="str">
        <f t="shared" si="89"/>
        <v>D</v>
      </c>
      <c r="U230" s="218" t="str">
        <f t="shared" si="80"/>
        <v>AFR000</v>
      </c>
      <c r="V230" s="218" t="str">
        <f t="shared" si="81"/>
        <v>###</v>
      </c>
      <c r="W230" s="218">
        <v>0.94</v>
      </c>
      <c r="X230" s="218" t="str">
        <f t="shared" si="90"/>
        <v>USD</v>
      </c>
      <c r="Y230" s="218">
        <v>0.75</v>
      </c>
      <c r="Z230" s="218">
        <v>0.94</v>
      </c>
      <c r="AA230" s="218">
        <v>0.86</v>
      </c>
    </row>
    <row r="231" spans="1:27">
      <c r="A231" s="218" t="s">
        <v>2592</v>
      </c>
      <c r="F231" s="219" t="str">
        <f>"""IntAlert Live"",""ALERT UK"",""17"",""1"",""555115"""</f>
        <v>"IntAlert Live","ALERT UK","17","1","555115"</v>
      </c>
      <c r="G231" s="223">
        <v>43965</v>
      </c>
      <c r="H231" s="223"/>
      <c r="I231" s="218" t="str">
        <f>"DRCBUK/BANK/2020/05/009"</f>
        <v>DRCBUK/BANK/2020/05/009</v>
      </c>
      <c r="K231" s="218" t="str">
        <f>"STATON DELICE"</f>
        <v>STATON DELICE</v>
      </c>
      <c r="L231" s="218" t="str">
        <f>"Pmt consomation carburant Mission plaidoyer 50%"</f>
        <v>Pmt consomation carburant Mission plaidoyer 50%</v>
      </c>
      <c r="M231" s="218" t="str">
        <f>"8250"</f>
        <v>8250</v>
      </c>
      <c r="N231" s="218" t="str">
        <f>"VEHICLE FUEL"</f>
        <v>VEHICLE FUEL</v>
      </c>
      <c r="O231" s="218" t="str">
        <f t="shared" si="86"/>
        <v>DRCBUK</v>
      </c>
      <c r="P231" s="218" t="str">
        <f t="shared" si="79"/>
        <v>AP21QR</v>
      </c>
      <c r="Q231" s="218" t="str">
        <f>""</f>
        <v/>
      </c>
      <c r="R231" s="218" t="str">
        <f>""</f>
        <v/>
      </c>
      <c r="S231" s="218" t="str">
        <f>"055"</f>
        <v>055</v>
      </c>
      <c r="T231" s="218" t="str">
        <f t="shared" si="89"/>
        <v>D</v>
      </c>
      <c r="U231" s="218" t="str">
        <f t="shared" si="80"/>
        <v>AFR000</v>
      </c>
      <c r="V231" s="218" t="str">
        <f t="shared" si="81"/>
        <v>###</v>
      </c>
      <c r="W231" s="218">
        <v>21</v>
      </c>
      <c r="X231" s="218" t="str">
        <f t="shared" si="90"/>
        <v>USD</v>
      </c>
      <c r="Y231" s="218">
        <v>16.66</v>
      </c>
      <c r="Z231" s="218">
        <v>21</v>
      </c>
      <c r="AA231" s="218">
        <v>19.07</v>
      </c>
    </row>
    <row r="232" spans="1:27">
      <c r="A232" s="218" t="s">
        <v>2592</v>
      </c>
      <c r="F232" s="219" t="str">
        <f>"""IntAlert Live"",""ALERT UK"",""17"",""1"",""546058"""</f>
        <v>"IntAlert Live","ALERT UK","17","1","546058"</v>
      </c>
      <c r="G232" s="223">
        <v>43948</v>
      </c>
      <c r="H232" s="223"/>
      <c r="I232" s="218" t="str">
        <f>"DRCBUK/BANK/2020/04/012"</f>
        <v>DRCBUK/BANK/2020/04/012</v>
      </c>
      <c r="K232" s="218" t="str">
        <f>"CHRISTIAN MUTOKAMBALI"</f>
        <v>CHRISTIAN MUTOKAMBALI</v>
      </c>
      <c r="L232" s="218" t="str">
        <f>"Salaire- Avril 2020  Christian MUTOKAMBALI-55%"</f>
        <v>Salaire- Avril 2020  Christian MUTOKAMBALI-55%</v>
      </c>
      <c r="M232" s="218" t="str">
        <f>"5100"</f>
        <v>5100</v>
      </c>
      <c r="N232" s="218" t="str">
        <f>"BASIC EMPLOYMENT COSTS"</f>
        <v>BASIC EMPLOYMENT COSTS</v>
      </c>
      <c r="O232" s="218" t="str">
        <f t="shared" si="86"/>
        <v>DRCBUK</v>
      </c>
      <c r="P232" s="218" t="str">
        <f t="shared" si="79"/>
        <v>AP21QR</v>
      </c>
      <c r="Q232" s="218" t="str">
        <f>"MBO"</f>
        <v>MBO</v>
      </c>
      <c r="R232" s="218" t="str">
        <f>""</f>
        <v/>
      </c>
      <c r="S232" s="218" t="str">
        <f t="shared" ref="S232:S264" si="91">"056"</f>
        <v>056</v>
      </c>
      <c r="T232" s="218" t="str">
        <f t="shared" si="89"/>
        <v>D</v>
      </c>
      <c r="U232" s="218" t="str">
        <f t="shared" si="80"/>
        <v>AFR000</v>
      </c>
      <c r="V232" s="218" t="str">
        <f t="shared" si="81"/>
        <v>###</v>
      </c>
      <c r="W232" s="218">
        <v>995.97</v>
      </c>
      <c r="X232" s="218" t="str">
        <f t="shared" si="90"/>
        <v>USD</v>
      </c>
      <c r="Y232" s="218">
        <v>799.67</v>
      </c>
      <c r="Z232" s="218">
        <v>995.97</v>
      </c>
      <c r="AA232" s="218">
        <v>899.52</v>
      </c>
    </row>
    <row r="233" spans="1:27">
      <c r="A233" s="218" t="s">
        <v>2592</v>
      </c>
      <c r="F233" s="219" t="str">
        <f>"""IntAlert Live"",""ALERT UK"",""17"",""1"",""546092"""</f>
        <v>"IntAlert Live","ALERT UK","17","1","546092"</v>
      </c>
      <c r="G233" s="223">
        <v>43948</v>
      </c>
      <c r="H233" s="223"/>
      <c r="I233" s="218" t="str">
        <f>"DRCBUK/BANK/2020/04/013"</f>
        <v>DRCBUK/BANK/2020/04/013</v>
      </c>
      <c r="K233" s="218" t="str">
        <f>"DGI SUD KIVU"</f>
        <v>DGI SUD KIVU</v>
      </c>
      <c r="L233" s="218" t="str">
        <f>"IPR- Avril 2020  Christian MUTOKAMBALI-55%"</f>
        <v>IPR- Avril 2020  Christian MUTOKAMBALI-55%</v>
      </c>
      <c r="M233" s="218" t="str">
        <f>"5100"</f>
        <v>5100</v>
      </c>
      <c r="N233" s="218" t="str">
        <f>"BASIC EMPLOYMENT COSTS"</f>
        <v>BASIC EMPLOYMENT COSTS</v>
      </c>
      <c r="O233" s="218" t="str">
        <f t="shared" si="86"/>
        <v>DRCBUK</v>
      </c>
      <c r="P233" s="218" t="str">
        <f t="shared" si="79"/>
        <v>AP21QR</v>
      </c>
      <c r="Q233" s="218" t="str">
        <f>"MBO"</f>
        <v>MBO</v>
      </c>
      <c r="R233" s="218" t="str">
        <f>""</f>
        <v/>
      </c>
      <c r="S233" s="218" t="str">
        <f t="shared" si="91"/>
        <v>056</v>
      </c>
      <c r="T233" s="218" t="str">
        <f t="shared" si="89"/>
        <v>D</v>
      </c>
      <c r="U233" s="218" t="str">
        <f t="shared" si="80"/>
        <v>AFR000</v>
      </c>
      <c r="V233" s="218" t="str">
        <f t="shared" si="81"/>
        <v>###</v>
      </c>
      <c r="W233" s="218">
        <v>165.31</v>
      </c>
      <c r="X233" s="218" t="str">
        <f t="shared" si="90"/>
        <v>USD</v>
      </c>
      <c r="Y233" s="218">
        <v>132.72999999999999</v>
      </c>
      <c r="Z233" s="218">
        <v>165.31</v>
      </c>
      <c r="AA233" s="218">
        <v>149.30000000000001</v>
      </c>
    </row>
    <row r="234" spans="1:27">
      <c r="A234" s="218" t="s">
        <v>2592</v>
      </c>
      <c r="F234" s="219" t="str">
        <f>"""IntAlert Live"",""ALERT UK"",""17"",""1"",""546128"""</f>
        <v>"IntAlert Live","ALERT UK","17","1","546128"</v>
      </c>
      <c r="G234" s="223">
        <v>43948</v>
      </c>
      <c r="H234" s="223"/>
      <c r="I234" s="218" t="str">
        <f>"DRCBUK/BANK/2020/04/014"</f>
        <v>DRCBUK/BANK/2020/04/014</v>
      </c>
      <c r="K234" s="218" t="str">
        <f>"CNSS BUKAVU"</f>
        <v>CNSS BUKAVU</v>
      </c>
      <c r="L234" s="218" t="str">
        <f>"CNSS- Avril 2020  Christian MUTOKAMBALI-55%"</f>
        <v>CNSS- Avril 2020  Christian MUTOKAMBALI-55%</v>
      </c>
      <c r="M234" s="218" t="str">
        <f>"5110"</f>
        <v>5110</v>
      </c>
      <c r="N234" s="218" t="str">
        <f>"EMPLOYER'S PENSION COSTS"</f>
        <v>EMPLOYER'S PENSION COSTS</v>
      </c>
      <c r="O234" s="218" t="str">
        <f t="shared" si="86"/>
        <v>DRCBUK</v>
      </c>
      <c r="P234" s="218" t="str">
        <f t="shared" si="79"/>
        <v>AP21QR</v>
      </c>
      <c r="Q234" s="218" t="str">
        <f>"MBO"</f>
        <v>MBO</v>
      </c>
      <c r="R234" s="218" t="str">
        <f>""</f>
        <v/>
      </c>
      <c r="S234" s="218" t="str">
        <f t="shared" si="91"/>
        <v>056</v>
      </c>
      <c r="T234" s="218" t="str">
        <f t="shared" si="89"/>
        <v>D</v>
      </c>
      <c r="U234" s="218" t="str">
        <f t="shared" si="80"/>
        <v>AFR000</v>
      </c>
      <c r="V234" s="218" t="str">
        <f t="shared" si="81"/>
        <v>###</v>
      </c>
      <c r="W234" s="218">
        <v>163.12</v>
      </c>
      <c r="X234" s="218" t="str">
        <f t="shared" si="90"/>
        <v>USD</v>
      </c>
      <c r="Y234" s="218">
        <v>130.97</v>
      </c>
      <c r="Z234" s="218">
        <v>163.12</v>
      </c>
      <c r="AA234" s="218">
        <v>147.32</v>
      </c>
    </row>
    <row r="235" spans="1:27">
      <c r="A235" s="218" t="s">
        <v>2592</v>
      </c>
      <c r="F235" s="219" t="str">
        <f>"""IntAlert Live"",""ALERT UK"",""17"",""1"",""546163"""</f>
        <v>"IntAlert Live","ALERT UK","17","1","546163"</v>
      </c>
      <c r="G235" s="223">
        <v>43948</v>
      </c>
      <c r="H235" s="223"/>
      <c r="I235" s="218" t="str">
        <f>"DRCBUK/BANK/2020/04/015"</f>
        <v>DRCBUK/BANK/2020/04/015</v>
      </c>
      <c r="K235" s="218" t="str">
        <f>"INPP SUD-KIVU"</f>
        <v>INPP SUD-KIVU</v>
      </c>
      <c r="L235" s="218" t="str">
        <f>"INPP- Avril 2020  Christian MUTOKAMBALI-55%"</f>
        <v>INPP- Avril 2020  Christian MUTOKAMBALI-55%</v>
      </c>
      <c r="M235" s="218" t="str">
        <f>"5160"</f>
        <v>5160</v>
      </c>
      <c r="N235" s="218" t="str">
        <f>"EMPLOYMENT BENEFITS COSTS"</f>
        <v>EMPLOYMENT BENEFITS COSTS</v>
      </c>
      <c r="O235" s="218" t="str">
        <f t="shared" si="86"/>
        <v>DRCBUK</v>
      </c>
      <c r="P235" s="218" t="str">
        <f t="shared" si="79"/>
        <v>AP21QR</v>
      </c>
      <c r="Q235" s="218" t="str">
        <f>"MBO"</f>
        <v>MBO</v>
      </c>
      <c r="R235" s="218" t="str">
        <f>""</f>
        <v/>
      </c>
      <c r="S235" s="218" t="str">
        <f t="shared" si="91"/>
        <v>056</v>
      </c>
      <c r="T235" s="218" t="str">
        <f t="shared" si="89"/>
        <v>D</v>
      </c>
      <c r="U235" s="218" t="str">
        <f t="shared" si="80"/>
        <v>AFR000</v>
      </c>
      <c r="V235" s="218" t="str">
        <f t="shared" si="81"/>
        <v>###</v>
      </c>
      <c r="W235" s="218">
        <v>27.19</v>
      </c>
      <c r="X235" s="218" t="str">
        <f t="shared" si="90"/>
        <v>USD</v>
      </c>
      <c r="Y235" s="218">
        <v>21.83</v>
      </c>
      <c r="Z235" s="218">
        <v>27.19</v>
      </c>
      <c r="AA235" s="218">
        <v>24.56</v>
      </c>
    </row>
    <row r="236" spans="1:27">
      <c r="A236" s="218" t="s">
        <v>2592</v>
      </c>
      <c r="F236" s="219" t="str">
        <f>"""IntAlert Live"",""ALERT UK"",""17"",""1"",""545634"""</f>
        <v>"IntAlert Live","ALERT UK","17","1","545634"</v>
      </c>
      <c r="G236" s="223">
        <v>43949</v>
      </c>
      <c r="H236" s="223"/>
      <c r="I236" s="218" t="str">
        <f>"DRCGOM/ BANQUE/2020/004/010"</f>
        <v>DRCGOM/ BANQUE/2020/004/010</v>
      </c>
      <c r="K236" s="218" t="str">
        <f>"SALAIRE-APR'20-JEROME MONDO KAMBERE"</f>
        <v>SALAIRE-APR'20-JEROME MONDO KAMBERE</v>
      </c>
      <c r="L236" s="218" t="str">
        <f>"Salaire-Apr'20-Jerome Mondo Kambere 15%"</f>
        <v>Salaire-Apr'20-Jerome Mondo Kambere 15%</v>
      </c>
      <c r="M236" s="218" t="str">
        <f>"5100"</f>
        <v>5100</v>
      </c>
      <c r="N236" s="218" t="str">
        <f>"BASIC EMPLOYMENT COSTS"</f>
        <v>BASIC EMPLOYMENT COSTS</v>
      </c>
      <c r="O236" s="218" t="str">
        <f>"DRCGOM"</f>
        <v>DRCGOM</v>
      </c>
      <c r="P236" s="218" t="str">
        <f t="shared" si="79"/>
        <v>AP21QR</v>
      </c>
      <c r="Q236" s="218" t="str">
        <f>"KAE"</f>
        <v>KAE</v>
      </c>
      <c r="R236" s="218" t="str">
        <f>""</f>
        <v/>
      </c>
      <c r="S236" s="218" t="str">
        <f t="shared" si="91"/>
        <v>056</v>
      </c>
      <c r="T236" s="218" t="str">
        <f t="shared" si="89"/>
        <v>D</v>
      </c>
      <c r="U236" s="218" t="str">
        <f t="shared" si="80"/>
        <v>AFR000</v>
      </c>
      <c r="V236" s="218" t="str">
        <f t="shared" si="81"/>
        <v>###</v>
      </c>
      <c r="W236" s="218">
        <v>324.99</v>
      </c>
      <c r="X236" s="218" t="str">
        <f t="shared" si="90"/>
        <v>USD</v>
      </c>
      <c r="Y236" s="218">
        <v>260.94</v>
      </c>
      <c r="Z236" s="218">
        <v>324.99</v>
      </c>
      <c r="AA236" s="218">
        <v>293.52</v>
      </c>
    </row>
    <row r="237" spans="1:27">
      <c r="A237" s="218" t="s">
        <v>2592</v>
      </c>
      <c r="F237" s="219" t="str">
        <f>"""IntAlert Live"",""ALERT UK"",""17"",""1"",""545968"""</f>
        <v>"IntAlert Live","ALERT UK","17","1","545968"</v>
      </c>
      <c r="G237" s="223">
        <v>43949</v>
      </c>
      <c r="H237" s="223"/>
      <c r="I237" s="218" t="str">
        <f>"DRCGOM/ CAISSE/2020/004/001"</f>
        <v>DRCGOM/ CAISSE/2020/004/001</v>
      </c>
      <c r="K237" s="218" t="str">
        <f>"ONEM APRIL 2020"</f>
        <v>ONEM APRIL 2020</v>
      </c>
      <c r="L237" s="218" t="str">
        <f>"ONEM-Apr'20-Jerome Mondo Kambere 15%"</f>
        <v>ONEM-Apr'20-Jerome Mondo Kambere 15%</v>
      </c>
      <c r="M237" s="218" t="str">
        <f>"5150"</f>
        <v>5150</v>
      </c>
      <c r="N237" s="218" t="str">
        <f>"EMPLOYMENT RELOCATION COSTS"</f>
        <v>EMPLOYMENT RELOCATION COSTS</v>
      </c>
      <c r="O237" s="218" t="str">
        <f>"DRCGOM"</f>
        <v>DRCGOM</v>
      </c>
      <c r="P237" s="218" t="str">
        <f t="shared" si="79"/>
        <v>AP21QR</v>
      </c>
      <c r="Q237" s="218" t="str">
        <f>"KAE"</f>
        <v>KAE</v>
      </c>
      <c r="R237" s="218" t="str">
        <f>""</f>
        <v/>
      </c>
      <c r="S237" s="218" t="str">
        <f t="shared" si="91"/>
        <v>056</v>
      </c>
      <c r="T237" s="218" t="str">
        <f t="shared" si="89"/>
        <v>D</v>
      </c>
      <c r="U237" s="218" t="str">
        <f t="shared" si="80"/>
        <v>AFR000</v>
      </c>
      <c r="V237" s="218" t="str">
        <f t="shared" si="81"/>
        <v>###</v>
      </c>
      <c r="W237" s="218">
        <v>0.5</v>
      </c>
      <c r="X237" s="218" t="str">
        <f t="shared" si="90"/>
        <v>USD</v>
      </c>
      <c r="Y237" s="218">
        <v>0.4</v>
      </c>
      <c r="Z237" s="218">
        <v>0.5</v>
      </c>
      <c r="AA237" s="218">
        <v>0.45</v>
      </c>
    </row>
    <row r="238" spans="1:27">
      <c r="A238" s="218" t="s">
        <v>2592</v>
      </c>
      <c r="F238" s="219" t="str">
        <f>"""IntAlert Live"",""ALERT UK"",""17"",""1"",""545695"""</f>
        <v>"IntAlert Live","ALERT UK","17","1","545695"</v>
      </c>
      <c r="G238" s="223">
        <v>43950</v>
      </c>
      <c r="H238" s="223"/>
      <c r="I238" s="218" t="str">
        <f>"DRCGOM/ BANQUE/2020/004/011"</f>
        <v>DRCGOM/ BANQUE/2020/004/011</v>
      </c>
      <c r="K238" s="218" t="str">
        <f>"CNSS-APRIL 2020"</f>
        <v>CNSS-APRIL 2020</v>
      </c>
      <c r="L238" s="218" t="str">
        <f>"CNSS-Apr'20-Jerome Mondo Kambere 15%"</f>
        <v>CNSS-Apr'20-Jerome Mondo Kambere 15%</v>
      </c>
      <c r="M238" s="218" t="str">
        <f>"5110"</f>
        <v>5110</v>
      </c>
      <c r="N238" s="218" t="str">
        <f>"EMPLOYER'S PENSION COSTS"</f>
        <v>EMPLOYER'S PENSION COSTS</v>
      </c>
      <c r="O238" s="218" t="str">
        <f>"DRCGOM"</f>
        <v>DRCGOM</v>
      </c>
      <c r="P238" s="218" t="str">
        <f t="shared" si="79"/>
        <v>AP21QR</v>
      </c>
      <c r="Q238" s="218" t="str">
        <f>"KAE"</f>
        <v>KAE</v>
      </c>
      <c r="R238" s="218" t="str">
        <f>""</f>
        <v/>
      </c>
      <c r="S238" s="218" t="str">
        <f t="shared" si="91"/>
        <v>056</v>
      </c>
      <c r="T238" s="218" t="str">
        <f t="shared" si="89"/>
        <v>D</v>
      </c>
      <c r="U238" s="218" t="str">
        <f t="shared" si="80"/>
        <v>AFR000</v>
      </c>
      <c r="V238" s="218" t="str">
        <f t="shared" si="81"/>
        <v>###</v>
      </c>
      <c r="W238" s="218">
        <v>44.71</v>
      </c>
      <c r="X238" s="218" t="str">
        <f t="shared" si="90"/>
        <v>USD</v>
      </c>
      <c r="Y238" s="218">
        <v>35.9</v>
      </c>
      <c r="Z238" s="218">
        <v>44.71</v>
      </c>
      <c r="AA238" s="218">
        <v>40.380000000000003</v>
      </c>
    </row>
    <row r="239" spans="1:27">
      <c r="A239" s="218" t="s">
        <v>2592</v>
      </c>
      <c r="F239" s="219" t="str">
        <f>"""IntAlert Live"",""ALERT UK"",""17"",""1"",""545755"""</f>
        <v>"IntAlert Live","ALERT UK","17","1","545755"</v>
      </c>
      <c r="G239" s="223">
        <v>43950</v>
      </c>
      <c r="H239" s="223"/>
      <c r="I239" s="218" t="str">
        <f>"DRCGOM/ BANQUE/2020/004/012"</f>
        <v>DRCGOM/ BANQUE/2020/004/012</v>
      </c>
      <c r="K239" s="218" t="str">
        <f>"INPP APRIL 2020"</f>
        <v>INPP APRIL 2020</v>
      </c>
      <c r="L239" s="218" t="str">
        <f>"INPP-Apr'20-Jerome Mondo Kambere 15%"</f>
        <v>INPP-Apr'20-Jerome Mondo Kambere 15%</v>
      </c>
      <c r="M239" s="218" t="str">
        <f>"5150"</f>
        <v>5150</v>
      </c>
      <c r="N239" s="218" t="str">
        <f>"EMPLOYMENT RELOCATION COSTS"</f>
        <v>EMPLOYMENT RELOCATION COSTS</v>
      </c>
      <c r="O239" s="218" t="str">
        <f>"DRCGOM"</f>
        <v>DRCGOM</v>
      </c>
      <c r="P239" s="218" t="str">
        <f t="shared" si="79"/>
        <v>AP21QR</v>
      </c>
      <c r="Q239" s="218" t="str">
        <f>"KAE"</f>
        <v>KAE</v>
      </c>
      <c r="R239" s="218" t="str">
        <f>""</f>
        <v/>
      </c>
      <c r="S239" s="218" t="str">
        <f t="shared" si="91"/>
        <v>056</v>
      </c>
      <c r="T239" s="218" t="str">
        <f t="shared" si="89"/>
        <v>D</v>
      </c>
      <c r="U239" s="218" t="str">
        <f t="shared" si="80"/>
        <v>AFR000</v>
      </c>
      <c r="V239" s="218" t="str">
        <f t="shared" si="81"/>
        <v>###</v>
      </c>
      <c r="W239" s="218">
        <v>7.45</v>
      </c>
      <c r="X239" s="218" t="str">
        <f t="shared" si="90"/>
        <v>USD</v>
      </c>
      <c r="Y239" s="218">
        <v>5.98</v>
      </c>
      <c r="Z239" s="218">
        <v>7.45</v>
      </c>
      <c r="AA239" s="218">
        <v>6.73</v>
      </c>
    </row>
    <row r="240" spans="1:27">
      <c r="A240" s="218" t="s">
        <v>2592</v>
      </c>
      <c r="F240" s="219" t="str">
        <f>"""IntAlert Live"",""ALERT UK"",""17"",""1"",""546212"""</f>
        <v>"IntAlert Live","ALERT UK","17","1","546212"</v>
      </c>
      <c r="G240" s="223">
        <v>43951</v>
      </c>
      <c r="H240" s="223"/>
      <c r="I240" s="218" t="str">
        <f>"DRCBUK/BANK/2020/04/020"</f>
        <v>DRCBUK/BANK/2020/04/020</v>
      </c>
      <c r="K240" s="218" t="str">
        <f>"THEOPHIL BAHIRWE"</f>
        <v>THEOPHIL BAHIRWE</v>
      </c>
      <c r="L240" s="218" t="str">
        <f>"Pmt 30% Consultant AdminFin Avril 020 45%"</f>
        <v>Pmt 30% Consultant AdminFin Avril 020 45%</v>
      </c>
      <c r="M240" s="218" t="str">
        <f>"6190"</f>
        <v>6190</v>
      </c>
      <c r="N240" s="218" t="str">
        <f>"CONSULTANT  FEES"</f>
        <v>CONSULTANT  FEES</v>
      </c>
      <c r="O240" s="218" t="str">
        <f>"DRCBUK"</f>
        <v>DRCBUK</v>
      </c>
      <c r="P240" s="218" t="str">
        <f t="shared" si="79"/>
        <v>AP21QR</v>
      </c>
      <c r="Q240" s="218" t="str">
        <f>""</f>
        <v/>
      </c>
      <c r="R240" s="218" t="str">
        <f>""</f>
        <v/>
      </c>
      <c r="S240" s="218" t="str">
        <f t="shared" si="91"/>
        <v>056</v>
      </c>
      <c r="T240" s="218" t="str">
        <f t="shared" si="89"/>
        <v>D</v>
      </c>
      <c r="U240" s="218" t="str">
        <f t="shared" si="80"/>
        <v>AFR000</v>
      </c>
      <c r="V240" s="218" t="str">
        <f t="shared" si="81"/>
        <v>###</v>
      </c>
      <c r="W240" s="218">
        <v>270.89999999999998</v>
      </c>
      <c r="X240" s="218" t="str">
        <f t="shared" si="90"/>
        <v>USD</v>
      </c>
      <c r="Y240" s="218">
        <v>217.51</v>
      </c>
      <c r="Z240" s="218">
        <v>270.89999999999998</v>
      </c>
      <c r="AA240" s="218">
        <v>244.67</v>
      </c>
    </row>
    <row r="241" spans="1:27">
      <c r="A241" s="218" t="s">
        <v>2592</v>
      </c>
      <c r="F241" s="219" t="str">
        <f>"""IntAlert Live"",""ALERT UK"",""17"",""1"",""546307"""</f>
        <v>"IntAlert Live","ALERT UK","17","1","546307"</v>
      </c>
      <c r="G241" s="223">
        <v>43951</v>
      </c>
      <c r="H241" s="223"/>
      <c r="I241" s="218" t="str">
        <f>"DRCBUK/CAISSE/2020/04/002"</f>
        <v>DRCBUK/CAISSE/2020/04/002</v>
      </c>
      <c r="K241" s="218" t="str">
        <f>"ONEM"</f>
        <v>ONEM</v>
      </c>
      <c r="L241" s="218" t="str">
        <f>"ONEM- Avril 2020  Christian MUTOKAMBALI-55%"</f>
        <v>ONEM- Avril 2020  Christian MUTOKAMBALI-55%</v>
      </c>
      <c r="M241" s="218" t="str">
        <f>"5160"</f>
        <v>5160</v>
      </c>
      <c r="N241" s="218" t="str">
        <f>"EMPLOYMENT BENEFITS COSTS"</f>
        <v>EMPLOYMENT BENEFITS COSTS</v>
      </c>
      <c r="O241" s="218" t="str">
        <f>"DRCBUK"</f>
        <v>DRCBUK</v>
      </c>
      <c r="P241" s="218" t="str">
        <f t="shared" si="79"/>
        <v>AP21QR</v>
      </c>
      <c r="Q241" s="218" t="str">
        <f>"MBO"</f>
        <v>MBO</v>
      </c>
      <c r="R241" s="218" t="str">
        <f>""</f>
        <v/>
      </c>
      <c r="S241" s="218" t="str">
        <f t="shared" si="91"/>
        <v>056</v>
      </c>
      <c r="T241" s="218" t="str">
        <f t="shared" si="89"/>
        <v>D</v>
      </c>
      <c r="U241" s="218" t="str">
        <f t="shared" si="80"/>
        <v>AFR000</v>
      </c>
      <c r="V241" s="218" t="str">
        <f t="shared" si="81"/>
        <v>###</v>
      </c>
      <c r="W241" s="218">
        <v>1.81</v>
      </c>
      <c r="X241" s="218" t="str">
        <f t="shared" si="90"/>
        <v>USD</v>
      </c>
      <c r="Y241" s="218">
        <v>1.45</v>
      </c>
      <c r="Z241" s="218">
        <v>1.81</v>
      </c>
      <c r="AA241" s="218">
        <v>1.63</v>
      </c>
    </row>
    <row r="242" spans="1:27">
      <c r="A242" s="218" t="s">
        <v>2592</v>
      </c>
      <c r="F242" s="219" t="str">
        <f>"""IntAlert Live"",""ALERT UK"",""17"",""1"",""548740"""</f>
        <v>"IntAlert Live","ALERT UK","17","1","548740"</v>
      </c>
      <c r="G242" s="223">
        <v>43951</v>
      </c>
      <c r="H242" s="223"/>
      <c r="I242" s="218" t="str">
        <f>""</f>
        <v/>
      </c>
      <c r="K242" s="218" t="str">
        <f>"PR APR JNL"</f>
        <v>PR APR JNL</v>
      </c>
      <c r="L242" s="218" t="str">
        <f>"S Jeanbosco  10%"</f>
        <v>S Jeanbosco  10%</v>
      </c>
      <c r="M242" s="218" t="str">
        <f>"5100"</f>
        <v>5100</v>
      </c>
      <c r="N242" s="218" t="str">
        <f>"BASIC EMPLOYMENT COSTS"</f>
        <v>BASIC EMPLOYMENT COSTS</v>
      </c>
      <c r="O242" s="218" t="str">
        <f>"UNILON"</f>
        <v>UNILON</v>
      </c>
      <c r="P242" s="218" t="str">
        <f t="shared" si="79"/>
        <v>AP21QR</v>
      </c>
      <c r="Q242" s="218" t="str">
        <f>"SIB"</f>
        <v>SIB</v>
      </c>
      <c r="R242" s="218" t="str">
        <f>""</f>
        <v/>
      </c>
      <c r="S242" s="218" t="str">
        <f t="shared" si="91"/>
        <v>056</v>
      </c>
      <c r="T242" s="218" t="str">
        <f t="shared" si="89"/>
        <v>D</v>
      </c>
      <c r="U242" s="218" t="str">
        <f t="shared" si="80"/>
        <v>AFR000</v>
      </c>
      <c r="V242" s="218" t="str">
        <f t="shared" si="81"/>
        <v>###</v>
      </c>
      <c r="W242" s="218">
        <v>0</v>
      </c>
      <c r="X242" s="218" t="str">
        <f>""</f>
        <v/>
      </c>
      <c r="Y242" s="218">
        <v>373.68</v>
      </c>
      <c r="Z242" s="218">
        <v>465.41</v>
      </c>
      <c r="AA242" s="218">
        <v>420.34</v>
      </c>
    </row>
    <row r="243" spans="1:27">
      <c r="A243" s="218" t="s">
        <v>2592</v>
      </c>
      <c r="F243" s="219" t="str">
        <f>"""IntAlert Live"",""ALERT UK"",""17"",""1"",""549013"""</f>
        <v>"IntAlert Live","ALERT UK","17","1","549013"</v>
      </c>
      <c r="G243" s="223">
        <v>43951</v>
      </c>
      <c r="H243" s="223"/>
      <c r="I243" s="218" t="str">
        <f>""</f>
        <v/>
      </c>
      <c r="K243" s="218" t="str">
        <f>"PR APR JNL"</f>
        <v>PR APR JNL</v>
      </c>
      <c r="L243" s="218" t="str">
        <f>"S Jeanbosco  10%"</f>
        <v>S Jeanbosco  10%</v>
      </c>
      <c r="M243" s="218" t="str">
        <f>"5110"</f>
        <v>5110</v>
      </c>
      <c r="N243" s="218" t="str">
        <f>"EMPLOYER'S PENSION COSTS"</f>
        <v>EMPLOYER'S PENSION COSTS</v>
      </c>
      <c r="O243" s="218" t="str">
        <f>"UNILON"</f>
        <v>UNILON</v>
      </c>
      <c r="P243" s="218" t="str">
        <f t="shared" si="79"/>
        <v>AP21QR</v>
      </c>
      <c r="Q243" s="218" t="str">
        <f>"SIB"</f>
        <v>SIB</v>
      </c>
      <c r="R243" s="218" t="str">
        <f>""</f>
        <v/>
      </c>
      <c r="S243" s="218" t="str">
        <f t="shared" si="91"/>
        <v>056</v>
      </c>
      <c r="T243" s="218" t="str">
        <f t="shared" si="89"/>
        <v>D</v>
      </c>
      <c r="U243" s="218" t="str">
        <f t="shared" si="80"/>
        <v>AFR000</v>
      </c>
      <c r="V243" s="218" t="str">
        <f t="shared" si="81"/>
        <v>###</v>
      </c>
      <c r="W243" s="218">
        <v>0</v>
      </c>
      <c r="X243" s="218" t="str">
        <f>""</f>
        <v/>
      </c>
      <c r="Y243" s="218">
        <v>37.369999999999997</v>
      </c>
      <c r="Z243" s="218">
        <v>46.54</v>
      </c>
      <c r="AA243" s="218">
        <v>42.04</v>
      </c>
    </row>
    <row r="244" spans="1:27">
      <c r="A244" s="218" t="s">
        <v>2592</v>
      </c>
      <c r="F244" s="219" t="str">
        <f>"""IntAlert Live"",""ALERT UK"",""17"",""1"",""549163"""</f>
        <v>"IntAlert Live","ALERT UK","17","1","549163"</v>
      </c>
      <c r="G244" s="223">
        <v>43951</v>
      </c>
      <c r="H244" s="223"/>
      <c r="I244" s="218" t="str">
        <f>""</f>
        <v/>
      </c>
      <c r="K244" s="218" t="str">
        <f>"HR SCF CHG APR20"</f>
        <v>HR SCF CHG APR20</v>
      </c>
      <c r="L244" s="218" t="str">
        <f>"S Jeanbosco  10%"</f>
        <v>S Jeanbosco  10%</v>
      </c>
      <c r="M244" s="218" t="str">
        <f>"5100"</f>
        <v>5100</v>
      </c>
      <c r="N244" s="218" t="str">
        <f>"BASIC EMPLOYMENT COSTS"</f>
        <v>BASIC EMPLOYMENT COSTS</v>
      </c>
      <c r="O244" s="218" t="str">
        <f>"UNILON"</f>
        <v>UNILON</v>
      </c>
      <c r="P244" s="218" t="str">
        <f t="shared" si="79"/>
        <v>AP21QR</v>
      </c>
      <c r="Q244" s="218" t="str">
        <f>"SIB"</f>
        <v>SIB</v>
      </c>
      <c r="R244" s="218" t="str">
        <f>""</f>
        <v/>
      </c>
      <c r="S244" s="218" t="str">
        <f t="shared" si="91"/>
        <v>056</v>
      </c>
      <c r="T244" s="218" t="str">
        <f>"C"</f>
        <v>C</v>
      </c>
      <c r="U244" s="218" t="str">
        <f t="shared" si="80"/>
        <v>AFR000</v>
      </c>
      <c r="V244" s="218" t="str">
        <f t="shared" si="81"/>
        <v>###</v>
      </c>
      <c r="W244" s="218">
        <v>0</v>
      </c>
      <c r="X244" s="218" t="str">
        <f>""</f>
        <v/>
      </c>
      <c r="Y244" s="218">
        <v>11.21</v>
      </c>
      <c r="Z244" s="218">
        <v>13.96</v>
      </c>
      <c r="AA244" s="218">
        <v>12.61</v>
      </c>
    </row>
    <row r="245" spans="1:27">
      <c r="A245" s="218" t="s">
        <v>2592</v>
      </c>
      <c r="F245" s="219" t="str">
        <f>"""IntAlert Live"",""ALERT UK"",""17"",""1"",""549300"""</f>
        <v>"IntAlert Live","ALERT UK","17","1","549300"</v>
      </c>
      <c r="G245" s="223">
        <v>43951</v>
      </c>
      <c r="H245" s="223"/>
      <c r="I245" s="218" t="str">
        <f>""</f>
        <v/>
      </c>
      <c r="K245" s="218" t="str">
        <f>"HR CHG APR20"</f>
        <v>HR CHG APR20</v>
      </c>
      <c r="L245" s="218" t="str">
        <f>"S Jeanbosco  10%"</f>
        <v>S Jeanbosco  10%</v>
      </c>
      <c r="M245" s="218" t="str">
        <f>"5100"</f>
        <v>5100</v>
      </c>
      <c r="N245" s="218" t="str">
        <f>"BASIC EMPLOYMENT COSTS"</f>
        <v>BASIC EMPLOYMENT COSTS</v>
      </c>
      <c r="O245" s="218" t="str">
        <f>"UNILON"</f>
        <v>UNILON</v>
      </c>
      <c r="P245" s="218" t="str">
        <f t="shared" si="79"/>
        <v>AP21QR</v>
      </c>
      <c r="Q245" s="218" t="str">
        <f>"SIB"</f>
        <v>SIB</v>
      </c>
      <c r="R245" s="218" t="str">
        <f>""</f>
        <v/>
      </c>
      <c r="S245" s="218" t="str">
        <f t="shared" si="91"/>
        <v>056</v>
      </c>
      <c r="T245" s="218" t="str">
        <f>"S"</f>
        <v>S</v>
      </c>
      <c r="U245" s="218" t="str">
        <f t="shared" si="80"/>
        <v>AFR000</v>
      </c>
      <c r="V245" s="218" t="str">
        <f t="shared" si="81"/>
        <v>###</v>
      </c>
      <c r="W245" s="218">
        <v>0</v>
      </c>
      <c r="X245" s="218" t="str">
        <f>""</f>
        <v/>
      </c>
      <c r="Y245" s="218">
        <v>18.68</v>
      </c>
      <c r="Z245" s="218">
        <v>23.27</v>
      </c>
      <c r="AA245" s="218">
        <v>21.01</v>
      </c>
    </row>
    <row r="246" spans="1:27">
      <c r="A246" s="218" t="s">
        <v>2592</v>
      </c>
      <c r="F246" s="219" t="str">
        <f>"""IntAlert Live"",""ALERT UK"",""17"",""1"",""555078"""</f>
        <v>"IntAlert Live","ALERT UK","17","1","555078"</v>
      </c>
      <c r="G246" s="223">
        <v>43955</v>
      </c>
      <c r="H246" s="223"/>
      <c r="I246" s="218" t="str">
        <f>"DRCBUK/BANK/2020/05/002"</f>
        <v>DRCBUK/BANK/2020/05/002</v>
      </c>
      <c r="K246" s="218" t="str">
        <f>"CHRISTIAN CISHIBANJI"</f>
        <v>CHRISTIAN CISHIBANJI</v>
      </c>
      <c r="L246" s="218" t="str">
        <f>"Solde de Tout compte SF&amp;GCO Christian 45%"</f>
        <v>Solde de Tout compte SF&amp;GCO Christian 45%</v>
      </c>
      <c r="M246" s="218" t="str">
        <f>"5100"</f>
        <v>5100</v>
      </c>
      <c r="N246" s="218" t="str">
        <f>"BASIC EMPLOYMENT COSTS"</f>
        <v>BASIC EMPLOYMENT COSTS</v>
      </c>
      <c r="O246" s="218" t="str">
        <f t="shared" ref="O246:O252" si="92">"DRCBUK"</f>
        <v>DRCBUK</v>
      </c>
      <c r="P246" s="218" t="str">
        <f t="shared" si="79"/>
        <v>AP21QR</v>
      </c>
      <c r="Q246" s="218" t="str">
        <f>"CCI"</f>
        <v>CCI</v>
      </c>
      <c r="R246" s="218" t="str">
        <f>""</f>
        <v/>
      </c>
      <c r="S246" s="218" t="str">
        <f t="shared" si="91"/>
        <v>056</v>
      </c>
      <c r="T246" s="218" t="str">
        <f t="shared" ref="T246:T262" si="93">"D"</f>
        <v>D</v>
      </c>
      <c r="U246" s="218" t="str">
        <f t="shared" si="80"/>
        <v>AFR000</v>
      </c>
      <c r="V246" s="218" t="str">
        <f t="shared" si="81"/>
        <v>###</v>
      </c>
      <c r="W246" s="218">
        <v>1476.45</v>
      </c>
      <c r="X246" s="218" t="str">
        <f t="shared" ref="X246:X260" si="94">"USD"</f>
        <v>USD</v>
      </c>
      <c r="Y246" s="218">
        <v>1171.4000000000001</v>
      </c>
      <c r="Z246" s="218">
        <v>1476.45</v>
      </c>
      <c r="AA246" s="218">
        <v>1340.61</v>
      </c>
    </row>
    <row r="247" spans="1:27">
      <c r="A247" s="218" t="s">
        <v>2592</v>
      </c>
      <c r="F247" s="219" t="str">
        <f>"""IntAlert Live"",""ALERT UK"",""17"",""1"",""555088"""</f>
        <v>"IntAlert Live","ALERT UK","17","1","555088"</v>
      </c>
      <c r="G247" s="223">
        <v>43958</v>
      </c>
      <c r="H247" s="223"/>
      <c r="I247" s="218" t="str">
        <f>"DRCBUK/BANK/2020/05/004"</f>
        <v>DRCBUK/BANK/2020/05/004</v>
      </c>
      <c r="K247" s="218" t="str">
        <f>"DGI/DPI SUD-KIVU"</f>
        <v>DGI/DPI SUD-KIVU</v>
      </c>
      <c r="L247" s="218" t="str">
        <f>"IPR Occ Consultant AdminFin Avril 020 45%"</f>
        <v>IPR Occ Consultant AdminFin Avril 020 45%</v>
      </c>
      <c r="M247" s="218" t="str">
        <f>"6190"</f>
        <v>6190</v>
      </c>
      <c r="N247" s="218" t="str">
        <f>"CONSULTANT  FEES"</f>
        <v>CONSULTANT  FEES</v>
      </c>
      <c r="O247" s="218" t="str">
        <f t="shared" si="92"/>
        <v>DRCBUK</v>
      </c>
      <c r="P247" s="218" t="str">
        <f t="shared" si="79"/>
        <v>AP21QR</v>
      </c>
      <c r="Q247" s="218" t="str">
        <f>""</f>
        <v/>
      </c>
      <c r="R247" s="218" t="str">
        <f>""</f>
        <v/>
      </c>
      <c r="S247" s="218" t="str">
        <f t="shared" si="91"/>
        <v>056</v>
      </c>
      <c r="T247" s="218" t="str">
        <f t="shared" si="93"/>
        <v>D</v>
      </c>
      <c r="U247" s="218" t="str">
        <f t="shared" si="80"/>
        <v>AFR000</v>
      </c>
      <c r="V247" s="218" t="str">
        <f t="shared" si="81"/>
        <v>###</v>
      </c>
      <c r="W247" s="218">
        <v>47.79</v>
      </c>
      <c r="X247" s="218" t="str">
        <f t="shared" si="94"/>
        <v>USD</v>
      </c>
      <c r="Y247" s="218">
        <v>37.92</v>
      </c>
      <c r="Z247" s="218">
        <v>47.79</v>
      </c>
      <c r="AA247" s="218">
        <v>43.4</v>
      </c>
    </row>
    <row r="248" spans="1:27">
      <c r="A248" s="218" t="s">
        <v>2592</v>
      </c>
      <c r="F248" s="219" t="str">
        <f>"""IntAlert Live"",""ALERT UK"",""17"",""1"",""555100"""</f>
        <v>"IntAlert Live","ALERT UK","17","1","555100"</v>
      </c>
      <c r="G248" s="223">
        <v>43958</v>
      </c>
      <c r="H248" s="223"/>
      <c r="I248" s="218" t="str">
        <f>"DRCBUK/BANK/2020/05/005"</f>
        <v>DRCBUK/BANK/2020/05/005</v>
      </c>
      <c r="K248" s="218" t="str">
        <f>"CNSS SUD KIVU"</f>
        <v>CNSS SUD KIVU</v>
      </c>
      <c r="L248" s="218" t="str">
        <f>"CNSS Occ Consultant AdminFin Avril 020 45%"</f>
        <v>CNSS Occ Consultant AdminFin Avril 020 45%</v>
      </c>
      <c r="M248" s="218" t="str">
        <f>"6190"</f>
        <v>6190</v>
      </c>
      <c r="N248" s="218" t="str">
        <f>"CONSULTANT  FEES"</f>
        <v>CONSULTANT  FEES</v>
      </c>
      <c r="O248" s="218" t="str">
        <f t="shared" si="92"/>
        <v>DRCBUK</v>
      </c>
      <c r="P248" s="218" t="str">
        <f t="shared" si="79"/>
        <v>AP21QR</v>
      </c>
      <c r="Q248" s="218" t="str">
        <f>""</f>
        <v/>
      </c>
      <c r="R248" s="218" t="str">
        <f>""</f>
        <v/>
      </c>
      <c r="S248" s="218" t="str">
        <f t="shared" si="91"/>
        <v>056</v>
      </c>
      <c r="T248" s="218" t="str">
        <f t="shared" si="93"/>
        <v>D</v>
      </c>
      <c r="U248" s="218" t="str">
        <f t="shared" si="80"/>
        <v>AFR000</v>
      </c>
      <c r="V248" s="218" t="str">
        <f t="shared" si="81"/>
        <v>###</v>
      </c>
      <c r="W248" s="218">
        <v>60.36</v>
      </c>
      <c r="X248" s="218" t="str">
        <f t="shared" si="94"/>
        <v>USD</v>
      </c>
      <c r="Y248" s="218">
        <v>47.89</v>
      </c>
      <c r="Z248" s="218">
        <v>60.36</v>
      </c>
      <c r="AA248" s="218">
        <v>54.81</v>
      </c>
    </row>
    <row r="249" spans="1:27">
      <c r="A249" s="218" t="s">
        <v>2592</v>
      </c>
      <c r="F249" s="219" t="str">
        <f>"""IntAlert Live"",""ALERT UK"",""17"",""1"",""555178"""</f>
        <v>"IntAlert Live","ALERT UK","17","1","555178"</v>
      </c>
      <c r="G249" s="223">
        <v>43976</v>
      </c>
      <c r="H249" s="223"/>
      <c r="I249" s="218" t="str">
        <f>"DRCBUK/BANK/2020/05/015"</f>
        <v>DRCBUK/BANK/2020/05/015</v>
      </c>
      <c r="K249" s="218" t="str">
        <f>"MUTOKAMBALI CHRISTIAN"</f>
        <v>MUTOKAMBALI CHRISTIAN</v>
      </c>
      <c r="L249" s="218" t="str">
        <f>"Salaire-Mai 020 Christian MUTOKAMBALI MBONEKUBE 45%"</f>
        <v>Salaire-Mai 020 Christian MUTOKAMBALI MBONEKUBE 45%</v>
      </c>
      <c r="M249" s="218" t="str">
        <f>"5100"</f>
        <v>5100</v>
      </c>
      <c r="N249" s="218" t="str">
        <f>"BASIC EMPLOYMENT COSTS"</f>
        <v>BASIC EMPLOYMENT COSTS</v>
      </c>
      <c r="O249" s="218" t="str">
        <f t="shared" si="92"/>
        <v>DRCBUK</v>
      </c>
      <c r="P249" s="218" t="str">
        <f t="shared" si="79"/>
        <v>AP21QR</v>
      </c>
      <c r="Q249" s="218" t="str">
        <f>"MBO"</f>
        <v>MBO</v>
      </c>
      <c r="R249" s="218" t="str">
        <f>""</f>
        <v/>
      </c>
      <c r="S249" s="218" t="str">
        <f t="shared" si="91"/>
        <v>056</v>
      </c>
      <c r="T249" s="218" t="str">
        <f t="shared" si="93"/>
        <v>D</v>
      </c>
      <c r="U249" s="218" t="str">
        <f t="shared" si="80"/>
        <v>AFR000</v>
      </c>
      <c r="V249" s="218" t="str">
        <f t="shared" si="81"/>
        <v>###</v>
      </c>
      <c r="W249" s="218">
        <v>820.34</v>
      </c>
      <c r="X249" s="218" t="str">
        <f t="shared" si="94"/>
        <v>USD</v>
      </c>
      <c r="Y249" s="218">
        <v>650.85</v>
      </c>
      <c r="Z249" s="218">
        <v>820.34</v>
      </c>
      <c r="AA249" s="218">
        <v>744.87</v>
      </c>
    </row>
    <row r="250" spans="1:27">
      <c r="A250" s="218" t="s">
        <v>2592</v>
      </c>
      <c r="F250" s="219" t="str">
        <f>"""IntAlert Live"",""ALERT UK"",""17"",""1"",""555216"""</f>
        <v>"IntAlert Live","ALERT UK","17","1","555216"</v>
      </c>
      <c r="G250" s="223">
        <v>43976</v>
      </c>
      <c r="H250" s="223"/>
      <c r="I250" s="218" t="str">
        <f>"DRCBUK/BANK/2020/05/016"</f>
        <v>DRCBUK/BANK/2020/05/016</v>
      </c>
      <c r="K250" s="218" t="str">
        <f>"DGI/DPI SUD-KIVU"</f>
        <v>DGI/DPI SUD-KIVU</v>
      </c>
      <c r="L250" s="218" t="str">
        <f>"IPR-Mai 020 Christian MUTOKAMBALI MBONEKUBE 45%"</f>
        <v>IPR-Mai 020 Christian MUTOKAMBALI MBONEKUBE 45%</v>
      </c>
      <c r="M250" s="218" t="str">
        <f>"5100"</f>
        <v>5100</v>
      </c>
      <c r="N250" s="218" t="str">
        <f>"BASIC EMPLOYMENT COSTS"</f>
        <v>BASIC EMPLOYMENT COSTS</v>
      </c>
      <c r="O250" s="218" t="str">
        <f t="shared" si="92"/>
        <v>DRCBUK</v>
      </c>
      <c r="P250" s="218" t="str">
        <f t="shared" si="79"/>
        <v>AP21QR</v>
      </c>
      <c r="Q250" s="218" t="str">
        <f>"MBO"</f>
        <v>MBO</v>
      </c>
      <c r="R250" s="218" t="str">
        <f>""</f>
        <v/>
      </c>
      <c r="S250" s="218" t="str">
        <f t="shared" si="91"/>
        <v>056</v>
      </c>
      <c r="T250" s="218" t="str">
        <f t="shared" si="93"/>
        <v>D</v>
      </c>
      <c r="U250" s="218" t="str">
        <f t="shared" si="80"/>
        <v>AFR000</v>
      </c>
      <c r="V250" s="218" t="str">
        <f t="shared" si="81"/>
        <v>###</v>
      </c>
      <c r="W250" s="218">
        <v>142.38999999999999</v>
      </c>
      <c r="X250" s="218" t="str">
        <f t="shared" si="94"/>
        <v>USD</v>
      </c>
      <c r="Y250" s="218">
        <v>112.97</v>
      </c>
      <c r="Z250" s="218">
        <v>142.38999999999999</v>
      </c>
      <c r="AA250" s="218">
        <v>129.29</v>
      </c>
    </row>
    <row r="251" spans="1:27">
      <c r="A251" s="218" t="s">
        <v>2592</v>
      </c>
      <c r="F251" s="219" t="str">
        <f>"""IntAlert Live"",""ALERT UK"",""17"",""1"",""555256"""</f>
        <v>"IntAlert Live","ALERT UK","17","1","555256"</v>
      </c>
      <c r="G251" s="223">
        <v>43976</v>
      </c>
      <c r="H251" s="223"/>
      <c r="I251" s="218" t="str">
        <f>"DRCBUK/BANK/2020/05/017"</f>
        <v>DRCBUK/BANK/2020/05/017</v>
      </c>
      <c r="K251" s="218" t="str">
        <f>"CNSS SUD KIVU"</f>
        <v>CNSS SUD KIVU</v>
      </c>
      <c r="L251" s="218" t="str">
        <f>"CNSS-Mai 020 Christian MUTOKAMBALI MBONEKUBE 45%"</f>
        <v>CNSS-Mai 020 Christian MUTOKAMBALI MBONEKUBE 45%</v>
      </c>
      <c r="M251" s="218" t="str">
        <f>"5160"</f>
        <v>5160</v>
      </c>
      <c r="N251" s="218" t="str">
        <f>"EMPLOYMENT BENEFITS COSTS"</f>
        <v>EMPLOYMENT BENEFITS COSTS</v>
      </c>
      <c r="O251" s="218" t="str">
        <f t="shared" si="92"/>
        <v>DRCBUK</v>
      </c>
      <c r="P251" s="218" t="str">
        <f t="shared" si="79"/>
        <v>AP21QR</v>
      </c>
      <c r="Q251" s="218" t="str">
        <f>"MBO"</f>
        <v>MBO</v>
      </c>
      <c r="R251" s="218" t="str">
        <f>""</f>
        <v/>
      </c>
      <c r="S251" s="218" t="str">
        <f t="shared" si="91"/>
        <v>056</v>
      </c>
      <c r="T251" s="218" t="str">
        <f t="shared" si="93"/>
        <v>D</v>
      </c>
      <c r="U251" s="218" t="str">
        <f t="shared" si="80"/>
        <v>AFR000</v>
      </c>
      <c r="V251" s="218" t="str">
        <f t="shared" si="81"/>
        <v>###</v>
      </c>
      <c r="W251" s="218">
        <v>133.46</v>
      </c>
      <c r="X251" s="218" t="str">
        <f t="shared" si="94"/>
        <v>USD</v>
      </c>
      <c r="Y251" s="218">
        <v>105.89</v>
      </c>
      <c r="Z251" s="218">
        <v>133.46</v>
      </c>
      <c r="AA251" s="218">
        <v>121.19</v>
      </c>
    </row>
    <row r="252" spans="1:27">
      <c r="A252" s="218" t="s">
        <v>2592</v>
      </c>
      <c r="F252" s="219" t="str">
        <f>"""IntAlert Live"",""ALERT UK"",""17"",""1"",""555295"""</f>
        <v>"IntAlert Live","ALERT UK","17","1","555295"</v>
      </c>
      <c r="G252" s="223">
        <v>43976</v>
      </c>
      <c r="H252" s="223"/>
      <c r="I252" s="218" t="str">
        <f>"DRCBUK/BANK/2020/05/018"</f>
        <v>DRCBUK/BANK/2020/05/018</v>
      </c>
      <c r="K252" s="218" t="str">
        <f>"INPP SUD KIVU"</f>
        <v>INPP SUD KIVU</v>
      </c>
      <c r="L252" s="218" t="str">
        <f>"INPP-Mai 020 Christian MUTOKAMBALI MBONEKUBE 45%"</f>
        <v>INPP-Mai 020 Christian MUTOKAMBALI MBONEKUBE 45%</v>
      </c>
      <c r="M252" s="218" t="str">
        <f>"5160"</f>
        <v>5160</v>
      </c>
      <c r="N252" s="218" t="str">
        <f>"EMPLOYMENT BENEFITS COSTS"</f>
        <v>EMPLOYMENT BENEFITS COSTS</v>
      </c>
      <c r="O252" s="218" t="str">
        <f t="shared" si="92"/>
        <v>DRCBUK</v>
      </c>
      <c r="P252" s="218" t="str">
        <f t="shared" si="79"/>
        <v>AP21QR</v>
      </c>
      <c r="Q252" s="218" t="str">
        <f>"MBO"</f>
        <v>MBO</v>
      </c>
      <c r="R252" s="218" t="str">
        <f>""</f>
        <v/>
      </c>
      <c r="S252" s="218" t="str">
        <f t="shared" si="91"/>
        <v>056</v>
      </c>
      <c r="T252" s="218" t="str">
        <f t="shared" si="93"/>
        <v>D</v>
      </c>
      <c r="U252" s="218" t="str">
        <f t="shared" si="80"/>
        <v>AFR000</v>
      </c>
      <c r="V252" s="218" t="str">
        <f t="shared" si="81"/>
        <v>###</v>
      </c>
      <c r="W252" s="218">
        <v>22.24</v>
      </c>
      <c r="X252" s="218" t="str">
        <f t="shared" si="94"/>
        <v>USD</v>
      </c>
      <c r="Y252" s="218">
        <v>17.64</v>
      </c>
      <c r="Z252" s="218">
        <v>22.24</v>
      </c>
      <c r="AA252" s="218">
        <v>20.190000000000001</v>
      </c>
    </row>
    <row r="253" spans="1:27">
      <c r="A253" s="218" t="s">
        <v>2592</v>
      </c>
      <c r="F253" s="219" t="str">
        <f>"""IntAlert Live"",""ALERT UK"",""17"",""1"",""554679"""</f>
        <v>"IntAlert Live","ALERT UK","17","1","554679"</v>
      </c>
      <c r="G253" s="223">
        <v>43977</v>
      </c>
      <c r="H253" s="223"/>
      <c r="I253" s="218" t="str">
        <f>"DRCGOM/ BANQUE/2020/005/010"</f>
        <v>DRCGOM/ BANQUE/2020/005/010</v>
      </c>
      <c r="K253" s="218" t="str">
        <f>"SALAIRE-JEROME MONDO KAMBERE"</f>
        <v>SALAIRE-JEROME MONDO KAMBERE</v>
      </c>
      <c r="L253" s="218" t="str">
        <f>"Salaire-May'20Jerome Mondo Kambere 10%"</f>
        <v>Salaire-May'20Jerome Mondo Kambere 10%</v>
      </c>
      <c r="M253" s="218" t="str">
        <f>"5100"</f>
        <v>5100</v>
      </c>
      <c r="N253" s="218" t="str">
        <f>"BASIC EMPLOYMENT COSTS"</f>
        <v>BASIC EMPLOYMENT COSTS</v>
      </c>
      <c r="O253" s="218" t="str">
        <f>"DRCGOM"</f>
        <v>DRCGOM</v>
      </c>
      <c r="P253" s="218" t="str">
        <f t="shared" si="79"/>
        <v>AP21QR</v>
      </c>
      <c r="Q253" s="218" t="str">
        <f>"KAE"</f>
        <v>KAE</v>
      </c>
      <c r="R253" s="218" t="str">
        <f>""</f>
        <v/>
      </c>
      <c r="S253" s="218" t="str">
        <f t="shared" si="91"/>
        <v>056</v>
      </c>
      <c r="T253" s="218" t="str">
        <f t="shared" si="93"/>
        <v>D</v>
      </c>
      <c r="U253" s="218" t="str">
        <f t="shared" si="80"/>
        <v>AFR000</v>
      </c>
      <c r="V253" s="218" t="str">
        <f t="shared" si="81"/>
        <v>###</v>
      </c>
      <c r="W253" s="218">
        <v>211.46</v>
      </c>
      <c r="X253" s="218" t="str">
        <f t="shared" si="94"/>
        <v>USD</v>
      </c>
      <c r="Y253" s="218">
        <v>167.77</v>
      </c>
      <c r="Z253" s="218">
        <v>211.46</v>
      </c>
      <c r="AA253" s="218">
        <v>192</v>
      </c>
    </row>
    <row r="254" spans="1:27">
      <c r="A254" s="218" t="s">
        <v>2592</v>
      </c>
      <c r="F254" s="219" t="str">
        <f>"""IntAlert Live"",""ALERT UK"",""17"",""1"",""554740"""</f>
        <v>"IntAlert Live","ALERT UK","17","1","554740"</v>
      </c>
      <c r="G254" s="223">
        <v>43977</v>
      </c>
      <c r="H254" s="223"/>
      <c r="I254" s="218" t="str">
        <f>"DRCGOM/ BANQUE/2020/005/011"</f>
        <v>DRCGOM/ BANQUE/2020/005/011</v>
      </c>
      <c r="K254" s="218" t="str">
        <f>"CNSS-MAY 2020"</f>
        <v>CNSS-MAY 2020</v>
      </c>
      <c r="L254" s="218" t="str">
        <f>"CNSS-Jerome Mondo Kambere 10%"</f>
        <v>CNSS-Jerome Mondo Kambere 10%</v>
      </c>
      <c r="M254" s="218" t="str">
        <f>"5110"</f>
        <v>5110</v>
      </c>
      <c r="N254" s="218" t="str">
        <f>"EMPLOYER'S PENSION COSTS"</f>
        <v>EMPLOYER'S PENSION COSTS</v>
      </c>
      <c r="O254" s="218" t="str">
        <f>"DRCGOM"</f>
        <v>DRCGOM</v>
      </c>
      <c r="P254" s="218" t="str">
        <f t="shared" si="79"/>
        <v>AP21QR</v>
      </c>
      <c r="Q254" s="218" t="str">
        <f>"KAE"</f>
        <v>KAE</v>
      </c>
      <c r="R254" s="218" t="str">
        <f>""</f>
        <v/>
      </c>
      <c r="S254" s="218" t="str">
        <f t="shared" si="91"/>
        <v>056</v>
      </c>
      <c r="T254" s="218" t="str">
        <f t="shared" si="93"/>
        <v>D</v>
      </c>
      <c r="U254" s="218" t="str">
        <f t="shared" si="80"/>
        <v>AFR000</v>
      </c>
      <c r="V254" s="218" t="str">
        <f t="shared" si="81"/>
        <v>###</v>
      </c>
      <c r="W254" s="218">
        <v>29.81</v>
      </c>
      <c r="X254" s="218" t="str">
        <f t="shared" si="94"/>
        <v>USD</v>
      </c>
      <c r="Y254" s="218">
        <v>23.65</v>
      </c>
      <c r="Z254" s="218">
        <v>29.81</v>
      </c>
      <c r="AA254" s="218">
        <v>27.07</v>
      </c>
    </row>
    <row r="255" spans="1:27">
      <c r="A255" s="218" t="s">
        <v>2592</v>
      </c>
      <c r="F255" s="219" t="str">
        <f>"""IntAlert Live"",""ALERT UK"",""17"",""1"",""554800"""</f>
        <v>"IntAlert Live","ALERT UK","17","1","554800"</v>
      </c>
      <c r="G255" s="223">
        <v>43977</v>
      </c>
      <c r="H255" s="223"/>
      <c r="I255" s="218" t="str">
        <f>"DRCGOM/ BANQUE/2020/005/012"</f>
        <v>DRCGOM/ BANQUE/2020/005/012</v>
      </c>
      <c r="K255" s="218" t="str">
        <f>"INPP-MAY 2020"</f>
        <v>INPP-MAY 2020</v>
      </c>
      <c r="L255" s="218" t="str">
        <f>"INPP-Jerome Mondo Kambere 10%"</f>
        <v>INPP-Jerome Mondo Kambere 10%</v>
      </c>
      <c r="M255" s="218" t="str">
        <f>"5150"</f>
        <v>5150</v>
      </c>
      <c r="N255" s="218" t="str">
        <f>"EMPLOYMENT RELOCATION COSTS"</f>
        <v>EMPLOYMENT RELOCATION COSTS</v>
      </c>
      <c r="O255" s="218" t="str">
        <f>"DRCGOM"</f>
        <v>DRCGOM</v>
      </c>
      <c r="P255" s="218" t="str">
        <f t="shared" si="79"/>
        <v>AP21QR</v>
      </c>
      <c r="Q255" s="218" t="str">
        <f>"KAE"</f>
        <v>KAE</v>
      </c>
      <c r="R255" s="218" t="str">
        <f>""</f>
        <v/>
      </c>
      <c r="S255" s="218" t="str">
        <f t="shared" si="91"/>
        <v>056</v>
      </c>
      <c r="T255" s="218" t="str">
        <f t="shared" si="93"/>
        <v>D</v>
      </c>
      <c r="U255" s="218" t="str">
        <f t="shared" si="80"/>
        <v>AFR000</v>
      </c>
      <c r="V255" s="218" t="str">
        <f t="shared" si="81"/>
        <v>###</v>
      </c>
      <c r="W255" s="218">
        <v>4.97</v>
      </c>
      <c r="X255" s="218" t="str">
        <f t="shared" si="94"/>
        <v>USD</v>
      </c>
      <c r="Y255" s="218">
        <v>3.94</v>
      </c>
      <c r="Z255" s="218">
        <v>4.97</v>
      </c>
      <c r="AA255" s="218">
        <v>4.51</v>
      </c>
    </row>
    <row r="256" spans="1:27">
      <c r="A256" s="218" t="s">
        <v>2592</v>
      </c>
      <c r="F256" s="219" t="str">
        <f>"""IntAlert Live"",""ALERT UK"",""17"",""1"",""555342"""</f>
        <v>"IntAlert Live","ALERT UK","17","1","555342"</v>
      </c>
      <c r="G256" s="223">
        <v>43979</v>
      </c>
      <c r="H256" s="223"/>
      <c r="I256" s="218" t="str">
        <f>"DRCBUK/BANK/2020/05/021"</f>
        <v>DRCBUK/BANK/2020/05/021</v>
      </c>
      <c r="K256" s="218" t="str">
        <f>"DGI/DPI SUD-KIVU"</f>
        <v>DGI/DPI SUD-KIVU</v>
      </c>
      <c r="L256" s="218" t="str">
        <f>"IPR Solde de Tout compte SF&amp;GCO Christian 45%"</f>
        <v>IPR Solde de Tout compte SF&amp;GCO Christian 45%</v>
      </c>
      <c r="M256" s="218" t="str">
        <f>"5100"</f>
        <v>5100</v>
      </c>
      <c r="N256" s="218" t="str">
        <f>"BASIC EMPLOYMENT COSTS"</f>
        <v>BASIC EMPLOYMENT COSTS</v>
      </c>
      <c r="O256" s="218" t="str">
        <f>"DRCBUK"</f>
        <v>DRCBUK</v>
      </c>
      <c r="P256" s="218" t="str">
        <f t="shared" si="79"/>
        <v>AP21QR</v>
      </c>
      <c r="Q256" s="218" t="str">
        <f>"CCI"</f>
        <v>CCI</v>
      </c>
      <c r="R256" s="218" t="str">
        <f>""</f>
        <v/>
      </c>
      <c r="S256" s="218" t="str">
        <f t="shared" si="91"/>
        <v>056</v>
      </c>
      <c r="T256" s="218" t="str">
        <f t="shared" si="93"/>
        <v>D</v>
      </c>
      <c r="U256" s="218" t="str">
        <f t="shared" si="80"/>
        <v>AFR000</v>
      </c>
      <c r="V256" s="218" t="str">
        <f t="shared" si="81"/>
        <v>###</v>
      </c>
      <c r="W256" s="218">
        <v>129.41999999999999</v>
      </c>
      <c r="X256" s="218" t="str">
        <f t="shared" si="94"/>
        <v>USD</v>
      </c>
      <c r="Y256" s="218">
        <v>102.68</v>
      </c>
      <c r="Z256" s="218">
        <v>129.41999999999999</v>
      </c>
      <c r="AA256" s="218">
        <v>117.51</v>
      </c>
    </row>
    <row r="257" spans="1:27">
      <c r="A257" s="218" t="s">
        <v>2592</v>
      </c>
      <c r="F257" s="219" t="str">
        <f>"""IntAlert Live"",""ALERT UK"",""17"",""1"",""555353"""</f>
        <v>"IntAlert Live","ALERT UK","17","1","555353"</v>
      </c>
      <c r="G257" s="223">
        <v>43979</v>
      </c>
      <c r="H257" s="223"/>
      <c r="I257" s="218" t="str">
        <f>"DRCBUK/BANK/2020/05/022"</f>
        <v>DRCBUK/BANK/2020/05/022</v>
      </c>
      <c r="K257" s="218" t="str">
        <f>"CNSS SUD KIVU"</f>
        <v>CNSS SUD KIVU</v>
      </c>
      <c r="L257" s="218" t="str">
        <f>"CNSS Solde de Tout compte SF&amp;GCO Christian 45%"</f>
        <v>CNSS Solde de Tout compte SF&amp;GCO Christian 45%</v>
      </c>
      <c r="M257" s="218" t="str">
        <f>"5160"</f>
        <v>5160</v>
      </c>
      <c r="N257" s="218" t="str">
        <f>"EMPLOYMENT BENEFITS COSTS"</f>
        <v>EMPLOYMENT BENEFITS COSTS</v>
      </c>
      <c r="O257" s="218" t="str">
        <f>"DRCBUK"</f>
        <v>DRCBUK</v>
      </c>
      <c r="P257" s="218" t="str">
        <f t="shared" si="79"/>
        <v>AP21QR</v>
      </c>
      <c r="Q257" s="218" t="str">
        <f>"CCI"</f>
        <v>CCI</v>
      </c>
      <c r="R257" s="218" t="str">
        <f>""</f>
        <v/>
      </c>
      <c r="S257" s="218" t="str">
        <f t="shared" si="91"/>
        <v>056</v>
      </c>
      <c r="T257" s="218" t="str">
        <f t="shared" si="93"/>
        <v>D</v>
      </c>
      <c r="U257" s="218" t="str">
        <f t="shared" si="80"/>
        <v>AFR000</v>
      </c>
      <c r="V257" s="218" t="str">
        <f t="shared" si="81"/>
        <v>###</v>
      </c>
      <c r="W257" s="218">
        <v>226.45</v>
      </c>
      <c r="X257" s="218" t="str">
        <f t="shared" si="94"/>
        <v>USD</v>
      </c>
      <c r="Y257" s="218">
        <v>179.66</v>
      </c>
      <c r="Z257" s="218">
        <v>226.45</v>
      </c>
      <c r="AA257" s="218">
        <v>205.61</v>
      </c>
    </row>
    <row r="258" spans="1:27">
      <c r="A258" s="218" t="s">
        <v>2592</v>
      </c>
      <c r="F258" s="219" t="str">
        <f>"""IntAlert Live"",""ALERT UK"",""17"",""1"",""555357"""</f>
        <v>"IntAlert Live","ALERT UK","17","1","555357"</v>
      </c>
      <c r="G258" s="223">
        <v>43979</v>
      </c>
      <c r="H258" s="223"/>
      <c r="I258" s="218" t="str">
        <f>"DRCBUK/BANK/2020/05/024"</f>
        <v>DRCBUK/BANK/2020/05/024</v>
      </c>
      <c r="K258" s="218" t="str">
        <f>"THEOPHILE BAHIRWE"</f>
        <v>THEOPHILE BAHIRWE</v>
      </c>
      <c r="L258" s="218" t="str">
        <f>"Pmt 70% Consultant AdminFin Mai 020 45%"</f>
        <v>Pmt 70% Consultant AdminFin Mai 020 45%</v>
      </c>
      <c r="M258" s="218" t="str">
        <f>"6190"</f>
        <v>6190</v>
      </c>
      <c r="N258" s="218" t="str">
        <f>"CONSULTANT  FEES"</f>
        <v>CONSULTANT  FEES</v>
      </c>
      <c r="O258" s="218" t="str">
        <f>"DRCBUK"</f>
        <v>DRCBUK</v>
      </c>
      <c r="P258" s="218" t="str">
        <f t="shared" si="79"/>
        <v>AP21QR</v>
      </c>
      <c r="Q258" s="218" t="str">
        <f>""</f>
        <v/>
      </c>
      <c r="R258" s="218" t="str">
        <f>""</f>
        <v/>
      </c>
      <c r="S258" s="218" t="str">
        <f t="shared" si="91"/>
        <v>056</v>
      </c>
      <c r="T258" s="218" t="str">
        <f t="shared" si="93"/>
        <v>D</v>
      </c>
      <c r="U258" s="218" t="str">
        <f t="shared" si="80"/>
        <v>AFR000</v>
      </c>
      <c r="V258" s="218" t="str">
        <f t="shared" si="81"/>
        <v>###</v>
      </c>
      <c r="W258" s="218">
        <v>631.79999999999995</v>
      </c>
      <c r="X258" s="218" t="str">
        <f t="shared" si="94"/>
        <v>USD</v>
      </c>
      <c r="Y258" s="218">
        <v>501.26</v>
      </c>
      <c r="Z258" s="218">
        <v>631.79999999999995</v>
      </c>
      <c r="AA258" s="218">
        <v>573.66999999999996</v>
      </c>
    </row>
    <row r="259" spans="1:27">
      <c r="A259" s="218" t="s">
        <v>2592</v>
      </c>
      <c r="F259" s="219" t="str">
        <f>"""IntAlert Live"",""ALERT UK"",""17"",""1"",""555031"""</f>
        <v>"IntAlert Live","ALERT UK","17","1","555031"</v>
      </c>
      <c r="G259" s="223">
        <v>43980</v>
      </c>
      <c r="H259" s="223"/>
      <c r="I259" s="218" t="str">
        <f>"DRCGOM/ CAISSE/2020/005/001"</f>
        <v>DRCGOM/ CAISSE/2020/005/001</v>
      </c>
      <c r="K259" s="218" t="str">
        <f>"ONEM MAI 2020"</f>
        <v>ONEM MAI 2020</v>
      </c>
      <c r="L259" s="218" t="str">
        <f>"ONEM-May'20Jerome Mondo Kambere 10%"</f>
        <v>ONEM-May'20Jerome Mondo Kambere 10%</v>
      </c>
      <c r="M259" s="218" t="str">
        <f>"5150"</f>
        <v>5150</v>
      </c>
      <c r="N259" s="218" t="str">
        <f>"EMPLOYMENT RELOCATION COSTS"</f>
        <v>EMPLOYMENT RELOCATION COSTS</v>
      </c>
      <c r="O259" s="218" t="str">
        <f>"DRCGOM"</f>
        <v>DRCGOM</v>
      </c>
      <c r="P259" s="218" t="str">
        <f t="shared" si="79"/>
        <v>AP21QR</v>
      </c>
      <c r="Q259" s="218" t="str">
        <f>"KAE"</f>
        <v>KAE</v>
      </c>
      <c r="R259" s="218" t="str">
        <f>""</f>
        <v/>
      </c>
      <c r="S259" s="218" t="str">
        <f t="shared" si="91"/>
        <v>056</v>
      </c>
      <c r="T259" s="218" t="str">
        <f t="shared" si="93"/>
        <v>D</v>
      </c>
      <c r="U259" s="218" t="str">
        <f t="shared" si="80"/>
        <v>AFR000</v>
      </c>
      <c r="V259" s="218" t="str">
        <f t="shared" si="81"/>
        <v>###</v>
      </c>
      <c r="W259" s="218">
        <v>0.33</v>
      </c>
      <c r="X259" s="218" t="str">
        <f t="shared" si="94"/>
        <v>USD</v>
      </c>
      <c r="Y259" s="218">
        <v>0.26</v>
      </c>
      <c r="Z259" s="218">
        <v>0.33</v>
      </c>
      <c r="AA259" s="218">
        <v>0.3</v>
      </c>
    </row>
    <row r="260" spans="1:27">
      <c r="A260" s="218" t="s">
        <v>2592</v>
      </c>
      <c r="F260" s="219" t="str">
        <f>"""IntAlert Live"",""ALERT UK"",""17"",""1"",""555477"""</f>
        <v>"IntAlert Live","ALERT UK","17","1","555477"</v>
      </c>
      <c r="G260" s="223">
        <v>43980</v>
      </c>
      <c r="H260" s="223"/>
      <c r="I260" s="218" t="str">
        <f>"DRCBUK/CAISSE/2020/05/002"</f>
        <v>DRCBUK/CAISSE/2020/05/002</v>
      </c>
      <c r="K260" s="218" t="str">
        <f>"ONEM"</f>
        <v>ONEM</v>
      </c>
      <c r="L260" s="218" t="str">
        <f>"ONEM-Mai 020 Christian MUTOKAMBALI MBONEKUBE 45%"</f>
        <v>ONEM-Mai 020 Christian MUTOKAMBALI MBONEKUBE 45%</v>
      </c>
      <c r="M260" s="218" t="str">
        <f>"5160"</f>
        <v>5160</v>
      </c>
      <c r="N260" s="218" t="str">
        <f>"EMPLOYMENT BENEFITS COSTS"</f>
        <v>EMPLOYMENT BENEFITS COSTS</v>
      </c>
      <c r="O260" s="218" t="str">
        <f>"DRCBUK"</f>
        <v>DRCBUK</v>
      </c>
      <c r="P260" s="218" t="str">
        <f t="shared" si="79"/>
        <v>AP21QR</v>
      </c>
      <c r="Q260" s="218" t="str">
        <f>"MBO"</f>
        <v>MBO</v>
      </c>
      <c r="R260" s="218" t="str">
        <f>""</f>
        <v/>
      </c>
      <c r="S260" s="218" t="str">
        <f t="shared" si="91"/>
        <v>056</v>
      </c>
      <c r="T260" s="218" t="str">
        <f t="shared" si="93"/>
        <v>D</v>
      </c>
      <c r="U260" s="218" t="str">
        <f t="shared" si="80"/>
        <v>AFR000</v>
      </c>
      <c r="V260" s="218" t="str">
        <f t="shared" si="81"/>
        <v>###</v>
      </c>
      <c r="W260" s="218">
        <v>1.48</v>
      </c>
      <c r="X260" s="218" t="str">
        <f t="shared" si="94"/>
        <v>USD</v>
      </c>
      <c r="Y260" s="218">
        <v>1.17</v>
      </c>
      <c r="Z260" s="218">
        <v>1.48</v>
      </c>
      <c r="AA260" s="218">
        <v>1.34</v>
      </c>
    </row>
    <row r="261" spans="1:27">
      <c r="A261" s="218" t="s">
        <v>2592</v>
      </c>
      <c r="F261" s="219" t="str">
        <f>"""IntAlert Live"",""ALERT UK"",""17"",""1"",""556847"""</f>
        <v>"IntAlert Live","ALERT UK","17","1","556847"</v>
      </c>
      <c r="G261" s="223">
        <v>43982</v>
      </c>
      <c r="H261" s="223"/>
      <c r="I261" s="218" t="str">
        <f>""</f>
        <v/>
      </c>
      <c r="K261" s="218" t="str">
        <f>"PR MAY JNL"</f>
        <v>PR MAY JNL</v>
      </c>
      <c r="L261" s="218" t="str">
        <f>"S Jeanbosco  10%"</f>
        <v>S Jeanbosco  10%</v>
      </c>
      <c r="M261" s="218" t="str">
        <f>"5100"</f>
        <v>5100</v>
      </c>
      <c r="N261" s="218" t="str">
        <f>"BASIC EMPLOYMENT COSTS"</f>
        <v>BASIC EMPLOYMENT COSTS</v>
      </c>
      <c r="O261" s="218" t="str">
        <f>"UNILON"</f>
        <v>UNILON</v>
      </c>
      <c r="P261" s="218" t="str">
        <f t="shared" si="79"/>
        <v>AP21QR</v>
      </c>
      <c r="Q261" s="218" t="str">
        <f>"SIB"</f>
        <v>SIB</v>
      </c>
      <c r="R261" s="218" t="str">
        <f>""</f>
        <v/>
      </c>
      <c r="S261" s="218" t="str">
        <f t="shared" si="91"/>
        <v>056</v>
      </c>
      <c r="T261" s="218" t="str">
        <f t="shared" si="93"/>
        <v>D</v>
      </c>
      <c r="U261" s="218" t="str">
        <f t="shared" si="80"/>
        <v>AFR000</v>
      </c>
      <c r="V261" s="218" t="str">
        <f t="shared" si="81"/>
        <v>###</v>
      </c>
      <c r="W261" s="218">
        <v>0</v>
      </c>
      <c r="X261" s="218" t="str">
        <f>""</f>
        <v/>
      </c>
      <c r="Y261" s="218">
        <v>373.68</v>
      </c>
      <c r="Z261" s="218">
        <v>470.99</v>
      </c>
      <c r="AA261" s="218">
        <v>427.66</v>
      </c>
    </row>
    <row r="262" spans="1:27">
      <c r="A262" s="218" t="s">
        <v>2592</v>
      </c>
      <c r="F262" s="219" t="str">
        <f>"""IntAlert Live"",""ALERT UK"",""17"",""1"",""557122"""</f>
        <v>"IntAlert Live","ALERT UK","17","1","557122"</v>
      </c>
      <c r="G262" s="223">
        <v>43982</v>
      </c>
      <c r="H262" s="223"/>
      <c r="I262" s="218" t="str">
        <f>""</f>
        <v/>
      </c>
      <c r="K262" s="218" t="str">
        <f>"PR MAY JNL"</f>
        <v>PR MAY JNL</v>
      </c>
      <c r="L262" s="218" t="str">
        <f>"S Jeanbosco  10%"</f>
        <v>S Jeanbosco  10%</v>
      </c>
      <c r="M262" s="218" t="str">
        <f>"5110"</f>
        <v>5110</v>
      </c>
      <c r="N262" s="218" t="str">
        <f>"EMPLOYER'S PENSION COSTS"</f>
        <v>EMPLOYER'S PENSION COSTS</v>
      </c>
      <c r="O262" s="218" t="str">
        <f>"UNILON"</f>
        <v>UNILON</v>
      </c>
      <c r="P262" s="218" t="str">
        <f t="shared" si="79"/>
        <v>AP21QR</v>
      </c>
      <c r="Q262" s="218" t="str">
        <f>"SIB"</f>
        <v>SIB</v>
      </c>
      <c r="R262" s="218" t="str">
        <f>""</f>
        <v/>
      </c>
      <c r="S262" s="218" t="str">
        <f t="shared" si="91"/>
        <v>056</v>
      </c>
      <c r="T262" s="218" t="str">
        <f t="shared" si="93"/>
        <v>D</v>
      </c>
      <c r="U262" s="218" t="str">
        <f t="shared" si="80"/>
        <v>AFR000</v>
      </c>
      <c r="V262" s="218" t="str">
        <f t="shared" si="81"/>
        <v>###</v>
      </c>
      <c r="W262" s="218">
        <v>0</v>
      </c>
      <c r="X262" s="218" t="str">
        <f>""</f>
        <v/>
      </c>
      <c r="Y262" s="218">
        <v>37.369999999999997</v>
      </c>
      <c r="Z262" s="218">
        <v>47.1</v>
      </c>
      <c r="AA262" s="218">
        <v>42.77</v>
      </c>
    </row>
    <row r="263" spans="1:27">
      <c r="A263" s="218" t="s">
        <v>2592</v>
      </c>
      <c r="F263" s="219" t="str">
        <f>"""IntAlert Live"",""ALERT UK"",""17"",""1"",""557272"""</f>
        <v>"IntAlert Live","ALERT UK","17","1","557272"</v>
      </c>
      <c r="G263" s="223">
        <v>43982</v>
      </c>
      <c r="H263" s="223"/>
      <c r="I263" s="218" t="str">
        <f>""</f>
        <v/>
      </c>
      <c r="K263" s="218" t="str">
        <f>"HR SCF CHG MAY20"</f>
        <v>HR SCF CHG MAY20</v>
      </c>
      <c r="L263" s="218" t="str">
        <f>"S Jeanbosco  10%"</f>
        <v>S Jeanbosco  10%</v>
      </c>
      <c r="M263" s="218" t="str">
        <f t="shared" ref="M263:M270" si="95">"5100"</f>
        <v>5100</v>
      </c>
      <c r="N263" s="218" t="str">
        <f t="shared" ref="N263:N270" si="96">"BASIC EMPLOYMENT COSTS"</f>
        <v>BASIC EMPLOYMENT COSTS</v>
      </c>
      <c r="O263" s="218" t="str">
        <f>"UNILON"</f>
        <v>UNILON</v>
      </c>
      <c r="P263" s="218" t="str">
        <f t="shared" ref="P263:P326" si="97">"AP21QR"</f>
        <v>AP21QR</v>
      </c>
      <c r="Q263" s="218" t="str">
        <f>"SIB"</f>
        <v>SIB</v>
      </c>
      <c r="R263" s="218" t="str">
        <f>""</f>
        <v/>
      </c>
      <c r="S263" s="218" t="str">
        <f t="shared" si="91"/>
        <v>056</v>
      </c>
      <c r="T263" s="218" t="str">
        <f>"C"</f>
        <v>C</v>
      </c>
      <c r="U263" s="218" t="str">
        <f t="shared" ref="U263:U326" si="98">"AFR000"</f>
        <v>AFR000</v>
      </c>
      <c r="V263" s="218" t="str">
        <f t="shared" ref="V263:V326" si="99">"###"</f>
        <v>###</v>
      </c>
      <c r="W263" s="218">
        <v>0</v>
      </c>
      <c r="X263" s="218" t="str">
        <f>""</f>
        <v/>
      </c>
      <c r="Y263" s="218">
        <v>11.21</v>
      </c>
      <c r="Z263" s="218">
        <v>14.13</v>
      </c>
      <c r="AA263" s="218">
        <v>12.83</v>
      </c>
    </row>
    <row r="264" spans="1:27">
      <c r="A264" s="218" t="s">
        <v>2592</v>
      </c>
      <c r="F264" s="219" t="str">
        <f>"""IntAlert Live"",""ALERT UK"",""17"",""1"",""557403"""</f>
        <v>"IntAlert Live","ALERT UK","17","1","557403"</v>
      </c>
      <c r="G264" s="223">
        <v>43982</v>
      </c>
      <c r="H264" s="223"/>
      <c r="I264" s="218" t="str">
        <f>""</f>
        <v/>
      </c>
      <c r="K264" s="218" t="str">
        <f>"HR CHG MAY20"</f>
        <v>HR CHG MAY20</v>
      </c>
      <c r="L264" s="218" t="str">
        <f>"S Jeanbosco  10%"</f>
        <v>S Jeanbosco  10%</v>
      </c>
      <c r="M264" s="218" t="str">
        <f t="shared" si="95"/>
        <v>5100</v>
      </c>
      <c r="N264" s="218" t="str">
        <f t="shared" si="96"/>
        <v>BASIC EMPLOYMENT COSTS</v>
      </c>
      <c r="O264" s="218" t="str">
        <f>"UNILON"</f>
        <v>UNILON</v>
      </c>
      <c r="P264" s="218" t="str">
        <f t="shared" si="97"/>
        <v>AP21QR</v>
      </c>
      <c r="Q264" s="218" t="str">
        <f>"SIB"</f>
        <v>SIB</v>
      </c>
      <c r="R264" s="218" t="str">
        <f>""</f>
        <v/>
      </c>
      <c r="S264" s="218" t="str">
        <f t="shared" si="91"/>
        <v>056</v>
      </c>
      <c r="T264" s="218" t="str">
        <f>"S"</f>
        <v>S</v>
      </c>
      <c r="U264" s="218" t="str">
        <f t="shared" si="98"/>
        <v>AFR000</v>
      </c>
      <c r="V264" s="218" t="str">
        <f t="shared" si="99"/>
        <v>###</v>
      </c>
      <c r="W264" s="218">
        <v>0</v>
      </c>
      <c r="X264" s="218" t="str">
        <f>""</f>
        <v/>
      </c>
      <c r="Y264" s="218">
        <v>18.68</v>
      </c>
      <c r="Z264" s="218">
        <v>23.54</v>
      </c>
      <c r="AA264" s="218">
        <v>21.38</v>
      </c>
    </row>
    <row r="265" spans="1:27">
      <c r="A265" s="218" t="s">
        <v>2592</v>
      </c>
      <c r="F265" s="219" t="str">
        <f>"""IntAlert Live"",""ALERT UK"",""17"",""1"",""546065"""</f>
        <v>"IntAlert Live","ALERT UK","17","1","546065"</v>
      </c>
      <c r="G265" s="223">
        <v>43948</v>
      </c>
      <c r="H265" s="223"/>
      <c r="I265" s="218" t="str">
        <f>"DRCBUK/BANK/2020/04/012"</f>
        <v>DRCBUK/BANK/2020/04/012</v>
      </c>
      <c r="K265" s="218" t="str">
        <f>"GEORGINE BAMUNOBA"</f>
        <v>GEORGINE BAMUNOBA</v>
      </c>
      <c r="L265" s="218" t="str">
        <f>"Salaire-Avril 2020  Georgine BAMUNOBA TIBANAGWA-10%"</f>
        <v>Salaire-Avril 2020  Georgine BAMUNOBA TIBANAGWA-10%</v>
      </c>
      <c r="M265" s="218" t="str">
        <f t="shared" si="95"/>
        <v>5100</v>
      </c>
      <c r="N265" s="218" t="str">
        <f t="shared" si="96"/>
        <v>BASIC EMPLOYMENT COSTS</v>
      </c>
      <c r="O265" s="218" t="str">
        <f t="shared" ref="O265:O276" si="100">"DRCBUK"</f>
        <v>DRCBUK</v>
      </c>
      <c r="P265" s="218" t="str">
        <f t="shared" si="97"/>
        <v>AP21QR</v>
      </c>
      <c r="Q265" s="218" t="str">
        <f>"BAM"</f>
        <v>BAM</v>
      </c>
      <c r="R265" s="218" t="str">
        <f>""</f>
        <v/>
      </c>
      <c r="S265" s="218" t="str">
        <f t="shared" ref="S265:S296" si="101">"057"</f>
        <v>057</v>
      </c>
      <c r="T265" s="218" t="str">
        <f t="shared" ref="T265:T296" si="102">"D"</f>
        <v>D</v>
      </c>
      <c r="U265" s="218" t="str">
        <f t="shared" si="98"/>
        <v>AFR000</v>
      </c>
      <c r="V265" s="218" t="str">
        <f t="shared" si="99"/>
        <v>###</v>
      </c>
      <c r="W265" s="218">
        <v>59.02</v>
      </c>
      <c r="X265" s="218" t="str">
        <f t="shared" ref="X265:X296" si="103">"USD"</f>
        <v>USD</v>
      </c>
      <c r="Y265" s="218">
        <v>47.39</v>
      </c>
      <c r="Z265" s="218">
        <v>59.02</v>
      </c>
      <c r="AA265" s="218">
        <v>53.31</v>
      </c>
    </row>
    <row r="266" spans="1:27">
      <c r="A266" s="218" t="s">
        <v>2592</v>
      </c>
      <c r="F266" s="219" t="str">
        <f>"""IntAlert Live"",""ALERT UK"",""17"",""1"",""546074"""</f>
        <v>"IntAlert Live","ALERT UK","17","1","546074"</v>
      </c>
      <c r="G266" s="223">
        <v>43948</v>
      </c>
      <c r="H266" s="223"/>
      <c r="I266" s="218" t="str">
        <f>"DRCBUK/BANK/2020/04/012"</f>
        <v>DRCBUK/BANK/2020/04/012</v>
      </c>
      <c r="K266" s="218" t="str">
        <f>"VERRE KILAURI"</f>
        <v>VERRE KILAURI</v>
      </c>
      <c r="L266" s="218" t="str">
        <f>"Salaire-Avril 2020 Verre KILAURI  BANYWESIZE-5%"</f>
        <v>Salaire-Avril 2020 Verre KILAURI  BANYWESIZE-5%</v>
      </c>
      <c r="M266" s="218" t="str">
        <f t="shared" si="95"/>
        <v>5100</v>
      </c>
      <c r="N266" s="218" t="str">
        <f t="shared" si="96"/>
        <v>BASIC EMPLOYMENT COSTS</v>
      </c>
      <c r="O266" s="218" t="str">
        <f t="shared" si="100"/>
        <v>DRCBUK</v>
      </c>
      <c r="P266" s="218" t="str">
        <f t="shared" si="97"/>
        <v>AP21QR</v>
      </c>
      <c r="Q266" s="218" t="str">
        <f>"KIA"</f>
        <v>KIA</v>
      </c>
      <c r="R266" s="218" t="str">
        <f>""</f>
        <v/>
      </c>
      <c r="S266" s="218" t="str">
        <f t="shared" si="101"/>
        <v>057</v>
      </c>
      <c r="T266" s="218" t="str">
        <f t="shared" si="102"/>
        <v>D</v>
      </c>
      <c r="U266" s="218" t="str">
        <f t="shared" si="98"/>
        <v>AFR000</v>
      </c>
      <c r="V266" s="218" t="str">
        <f t="shared" si="99"/>
        <v>###</v>
      </c>
      <c r="W266" s="218">
        <v>72.510000000000005</v>
      </c>
      <c r="X266" s="218" t="str">
        <f t="shared" si="103"/>
        <v>USD</v>
      </c>
      <c r="Y266" s="218">
        <v>58.22</v>
      </c>
      <c r="Z266" s="218">
        <v>72.510000000000005</v>
      </c>
      <c r="AA266" s="218">
        <v>65.489999999999995</v>
      </c>
    </row>
    <row r="267" spans="1:27">
      <c r="A267" s="218" t="s">
        <v>2592</v>
      </c>
      <c r="F267" s="219" t="str">
        <f>"""IntAlert Live"",""ALERT UK"",""17"",""1"",""546077"""</f>
        <v>"IntAlert Live","ALERT UK","17","1","546077"</v>
      </c>
      <c r="G267" s="223">
        <v>43948</v>
      </c>
      <c r="H267" s="223"/>
      <c r="I267" s="218" t="str">
        <f>"DRCBUK/BANK/2020/04/012"</f>
        <v>DRCBUK/BANK/2020/04/012</v>
      </c>
      <c r="K267" s="218" t="str">
        <f>"MICHEL MIRINDI"</f>
        <v>MICHEL MIRINDI</v>
      </c>
      <c r="L267" s="218" t="str">
        <f>"Salaire-Avril 2020  Michel MIRINDI BASHWERE-5%"</f>
        <v>Salaire-Avril 2020  Michel MIRINDI BASHWERE-5%</v>
      </c>
      <c r="M267" s="218" t="str">
        <f t="shared" si="95"/>
        <v>5100</v>
      </c>
      <c r="N267" s="218" t="str">
        <f t="shared" si="96"/>
        <v>BASIC EMPLOYMENT COSTS</v>
      </c>
      <c r="O267" s="218" t="str">
        <f t="shared" si="100"/>
        <v>DRCBUK</v>
      </c>
      <c r="P267" s="218" t="str">
        <f t="shared" si="97"/>
        <v>AP21QR</v>
      </c>
      <c r="Q267" s="218" t="str">
        <f>"MRI"</f>
        <v>MRI</v>
      </c>
      <c r="R267" s="218" t="str">
        <f>""</f>
        <v/>
      </c>
      <c r="S267" s="218" t="str">
        <f t="shared" si="101"/>
        <v>057</v>
      </c>
      <c r="T267" s="218" t="str">
        <f t="shared" si="102"/>
        <v>D</v>
      </c>
      <c r="U267" s="218" t="str">
        <f t="shared" si="98"/>
        <v>AFR000</v>
      </c>
      <c r="V267" s="218" t="str">
        <f t="shared" si="99"/>
        <v>###</v>
      </c>
      <c r="W267" s="218">
        <v>22.93</v>
      </c>
      <c r="X267" s="218" t="str">
        <f t="shared" si="103"/>
        <v>USD</v>
      </c>
      <c r="Y267" s="218">
        <v>18.41</v>
      </c>
      <c r="Z267" s="218">
        <v>22.93</v>
      </c>
      <c r="AA267" s="218">
        <v>20.71</v>
      </c>
    </row>
    <row r="268" spans="1:27">
      <c r="A268" s="218" t="s">
        <v>2592</v>
      </c>
      <c r="F268" s="219" t="str">
        <f>"""IntAlert Live"",""ALERT UK"",""17"",""1"",""546099"""</f>
        <v>"IntAlert Live","ALERT UK","17","1","546099"</v>
      </c>
      <c r="G268" s="223">
        <v>43948</v>
      </c>
      <c r="H268" s="223"/>
      <c r="I268" s="218" t="str">
        <f>"DRCBUK/BANK/2020/04/013"</f>
        <v>DRCBUK/BANK/2020/04/013</v>
      </c>
      <c r="K268" s="218" t="str">
        <f>"DGI SUD KIVU"</f>
        <v>DGI SUD KIVU</v>
      </c>
      <c r="L268" s="218" t="str">
        <f>"IPR-Avril 2020  Georgine BAMUNOBA TIBANAGWA-10%"</f>
        <v>IPR-Avril 2020  Georgine BAMUNOBA TIBANAGWA-10%</v>
      </c>
      <c r="M268" s="218" t="str">
        <f t="shared" si="95"/>
        <v>5100</v>
      </c>
      <c r="N268" s="218" t="str">
        <f t="shared" si="96"/>
        <v>BASIC EMPLOYMENT COSTS</v>
      </c>
      <c r="O268" s="218" t="str">
        <f t="shared" si="100"/>
        <v>DRCBUK</v>
      </c>
      <c r="P268" s="218" t="str">
        <f t="shared" si="97"/>
        <v>AP21QR</v>
      </c>
      <c r="Q268" s="218" t="str">
        <f>"BAM"</f>
        <v>BAM</v>
      </c>
      <c r="R268" s="218" t="str">
        <f>""</f>
        <v/>
      </c>
      <c r="S268" s="218" t="str">
        <f t="shared" si="101"/>
        <v>057</v>
      </c>
      <c r="T268" s="218" t="str">
        <f t="shared" si="102"/>
        <v>D</v>
      </c>
      <c r="U268" s="218" t="str">
        <f t="shared" si="98"/>
        <v>AFR000</v>
      </c>
      <c r="V268" s="218" t="str">
        <f t="shared" si="99"/>
        <v>###</v>
      </c>
      <c r="W268" s="218">
        <v>5.17</v>
      </c>
      <c r="X268" s="218" t="str">
        <f t="shared" si="103"/>
        <v>USD</v>
      </c>
      <c r="Y268" s="218">
        <v>4.1500000000000004</v>
      </c>
      <c r="Z268" s="218">
        <v>5.17</v>
      </c>
      <c r="AA268" s="218">
        <v>4.67</v>
      </c>
    </row>
    <row r="269" spans="1:27">
      <c r="A269" s="218" t="s">
        <v>2592</v>
      </c>
      <c r="F269" s="219" t="str">
        <f>"""IntAlert Live"",""ALERT UK"",""17"",""1"",""546108"""</f>
        <v>"IntAlert Live","ALERT UK","17","1","546108"</v>
      </c>
      <c r="G269" s="223">
        <v>43948</v>
      </c>
      <c r="H269" s="223"/>
      <c r="I269" s="218" t="str">
        <f>"DRCBUK/BANK/2020/04/013"</f>
        <v>DRCBUK/BANK/2020/04/013</v>
      </c>
      <c r="K269" s="218" t="str">
        <f>"DGI SUD KIVU"</f>
        <v>DGI SUD KIVU</v>
      </c>
      <c r="L269" s="218" t="str">
        <f>"IPR-Avril 2020 Verre KILAURI  BANYWESIZE-5%"</f>
        <v>IPR-Avril 2020 Verre KILAURI  BANYWESIZE-5%</v>
      </c>
      <c r="M269" s="218" t="str">
        <f t="shared" si="95"/>
        <v>5100</v>
      </c>
      <c r="N269" s="218" t="str">
        <f t="shared" si="96"/>
        <v>BASIC EMPLOYMENT COSTS</v>
      </c>
      <c r="O269" s="218" t="str">
        <f t="shared" si="100"/>
        <v>DRCBUK</v>
      </c>
      <c r="P269" s="218" t="str">
        <f t="shared" si="97"/>
        <v>AP21QR</v>
      </c>
      <c r="Q269" s="218" t="str">
        <f>"KIA"</f>
        <v>KIA</v>
      </c>
      <c r="R269" s="218" t="str">
        <f>""</f>
        <v/>
      </c>
      <c r="S269" s="218" t="str">
        <f t="shared" si="101"/>
        <v>057</v>
      </c>
      <c r="T269" s="218" t="str">
        <f t="shared" si="102"/>
        <v>D</v>
      </c>
      <c r="U269" s="218" t="str">
        <f t="shared" si="98"/>
        <v>AFR000</v>
      </c>
      <c r="V269" s="218" t="str">
        <f t="shared" si="99"/>
        <v>###</v>
      </c>
      <c r="W269" s="218">
        <v>10.02</v>
      </c>
      <c r="X269" s="218" t="str">
        <f t="shared" si="103"/>
        <v>USD</v>
      </c>
      <c r="Y269" s="218">
        <v>8.0500000000000007</v>
      </c>
      <c r="Z269" s="218">
        <v>10.02</v>
      </c>
      <c r="AA269" s="218">
        <v>9.06</v>
      </c>
    </row>
    <row r="270" spans="1:27">
      <c r="A270" s="218" t="s">
        <v>2592</v>
      </c>
      <c r="F270" s="219" t="str">
        <f>"""IntAlert Live"",""ALERT UK"",""17"",""1"",""546112"""</f>
        <v>"IntAlert Live","ALERT UK","17","1","546112"</v>
      </c>
      <c r="G270" s="223">
        <v>43948</v>
      </c>
      <c r="H270" s="223"/>
      <c r="I270" s="218" t="str">
        <f>"DRCBUK/BANK/2020/04/013"</f>
        <v>DRCBUK/BANK/2020/04/013</v>
      </c>
      <c r="K270" s="218" t="str">
        <f>"DGI SUD KIVU"</f>
        <v>DGI SUD KIVU</v>
      </c>
      <c r="L270" s="218" t="str">
        <f>"IPR-Avril 2020  Michel MIRINDI BASHWERE-5%"</f>
        <v>IPR-Avril 2020  Michel MIRINDI BASHWERE-5%</v>
      </c>
      <c r="M270" s="218" t="str">
        <f t="shared" si="95"/>
        <v>5100</v>
      </c>
      <c r="N270" s="218" t="str">
        <f t="shared" si="96"/>
        <v>BASIC EMPLOYMENT COSTS</v>
      </c>
      <c r="O270" s="218" t="str">
        <f t="shared" si="100"/>
        <v>DRCBUK</v>
      </c>
      <c r="P270" s="218" t="str">
        <f t="shared" si="97"/>
        <v>AP21QR</v>
      </c>
      <c r="Q270" s="218" t="str">
        <f>"MRI"</f>
        <v>MRI</v>
      </c>
      <c r="R270" s="218" t="str">
        <f>""</f>
        <v/>
      </c>
      <c r="S270" s="218" t="str">
        <f t="shared" si="101"/>
        <v>057</v>
      </c>
      <c r="T270" s="218" t="str">
        <f t="shared" si="102"/>
        <v>D</v>
      </c>
      <c r="U270" s="218" t="str">
        <f t="shared" si="98"/>
        <v>AFR000</v>
      </c>
      <c r="V270" s="218" t="str">
        <f t="shared" si="99"/>
        <v>###</v>
      </c>
      <c r="W270" s="218">
        <v>1.81</v>
      </c>
      <c r="X270" s="218" t="str">
        <f t="shared" si="103"/>
        <v>USD</v>
      </c>
      <c r="Y270" s="218">
        <v>1.45</v>
      </c>
      <c r="Z270" s="218">
        <v>1.81</v>
      </c>
      <c r="AA270" s="218">
        <v>1.63</v>
      </c>
    </row>
    <row r="271" spans="1:27">
      <c r="A271" s="218" t="s">
        <v>2592</v>
      </c>
      <c r="F271" s="219" t="str">
        <f>"""IntAlert Live"",""ALERT UK"",""17"",""1"",""546135"""</f>
        <v>"IntAlert Live","ALERT UK","17","1","546135"</v>
      </c>
      <c r="G271" s="223">
        <v>43948</v>
      </c>
      <c r="H271" s="223"/>
      <c r="I271" s="218" t="str">
        <f>"DRCBUK/BANK/2020/04/014"</f>
        <v>DRCBUK/BANK/2020/04/014</v>
      </c>
      <c r="K271" s="218" t="str">
        <f>"CNSS BUKAVU"</f>
        <v>CNSS BUKAVU</v>
      </c>
      <c r="L271" s="218" t="str">
        <f>"CNSS-Avril 2020  Georgine BAMUNOBA TIBANAGWA-10%"</f>
        <v>CNSS-Avril 2020  Georgine BAMUNOBA TIBANAGWA-10%</v>
      </c>
      <c r="M271" s="218" t="str">
        <f>"5110"</f>
        <v>5110</v>
      </c>
      <c r="N271" s="218" t="str">
        <f>"EMPLOYER'S PENSION COSTS"</f>
        <v>EMPLOYER'S PENSION COSTS</v>
      </c>
      <c r="O271" s="218" t="str">
        <f t="shared" si="100"/>
        <v>DRCBUK</v>
      </c>
      <c r="P271" s="218" t="str">
        <f t="shared" si="97"/>
        <v>AP21QR</v>
      </c>
      <c r="Q271" s="218" t="str">
        <f>"BAM"</f>
        <v>BAM</v>
      </c>
      <c r="R271" s="218" t="str">
        <f>""</f>
        <v/>
      </c>
      <c r="S271" s="218" t="str">
        <f t="shared" si="101"/>
        <v>057</v>
      </c>
      <c r="T271" s="218" t="str">
        <f t="shared" si="102"/>
        <v>D</v>
      </c>
      <c r="U271" s="218" t="str">
        <f t="shared" si="98"/>
        <v>AFR000</v>
      </c>
      <c r="V271" s="218" t="str">
        <f t="shared" si="99"/>
        <v>###</v>
      </c>
      <c r="W271" s="218">
        <v>7.76</v>
      </c>
      <c r="X271" s="218" t="str">
        <f t="shared" si="103"/>
        <v>USD</v>
      </c>
      <c r="Y271" s="218">
        <v>6.23</v>
      </c>
      <c r="Z271" s="218">
        <v>7.76</v>
      </c>
      <c r="AA271" s="218">
        <v>7.01</v>
      </c>
    </row>
    <row r="272" spans="1:27">
      <c r="A272" s="218" t="s">
        <v>2592</v>
      </c>
      <c r="F272" s="219" t="str">
        <f>"""IntAlert Live"",""ALERT UK"",""17"",""1"",""546144"""</f>
        <v>"IntAlert Live","ALERT UK","17","1","546144"</v>
      </c>
      <c r="G272" s="223">
        <v>43948</v>
      </c>
      <c r="H272" s="223"/>
      <c r="I272" s="218" t="str">
        <f>"DRCBUK/BANK/2020/04/014"</f>
        <v>DRCBUK/BANK/2020/04/014</v>
      </c>
      <c r="K272" s="218" t="str">
        <f>"CNSS BUKAVU"</f>
        <v>CNSS BUKAVU</v>
      </c>
      <c r="L272" s="218" t="str">
        <f>"CNSS-Avril 2020 Verre KILAURI  BANYWESIZE-5%"</f>
        <v>CNSS-Avril 2020 Verre KILAURI  BANYWESIZE-5%</v>
      </c>
      <c r="M272" s="218" t="str">
        <f>"5110"</f>
        <v>5110</v>
      </c>
      <c r="N272" s="218" t="str">
        <f>"EMPLOYER'S PENSION COSTS"</f>
        <v>EMPLOYER'S PENSION COSTS</v>
      </c>
      <c r="O272" s="218" t="str">
        <f t="shared" si="100"/>
        <v>DRCBUK</v>
      </c>
      <c r="P272" s="218" t="str">
        <f t="shared" si="97"/>
        <v>AP21QR</v>
      </c>
      <c r="Q272" s="218" t="str">
        <f>"KIA"</f>
        <v>KIA</v>
      </c>
      <c r="R272" s="218" t="str">
        <f>""</f>
        <v/>
      </c>
      <c r="S272" s="218" t="str">
        <f t="shared" si="101"/>
        <v>057</v>
      </c>
      <c r="T272" s="218" t="str">
        <f t="shared" si="102"/>
        <v>D</v>
      </c>
      <c r="U272" s="218" t="str">
        <f t="shared" si="98"/>
        <v>AFR000</v>
      </c>
      <c r="V272" s="218" t="str">
        <f t="shared" si="99"/>
        <v>###</v>
      </c>
      <c r="W272" s="218">
        <v>11.22</v>
      </c>
      <c r="X272" s="218" t="str">
        <f t="shared" si="103"/>
        <v>USD</v>
      </c>
      <c r="Y272" s="218">
        <v>9.01</v>
      </c>
      <c r="Z272" s="218">
        <v>11.22</v>
      </c>
      <c r="AA272" s="218">
        <v>10.130000000000001</v>
      </c>
    </row>
    <row r="273" spans="1:27">
      <c r="A273" s="218" t="s">
        <v>2592</v>
      </c>
      <c r="F273" s="219" t="str">
        <f>"""IntAlert Live"",""ALERT UK"",""17"",""1"",""546148"""</f>
        <v>"IntAlert Live","ALERT UK","17","1","546148"</v>
      </c>
      <c r="G273" s="223">
        <v>43948</v>
      </c>
      <c r="H273" s="223"/>
      <c r="I273" s="218" t="str">
        <f>"DRCBUK/BANK/2020/04/014"</f>
        <v>DRCBUK/BANK/2020/04/014</v>
      </c>
      <c r="K273" s="218" t="str">
        <f>"CNSS BUKAVU"</f>
        <v>CNSS BUKAVU</v>
      </c>
      <c r="L273" s="218" t="str">
        <f>"CNSS-Avril 2020  Michel MIRINDI BASHWERE-5%"</f>
        <v>CNSS-Avril 2020  Michel MIRINDI BASHWERE-5%</v>
      </c>
      <c r="M273" s="218" t="str">
        <f>"5110"</f>
        <v>5110</v>
      </c>
      <c r="N273" s="218" t="str">
        <f>"EMPLOYER'S PENSION COSTS"</f>
        <v>EMPLOYER'S PENSION COSTS</v>
      </c>
      <c r="O273" s="218" t="str">
        <f t="shared" si="100"/>
        <v>DRCBUK</v>
      </c>
      <c r="P273" s="218" t="str">
        <f t="shared" si="97"/>
        <v>AP21QR</v>
      </c>
      <c r="Q273" s="218" t="str">
        <f>"MRI"</f>
        <v>MRI</v>
      </c>
      <c r="R273" s="218" t="str">
        <f>""</f>
        <v/>
      </c>
      <c r="S273" s="218" t="str">
        <f t="shared" si="101"/>
        <v>057</v>
      </c>
      <c r="T273" s="218" t="str">
        <f t="shared" si="102"/>
        <v>D</v>
      </c>
      <c r="U273" s="218" t="str">
        <f t="shared" si="98"/>
        <v>AFR000</v>
      </c>
      <c r="V273" s="218" t="str">
        <f t="shared" si="99"/>
        <v>###</v>
      </c>
      <c r="W273" s="218">
        <v>2.93</v>
      </c>
      <c r="X273" s="218" t="str">
        <f t="shared" si="103"/>
        <v>USD</v>
      </c>
      <c r="Y273" s="218">
        <v>2.35</v>
      </c>
      <c r="Z273" s="218">
        <v>2.93</v>
      </c>
      <c r="AA273" s="218">
        <v>2.64</v>
      </c>
    </row>
    <row r="274" spans="1:27">
      <c r="A274" s="218" t="s">
        <v>2592</v>
      </c>
      <c r="F274" s="219" t="str">
        <f>"""IntAlert Live"",""ALERT UK"",""17"",""1"",""546170"""</f>
        <v>"IntAlert Live","ALERT UK","17","1","546170"</v>
      </c>
      <c r="G274" s="223">
        <v>43948</v>
      </c>
      <c r="H274" s="223"/>
      <c r="I274" s="218" t="str">
        <f>"DRCBUK/BANK/2020/04/015"</f>
        <v>DRCBUK/BANK/2020/04/015</v>
      </c>
      <c r="K274" s="218" t="str">
        <f>"INPP SUD-KIVU"</f>
        <v>INPP SUD-KIVU</v>
      </c>
      <c r="L274" s="218" t="str">
        <f>"INPP-Avril 2020  Georgine BAMUNOBA TIBANAGWA-10%"</f>
        <v>INPP-Avril 2020  Georgine BAMUNOBA TIBANAGWA-10%</v>
      </c>
      <c r="M274" s="218" t="str">
        <f>"5160"</f>
        <v>5160</v>
      </c>
      <c r="N274" s="218" t="str">
        <f>"EMPLOYMENT BENEFITS COSTS"</f>
        <v>EMPLOYMENT BENEFITS COSTS</v>
      </c>
      <c r="O274" s="218" t="str">
        <f t="shared" si="100"/>
        <v>DRCBUK</v>
      </c>
      <c r="P274" s="218" t="str">
        <f t="shared" si="97"/>
        <v>AP21QR</v>
      </c>
      <c r="Q274" s="218" t="str">
        <f>"BAM"</f>
        <v>BAM</v>
      </c>
      <c r="R274" s="218" t="str">
        <f>""</f>
        <v/>
      </c>
      <c r="S274" s="218" t="str">
        <f t="shared" si="101"/>
        <v>057</v>
      </c>
      <c r="T274" s="218" t="str">
        <f t="shared" si="102"/>
        <v>D</v>
      </c>
      <c r="U274" s="218" t="str">
        <f t="shared" si="98"/>
        <v>AFR000</v>
      </c>
      <c r="V274" s="218" t="str">
        <f t="shared" si="99"/>
        <v>###</v>
      </c>
      <c r="W274" s="218">
        <v>1.29</v>
      </c>
      <c r="X274" s="218" t="str">
        <f t="shared" si="103"/>
        <v>USD</v>
      </c>
      <c r="Y274" s="218">
        <v>1.04</v>
      </c>
      <c r="Z274" s="218">
        <v>1.29</v>
      </c>
      <c r="AA274" s="218">
        <v>1.17</v>
      </c>
    </row>
    <row r="275" spans="1:27">
      <c r="A275" s="218" t="s">
        <v>2592</v>
      </c>
      <c r="F275" s="219" t="str">
        <f>"""IntAlert Live"",""ALERT UK"",""17"",""1"",""546179"""</f>
        <v>"IntAlert Live","ALERT UK","17","1","546179"</v>
      </c>
      <c r="G275" s="223">
        <v>43948</v>
      </c>
      <c r="H275" s="223"/>
      <c r="I275" s="218" t="str">
        <f>"DRCBUK/BANK/2020/04/015"</f>
        <v>DRCBUK/BANK/2020/04/015</v>
      </c>
      <c r="K275" s="218" t="str">
        <f>"INPP SUD-KIVU"</f>
        <v>INPP SUD-KIVU</v>
      </c>
      <c r="L275" s="218" t="str">
        <f>"INPP-Avril 2020 Verre KILAURI  BANYWESIZE-5%"</f>
        <v>INPP-Avril 2020 Verre KILAURI  BANYWESIZE-5%</v>
      </c>
      <c r="M275" s="218" t="str">
        <f>"5160"</f>
        <v>5160</v>
      </c>
      <c r="N275" s="218" t="str">
        <f>"EMPLOYMENT BENEFITS COSTS"</f>
        <v>EMPLOYMENT BENEFITS COSTS</v>
      </c>
      <c r="O275" s="218" t="str">
        <f t="shared" si="100"/>
        <v>DRCBUK</v>
      </c>
      <c r="P275" s="218" t="str">
        <f t="shared" si="97"/>
        <v>AP21QR</v>
      </c>
      <c r="Q275" s="218" t="str">
        <f>"KIA"</f>
        <v>KIA</v>
      </c>
      <c r="R275" s="218" t="str">
        <f>""</f>
        <v/>
      </c>
      <c r="S275" s="218" t="str">
        <f t="shared" si="101"/>
        <v>057</v>
      </c>
      <c r="T275" s="218" t="str">
        <f t="shared" si="102"/>
        <v>D</v>
      </c>
      <c r="U275" s="218" t="str">
        <f t="shared" si="98"/>
        <v>AFR000</v>
      </c>
      <c r="V275" s="218" t="str">
        <f t="shared" si="99"/>
        <v>###</v>
      </c>
      <c r="W275" s="218">
        <v>1.87</v>
      </c>
      <c r="X275" s="218" t="str">
        <f t="shared" si="103"/>
        <v>USD</v>
      </c>
      <c r="Y275" s="218">
        <v>1.5</v>
      </c>
      <c r="Z275" s="218">
        <v>1.87</v>
      </c>
      <c r="AA275" s="218">
        <v>1.69</v>
      </c>
    </row>
    <row r="276" spans="1:27">
      <c r="A276" s="218" t="s">
        <v>2592</v>
      </c>
      <c r="F276" s="219" t="str">
        <f>"""IntAlert Live"",""ALERT UK"",""17"",""1"",""546183"""</f>
        <v>"IntAlert Live","ALERT UK","17","1","546183"</v>
      </c>
      <c r="G276" s="223">
        <v>43948</v>
      </c>
      <c r="H276" s="223"/>
      <c r="I276" s="218" t="str">
        <f>"DRCBUK/BANK/2020/04/015"</f>
        <v>DRCBUK/BANK/2020/04/015</v>
      </c>
      <c r="K276" s="218" t="str">
        <f>"INPP SUD-KIVU"</f>
        <v>INPP SUD-KIVU</v>
      </c>
      <c r="L276" s="218" t="str">
        <f>"INPP-Avril 2020  Michel MIRINDI BASHWERE-5%"</f>
        <v>INPP-Avril 2020  Michel MIRINDI BASHWERE-5%</v>
      </c>
      <c r="M276" s="218" t="str">
        <f>"5160"</f>
        <v>5160</v>
      </c>
      <c r="N276" s="218" t="str">
        <f>"EMPLOYMENT BENEFITS COSTS"</f>
        <v>EMPLOYMENT BENEFITS COSTS</v>
      </c>
      <c r="O276" s="218" t="str">
        <f t="shared" si="100"/>
        <v>DRCBUK</v>
      </c>
      <c r="P276" s="218" t="str">
        <f t="shared" si="97"/>
        <v>AP21QR</v>
      </c>
      <c r="Q276" s="218" t="str">
        <f>"MRI"</f>
        <v>MRI</v>
      </c>
      <c r="R276" s="218" t="str">
        <f>""</f>
        <v/>
      </c>
      <c r="S276" s="218" t="str">
        <f t="shared" si="101"/>
        <v>057</v>
      </c>
      <c r="T276" s="218" t="str">
        <f t="shared" si="102"/>
        <v>D</v>
      </c>
      <c r="U276" s="218" t="str">
        <f t="shared" si="98"/>
        <v>AFR000</v>
      </c>
      <c r="V276" s="218" t="str">
        <f t="shared" si="99"/>
        <v>###</v>
      </c>
      <c r="W276" s="218">
        <v>0.49</v>
      </c>
      <c r="X276" s="218" t="str">
        <f t="shared" si="103"/>
        <v>USD</v>
      </c>
      <c r="Y276" s="218">
        <v>0.39</v>
      </c>
      <c r="Z276" s="218">
        <v>0.49</v>
      </c>
      <c r="AA276" s="218">
        <v>0.44</v>
      </c>
    </row>
    <row r="277" spans="1:27">
      <c r="A277" s="218" t="s">
        <v>2592</v>
      </c>
      <c r="F277" s="219" t="str">
        <f>"""IntAlert Live"",""ALERT UK"",""17"",""1"",""545582"""</f>
        <v>"IntAlert Live","ALERT UK","17","1","545582"</v>
      </c>
      <c r="G277" s="223">
        <v>43949</v>
      </c>
      <c r="H277" s="223"/>
      <c r="I277" s="218" t="str">
        <f>"DRCGOM/ BANQUE/2020/004/010"</f>
        <v>DRCGOM/ BANQUE/2020/004/010</v>
      </c>
      <c r="K277" s="218" t="str">
        <f>"SALAIRE-APR'20-ADOLPHINE KAVIRA"</f>
        <v>SALAIRE-APR'20-ADOLPHINE KAVIRA</v>
      </c>
      <c r="L277" s="218" t="str">
        <f>"Salaire-Apr'20-Adolphine KAVIRA KAMBASU 5%"</f>
        <v>Salaire-Apr'20-Adolphine KAVIRA KAMBASU 5%</v>
      </c>
      <c r="M277" s="218" t="str">
        <f>"5100"</f>
        <v>5100</v>
      </c>
      <c r="N277" s="218" t="str">
        <f>"BASIC EMPLOYMENT COSTS"</f>
        <v>BASIC EMPLOYMENT COSTS</v>
      </c>
      <c r="O277" s="218" t="str">
        <f t="shared" ref="O277:O289" si="104">"DRCGOM"</f>
        <v>DRCGOM</v>
      </c>
      <c r="P277" s="218" t="str">
        <f t="shared" si="97"/>
        <v>AP21QR</v>
      </c>
      <c r="Q277" s="218" t="str">
        <f>"KAS"</f>
        <v>KAS</v>
      </c>
      <c r="R277" s="218" t="str">
        <f>""</f>
        <v/>
      </c>
      <c r="S277" s="218" t="str">
        <f t="shared" si="101"/>
        <v>057</v>
      </c>
      <c r="T277" s="218" t="str">
        <f t="shared" si="102"/>
        <v>D</v>
      </c>
      <c r="U277" s="218" t="str">
        <f t="shared" si="98"/>
        <v>AFR000</v>
      </c>
      <c r="V277" s="218" t="str">
        <f t="shared" si="99"/>
        <v>###</v>
      </c>
      <c r="W277" s="218">
        <v>30.81</v>
      </c>
      <c r="X277" s="218" t="str">
        <f t="shared" si="103"/>
        <v>USD</v>
      </c>
      <c r="Y277" s="218">
        <v>24.74</v>
      </c>
      <c r="Z277" s="218">
        <v>30.81</v>
      </c>
      <c r="AA277" s="218">
        <v>27.83</v>
      </c>
    </row>
    <row r="278" spans="1:27">
      <c r="A278" s="218" t="s">
        <v>2592</v>
      </c>
      <c r="F278" s="219" t="str">
        <f>"""IntAlert Live"",""ALERT UK"",""17"",""1"",""545616"""</f>
        <v>"IntAlert Live","ALERT UK","17","1","545616"</v>
      </c>
      <c r="G278" s="223">
        <v>43949</v>
      </c>
      <c r="H278" s="223"/>
      <c r="I278" s="218" t="str">
        <f>"DRCGOM/ BANQUE/2020/004/010"</f>
        <v>DRCGOM/ BANQUE/2020/004/010</v>
      </c>
      <c r="K278" s="218" t="str">
        <f>"SALAIRE-APR'20-BIENVENU MAKURU AMANI"</f>
        <v>SALAIRE-APR'20-BIENVENU MAKURU AMANI</v>
      </c>
      <c r="L278" s="218" t="str">
        <f>"Salaire-Apr'20-Bienvenu MAKURU AMANI 5%"</f>
        <v>Salaire-Apr'20-Bienvenu MAKURU AMANI 5%</v>
      </c>
      <c r="M278" s="218" t="str">
        <f>"5100"</f>
        <v>5100</v>
      </c>
      <c r="N278" s="218" t="str">
        <f>"BASIC EMPLOYMENT COSTS"</f>
        <v>BASIC EMPLOYMENT COSTS</v>
      </c>
      <c r="O278" s="218" t="str">
        <f t="shared" si="104"/>
        <v>DRCGOM</v>
      </c>
      <c r="P278" s="218" t="str">
        <f t="shared" si="97"/>
        <v>AP21QR</v>
      </c>
      <c r="Q278" s="218" t="str">
        <f>"SEN"</f>
        <v>SEN</v>
      </c>
      <c r="R278" s="218" t="str">
        <f>""</f>
        <v/>
      </c>
      <c r="S278" s="218" t="str">
        <f t="shared" si="101"/>
        <v>057</v>
      </c>
      <c r="T278" s="218" t="str">
        <f t="shared" si="102"/>
        <v>D</v>
      </c>
      <c r="U278" s="218" t="str">
        <f t="shared" si="98"/>
        <v>AFR000</v>
      </c>
      <c r="V278" s="218" t="str">
        <f t="shared" si="99"/>
        <v>###</v>
      </c>
      <c r="W278" s="218">
        <v>81.14</v>
      </c>
      <c r="X278" s="218" t="str">
        <f t="shared" si="103"/>
        <v>USD</v>
      </c>
      <c r="Y278" s="218">
        <v>65.150000000000006</v>
      </c>
      <c r="Z278" s="218">
        <v>81.14</v>
      </c>
      <c r="AA278" s="218">
        <v>73.28</v>
      </c>
    </row>
    <row r="279" spans="1:27">
      <c r="A279" s="218" t="s">
        <v>2592</v>
      </c>
      <c r="F279" s="219" t="str">
        <f>"""IntAlert Live"",""ALERT UK"",""17"",""1"",""545631"""</f>
        <v>"IntAlert Live","ALERT UK","17","1","545631"</v>
      </c>
      <c r="G279" s="223">
        <v>43949</v>
      </c>
      <c r="H279" s="223"/>
      <c r="I279" s="218" t="str">
        <f>"DRCGOM/ BANQUE/2020/004/010"</f>
        <v>DRCGOM/ BANQUE/2020/004/010</v>
      </c>
      <c r="K279" s="218" t="str">
        <f>"SALAIRE-APR'20-JACQUES ZIGABE BUHENDWA"</f>
        <v>SALAIRE-APR'20-JACQUES ZIGABE BUHENDWA</v>
      </c>
      <c r="L279" s="218" t="str">
        <f>"Salaire-Apr'20-Jacques Zigabe Buhendwa 5%"</f>
        <v>Salaire-Apr'20-Jacques Zigabe Buhendwa 5%</v>
      </c>
      <c r="M279" s="218" t="str">
        <f>"5100"</f>
        <v>5100</v>
      </c>
      <c r="N279" s="218" t="str">
        <f>"BASIC EMPLOYMENT COSTS"</f>
        <v>BASIC EMPLOYMENT COSTS</v>
      </c>
      <c r="O279" s="218" t="str">
        <f t="shared" si="104"/>
        <v>DRCGOM</v>
      </c>
      <c r="P279" s="218" t="str">
        <f t="shared" si="97"/>
        <v>AP21QR</v>
      </c>
      <c r="Q279" s="218" t="str">
        <f>"BUE"</f>
        <v>BUE</v>
      </c>
      <c r="R279" s="218" t="str">
        <f>""</f>
        <v/>
      </c>
      <c r="S279" s="218" t="str">
        <f t="shared" si="101"/>
        <v>057</v>
      </c>
      <c r="T279" s="218" t="str">
        <f t="shared" si="102"/>
        <v>D</v>
      </c>
      <c r="U279" s="218" t="str">
        <f t="shared" si="98"/>
        <v>AFR000</v>
      </c>
      <c r="V279" s="218" t="str">
        <f t="shared" si="99"/>
        <v>###</v>
      </c>
      <c r="W279" s="218">
        <v>28.38</v>
      </c>
      <c r="X279" s="218" t="str">
        <f t="shared" si="103"/>
        <v>USD</v>
      </c>
      <c r="Y279" s="218">
        <v>22.79</v>
      </c>
      <c r="Z279" s="218">
        <v>28.38</v>
      </c>
      <c r="AA279" s="218">
        <v>25.64</v>
      </c>
    </row>
    <row r="280" spans="1:27">
      <c r="A280" s="218" t="s">
        <v>2592</v>
      </c>
      <c r="F280" s="219" t="str">
        <f>"""IntAlert Live"",""ALERT UK"",""17"",""1"",""545916"""</f>
        <v>"IntAlert Live","ALERT UK","17","1","545916"</v>
      </c>
      <c r="G280" s="223">
        <v>43949</v>
      </c>
      <c r="H280" s="223"/>
      <c r="I280" s="218" t="str">
        <f>"DRCGOM/ CAISSE/2020/004/001"</f>
        <v>DRCGOM/ CAISSE/2020/004/001</v>
      </c>
      <c r="K280" s="218" t="str">
        <f>"ONEM APRIL 2020"</f>
        <v>ONEM APRIL 2020</v>
      </c>
      <c r="L280" s="218" t="str">
        <f>"ONEM-Apr'20-Adolphine KAVIRA KAMBASU 5%"</f>
        <v>ONEM-Apr'20-Adolphine KAVIRA KAMBASU 5%</v>
      </c>
      <c r="M280" s="218" t="str">
        <f>"5150"</f>
        <v>5150</v>
      </c>
      <c r="N280" s="218" t="str">
        <f>"EMPLOYMENT RELOCATION COSTS"</f>
        <v>EMPLOYMENT RELOCATION COSTS</v>
      </c>
      <c r="O280" s="218" t="str">
        <f t="shared" si="104"/>
        <v>DRCGOM</v>
      </c>
      <c r="P280" s="218" t="str">
        <f t="shared" si="97"/>
        <v>AP21QR</v>
      </c>
      <c r="Q280" s="218" t="str">
        <f>"KAS"</f>
        <v>KAS</v>
      </c>
      <c r="R280" s="218" t="str">
        <f>""</f>
        <v/>
      </c>
      <c r="S280" s="218" t="str">
        <f t="shared" si="101"/>
        <v>057</v>
      </c>
      <c r="T280" s="218" t="str">
        <f t="shared" si="102"/>
        <v>D</v>
      </c>
      <c r="U280" s="218" t="str">
        <f t="shared" si="98"/>
        <v>AFR000</v>
      </c>
      <c r="V280" s="218" t="str">
        <f t="shared" si="99"/>
        <v>###</v>
      </c>
      <c r="W280" s="218">
        <v>0.04</v>
      </c>
      <c r="X280" s="218" t="str">
        <f t="shared" si="103"/>
        <v>USD</v>
      </c>
      <c r="Y280" s="218">
        <v>0.03</v>
      </c>
      <c r="Z280" s="218">
        <v>0.04</v>
      </c>
      <c r="AA280" s="218">
        <v>0.03</v>
      </c>
    </row>
    <row r="281" spans="1:27">
      <c r="A281" s="218" t="s">
        <v>2592</v>
      </c>
      <c r="F281" s="219" t="str">
        <f>"""IntAlert Live"",""ALERT UK"",""17"",""1"",""545950"""</f>
        <v>"IntAlert Live","ALERT UK","17","1","545950"</v>
      </c>
      <c r="G281" s="223">
        <v>43949</v>
      </c>
      <c r="H281" s="223"/>
      <c r="I281" s="218" t="str">
        <f>"DRCGOM/ CAISSE/2020/004/001"</f>
        <v>DRCGOM/ CAISSE/2020/004/001</v>
      </c>
      <c r="K281" s="218" t="str">
        <f>"ONEM APRIL 2020"</f>
        <v>ONEM APRIL 2020</v>
      </c>
      <c r="L281" s="218" t="str">
        <f>"ONEM-Apr'20-Bienvenu MAKURU AMANI 5%"</f>
        <v>ONEM-Apr'20-Bienvenu MAKURU AMANI 5%</v>
      </c>
      <c r="M281" s="218" t="str">
        <f>"5150"</f>
        <v>5150</v>
      </c>
      <c r="N281" s="218" t="str">
        <f>"EMPLOYMENT RELOCATION COSTS"</f>
        <v>EMPLOYMENT RELOCATION COSTS</v>
      </c>
      <c r="O281" s="218" t="str">
        <f t="shared" si="104"/>
        <v>DRCGOM</v>
      </c>
      <c r="P281" s="218" t="str">
        <f t="shared" si="97"/>
        <v>AP21QR</v>
      </c>
      <c r="Q281" s="218" t="str">
        <f>"SEN"</f>
        <v>SEN</v>
      </c>
      <c r="R281" s="218" t="str">
        <f>""</f>
        <v/>
      </c>
      <c r="S281" s="218" t="str">
        <f t="shared" si="101"/>
        <v>057</v>
      </c>
      <c r="T281" s="218" t="str">
        <f t="shared" si="102"/>
        <v>D</v>
      </c>
      <c r="U281" s="218" t="str">
        <f t="shared" si="98"/>
        <v>AFR000</v>
      </c>
      <c r="V281" s="218" t="str">
        <f t="shared" si="99"/>
        <v>###</v>
      </c>
      <c r="W281" s="218">
        <v>0.12</v>
      </c>
      <c r="X281" s="218" t="str">
        <f t="shared" si="103"/>
        <v>USD</v>
      </c>
      <c r="Y281" s="218">
        <v>0.1</v>
      </c>
      <c r="Z281" s="218">
        <v>0.12</v>
      </c>
      <c r="AA281" s="218">
        <v>0.11</v>
      </c>
    </row>
    <row r="282" spans="1:27">
      <c r="A282" s="218" t="s">
        <v>2592</v>
      </c>
      <c r="F282" s="219" t="str">
        <f>"""IntAlert Live"",""ALERT UK"",""17"",""1"",""545965"""</f>
        <v>"IntAlert Live","ALERT UK","17","1","545965"</v>
      </c>
      <c r="G282" s="223">
        <v>43949</v>
      </c>
      <c r="H282" s="223"/>
      <c r="I282" s="218" t="str">
        <f>"DRCGOM/ CAISSE/2020/004/001"</f>
        <v>DRCGOM/ CAISSE/2020/004/001</v>
      </c>
      <c r="K282" s="218" t="str">
        <f>"ONEM APRIL 2020"</f>
        <v>ONEM APRIL 2020</v>
      </c>
      <c r="L282" s="218" t="str">
        <f>"ONEM-Apr'20-Jacques Zigabe Buhendwa 5%"</f>
        <v>ONEM-Apr'20-Jacques Zigabe Buhendwa 5%</v>
      </c>
      <c r="M282" s="218" t="str">
        <f>"5150"</f>
        <v>5150</v>
      </c>
      <c r="N282" s="218" t="str">
        <f>"EMPLOYMENT RELOCATION COSTS"</f>
        <v>EMPLOYMENT RELOCATION COSTS</v>
      </c>
      <c r="O282" s="218" t="str">
        <f t="shared" si="104"/>
        <v>DRCGOM</v>
      </c>
      <c r="P282" s="218" t="str">
        <f t="shared" si="97"/>
        <v>AP21QR</v>
      </c>
      <c r="Q282" s="218" t="str">
        <f>"BUE"</f>
        <v>BUE</v>
      </c>
      <c r="R282" s="218" t="str">
        <f>""</f>
        <v/>
      </c>
      <c r="S282" s="218" t="str">
        <f t="shared" si="101"/>
        <v>057</v>
      </c>
      <c r="T282" s="218" t="str">
        <f t="shared" si="102"/>
        <v>D</v>
      </c>
      <c r="U282" s="218" t="str">
        <f t="shared" si="98"/>
        <v>AFR000</v>
      </c>
      <c r="V282" s="218" t="str">
        <f t="shared" si="99"/>
        <v>###</v>
      </c>
      <c r="W282" s="218">
        <v>0.04</v>
      </c>
      <c r="X282" s="218" t="str">
        <f t="shared" si="103"/>
        <v>USD</v>
      </c>
      <c r="Y282" s="218">
        <v>0.03</v>
      </c>
      <c r="Z282" s="218">
        <v>0.04</v>
      </c>
      <c r="AA282" s="218">
        <v>0.03</v>
      </c>
    </row>
    <row r="283" spans="1:27">
      <c r="A283" s="218" t="s">
        <v>2592</v>
      </c>
      <c r="F283" s="219" t="str">
        <f>"""IntAlert Live"",""ALERT UK"",""17"",""1"",""545643"""</f>
        <v>"IntAlert Live","ALERT UK","17","1","545643"</v>
      </c>
      <c r="G283" s="223">
        <v>43950</v>
      </c>
      <c r="H283" s="223"/>
      <c r="I283" s="218" t="str">
        <f>"DRCGOM/ BANQUE/2020/004/011"</f>
        <v>DRCGOM/ BANQUE/2020/004/011</v>
      </c>
      <c r="K283" s="218" t="str">
        <f>"CNSS-APRIL 2020"</f>
        <v>CNSS-APRIL 2020</v>
      </c>
      <c r="L283" s="218" t="str">
        <f>"CNSS-Apr'20-Adolphine KAVIRA KAMBASU 5%"</f>
        <v>CNSS-Apr'20-Adolphine KAVIRA KAMBASU 5%</v>
      </c>
      <c r="M283" s="218" t="str">
        <f>"5110"</f>
        <v>5110</v>
      </c>
      <c r="N283" s="218" t="str">
        <f>"EMPLOYER'S PENSION COSTS"</f>
        <v>EMPLOYER'S PENSION COSTS</v>
      </c>
      <c r="O283" s="218" t="str">
        <f t="shared" si="104"/>
        <v>DRCGOM</v>
      </c>
      <c r="P283" s="218" t="str">
        <f t="shared" si="97"/>
        <v>AP21QR</v>
      </c>
      <c r="Q283" s="218" t="str">
        <f>"KAS"</f>
        <v>KAS</v>
      </c>
      <c r="R283" s="218" t="str">
        <f>""</f>
        <v/>
      </c>
      <c r="S283" s="218" t="str">
        <f t="shared" si="101"/>
        <v>057</v>
      </c>
      <c r="T283" s="218" t="str">
        <f t="shared" si="102"/>
        <v>D</v>
      </c>
      <c r="U283" s="218" t="str">
        <f t="shared" si="98"/>
        <v>AFR000</v>
      </c>
      <c r="V283" s="218" t="str">
        <f t="shared" si="99"/>
        <v>###</v>
      </c>
      <c r="W283" s="218">
        <v>3.8</v>
      </c>
      <c r="X283" s="218" t="str">
        <f t="shared" si="103"/>
        <v>USD</v>
      </c>
      <c r="Y283" s="218">
        <v>3.05</v>
      </c>
      <c r="Z283" s="218">
        <v>3.8</v>
      </c>
      <c r="AA283" s="218">
        <v>3.43</v>
      </c>
    </row>
    <row r="284" spans="1:27">
      <c r="A284" s="218" t="s">
        <v>2592</v>
      </c>
      <c r="F284" s="219" t="str">
        <f>"""IntAlert Live"",""ALERT UK"",""17"",""1"",""545644"""</f>
        <v>"IntAlert Live","ALERT UK","17","1","545644"</v>
      </c>
      <c r="G284" s="223">
        <v>43950</v>
      </c>
      <c r="H284" s="223"/>
      <c r="I284" s="218" t="str">
        <f>"DRCGOM/ BANQUE/2020/004/011"</f>
        <v>DRCGOM/ BANQUE/2020/004/011</v>
      </c>
      <c r="K284" s="218" t="str">
        <f>"CNSS-APRIL 2020"</f>
        <v>CNSS-APRIL 2020</v>
      </c>
      <c r="L284" s="218" t="str">
        <f>"CNSS-Apr'20-Adolphine KAVIRA KAMBASU 25%"</f>
        <v>CNSS-Apr'20-Adolphine KAVIRA KAMBASU 25%</v>
      </c>
      <c r="M284" s="218" t="str">
        <f>"5110"</f>
        <v>5110</v>
      </c>
      <c r="N284" s="218" t="str">
        <f>"EMPLOYER'S PENSION COSTS"</f>
        <v>EMPLOYER'S PENSION COSTS</v>
      </c>
      <c r="O284" s="218" t="str">
        <f t="shared" si="104"/>
        <v>DRCGOM</v>
      </c>
      <c r="P284" s="218" t="str">
        <f t="shared" si="97"/>
        <v>AP21QR</v>
      </c>
      <c r="Q284" s="218" t="str">
        <f>"KAS"</f>
        <v>KAS</v>
      </c>
      <c r="R284" s="218" t="str">
        <f>""</f>
        <v/>
      </c>
      <c r="S284" s="218" t="str">
        <f t="shared" si="101"/>
        <v>057</v>
      </c>
      <c r="T284" s="218" t="str">
        <f t="shared" si="102"/>
        <v>D</v>
      </c>
      <c r="U284" s="218" t="str">
        <f t="shared" si="98"/>
        <v>AFR000</v>
      </c>
      <c r="V284" s="218" t="str">
        <f t="shared" si="99"/>
        <v>###</v>
      </c>
      <c r="W284" s="218">
        <v>19</v>
      </c>
      <c r="X284" s="218" t="str">
        <f t="shared" si="103"/>
        <v>USD</v>
      </c>
      <c r="Y284" s="218">
        <v>15.26</v>
      </c>
      <c r="Z284" s="218">
        <v>19</v>
      </c>
      <c r="AA284" s="218">
        <v>17.170000000000002</v>
      </c>
    </row>
    <row r="285" spans="1:27">
      <c r="A285" s="218" t="s">
        <v>2592</v>
      </c>
      <c r="F285" s="219" t="str">
        <f>"""IntAlert Live"",""ALERT UK"",""17"",""1"",""545677"""</f>
        <v>"IntAlert Live","ALERT UK","17","1","545677"</v>
      </c>
      <c r="G285" s="223">
        <v>43950</v>
      </c>
      <c r="H285" s="223"/>
      <c r="I285" s="218" t="str">
        <f>"DRCGOM/ BANQUE/2020/004/011"</f>
        <v>DRCGOM/ BANQUE/2020/004/011</v>
      </c>
      <c r="K285" s="218" t="str">
        <f>"CNSS-APRIL 2020"</f>
        <v>CNSS-APRIL 2020</v>
      </c>
      <c r="L285" s="218" t="str">
        <f>"CNSS-Apr'20-Bienvenu MAKURU AMANI 5%"</f>
        <v>CNSS-Apr'20-Bienvenu MAKURU AMANI 5%</v>
      </c>
      <c r="M285" s="218" t="str">
        <f>"5110"</f>
        <v>5110</v>
      </c>
      <c r="N285" s="218" t="str">
        <f>"EMPLOYER'S PENSION COSTS"</f>
        <v>EMPLOYER'S PENSION COSTS</v>
      </c>
      <c r="O285" s="218" t="str">
        <f t="shared" si="104"/>
        <v>DRCGOM</v>
      </c>
      <c r="P285" s="218" t="str">
        <f t="shared" si="97"/>
        <v>AP21QR</v>
      </c>
      <c r="Q285" s="218" t="str">
        <f>"SEN"</f>
        <v>SEN</v>
      </c>
      <c r="R285" s="218" t="str">
        <f>""</f>
        <v/>
      </c>
      <c r="S285" s="218" t="str">
        <f t="shared" si="101"/>
        <v>057</v>
      </c>
      <c r="T285" s="218" t="str">
        <f t="shared" si="102"/>
        <v>D</v>
      </c>
      <c r="U285" s="218" t="str">
        <f t="shared" si="98"/>
        <v>AFR000</v>
      </c>
      <c r="V285" s="218" t="str">
        <f t="shared" si="99"/>
        <v>###</v>
      </c>
      <c r="W285" s="218">
        <v>11.22</v>
      </c>
      <c r="X285" s="218" t="str">
        <f t="shared" si="103"/>
        <v>USD</v>
      </c>
      <c r="Y285" s="218">
        <v>9.01</v>
      </c>
      <c r="Z285" s="218">
        <v>11.22</v>
      </c>
      <c r="AA285" s="218">
        <v>10.130000000000001</v>
      </c>
    </row>
    <row r="286" spans="1:27">
      <c r="A286" s="218" t="s">
        <v>2592</v>
      </c>
      <c r="F286" s="219" t="str">
        <f>"""IntAlert Live"",""ALERT UK"",""17"",""1"",""545692"""</f>
        <v>"IntAlert Live","ALERT UK","17","1","545692"</v>
      </c>
      <c r="G286" s="223">
        <v>43950</v>
      </c>
      <c r="H286" s="223"/>
      <c r="I286" s="218" t="str">
        <f>"DRCGOM/ BANQUE/2020/004/011"</f>
        <v>DRCGOM/ BANQUE/2020/004/011</v>
      </c>
      <c r="K286" s="218" t="str">
        <f>"CNSS-APRIL 2020"</f>
        <v>CNSS-APRIL 2020</v>
      </c>
      <c r="L286" s="218" t="str">
        <f>"CNSS-Apr'20-Jacques Zigabe Buhendwa 5%"</f>
        <v>CNSS-Apr'20-Jacques Zigabe Buhendwa 5%</v>
      </c>
      <c r="M286" s="218" t="str">
        <f>"5110"</f>
        <v>5110</v>
      </c>
      <c r="N286" s="218" t="str">
        <f>"EMPLOYER'S PENSION COSTS"</f>
        <v>EMPLOYER'S PENSION COSTS</v>
      </c>
      <c r="O286" s="218" t="str">
        <f t="shared" si="104"/>
        <v>DRCGOM</v>
      </c>
      <c r="P286" s="218" t="str">
        <f t="shared" si="97"/>
        <v>AP21QR</v>
      </c>
      <c r="Q286" s="218" t="str">
        <f>"BUE"</f>
        <v>BUE</v>
      </c>
      <c r="R286" s="218" t="str">
        <f>""</f>
        <v/>
      </c>
      <c r="S286" s="218" t="str">
        <f t="shared" si="101"/>
        <v>057</v>
      </c>
      <c r="T286" s="218" t="str">
        <f t="shared" si="102"/>
        <v>D</v>
      </c>
      <c r="U286" s="218" t="str">
        <f t="shared" si="98"/>
        <v>AFR000</v>
      </c>
      <c r="V286" s="218" t="str">
        <f t="shared" si="99"/>
        <v>###</v>
      </c>
      <c r="W286" s="218">
        <v>3.24</v>
      </c>
      <c r="X286" s="218" t="str">
        <f t="shared" si="103"/>
        <v>USD</v>
      </c>
      <c r="Y286" s="218">
        <v>2.6</v>
      </c>
      <c r="Z286" s="218">
        <v>3.24</v>
      </c>
      <c r="AA286" s="218">
        <v>2.92</v>
      </c>
    </row>
    <row r="287" spans="1:27">
      <c r="A287" s="218" t="s">
        <v>2592</v>
      </c>
      <c r="F287" s="219" t="str">
        <f>"""IntAlert Live"",""ALERT UK"",""17"",""1"",""545703"""</f>
        <v>"IntAlert Live","ALERT UK","17","1","545703"</v>
      </c>
      <c r="G287" s="223">
        <v>43950</v>
      </c>
      <c r="H287" s="223"/>
      <c r="I287" s="218" t="str">
        <f>"DRCGOM/ BANQUE/2020/004/012"</f>
        <v>DRCGOM/ BANQUE/2020/004/012</v>
      </c>
      <c r="K287" s="218" t="str">
        <f>"INPP APRIL 2020"</f>
        <v>INPP APRIL 2020</v>
      </c>
      <c r="L287" s="218" t="str">
        <f>"INPP-Apr'20-Adolphine KAVIRA KAMBASU 5%"</f>
        <v>INPP-Apr'20-Adolphine KAVIRA KAMBASU 5%</v>
      </c>
      <c r="M287" s="218" t="str">
        <f>"5150"</f>
        <v>5150</v>
      </c>
      <c r="N287" s="218" t="str">
        <f>"EMPLOYMENT RELOCATION COSTS"</f>
        <v>EMPLOYMENT RELOCATION COSTS</v>
      </c>
      <c r="O287" s="218" t="str">
        <f t="shared" si="104"/>
        <v>DRCGOM</v>
      </c>
      <c r="P287" s="218" t="str">
        <f t="shared" si="97"/>
        <v>AP21QR</v>
      </c>
      <c r="Q287" s="218" t="str">
        <f>"KAS"</f>
        <v>KAS</v>
      </c>
      <c r="R287" s="218" t="str">
        <f>""</f>
        <v/>
      </c>
      <c r="S287" s="218" t="str">
        <f t="shared" si="101"/>
        <v>057</v>
      </c>
      <c r="T287" s="218" t="str">
        <f t="shared" si="102"/>
        <v>D</v>
      </c>
      <c r="U287" s="218" t="str">
        <f t="shared" si="98"/>
        <v>AFR000</v>
      </c>
      <c r="V287" s="218" t="str">
        <f t="shared" si="99"/>
        <v>###</v>
      </c>
      <c r="W287" s="218">
        <v>0.63</v>
      </c>
      <c r="X287" s="218" t="str">
        <f t="shared" si="103"/>
        <v>USD</v>
      </c>
      <c r="Y287" s="218">
        <v>0.51</v>
      </c>
      <c r="Z287" s="218">
        <v>0.63</v>
      </c>
      <c r="AA287" s="218">
        <v>0.56999999999999995</v>
      </c>
    </row>
    <row r="288" spans="1:27">
      <c r="A288" s="218" t="s">
        <v>2592</v>
      </c>
      <c r="F288" s="219" t="str">
        <f>"""IntAlert Live"",""ALERT UK"",""17"",""1"",""545737"""</f>
        <v>"IntAlert Live","ALERT UK","17","1","545737"</v>
      </c>
      <c r="G288" s="223">
        <v>43950</v>
      </c>
      <c r="H288" s="223"/>
      <c r="I288" s="218" t="str">
        <f>"DRCGOM/ BANQUE/2020/004/012"</f>
        <v>DRCGOM/ BANQUE/2020/004/012</v>
      </c>
      <c r="K288" s="218" t="str">
        <f>"INPP APRIL 2020"</f>
        <v>INPP APRIL 2020</v>
      </c>
      <c r="L288" s="218" t="str">
        <f>"INPP-Apr'20-Bienvenu MAKURU AMANI 5%"</f>
        <v>INPP-Apr'20-Bienvenu MAKURU AMANI 5%</v>
      </c>
      <c r="M288" s="218" t="str">
        <f>"5150"</f>
        <v>5150</v>
      </c>
      <c r="N288" s="218" t="str">
        <f>"EMPLOYMENT RELOCATION COSTS"</f>
        <v>EMPLOYMENT RELOCATION COSTS</v>
      </c>
      <c r="O288" s="218" t="str">
        <f t="shared" si="104"/>
        <v>DRCGOM</v>
      </c>
      <c r="P288" s="218" t="str">
        <f t="shared" si="97"/>
        <v>AP21QR</v>
      </c>
      <c r="Q288" s="218" t="str">
        <f>"SEN"</f>
        <v>SEN</v>
      </c>
      <c r="R288" s="218" t="str">
        <f>""</f>
        <v/>
      </c>
      <c r="S288" s="218" t="str">
        <f t="shared" si="101"/>
        <v>057</v>
      </c>
      <c r="T288" s="218" t="str">
        <f t="shared" si="102"/>
        <v>D</v>
      </c>
      <c r="U288" s="218" t="str">
        <f t="shared" si="98"/>
        <v>AFR000</v>
      </c>
      <c r="V288" s="218" t="str">
        <f t="shared" si="99"/>
        <v>###</v>
      </c>
      <c r="W288" s="218">
        <v>1.87</v>
      </c>
      <c r="X288" s="218" t="str">
        <f t="shared" si="103"/>
        <v>USD</v>
      </c>
      <c r="Y288" s="218">
        <v>1.5</v>
      </c>
      <c r="Z288" s="218">
        <v>1.87</v>
      </c>
      <c r="AA288" s="218">
        <v>1.69</v>
      </c>
    </row>
    <row r="289" spans="1:27">
      <c r="A289" s="218" t="s">
        <v>2592</v>
      </c>
      <c r="F289" s="219" t="str">
        <f>"""IntAlert Live"",""ALERT UK"",""17"",""1"",""545752"""</f>
        <v>"IntAlert Live","ALERT UK","17","1","545752"</v>
      </c>
      <c r="G289" s="223">
        <v>43950</v>
      </c>
      <c r="H289" s="223"/>
      <c r="I289" s="218" t="str">
        <f>"DRCGOM/ BANQUE/2020/004/012"</f>
        <v>DRCGOM/ BANQUE/2020/004/012</v>
      </c>
      <c r="K289" s="218" t="str">
        <f>"INPP APRIL 2020"</f>
        <v>INPP APRIL 2020</v>
      </c>
      <c r="L289" s="218" t="str">
        <f>"INPP-Apr'20-Jacques Zigabe Buhendwa 5%"</f>
        <v>INPP-Apr'20-Jacques Zigabe Buhendwa 5%</v>
      </c>
      <c r="M289" s="218" t="str">
        <f>"5150"</f>
        <v>5150</v>
      </c>
      <c r="N289" s="218" t="str">
        <f>"EMPLOYMENT RELOCATION COSTS"</f>
        <v>EMPLOYMENT RELOCATION COSTS</v>
      </c>
      <c r="O289" s="218" t="str">
        <f t="shared" si="104"/>
        <v>DRCGOM</v>
      </c>
      <c r="P289" s="218" t="str">
        <f t="shared" si="97"/>
        <v>AP21QR</v>
      </c>
      <c r="Q289" s="218" t="str">
        <f>"BUE"</f>
        <v>BUE</v>
      </c>
      <c r="R289" s="218" t="str">
        <f>""</f>
        <v/>
      </c>
      <c r="S289" s="218" t="str">
        <f t="shared" si="101"/>
        <v>057</v>
      </c>
      <c r="T289" s="218" t="str">
        <f t="shared" si="102"/>
        <v>D</v>
      </c>
      <c r="U289" s="218" t="str">
        <f t="shared" si="98"/>
        <v>AFR000</v>
      </c>
      <c r="V289" s="218" t="str">
        <f t="shared" si="99"/>
        <v>###</v>
      </c>
      <c r="W289" s="218">
        <v>0.54</v>
      </c>
      <c r="X289" s="218" t="str">
        <f t="shared" si="103"/>
        <v>USD</v>
      </c>
      <c r="Y289" s="218">
        <v>0.43</v>
      </c>
      <c r="Z289" s="218">
        <v>0.54</v>
      </c>
      <c r="AA289" s="218">
        <v>0.48</v>
      </c>
    </row>
    <row r="290" spans="1:27">
      <c r="A290" s="218" t="s">
        <v>2592</v>
      </c>
      <c r="F290" s="219" t="str">
        <f>"""IntAlert Live"",""ALERT UK"",""17"",""1"",""546314"""</f>
        <v>"IntAlert Live","ALERT UK","17","1","546314"</v>
      </c>
      <c r="G290" s="223">
        <v>43951</v>
      </c>
      <c r="H290" s="223"/>
      <c r="I290" s="218" t="str">
        <f>"DRCBUK/CAISSE/2020/04/002"</f>
        <v>DRCBUK/CAISSE/2020/04/002</v>
      </c>
      <c r="K290" s="218" t="str">
        <f>"ONEM"</f>
        <v>ONEM</v>
      </c>
      <c r="L290" s="218" t="str">
        <f>"ONEM-Avril 2020  Georgine BAMUNOBA TIBANAGWA-10%"</f>
        <v>ONEM-Avril 2020  Georgine BAMUNOBA TIBANAGWA-10%</v>
      </c>
      <c r="M290" s="218" t="str">
        <f>"5160"</f>
        <v>5160</v>
      </c>
      <c r="N290" s="218" t="str">
        <f>"EMPLOYMENT BENEFITS COSTS"</f>
        <v>EMPLOYMENT BENEFITS COSTS</v>
      </c>
      <c r="O290" s="218" t="str">
        <f t="shared" ref="O290:O305" si="105">"DRCBUK"</f>
        <v>DRCBUK</v>
      </c>
      <c r="P290" s="218" t="str">
        <f t="shared" si="97"/>
        <v>AP21QR</v>
      </c>
      <c r="Q290" s="218" t="str">
        <f>"BAM"</f>
        <v>BAM</v>
      </c>
      <c r="R290" s="218" t="str">
        <f>""</f>
        <v/>
      </c>
      <c r="S290" s="218" t="str">
        <f t="shared" si="101"/>
        <v>057</v>
      </c>
      <c r="T290" s="218" t="str">
        <f t="shared" si="102"/>
        <v>D</v>
      </c>
      <c r="U290" s="218" t="str">
        <f t="shared" si="98"/>
        <v>AFR000</v>
      </c>
      <c r="V290" s="218" t="str">
        <f t="shared" si="99"/>
        <v>###</v>
      </c>
      <c r="W290" s="218">
        <v>0.09</v>
      </c>
      <c r="X290" s="218" t="str">
        <f t="shared" si="103"/>
        <v>USD</v>
      </c>
      <c r="Y290" s="218">
        <v>7.0000000000000007E-2</v>
      </c>
      <c r="Z290" s="218">
        <v>0.09</v>
      </c>
      <c r="AA290" s="218">
        <v>0.08</v>
      </c>
    </row>
    <row r="291" spans="1:27">
      <c r="A291" s="218" t="s">
        <v>2592</v>
      </c>
      <c r="F291" s="219" t="str">
        <f>"""IntAlert Live"",""ALERT UK"",""17"",""1"",""546323"""</f>
        <v>"IntAlert Live","ALERT UK","17","1","546323"</v>
      </c>
      <c r="G291" s="223">
        <v>43951</v>
      </c>
      <c r="H291" s="223"/>
      <c r="I291" s="218" t="str">
        <f>"DRCBUK/CAISSE/2020/04/002"</f>
        <v>DRCBUK/CAISSE/2020/04/002</v>
      </c>
      <c r="K291" s="218" t="str">
        <f>"ONEM"</f>
        <v>ONEM</v>
      </c>
      <c r="L291" s="218" t="str">
        <f>"ONEM-Avril 2020 Verre KILAURI  BANYWESIZE-5%"</f>
        <v>ONEM-Avril 2020 Verre KILAURI  BANYWESIZE-5%</v>
      </c>
      <c r="M291" s="218" t="str">
        <f>"5160"</f>
        <v>5160</v>
      </c>
      <c r="N291" s="218" t="str">
        <f>"EMPLOYMENT BENEFITS COSTS"</f>
        <v>EMPLOYMENT BENEFITS COSTS</v>
      </c>
      <c r="O291" s="218" t="str">
        <f t="shared" si="105"/>
        <v>DRCBUK</v>
      </c>
      <c r="P291" s="218" t="str">
        <f t="shared" si="97"/>
        <v>AP21QR</v>
      </c>
      <c r="Q291" s="218" t="str">
        <f>"KIA"</f>
        <v>KIA</v>
      </c>
      <c r="R291" s="218" t="str">
        <f>""</f>
        <v/>
      </c>
      <c r="S291" s="218" t="str">
        <f t="shared" si="101"/>
        <v>057</v>
      </c>
      <c r="T291" s="218" t="str">
        <f t="shared" si="102"/>
        <v>D</v>
      </c>
      <c r="U291" s="218" t="str">
        <f t="shared" si="98"/>
        <v>AFR000</v>
      </c>
      <c r="V291" s="218" t="str">
        <f t="shared" si="99"/>
        <v>###</v>
      </c>
      <c r="W291" s="218">
        <v>0.12</v>
      </c>
      <c r="X291" s="218" t="str">
        <f t="shared" si="103"/>
        <v>USD</v>
      </c>
      <c r="Y291" s="218">
        <v>0.1</v>
      </c>
      <c r="Z291" s="218">
        <v>0.12</v>
      </c>
      <c r="AA291" s="218">
        <v>0.11</v>
      </c>
    </row>
    <row r="292" spans="1:27">
      <c r="A292" s="218" t="s">
        <v>2592</v>
      </c>
      <c r="F292" s="219" t="str">
        <f>"""IntAlert Live"",""ALERT UK"",""17"",""1"",""546327"""</f>
        <v>"IntAlert Live","ALERT UK","17","1","546327"</v>
      </c>
      <c r="G292" s="223">
        <v>43951</v>
      </c>
      <c r="H292" s="223"/>
      <c r="I292" s="218" t="str">
        <f>"DRCBUK/CAISSE/2020/04/002"</f>
        <v>DRCBUK/CAISSE/2020/04/002</v>
      </c>
      <c r="K292" s="218" t="str">
        <f>"ONEM"</f>
        <v>ONEM</v>
      </c>
      <c r="L292" s="218" t="str">
        <f>"ONEM-Avril 2020  Michel MIRINDI BASHWERE-5%"</f>
        <v>ONEM-Avril 2020  Michel MIRINDI BASHWERE-5%</v>
      </c>
      <c r="M292" s="218" t="str">
        <f>"5160"</f>
        <v>5160</v>
      </c>
      <c r="N292" s="218" t="str">
        <f>"EMPLOYMENT BENEFITS COSTS"</f>
        <v>EMPLOYMENT BENEFITS COSTS</v>
      </c>
      <c r="O292" s="218" t="str">
        <f t="shared" si="105"/>
        <v>DRCBUK</v>
      </c>
      <c r="P292" s="218" t="str">
        <f t="shared" si="97"/>
        <v>AP21QR</v>
      </c>
      <c r="Q292" s="218" t="str">
        <f>"MRI"</f>
        <v>MRI</v>
      </c>
      <c r="R292" s="218" t="str">
        <f>""</f>
        <v/>
      </c>
      <c r="S292" s="218" t="str">
        <f t="shared" si="101"/>
        <v>057</v>
      </c>
      <c r="T292" s="218" t="str">
        <f t="shared" si="102"/>
        <v>D</v>
      </c>
      <c r="U292" s="218" t="str">
        <f t="shared" si="98"/>
        <v>AFR000</v>
      </c>
      <c r="V292" s="218" t="str">
        <f t="shared" si="99"/>
        <v>###</v>
      </c>
      <c r="W292" s="218">
        <v>0.03</v>
      </c>
      <c r="X292" s="218" t="str">
        <f t="shared" si="103"/>
        <v>USD</v>
      </c>
      <c r="Y292" s="218">
        <v>0.02</v>
      </c>
      <c r="Z292" s="218">
        <v>0.03</v>
      </c>
      <c r="AA292" s="218">
        <v>0.02</v>
      </c>
    </row>
    <row r="293" spans="1:27">
      <c r="A293" s="218" t="s">
        <v>2592</v>
      </c>
      <c r="F293" s="219" t="str">
        <f>"""IntAlert Live"",""ALERT UK"",""17"",""1"",""555072"""</f>
        <v>"IntAlert Live","ALERT UK","17","1","555072"</v>
      </c>
      <c r="G293" s="223">
        <v>43955</v>
      </c>
      <c r="H293" s="223"/>
      <c r="I293" s="218" t="str">
        <f>"DRCBUK/BANK/2020/05/001"</f>
        <v>DRCBUK/BANK/2020/05/001</v>
      </c>
      <c r="K293" s="218" t="str">
        <f>"FURAHA MARINA"</f>
        <v>FURAHA MARINA</v>
      </c>
      <c r="L293" s="218" t="str">
        <f>"STC Admin Officer Marina 2%- April May pay"</f>
        <v>STC Admin Officer Marina 2%- April May pay</v>
      </c>
      <c r="M293" s="218" t="str">
        <f t="shared" ref="M293:M299" si="106">"5100"</f>
        <v>5100</v>
      </c>
      <c r="N293" s="218" t="str">
        <f t="shared" ref="N293:N299" si="107">"BASIC EMPLOYMENT COSTS"</f>
        <v>BASIC EMPLOYMENT COSTS</v>
      </c>
      <c r="O293" s="218" t="str">
        <f t="shared" si="105"/>
        <v>DRCBUK</v>
      </c>
      <c r="P293" s="218" t="str">
        <f t="shared" si="97"/>
        <v>AP21QR</v>
      </c>
      <c r="Q293" s="218" t="str">
        <f>"FUR"</f>
        <v>FUR</v>
      </c>
      <c r="R293" s="218" t="str">
        <f>""</f>
        <v/>
      </c>
      <c r="S293" s="218" t="str">
        <f t="shared" si="101"/>
        <v>057</v>
      </c>
      <c r="T293" s="218" t="str">
        <f t="shared" si="102"/>
        <v>D</v>
      </c>
      <c r="U293" s="218" t="str">
        <f t="shared" si="98"/>
        <v>AFR000</v>
      </c>
      <c r="V293" s="218" t="str">
        <f t="shared" si="99"/>
        <v>###</v>
      </c>
      <c r="W293" s="218">
        <v>116.64</v>
      </c>
      <c r="X293" s="218" t="str">
        <f t="shared" si="103"/>
        <v>USD</v>
      </c>
      <c r="Y293" s="218">
        <v>92.54</v>
      </c>
      <c r="Z293" s="218">
        <v>116.64</v>
      </c>
      <c r="AA293" s="218">
        <v>105.91</v>
      </c>
    </row>
    <row r="294" spans="1:27">
      <c r="A294" s="218" t="s">
        <v>2592</v>
      </c>
      <c r="F294" s="219" t="str">
        <f>"""IntAlert Live"",""ALERT UK"",""17"",""1"",""555186"""</f>
        <v>"IntAlert Live","ALERT UK","17","1","555186"</v>
      </c>
      <c r="G294" s="223">
        <v>43976</v>
      </c>
      <c r="H294" s="223"/>
      <c r="I294" s="218" t="str">
        <f>"DRCBUK/BANK/2020/05/015"</f>
        <v>DRCBUK/BANK/2020/05/015</v>
      </c>
      <c r="K294" s="218" t="str">
        <f>"GEORGINE BAMUNOBA"</f>
        <v>GEORGINE BAMUNOBA</v>
      </c>
      <c r="L294" s="218" t="str">
        <f>"Salaire-Mai 020 Georgine BAMUNOBA TIBANAGWA 5%"</f>
        <v>Salaire-Mai 020 Georgine BAMUNOBA TIBANAGWA 5%</v>
      </c>
      <c r="M294" s="218" t="str">
        <f t="shared" si="106"/>
        <v>5100</v>
      </c>
      <c r="N294" s="218" t="str">
        <f t="shared" si="107"/>
        <v>BASIC EMPLOYMENT COSTS</v>
      </c>
      <c r="O294" s="218" t="str">
        <f t="shared" si="105"/>
        <v>DRCBUK</v>
      </c>
      <c r="P294" s="218" t="str">
        <f t="shared" si="97"/>
        <v>AP21QR</v>
      </c>
      <c r="Q294" s="218" t="str">
        <f>"BAM"</f>
        <v>BAM</v>
      </c>
      <c r="R294" s="218" t="str">
        <f>""</f>
        <v/>
      </c>
      <c r="S294" s="218" t="str">
        <f t="shared" si="101"/>
        <v>057</v>
      </c>
      <c r="T294" s="218" t="str">
        <f t="shared" si="102"/>
        <v>D</v>
      </c>
      <c r="U294" s="218" t="str">
        <f t="shared" si="98"/>
        <v>AFR000</v>
      </c>
      <c r="V294" s="218" t="str">
        <f t="shared" si="99"/>
        <v>###</v>
      </c>
      <c r="W294" s="218">
        <v>28.62</v>
      </c>
      <c r="X294" s="218" t="str">
        <f t="shared" si="103"/>
        <v>USD</v>
      </c>
      <c r="Y294" s="218">
        <v>22.71</v>
      </c>
      <c r="Z294" s="218">
        <v>28.62</v>
      </c>
      <c r="AA294" s="218">
        <v>25.99</v>
      </c>
    </row>
    <row r="295" spans="1:27">
      <c r="A295" s="218" t="s">
        <v>2592</v>
      </c>
      <c r="F295" s="219" t="str">
        <f>"""IntAlert Live"",""ALERT UK"",""17"",""1"",""555195"""</f>
        <v>"IntAlert Live","ALERT UK","17","1","555195"</v>
      </c>
      <c r="G295" s="223">
        <v>43976</v>
      </c>
      <c r="H295" s="223"/>
      <c r="I295" s="218" t="str">
        <f>"DRCBUK/BANK/2020/05/015"</f>
        <v>DRCBUK/BANK/2020/05/015</v>
      </c>
      <c r="K295" s="218" t="str">
        <f>"VERRE KILAURI"</f>
        <v>VERRE KILAURI</v>
      </c>
      <c r="L295" s="218" t="str">
        <f>"Salaire-Mai 020 Verre KILAURI  BANYWESIZE 5%"</f>
        <v>Salaire-Mai 020 Verre KILAURI  BANYWESIZE 5%</v>
      </c>
      <c r="M295" s="218" t="str">
        <f t="shared" si="106"/>
        <v>5100</v>
      </c>
      <c r="N295" s="218" t="str">
        <f t="shared" si="107"/>
        <v>BASIC EMPLOYMENT COSTS</v>
      </c>
      <c r="O295" s="218" t="str">
        <f t="shared" si="105"/>
        <v>DRCBUK</v>
      </c>
      <c r="P295" s="218" t="str">
        <f t="shared" si="97"/>
        <v>AP21QR</v>
      </c>
      <c r="Q295" s="218" t="str">
        <f>"KIA"</f>
        <v>KIA</v>
      </c>
      <c r="R295" s="218" t="str">
        <f>""</f>
        <v/>
      </c>
      <c r="S295" s="218" t="str">
        <f t="shared" si="101"/>
        <v>057</v>
      </c>
      <c r="T295" s="218" t="str">
        <f t="shared" si="102"/>
        <v>D</v>
      </c>
      <c r="U295" s="218" t="str">
        <f t="shared" si="98"/>
        <v>AFR000</v>
      </c>
      <c r="V295" s="218" t="str">
        <f t="shared" si="99"/>
        <v>###</v>
      </c>
      <c r="W295" s="218">
        <v>71.7</v>
      </c>
      <c r="X295" s="218" t="str">
        <f t="shared" si="103"/>
        <v>USD</v>
      </c>
      <c r="Y295" s="218">
        <v>56.89</v>
      </c>
      <c r="Z295" s="218">
        <v>71.7</v>
      </c>
      <c r="AA295" s="218">
        <v>65.11</v>
      </c>
    </row>
    <row r="296" spans="1:27">
      <c r="A296" s="218" t="s">
        <v>2592</v>
      </c>
      <c r="F296" s="219" t="str">
        <f>"""IntAlert Live"",""ALERT UK"",""17"",""1"",""555200"""</f>
        <v>"IntAlert Live","ALERT UK","17","1","555200"</v>
      </c>
      <c r="G296" s="223">
        <v>43976</v>
      </c>
      <c r="H296" s="223"/>
      <c r="I296" s="218" t="str">
        <f>"DRCBUK/BANK/2020/05/015"</f>
        <v>DRCBUK/BANK/2020/05/015</v>
      </c>
      <c r="K296" s="218" t="str">
        <f>"MICHEL MIRINDI"</f>
        <v>MICHEL MIRINDI</v>
      </c>
      <c r="L296" s="218" t="str">
        <f>"Salaire-Mai 020 Michel MIRINDI BASHWERE 5%"</f>
        <v>Salaire-Mai 020 Michel MIRINDI BASHWERE 5%</v>
      </c>
      <c r="M296" s="218" t="str">
        <f t="shared" si="106"/>
        <v>5100</v>
      </c>
      <c r="N296" s="218" t="str">
        <f t="shared" si="107"/>
        <v>BASIC EMPLOYMENT COSTS</v>
      </c>
      <c r="O296" s="218" t="str">
        <f t="shared" si="105"/>
        <v>DRCBUK</v>
      </c>
      <c r="P296" s="218" t="str">
        <f t="shared" si="97"/>
        <v>AP21QR</v>
      </c>
      <c r="Q296" s="218" t="str">
        <f>"MRI"</f>
        <v>MRI</v>
      </c>
      <c r="R296" s="218" t="str">
        <f>""</f>
        <v/>
      </c>
      <c r="S296" s="218" t="str">
        <f t="shared" si="101"/>
        <v>057</v>
      </c>
      <c r="T296" s="218" t="str">
        <f t="shared" si="102"/>
        <v>D</v>
      </c>
      <c r="U296" s="218" t="str">
        <f t="shared" si="98"/>
        <v>AFR000</v>
      </c>
      <c r="V296" s="218" t="str">
        <f t="shared" si="99"/>
        <v>###</v>
      </c>
      <c r="W296" s="218">
        <v>22.21</v>
      </c>
      <c r="X296" s="218" t="str">
        <f t="shared" si="103"/>
        <v>USD</v>
      </c>
      <c r="Y296" s="218">
        <v>17.62</v>
      </c>
      <c r="Z296" s="218">
        <v>22.21</v>
      </c>
      <c r="AA296" s="218">
        <v>20.170000000000002</v>
      </c>
    </row>
    <row r="297" spans="1:27">
      <c r="A297" s="218" t="s">
        <v>2592</v>
      </c>
      <c r="F297" s="219" t="str">
        <f>"""IntAlert Live"",""ALERT UK"",""17"",""1"",""555224"""</f>
        <v>"IntAlert Live","ALERT UK","17","1","555224"</v>
      </c>
      <c r="G297" s="223">
        <v>43976</v>
      </c>
      <c r="H297" s="223"/>
      <c r="I297" s="218" t="str">
        <f>"DRCBUK/BANK/2020/05/016"</f>
        <v>DRCBUK/BANK/2020/05/016</v>
      </c>
      <c r="K297" s="218" t="str">
        <f>"DGI/DPI SUD-KIVU"</f>
        <v>DGI/DPI SUD-KIVU</v>
      </c>
      <c r="L297" s="218" t="str">
        <f>"IPR-Mai 020 Georgine BAMUNOBA TIBANAGWA 5%"</f>
        <v>IPR-Mai 020 Georgine BAMUNOBA TIBANAGWA 5%</v>
      </c>
      <c r="M297" s="218" t="str">
        <f t="shared" si="106"/>
        <v>5100</v>
      </c>
      <c r="N297" s="218" t="str">
        <f t="shared" si="107"/>
        <v>BASIC EMPLOYMENT COSTS</v>
      </c>
      <c r="O297" s="218" t="str">
        <f t="shared" si="105"/>
        <v>DRCBUK</v>
      </c>
      <c r="P297" s="218" t="str">
        <f t="shared" si="97"/>
        <v>AP21QR</v>
      </c>
      <c r="Q297" s="218" t="str">
        <f>"BAM"</f>
        <v>BAM</v>
      </c>
      <c r="R297" s="218" t="str">
        <f>""</f>
        <v/>
      </c>
      <c r="S297" s="218" t="str">
        <f t="shared" ref="S297:S322" si="108">"057"</f>
        <v>057</v>
      </c>
      <c r="T297" s="218" t="str">
        <f t="shared" ref="T297:T328" si="109">"D"</f>
        <v>D</v>
      </c>
      <c r="U297" s="218" t="str">
        <f t="shared" si="98"/>
        <v>AFR000</v>
      </c>
      <c r="V297" s="218" t="str">
        <f t="shared" si="99"/>
        <v>###</v>
      </c>
      <c r="W297" s="218">
        <v>2.48</v>
      </c>
      <c r="X297" s="218" t="str">
        <f t="shared" ref="X297:X328" si="110">"USD"</f>
        <v>USD</v>
      </c>
      <c r="Y297" s="218">
        <v>1.97</v>
      </c>
      <c r="Z297" s="218">
        <v>2.48</v>
      </c>
      <c r="AA297" s="218">
        <v>2.25</v>
      </c>
    </row>
    <row r="298" spans="1:27">
      <c r="A298" s="218" t="s">
        <v>2592</v>
      </c>
      <c r="F298" s="219" t="str">
        <f>"""IntAlert Live"",""ALERT UK"",""17"",""1"",""555233"""</f>
        <v>"IntAlert Live","ALERT UK","17","1","555233"</v>
      </c>
      <c r="G298" s="223">
        <v>43976</v>
      </c>
      <c r="H298" s="223"/>
      <c r="I298" s="218" t="str">
        <f>"DRCBUK/BANK/2020/05/016"</f>
        <v>DRCBUK/BANK/2020/05/016</v>
      </c>
      <c r="K298" s="218" t="str">
        <f>"DGI/DPI SUD-KIVU"</f>
        <v>DGI/DPI SUD-KIVU</v>
      </c>
      <c r="L298" s="218" t="str">
        <f>"IPR-Mai 020 Verre KILAURI  BANYWESIZE 5%"</f>
        <v>IPR-Mai 020 Verre KILAURI  BANYWESIZE 5%</v>
      </c>
      <c r="M298" s="218" t="str">
        <f t="shared" si="106"/>
        <v>5100</v>
      </c>
      <c r="N298" s="218" t="str">
        <f t="shared" si="107"/>
        <v>BASIC EMPLOYMENT COSTS</v>
      </c>
      <c r="O298" s="218" t="str">
        <f t="shared" si="105"/>
        <v>DRCBUK</v>
      </c>
      <c r="P298" s="218" t="str">
        <f t="shared" si="97"/>
        <v>AP21QR</v>
      </c>
      <c r="Q298" s="218" t="str">
        <f>"KIA"</f>
        <v>KIA</v>
      </c>
      <c r="R298" s="218" t="str">
        <f>""</f>
        <v/>
      </c>
      <c r="S298" s="218" t="str">
        <f t="shared" si="108"/>
        <v>057</v>
      </c>
      <c r="T298" s="218" t="str">
        <f t="shared" si="109"/>
        <v>D</v>
      </c>
      <c r="U298" s="218" t="str">
        <f t="shared" si="98"/>
        <v>AFR000</v>
      </c>
      <c r="V298" s="218" t="str">
        <f t="shared" si="99"/>
        <v>###</v>
      </c>
      <c r="W298" s="218">
        <v>10.23</v>
      </c>
      <c r="X298" s="218" t="str">
        <f t="shared" si="110"/>
        <v>USD</v>
      </c>
      <c r="Y298" s="218">
        <v>8.1199999999999992</v>
      </c>
      <c r="Z298" s="218">
        <v>10.23</v>
      </c>
      <c r="AA298" s="218">
        <v>9.2899999999999991</v>
      </c>
    </row>
    <row r="299" spans="1:27">
      <c r="A299" s="218" t="s">
        <v>2592</v>
      </c>
      <c r="F299" s="219" t="str">
        <f>"""IntAlert Live"",""ALERT UK"",""17"",""1"",""555239"""</f>
        <v>"IntAlert Live","ALERT UK","17","1","555239"</v>
      </c>
      <c r="G299" s="223">
        <v>43976</v>
      </c>
      <c r="H299" s="223"/>
      <c r="I299" s="218" t="str">
        <f>"DRCBUK/BANK/2020/05/016"</f>
        <v>DRCBUK/BANK/2020/05/016</v>
      </c>
      <c r="K299" s="218" t="str">
        <f>"DGI/DPI SUD-KIVU"</f>
        <v>DGI/DPI SUD-KIVU</v>
      </c>
      <c r="L299" s="218" t="str">
        <f>"IPR-Mai 020 Michel MIRINDI BASHWERE 5%"</f>
        <v>IPR-Mai 020 Michel MIRINDI BASHWERE 5%</v>
      </c>
      <c r="M299" s="218" t="str">
        <f t="shared" si="106"/>
        <v>5100</v>
      </c>
      <c r="N299" s="218" t="str">
        <f t="shared" si="107"/>
        <v>BASIC EMPLOYMENT COSTS</v>
      </c>
      <c r="O299" s="218" t="str">
        <f t="shared" si="105"/>
        <v>DRCBUK</v>
      </c>
      <c r="P299" s="218" t="str">
        <f t="shared" si="97"/>
        <v>AP21QR</v>
      </c>
      <c r="Q299" s="218" t="str">
        <f>"MRI"</f>
        <v>MRI</v>
      </c>
      <c r="R299" s="218" t="str">
        <f>""</f>
        <v/>
      </c>
      <c r="S299" s="218" t="str">
        <f t="shared" si="108"/>
        <v>057</v>
      </c>
      <c r="T299" s="218" t="str">
        <f t="shared" si="109"/>
        <v>D</v>
      </c>
      <c r="U299" s="218" t="str">
        <f t="shared" si="98"/>
        <v>AFR000</v>
      </c>
      <c r="V299" s="218" t="str">
        <f t="shared" si="99"/>
        <v>###</v>
      </c>
      <c r="W299" s="218">
        <v>1.72</v>
      </c>
      <c r="X299" s="218" t="str">
        <f t="shared" si="110"/>
        <v>USD</v>
      </c>
      <c r="Y299" s="218">
        <v>1.36</v>
      </c>
      <c r="Z299" s="218">
        <v>1.72</v>
      </c>
      <c r="AA299" s="218">
        <v>1.56</v>
      </c>
    </row>
    <row r="300" spans="1:27">
      <c r="A300" s="218" t="s">
        <v>2592</v>
      </c>
      <c r="F300" s="219" t="str">
        <f>"""IntAlert Live"",""ALERT UK"",""17"",""1"",""555264"""</f>
        <v>"IntAlert Live","ALERT UK","17","1","555264"</v>
      </c>
      <c r="G300" s="223">
        <v>43976</v>
      </c>
      <c r="H300" s="223"/>
      <c r="I300" s="218" t="str">
        <f>"DRCBUK/BANK/2020/05/017"</f>
        <v>DRCBUK/BANK/2020/05/017</v>
      </c>
      <c r="K300" s="218" t="str">
        <f>"CNSS SUD KIVU"</f>
        <v>CNSS SUD KIVU</v>
      </c>
      <c r="L300" s="218" t="str">
        <f>"CNSS-Mai 020 Georgine BAMUNOBA TIBANAGWA 5%"</f>
        <v>CNSS-Mai 020 Georgine BAMUNOBA TIBANAGWA 5%</v>
      </c>
      <c r="M300" s="218" t="str">
        <f t="shared" ref="M300:M305" si="111">"5160"</f>
        <v>5160</v>
      </c>
      <c r="N300" s="218" t="str">
        <f t="shared" ref="N300:N305" si="112">"EMPLOYMENT BENEFITS COSTS"</f>
        <v>EMPLOYMENT BENEFITS COSTS</v>
      </c>
      <c r="O300" s="218" t="str">
        <f t="shared" si="105"/>
        <v>DRCBUK</v>
      </c>
      <c r="P300" s="218" t="str">
        <f t="shared" si="97"/>
        <v>AP21QR</v>
      </c>
      <c r="Q300" s="218" t="str">
        <f>"BAM"</f>
        <v>BAM</v>
      </c>
      <c r="R300" s="218" t="str">
        <f>""</f>
        <v/>
      </c>
      <c r="S300" s="218" t="str">
        <f t="shared" si="108"/>
        <v>057</v>
      </c>
      <c r="T300" s="218" t="str">
        <f t="shared" si="109"/>
        <v>D</v>
      </c>
      <c r="U300" s="218" t="str">
        <f t="shared" si="98"/>
        <v>AFR000</v>
      </c>
      <c r="V300" s="218" t="str">
        <f t="shared" si="99"/>
        <v>###</v>
      </c>
      <c r="W300" s="218">
        <v>3.88</v>
      </c>
      <c r="X300" s="218" t="str">
        <f t="shared" si="110"/>
        <v>USD</v>
      </c>
      <c r="Y300" s="218">
        <v>3.08</v>
      </c>
      <c r="Z300" s="218">
        <v>3.88</v>
      </c>
      <c r="AA300" s="218">
        <v>3.52</v>
      </c>
    </row>
    <row r="301" spans="1:27">
      <c r="A301" s="218" t="s">
        <v>2592</v>
      </c>
      <c r="F301" s="219" t="str">
        <f>"""IntAlert Live"",""ALERT UK"",""17"",""1"",""555273"""</f>
        <v>"IntAlert Live","ALERT UK","17","1","555273"</v>
      </c>
      <c r="G301" s="223">
        <v>43976</v>
      </c>
      <c r="H301" s="223"/>
      <c r="I301" s="218" t="str">
        <f>"DRCBUK/BANK/2020/05/017"</f>
        <v>DRCBUK/BANK/2020/05/017</v>
      </c>
      <c r="K301" s="218" t="str">
        <f>"CNSS SUD KIVU"</f>
        <v>CNSS SUD KIVU</v>
      </c>
      <c r="L301" s="218" t="str">
        <f>"CNSS-Mai 020 Verre KILAURI  BANYWESIZE 5%"</f>
        <v>CNSS-Mai 020 Verre KILAURI  BANYWESIZE 5%</v>
      </c>
      <c r="M301" s="218" t="str">
        <f t="shared" si="111"/>
        <v>5160</v>
      </c>
      <c r="N301" s="218" t="str">
        <f t="shared" si="112"/>
        <v>EMPLOYMENT BENEFITS COSTS</v>
      </c>
      <c r="O301" s="218" t="str">
        <f t="shared" si="105"/>
        <v>DRCBUK</v>
      </c>
      <c r="P301" s="218" t="str">
        <f t="shared" si="97"/>
        <v>AP21QR</v>
      </c>
      <c r="Q301" s="218" t="str">
        <f>"KIA"</f>
        <v>KIA</v>
      </c>
      <c r="R301" s="218" t="str">
        <f>""</f>
        <v/>
      </c>
      <c r="S301" s="218" t="str">
        <f t="shared" si="108"/>
        <v>057</v>
      </c>
      <c r="T301" s="218" t="str">
        <f t="shared" si="109"/>
        <v>D</v>
      </c>
      <c r="U301" s="218" t="str">
        <f t="shared" si="98"/>
        <v>AFR000</v>
      </c>
      <c r="V301" s="218" t="str">
        <f t="shared" si="99"/>
        <v>###</v>
      </c>
      <c r="W301" s="218">
        <v>11.22</v>
      </c>
      <c r="X301" s="218" t="str">
        <f t="shared" si="110"/>
        <v>USD</v>
      </c>
      <c r="Y301" s="218">
        <v>8.9</v>
      </c>
      <c r="Z301" s="218">
        <v>11.22</v>
      </c>
      <c r="AA301" s="218">
        <v>10.19</v>
      </c>
    </row>
    <row r="302" spans="1:27">
      <c r="A302" s="218" t="s">
        <v>2592</v>
      </c>
      <c r="F302" s="219" t="str">
        <f>"""IntAlert Live"",""ALERT UK"",""17"",""1"",""555279"""</f>
        <v>"IntAlert Live","ALERT UK","17","1","555279"</v>
      </c>
      <c r="G302" s="223">
        <v>43976</v>
      </c>
      <c r="H302" s="223"/>
      <c r="I302" s="218" t="str">
        <f>"DRCBUK/BANK/2020/05/017"</f>
        <v>DRCBUK/BANK/2020/05/017</v>
      </c>
      <c r="K302" s="218" t="str">
        <f>"CNSS SUD KIVU"</f>
        <v>CNSS SUD KIVU</v>
      </c>
      <c r="L302" s="218" t="str">
        <f>"CNSS-Mai 020 Michel MIRINDI BASHWERE 5%"</f>
        <v>CNSS-Mai 020 Michel MIRINDI BASHWERE 5%</v>
      </c>
      <c r="M302" s="218" t="str">
        <f t="shared" si="111"/>
        <v>5160</v>
      </c>
      <c r="N302" s="218" t="str">
        <f t="shared" si="112"/>
        <v>EMPLOYMENT BENEFITS COSTS</v>
      </c>
      <c r="O302" s="218" t="str">
        <f t="shared" si="105"/>
        <v>DRCBUK</v>
      </c>
      <c r="P302" s="218" t="str">
        <f t="shared" si="97"/>
        <v>AP21QR</v>
      </c>
      <c r="Q302" s="218" t="str">
        <f>"MRI"</f>
        <v>MRI</v>
      </c>
      <c r="R302" s="218" t="str">
        <f>""</f>
        <v/>
      </c>
      <c r="S302" s="218" t="str">
        <f t="shared" si="108"/>
        <v>057</v>
      </c>
      <c r="T302" s="218" t="str">
        <f t="shared" si="109"/>
        <v>D</v>
      </c>
      <c r="U302" s="218" t="str">
        <f t="shared" si="98"/>
        <v>AFR000</v>
      </c>
      <c r="V302" s="218" t="str">
        <f t="shared" si="99"/>
        <v>###</v>
      </c>
      <c r="W302" s="218">
        <v>2.93</v>
      </c>
      <c r="X302" s="218" t="str">
        <f t="shared" si="110"/>
        <v>USD</v>
      </c>
      <c r="Y302" s="218">
        <v>2.3199999999999998</v>
      </c>
      <c r="Z302" s="218">
        <v>2.93</v>
      </c>
      <c r="AA302" s="218">
        <v>2.66</v>
      </c>
    </row>
    <row r="303" spans="1:27">
      <c r="A303" s="218" t="s">
        <v>2592</v>
      </c>
      <c r="F303" s="219" t="str">
        <f>"""IntAlert Live"",""ALERT UK"",""17"",""1"",""555303"""</f>
        <v>"IntAlert Live","ALERT UK","17","1","555303"</v>
      </c>
      <c r="G303" s="223">
        <v>43976</v>
      </c>
      <c r="H303" s="223"/>
      <c r="I303" s="218" t="str">
        <f>"DRCBUK/BANK/2020/05/018"</f>
        <v>DRCBUK/BANK/2020/05/018</v>
      </c>
      <c r="K303" s="218" t="str">
        <f>"INPP SUD KIVU"</f>
        <v>INPP SUD KIVU</v>
      </c>
      <c r="L303" s="218" t="str">
        <f>"INPP-Mai 020 Georgine BAMUNOBA TIBANAGWA 5%"</f>
        <v>INPP-Mai 020 Georgine BAMUNOBA TIBANAGWA 5%</v>
      </c>
      <c r="M303" s="218" t="str">
        <f t="shared" si="111"/>
        <v>5160</v>
      </c>
      <c r="N303" s="218" t="str">
        <f t="shared" si="112"/>
        <v>EMPLOYMENT BENEFITS COSTS</v>
      </c>
      <c r="O303" s="218" t="str">
        <f t="shared" si="105"/>
        <v>DRCBUK</v>
      </c>
      <c r="P303" s="218" t="str">
        <f t="shared" si="97"/>
        <v>AP21QR</v>
      </c>
      <c r="Q303" s="218" t="str">
        <f>"BAM"</f>
        <v>BAM</v>
      </c>
      <c r="R303" s="218" t="str">
        <f>""</f>
        <v/>
      </c>
      <c r="S303" s="218" t="str">
        <f t="shared" si="108"/>
        <v>057</v>
      </c>
      <c r="T303" s="218" t="str">
        <f t="shared" si="109"/>
        <v>D</v>
      </c>
      <c r="U303" s="218" t="str">
        <f t="shared" si="98"/>
        <v>AFR000</v>
      </c>
      <c r="V303" s="218" t="str">
        <f t="shared" si="99"/>
        <v>###</v>
      </c>
      <c r="W303" s="218">
        <v>0.65</v>
      </c>
      <c r="X303" s="218" t="str">
        <f t="shared" si="110"/>
        <v>USD</v>
      </c>
      <c r="Y303" s="218">
        <v>0.52</v>
      </c>
      <c r="Z303" s="218">
        <v>0.65</v>
      </c>
      <c r="AA303" s="218">
        <v>0.6</v>
      </c>
    </row>
    <row r="304" spans="1:27">
      <c r="A304" s="218" t="s">
        <v>2592</v>
      </c>
      <c r="F304" s="219" t="str">
        <f>"""IntAlert Live"",""ALERT UK"",""17"",""1"",""555312"""</f>
        <v>"IntAlert Live","ALERT UK","17","1","555312"</v>
      </c>
      <c r="G304" s="223">
        <v>43976</v>
      </c>
      <c r="H304" s="223"/>
      <c r="I304" s="218" t="str">
        <f>"DRCBUK/BANK/2020/05/018"</f>
        <v>DRCBUK/BANK/2020/05/018</v>
      </c>
      <c r="K304" s="218" t="str">
        <f>"INPP SUD KIVU"</f>
        <v>INPP SUD KIVU</v>
      </c>
      <c r="L304" s="218" t="str">
        <f>"INPP-Mai 020 Verre KILAURI  BANYWESIZE 5%"</f>
        <v>INPP-Mai 020 Verre KILAURI  BANYWESIZE 5%</v>
      </c>
      <c r="M304" s="218" t="str">
        <f t="shared" si="111"/>
        <v>5160</v>
      </c>
      <c r="N304" s="218" t="str">
        <f t="shared" si="112"/>
        <v>EMPLOYMENT BENEFITS COSTS</v>
      </c>
      <c r="O304" s="218" t="str">
        <f t="shared" si="105"/>
        <v>DRCBUK</v>
      </c>
      <c r="P304" s="218" t="str">
        <f t="shared" si="97"/>
        <v>AP21QR</v>
      </c>
      <c r="Q304" s="218" t="str">
        <f>"KIA"</f>
        <v>KIA</v>
      </c>
      <c r="R304" s="218" t="str">
        <f>""</f>
        <v/>
      </c>
      <c r="S304" s="218" t="str">
        <f t="shared" si="108"/>
        <v>057</v>
      </c>
      <c r="T304" s="218" t="str">
        <f t="shared" si="109"/>
        <v>D</v>
      </c>
      <c r="U304" s="218" t="str">
        <f t="shared" si="98"/>
        <v>AFR000</v>
      </c>
      <c r="V304" s="218" t="str">
        <f t="shared" si="99"/>
        <v>###</v>
      </c>
      <c r="W304" s="218">
        <v>1.87</v>
      </c>
      <c r="X304" s="218" t="str">
        <f t="shared" si="110"/>
        <v>USD</v>
      </c>
      <c r="Y304" s="218">
        <v>1.48</v>
      </c>
      <c r="Z304" s="218">
        <v>1.87</v>
      </c>
      <c r="AA304" s="218">
        <v>1.69</v>
      </c>
    </row>
    <row r="305" spans="1:27">
      <c r="A305" s="218" t="s">
        <v>2592</v>
      </c>
      <c r="F305" s="219" t="str">
        <f>"""IntAlert Live"",""ALERT UK"",""17"",""1"",""555318"""</f>
        <v>"IntAlert Live","ALERT UK","17","1","555318"</v>
      </c>
      <c r="G305" s="223">
        <v>43976</v>
      </c>
      <c r="H305" s="223"/>
      <c r="I305" s="218" t="str">
        <f>"DRCBUK/BANK/2020/05/018"</f>
        <v>DRCBUK/BANK/2020/05/018</v>
      </c>
      <c r="K305" s="218" t="str">
        <f>"INPP SUD KIVU"</f>
        <v>INPP SUD KIVU</v>
      </c>
      <c r="L305" s="218" t="str">
        <f>"INPP-Mai 020 Michel MIRINDI BASHWERE 5%"</f>
        <v>INPP-Mai 020 Michel MIRINDI BASHWERE 5%</v>
      </c>
      <c r="M305" s="218" t="str">
        <f t="shared" si="111"/>
        <v>5160</v>
      </c>
      <c r="N305" s="218" t="str">
        <f t="shared" si="112"/>
        <v>EMPLOYMENT BENEFITS COSTS</v>
      </c>
      <c r="O305" s="218" t="str">
        <f t="shared" si="105"/>
        <v>DRCBUK</v>
      </c>
      <c r="P305" s="218" t="str">
        <f t="shared" si="97"/>
        <v>AP21QR</v>
      </c>
      <c r="Q305" s="218" t="str">
        <f>"MRI"</f>
        <v>MRI</v>
      </c>
      <c r="R305" s="218" t="str">
        <f>""</f>
        <v/>
      </c>
      <c r="S305" s="218" t="str">
        <f t="shared" si="108"/>
        <v>057</v>
      </c>
      <c r="T305" s="218" t="str">
        <f t="shared" si="109"/>
        <v>D</v>
      </c>
      <c r="U305" s="218" t="str">
        <f t="shared" si="98"/>
        <v>AFR000</v>
      </c>
      <c r="V305" s="218" t="str">
        <f t="shared" si="99"/>
        <v>###</v>
      </c>
      <c r="W305" s="218">
        <v>0.49</v>
      </c>
      <c r="X305" s="218" t="str">
        <f t="shared" si="110"/>
        <v>USD</v>
      </c>
      <c r="Y305" s="218">
        <v>0.39</v>
      </c>
      <c r="Z305" s="218">
        <v>0.49</v>
      </c>
      <c r="AA305" s="218">
        <v>0.45</v>
      </c>
    </row>
    <row r="306" spans="1:27">
      <c r="A306" s="218" t="s">
        <v>2592</v>
      </c>
      <c r="F306" s="219" t="str">
        <f>"""IntAlert Live"",""ALERT UK"",""17"",""1"",""554627"""</f>
        <v>"IntAlert Live","ALERT UK","17","1","554627"</v>
      </c>
      <c r="G306" s="223">
        <v>43977</v>
      </c>
      <c r="H306" s="223"/>
      <c r="I306" s="218" t="str">
        <f>"DRCGOM/ BANQUE/2020/005/010"</f>
        <v>DRCGOM/ BANQUE/2020/005/010</v>
      </c>
      <c r="K306" s="218" t="str">
        <f>"SALAIRE-ADOLPHINE KAVIRA KAMBASU"</f>
        <v>SALAIRE-ADOLPHINE KAVIRA KAMBASU</v>
      </c>
      <c r="L306" s="218" t="str">
        <f>"Salaire-May'20Adolphine KAVIRA KAMBASU 5%"</f>
        <v>Salaire-May'20Adolphine KAVIRA KAMBASU 5%</v>
      </c>
      <c r="M306" s="218" t="str">
        <f>"5100"</f>
        <v>5100</v>
      </c>
      <c r="N306" s="218" t="str">
        <f>"BASIC EMPLOYMENT COSTS"</f>
        <v>BASIC EMPLOYMENT COSTS</v>
      </c>
      <c r="O306" s="218" t="str">
        <f t="shared" ref="O306:O314" si="113">"DRCGOM"</f>
        <v>DRCGOM</v>
      </c>
      <c r="P306" s="218" t="str">
        <f t="shared" si="97"/>
        <v>AP21QR</v>
      </c>
      <c r="Q306" s="218" t="str">
        <f>"KAS"</f>
        <v>KAS</v>
      </c>
      <c r="R306" s="218" t="str">
        <f>""</f>
        <v/>
      </c>
      <c r="S306" s="218" t="str">
        <f t="shared" si="108"/>
        <v>057</v>
      </c>
      <c r="T306" s="218" t="str">
        <f t="shared" si="109"/>
        <v>D</v>
      </c>
      <c r="U306" s="218" t="str">
        <f t="shared" si="98"/>
        <v>AFR000</v>
      </c>
      <c r="V306" s="218" t="str">
        <f t="shared" si="99"/>
        <v>###</v>
      </c>
      <c r="W306" s="218">
        <v>27.81</v>
      </c>
      <c r="X306" s="218" t="str">
        <f t="shared" si="110"/>
        <v>USD</v>
      </c>
      <c r="Y306" s="218">
        <v>22.06</v>
      </c>
      <c r="Z306" s="218">
        <v>27.81</v>
      </c>
      <c r="AA306" s="218">
        <v>25.25</v>
      </c>
    </row>
    <row r="307" spans="1:27">
      <c r="A307" s="218" t="s">
        <v>2592</v>
      </c>
      <c r="F307" s="219" t="str">
        <f>"""IntAlert Live"",""ALERT UK"",""17"",""1"",""554661"""</f>
        <v>"IntAlert Live","ALERT UK","17","1","554661"</v>
      </c>
      <c r="G307" s="223">
        <v>43977</v>
      </c>
      <c r="H307" s="223"/>
      <c r="I307" s="218" t="str">
        <f>"DRCGOM/ BANQUE/2020/005/010"</f>
        <v>DRCGOM/ BANQUE/2020/005/010</v>
      </c>
      <c r="K307" s="218" t="str">
        <f>"SALAIRE-BIENVENU MAKURU AMANI"</f>
        <v>SALAIRE-BIENVENU MAKURU AMANI</v>
      </c>
      <c r="L307" s="218" t="str">
        <f>"Salaire-May'20Bienvenu MAKURU AMANI 5%"</f>
        <v>Salaire-May'20Bienvenu MAKURU AMANI 5%</v>
      </c>
      <c r="M307" s="218" t="str">
        <f>"5100"</f>
        <v>5100</v>
      </c>
      <c r="N307" s="218" t="str">
        <f>"BASIC EMPLOYMENT COSTS"</f>
        <v>BASIC EMPLOYMENT COSTS</v>
      </c>
      <c r="O307" s="218" t="str">
        <f t="shared" si="113"/>
        <v>DRCGOM</v>
      </c>
      <c r="P307" s="218" t="str">
        <f t="shared" si="97"/>
        <v>AP21QR</v>
      </c>
      <c r="Q307" s="218" t="str">
        <f>"SEN"</f>
        <v>SEN</v>
      </c>
      <c r="R307" s="218" t="str">
        <f>""</f>
        <v/>
      </c>
      <c r="S307" s="218" t="str">
        <f t="shared" si="108"/>
        <v>057</v>
      </c>
      <c r="T307" s="218" t="str">
        <f t="shared" si="109"/>
        <v>D</v>
      </c>
      <c r="U307" s="218" t="str">
        <f t="shared" si="98"/>
        <v>AFR000</v>
      </c>
      <c r="V307" s="218" t="str">
        <f t="shared" si="99"/>
        <v>###</v>
      </c>
      <c r="W307" s="218">
        <v>80.739999999999995</v>
      </c>
      <c r="X307" s="218" t="str">
        <f t="shared" si="110"/>
        <v>USD</v>
      </c>
      <c r="Y307" s="218">
        <v>64.06</v>
      </c>
      <c r="Z307" s="218">
        <v>80.739999999999995</v>
      </c>
      <c r="AA307" s="218">
        <v>73.31</v>
      </c>
    </row>
    <row r="308" spans="1:27">
      <c r="A308" s="218" t="s">
        <v>2592</v>
      </c>
      <c r="F308" s="219" t="str">
        <f>"""IntAlert Live"",""ALERT UK"",""17"",""1"",""554676"""</f>
        <v>"IntAlert Live","ALERT UK","17","1","554676"</v>
      </c>
      <c r="G308" s="223">
        <v>43977</v>
      </c>
      <c r="H308" s="223"/>
      <c r="I308" s="218" t="str">
        <f>"DRCGOM/ BANQUE/2020/005/010"</f>
        <v>DRCGOM/ BANQUE/2020/005/010</v>
      </c>
      <c r="K308" s="218" t="str">
        <f>"SALAIRE-JACQUES ZIGABE BUHENDWA"</f>
        <v>SALAIRE-JACQUES ZIGABE BUHENDWA</v>
      </c>
      <c r="L308" s="218" t="str">
        <f>"Salaire-May'20Jacques Zigabe Buhendwa 5%"</f>
        <v>Salaire-May'20Jacques Zigabe Buhendwa 5%</v>
      </c>
      <c r="M308" s="218" t="str">
        <f>"5100"</f>
        <v>5100</v>
      </c>
      <c r="N308" s="218" t="str">
        <f>"BASIC EMPLOYMENT COSTS"</f>
        <v>BASIC EMPLOYMENT COSTS</v>
      </c>
      <c r="O308" s="218" t="str">
        <f t="shared" si="113"/>
        <v>DRCGOM</v>
      </c>
      <c r="P308" s="218" t="str">
        <f t="shared" si="97"/>
        <v>AP21QR</v>
      </c>
      <c r="Q308" s="218" t="str">
        <f>"BUE"</f>
        <v>BUE</v>
      </c>
      <c r="R308" s="218" t="str">
        <f>""</f>
        <v/>
      </c>
      <c r="S308" s="218" t="str">
        <f t="shared" si="108"/>
        <v>057</v>
      </c>
      <c r="T308" s="218" t="str">
        <f t="shared" si="109"/>
        <v>D</v>
      </c>
      <c r="U308" s="218" t="str">
        <f t="shared" si="98"/>
        <v>AFR000</v>
      </c>
      <c r="V308" s="218" t="str">
        <f t="shared" si="99"/>
        <v>###</v>
      </c>
      <c r="W308" s="218">
        <v>25.18</v>
      </c>
      <c r="X308" s="218" t="str">
        <f t="shared" si="110"/>
        <v>USD</v>
      </c>
      <c r="Y308" s="218">
        <v>19.98</v>
      </c>
      <c r="Z308" s="218">
        <v>25.18</v>
      </c>
      <c r="AA308" s="218">
        <v>22.87</v>
      </c>
    </row>
    <row r="309" spans="1:27">
      <c r="A309" s="218" t="s">
        <v>2592</v>
      </c>
      <c r="F309" s="219" t="str">
        <f>"""IntAlert Live"",""ALERT UK"",""17"",""1"",""554688"""</f>
        <v>"IntAlert Live","ALERT UK","17","1","554688"</v>
      </c>
      <c r="G309" s="223">
        <v>43977</v>
      </c>
      <c r="H309" s="223"/>
      <c r="I309" s="218" t="str">
        <f>"DRCGOM/ BANQUE/2020/005/011"</f>
        <v>DRCGOM/ BANQUE/2020/005/011</v>
      </c>
      <c r="K309" s="218" t="str">
        <f>"CNSS-MAY 2020"</f>
        <v>CNSS-MAY 2020</v>
      </c>
      <c r="L309" s="218" t="str">
        <f>"CNSS-Adolphine KAVIRA KAMBASU 5%"</f>
        <v>CNSS-Adolphine KAVIRA KAMBASU 5%</v>
      </c>
      <c r="M309" s="218" t="str">
        <f>"5110"</f>
        <v>5110</v>
      </c>
      <c r="N309" s="218" t="str">
        <f>"EMPLOYER'S PENSION COSTS"</f>
        <v>EMPLOYER'S PENSION COSTS</v>
      </c>
      <c r="O309" s="218" t="str">
        <f t="shared" si="113"/>
        <v>DRCGOM</v>
      </c>
      <c r="P309" s="218" t="str">
        <f t="shared" si="97"/>
        <v>AP21QR</v>
      </c>
      <c r="Q309" s="218" t="str">
        <f>"KAS"</f>
        <v>KAS</v>
      </c>
      <c r="R309" s="218" t="str">
        <f>""</f>
        <v/>
      </c>
      <c r="S309" s="218" t="str">
        <f t="shared" si="108"/>
        <v>057</v>
      </c>
      <c r="T309" s="218" t="str">
        <f t="shared" si="109"/>
        <v>D</v>
      </c>
      <c r="U309" s="218" t="str">
        <f t="shared" si="98"/>
        <v>AFR000</v>
      </c>
      <c r="V309" s="218" t="str">
        <f t="shared" si="99"/>
        <v>###</v>
      </c>
      <c r="W309" s="218">
        <v>3.8</v>
      </c>
      <c r="X309" s="218" t="str">
        <f t="shared" si="110"/>
        <v>USD</v>
      </c>
      <c r="Y309" s="218">
        <v>3.01</v>
      </c>
      <c r="Z309" s="218">
        <v>3.8</v>
      </c>
      <c r="AA309" s="218">
        <v>3.44</v>
      </c>
    </row>
    <row r="310" spans="1:27">
      <c r="A310" s="218" t="s">
        <v>2592</v>
      </c>
      <c r="F310" s="219" t="str">
        <f>"""IntAlert Live"",""ALERT UK"",""17"",""1"",""554722"""</f>
        <v>"IntAlert Live","ALERT UK","17","1","554722"</v>
      </c>
      <c r="G310" s="223">
        <v>43977</v>
      </c>
      <c r="H310" s="223"/>
      <c r="I310" s="218" t="str">
        <f>"DRCGOM/ BANQUE/2020/005/011"</f>
        <v>DRCGOM/ BANQUE/2020/005/011</v>
      </c>
      <c r="K310" s="218" t="str">
        <f>"CNSS-MAY 2020"</f>
        <v>CNSS-MAY 2020</v>
      </c>
      <c r="L310" s="218" t="str">
        <f>"CNSS-Bienvenu MAKURU AMANI 5%"</f>
        <v>CNSS-Bienvenu MAKURU AMANI 5%</v>
      </c>
      <c r="M310" s="218" t="str">
        <f>"5110"</f>
        <v>5110</v>
      </c>
      <c r="N310" s="218" t="str">
        <f>"EMPLOYER'S PENSION COSTS"</f>
        <v>EMPLOYER'S PENSION COSTS</v>
      </c>
      <c r="O310" s="218" t="str">
        <f t="shared" si="113"/>
        <v>DRCGOM</v>
      </c>
      <c r="P310" s="218" t="str">
        <f t="shared" si="97"/>
        <v>AP21QR</v>
      </c>
      <c r="Q310" s="218" t="str">
        <f>"SEN"</f>
        <v>SEN</v>
      </c>
      <c r="R310" s="218" t="str">
        <f>""</f>
        <v/>
      </c>
      <c r="S310" s="218" t="str">
        <f t="shared" si="108"/>
        <v>057</v>
      </c>
      <c r="T310" s="218" t="str">
        <f t="shared" si="109"/>
        <v>D</v>
      </c>
      <c r="U310" s="218" t="str">
        <f t="shared" si="98"/>
        <v>AFR000</v>
      </c>
      <c r="V310" s="218" t="str">
        <f t="shared" si="99"/>
        <v>###</v>
      </c>
      <c r="W310" s="218">
        <v>11.22</v>
      </c>
      <c r="X310" s="218" t="str">
        <f t="shared" si="110"/>
        <v>USD</v>
      </c>
      <c r="Y310" s="218">
        <v>8.9</v>
      </c>
      <c r="Z310" s="218">
        <v>11.22</v>
      </c>
      <c r="AA310" s="218">
        <v>10.19</v>
      </c>
    </row>
    <row r="311" spans="1:27">
      <c r="A311" s="218" t="s">
        <v>2592</v>
      </c>
      <c r="F311" s="219" t="str">
        <f>"""IntAlert Live"",""ALERT UK"",""17"",""1"",""554737"""</f>
        <v>"IntAlert Live","ALERT UK","17","1","554737"</v>
      </c>
      <c r="G311" s="223">
        <v>43977</v>
      </c>
      <c r="H311" s="223"/>
      <c r="I311" s="218" t="str">
        <f>"DRCGOM/ BANQUE/2020/005/011"</f>
        <v>DRCGOM/ BANQUE/2020/005/011</v>
      </c>
      <c r="K311" s="218" t="str">
        <f>"CNSS-MAY 2020"</f>
        <v>CNSS-MAY 2020</v>
      </c>
      <c r="L311" s="218" t="str">
        <f>"CNSS-Jacques Zigabe Buhendwa 5%"</f>
        <v>CNSS-Jacques Zigabe Buhendwa 5%</v>
      </c>
      <c r="M311" s="218" t="str">
        <f>"5110"</f>
        <v>5110</v>
      </c>
      <c r="N311" s="218" t="str">
        <f>"EMPLOYER'S PENSION COSTS"</f>
        <v>EMPLOYER'S PENSION COSTS</v>
      </c>
      <c r="O311" s="218" t="str">
        <f t="shared" si="113"/>
        <v>DRCGOM</v>
      </c>
      <c r="P311" s="218" t="str">
        <f t="shared" si="97"/>
        <v>AP21QR</v>
      </c>
      <c r="Q311" s="218" t="str">
        <f>"BUE"</f>
        <v>BUE</v>
      </c>
      <c r="R311" s="218" t="str">
        <f>""</f>
        <v/>
      </c>
      <c r="S311" s="218" t="str">
        <f t="shared" si="108"/>
        <v>057</v>
      </c>
      <c r="T311" s="218" t="str">
        <f t="shared" si="109"/>
        <v>D</v>
      </c>
      <c r="U311" s="218" t="str">
        <f t="shared" si="98"/>
        <v>AFR000</v>
      </c>
      <c r="V311" s="218" t="str">
        <f t="shared" si="99"/>
        <v>###</v>
      </c>
      <c r="W311" s="218">
        <v>3.24</v>
      </c>
      <c r="X311" s="218" t="str">
        <f t="shared" si="110"/>
        <v>USD</v>
      </c>
      <c r="Y311" s="218">
        <v>2.57</v>
      </c>
      <c r="Z311" s="218">
        <v>3.24</v>
      </c>
      <c r="AA311" s="218">
        <v>2.94</v>
      </c>
    </row>
    <row r="312" spans="1:27">
      <c r="A312" s="218" t="s">
        <v>2592</v>
      </c>
      <c r="F312" s="219" t="str">
        <f>"""IntAlert Live"",""ALERT UK"",""17"",""1"",""554748"""</f>
        <v>"IntAlert Live","ALERT UK","17","1","554748"</v>
      </c>
      <c r="G312" s="223">
        <v>43977</v>
      </c>
      <c r="H312" s="223"/>
      <c r="I312" s="218" t="str">
        <f>"DRCGOM/ BANQUE/2020/005/012"</f>
        <v>DRCGOM/ BANQUE/2020/005/012</v>
      </c>
      <c r="K312" s="218" t="str">
        <f>"INPP-MAY 2020"</f>
        <v>INPP-MAY 2020</v>
      </c>
      <c r="L312" s="218" t="str">
        <f>"INPP-Adolphine KAVIRA KAMBASU 5%"</f>
        <v>INPP-Adolphine KAVIRA KAMBASU 5%</v>
      </c>
      <c r="M312" s="218" t="str">
        <f>"5150"</f>
        <v>5150</v>
      </c>
      <c r="N312" s="218" t="str">
        <f>"EMPLOYMENT RELOCATION COSTS"</f>
        <v>EMPLOYMENT RELOCATION COSTS</v>
      </c>
      <c r="O312" s="218" t="str">
        <f t="shared" si="113"/>
        <v>DRCGOM</v>
      </c>
      <c r="P312" s="218" t="str">
        <f t="shared" si="97"/>
        <v>AP21QR</v>
      </c>
      <c r="Q312" s="218" t="str">
        <f>"KAS"</f>
        <v>KAS</v>
      </c>
      <c r="R312" s="218" t="str">
        <f>""</f>
        <v/>
      </c>
      <c r="S312" s="218" t="str">
        <f t="shared" si="108"/>
        <v>057</v>
      </c>
      <c r="T312" s="218" t="str">
        <f t="shared" si="109"/>
        <v>D</v>
      </c>
      <c r="U312" s="218" t="str">
        <f t="shared" si="98"/>
        <v>AFR000</v>
      </c>
      <c r="V312" s="218" t="str">
        <f t="shared" si="99"/>
        <v>###</v>
      </c>
      <c r="W312" s="218">
        <v>0.63</v>
      </c>
      <c r="X312" s="218" t="str">
        <f t="shared" si="110"/>
        <v>USD</v>
      </c>
      <c r="Y312" s="218">
        <v>0.5</v>
      </c>
      <c r="Z312" s="218">
        <v>0.63</v>
      </c>
      <c r="AA312" s="218">
        <v>0.56999999999999995</v>
      </c>
    </row>
    <row r="313" spans="1:27">
      <c r="A313" s="218" t="s">
        <v>2592</v>
      </c>
      <c r="F313" s="219" t="str">
        <f>"""IntAlert Live"",""ALERT UK"",""17"",""1"",""554782"""</f>
        <v>"IntAlert Live","ALERT UK","17","1","554782"</v>
      </c>
      <c r="G313" s="223">
        <v>43977</v>
      </c>
      <c r="H313" s="223"/>
      <c r="I313" s="218" t="str">
        <f>"DRCGOM/ BANQUE/2020/005/012"</f>
        <v>DRCGOM/ BANQUE/2020/005/012</v>
      </c>
      <c r="K313" s="218" t="str">
        <f>"INPP-MAY 2020"</f>
        <v>INPP-MAY 2020</v>
      </c>
      <c r="L313" s="218" t="str">
        <f>"INPP-Bienvenu MAKURU AMANI 5%"</f>
        <v>INPP-Bienvenu MAKURU AMANI 5%</v>
      </c>
      <c r="M313" s="218" t="str">
        <f>"5150"</f>
        <v>5150</v>
      </c>
      <c r="N313" s="218" t="str">
        <f>"EMPLOYMENT RELOCATION COSTS"</f>
        <v>EMPLOYMENT RELOCATION COSTS</v>
      </c>
      <c r="O313" s="218" t="str">
        <f t="shared" si="113"/>
        <v>DRCGOM</v>
      </c>
      <c r="P313" s="218" t="str">
        <f t="shared" si="97"/>
        <v>AP21QR</v>
      </c>
      <c r="Q313" s="218" t="str">
        <f>"SEN"</f>
        <v>SEN</v>
      </c>
      <c r="R313" s="218" t="str">
        <f>""</f>
        <v/>
      </c>
      <c r="S313" s="218" t="str">
        <f t="shared" si="108"/>
        <v>057</v>
      </c>
      <c r="T313" s="218" t="str">
        <f t="shared" si="109"/>
        <v>D</v>
      </c>
      <c r="U313" s="218" t="str">
        <f t="shared" si="98"/>
        <v>AFR000</v>
      </c>
      <c r="V313" s="218" t="str">
        <f t="shared" si="99"/>
        <v>###</v>
      </c>
      <c r="W313" s="218">
        <v>1.87</v>
      </c>
      <c r="X313" s="218" t="str">
        <f t="shared" si="110"/>
        <v>USD</v>
      </c>
      <c r="Y313" s="218">
        <v>1.48</v>
      </c>
      <c r="Z313" s="218">
        <v>1.87</v>
      </c>
      <c r="AA313" s="218">
        <v>1.69</v>
      </c>
    </row>
    <row r="314" spans="1:27">
      <c r="A314" s="218" t="s">
        <v>2592</v>
      </c>
      <c r="F314" s="219" t="str">
        <f>"""IntAlert Live"",""ALERT UK"",""17"",""1"",""554797"""</f>
        <v>"IntAlert Live","ALERT UK","17","1","554797"</v>
      </c>
      <c r="G314" s="223">
        <v>43977</v>
      </c>
      <c r="H314" s="223"/>
      <c r="I314" s="218" t="str">
        <f>"DRCGOM/ BANQUE/2020/005/012"</f>
        <v>DRCGOM/ BANQUE/2020/005/012</v>
      </c>
      <c r="K314" s="218" t="str">
        <f>"INPP-MAY 2020"</f>
        <v>INPP-MAY 2020</v>
      </c>
      <c r="L314" s="218" t="str">
        <f>"INPP-Jacques Zigabe Buhendwa 5%"</f>
        <v>INPP-Jacques Zigabe Buhendwa 5%</v>
      </c>
      <c r="M314" s="218" t="str">
        <f>"5150"</f>
        <v>5150</v>
      </c>
      <c r="N314" s="218" t="str">
        <f>"EMPLOYMENT RELOCATION COSTS"</f>
        <v>EMPLOYMENT RELOCATION COSTS</v>
      </c>
      <c r="O314" s="218" t="str">
        <f t="shared" si="113"/>
        <v>DRCGOM</v>
      </c>
      <c r="P314" s="218" t="str">
        <f t="shared" si="97"/>
        <v>AP21QR</v>
      </c>
      <c r="Q314" s="218" t="str">
        <f>"BUE"</f>
        <v>BUE</v>
      </c>
      <c r="R314" s="218" t="str">
        <f>""</f>
        <v/>
      </c>
      <c r="S314" s="218" t="str">
        <f t="shared" si="108"/>
        <v>057</v>
      </c>
      <c r="T314" s="218" t="str">
        <f t="shared" si="109"/>
        <v>D</v>
      </c>
      <c r="U314" s="218" t="str">
        <f t="shared" si="98"/>
        <v>AFR000</v>
      </c>
      <c r="V314" s="218" t="str">
        <f t="shared" si="99"/>
        <v>###</v>
      </c>
      <c r="W314" s="218">
        <v>0.54</v>
      </c>
      <c r="X314" s="218" t="str">
        <f t="shared" si="110"/>
        <v>USD</v>
      </c>
      <c r="Y314" s="218">
        <v>0.43</v>
      </c>
      <c r="Z314" s="218">
        <v>0.54</v>
      </c>
      <c r="AA314" s="218">
        <v>0.49</v>
      </c>
    </row>
    <row r="315" spans="1:27">
      <c r="A315" s="218" t="s">
        <v>2592</v>
      </c>
      <c r="F315" s="219" t="str">
        <f>"""IntAlert Live"",""ALERT UK"",""17"",""1"",""555336"""</f>
        <v>"IntAlert Live","ALERT UK","17","1","555336"</v>
      </c>
      <c r="G315" s="223">
        <v>43979</v>
      </c>
      <c r="H315" s="223"/>
      <c r="I315" s="218" t="str">
        <f>"DRCBUK/BANK/2020/05/021"</f>
        <v>DRCBUK/BANK/2020/05/021</v>
      </c>
      <c r="K315" s="218" t="str">
        <f>"DGI/DPI SUD-KIVU"</f>
        <v>DGI/DPI SUD-KIVU</v>
      </c>
      <c r="L315" s="218" t="str">
        <f>"IPR Solde de tout compte Marina FURAHA "</f>
        <v xml:space="preserve">IPR Solde de tout compte Marina FURAHA </v>
      </c>
      <c r="M315" s="218" t="str">
        <f>"5100"</f>
        <v>5100</v>
      </c>
      <c r="N315" s="218" t="str">
        <f>"BASIC EMPLOYMENT COSTS"</f>
        <v>BASIC EMPLOYMENT COSTS</v>
      </c>
      <c r="O315" s="218" t="str">
        <f>"DRCBUK"</f>
        <v>DRCBUK</v>
      </c>
      <c r="P315" s="218" t="str">
        <f t="shared" si="97"/>
        <v>AP21QR</v>
      </c>
      <c r="Q315" s="218" t="str">
        <f>"FUR"</f>
        <v>FUR</v>
      </c>
      <c r="R315" s="218" t="str">
        <f>""</f>
        <v/>
      </c>
      <c r="S315" s="218" t="str">
        <f t="shared" si="108"/>
        <v>057</v>
      </c>
      <c r="T315" s="218" t="str">
        <f t="shared" si="109"/>
        <v>D</v>
      </c>
      <c r="U315" s="218" t="str">
        <f t="shared" si="98"/>
        <v>AFR000</v>
      </c>
      <c r="V315" s="218" t="str">
        <f t="shared" si="99"/>
        <v>###</v>
      </c>
      <c r="W315" s="218">
        <v>12.77</v>
      </c>
      <c r="X315" s="218" t="str">
        <f t="shared" si="110"/>
        <v>USD</v>
      </c>
      <c r="Y315" s="218">
        <v>10.130000000000001</v>
      </c>
      <c r="Z315" s="218">
        <v>12.77</v>
      </c>
      <c r="AA315" s="218">
        <v>11.59</v>
      </c>
    </row>
    <row r="316" spans="1:27">
      <c r="A316" s="218" t="s">
        <v>2592</v>
      </c>
      <c r="F316" s="219" t="str">
        <f>"""IntAlert Live"",""ALERT UK"",""17"",""1"",""555347"""</f>
        <v>"IntAlert Live","ALERT UK","17","1","555347"</v>
      </c>
      <c r="G316" s="223">
        <v>43979</v>
      </c>
      <c r="H316" s="223"/>
      <c r="I316" s="218" t="str">
        <f>"DRCBUK/BANK/2020/05/022"</f>
        <v>DRCBUK/BANK/2020/05/022</v>
      </c>
      <c r="K316" s="218" t="str">
        <f>"CNSS SUD KIVU"</f>
        <v>CNSS SUD KIVU</v>
      </c>
      <c r="L316" s="218" t="str">
        <f>"CNSS Solde de tout compte Marina FURAHA "</f>
        <v xml:space="preserve">CNSS Solde de tout compte Marina FURAHA </v>
      </c>
      <c r="M316" s="218" t="str">
        <f>"5160"</f>
        <v>5160</v>
      </c>
      <c r="N316" s="218" t="str">
        <f>"EMPLOYMENT BENEFITS COSTS"</f>
        <v>EMPLOYMENT BENEFITS COSTS</v>
      </c>
      <c r="O316" s="218" t="str">
        <f>"DRCBUK"</f>
        <v>DRCBUK</v>
      </c>
      <c r="P316" s="218" t="str">
        <f t="shared" si="97"/>
        <v>AP21QR</v>
      </c>
      <c r="Q316" s="218" t="str">
        <f>"FUR"</f>
        <v>FUR</v>
      </c>
      <c r="R316" s="218" t="str">
        <f>""</f>
        <v/>
      </c>
      <c r="S316" s="218" t="str">
        <f t="shared" si="108"/>
        <v>057</v>
      </c>
      <c r="T316" s="218" t="str">
        <f t="shared" si="109"/>
        <v>D</v>
      </c>
      <c r="U316" s="218" t="str">
        <f t="shared" si="98"/>
        <v>AFR000</v>
      </c>
      <c r="V316" s="218" t="str">
        <f t="shared" si="99"/>
        <v>###</v>
      </c>
      <c r="W316" s="218">
        <v>23.3</v>
      </c>
      <c r="X316" s="218" t="str">
        <f t="shared" si="110"/>
        <v>USD</v>
      </c>
      <c r="Y316" s="218">
        <v>18.489999999999998</v>
      </c>
      <c r="Z316" s="218">
        <v>23.3</v>
      </c>
      <c r="AA316" s="218">
        <v>21.16</v>
      </c>
    </row>
    <row r="317" spans="1:27">
      <c r="A317" s="218" t="s">
        <v>2592</v>
      </c>
      <c r="F317" s="219" t="str">
        <f>"""IntAlert Live"",""ALERT UK"",""17"",""1"",""554979"""</f>
        <v>"IntAlert Live","ALERT UK","17","1","554979"</v>
      </c>
      <c r="G317" s="223">
        <v>43980</v>
      </c>
      <c r="H317" s="223"/>
      <c r="I317" s="218" t="str">
        <f>"DRCGOM/ CAISSE/2020/005/001"</f>
        <v>DRCGOM/ CAISSE/2020/005/001</v>
      </c>
      <c r="K317" s="218" t="str">
        <f>"ONEM MAI 2020"</f>
        <v>ONEM MAI 2020</v>
      </c>
      <c r="L317" s="218" t="str">
        <f>"ONEM-May'20Adolphine KAVIRA KAMBASU 5%"</f>
        <v>ONEM-May'20Adolphine KAVIRA KAMBASU 5%</v>
      </c>
      <c r="M317" s="218" t="str">
        <f>"5150"</f>
        <v>5150</v>
      </c>
      <c r="N317" s="218" t="str">
        <f>"EMPLOYMENT RELOCATION COSTS"</f>
        <v>EMPLOYMENT RELOCATION COSTS</v>
      </c>
      <c r="O317" s="218" t="str">
        <f>"DRCGOM"</f>
        <v>DRCGOM</v>
      </c>
      <c r="P317" s="218" t="str">
        <f t="shared" si="97"/>
        <v>AP21QR</v>
      </c>
      <c r="Q317" s="218" t="str">
        <f>"KAS"</f>
        <v>KAS</v>
      </c>
      <c r="R317" s="218" t="str">
        <f>""</f>
        <v/>
      </c>
      <c r="S317" s="218" t="str">
        <f t="shared" si="108"/>
        <v>057</v>
      </c>
      <c r="T317" s="218" t="str">
        <f t="shared" si="109"/>
        <v>D</v>
      </c>
      <c r="U317" s="218" t="str">
        <f t="shared" si="98"/>
        <v>AFR000</v>
      </c>
      <c r="V317" s="218" t="str">
        <f t="shared" si="99"/>
        <v>###</v>
      </c>
      <c r="W317" s="218">
        <v>0.04</v>
      </c>
      <c r="X317" s="218" t="str">
        <f t="shared" si="110"/>
        <v>USD</v>
      </c>
      <c r="Y317" s="218">
        <v>0.03</v>
      </c>
      <c r="Z317" s="218">
        <v>0.04</v>
      </c>
      <c r="AA317" s="218">
        <v>0.03</v>
      </c>
    </row>
    <row r="318" spans="1:27">
      <c r="A318" s="218" t="s">
        <v>2592</v>
      </c>
      <c r="F318" s="219" t="str">
        <f>"""IntAlert Live"",""ALERT UK"",""17"",""1"",""555013"""</f>
        <v>"IntAlert Live","ALERT UK","17","1","555013"</v>
      </c>
      <c r="G318" s="223">
        <v>43980</v>
      </c>
      <c r="H318" s="223"/>
      <c r="I318" s="218" t="str">
        <f>"DRCGOM/ CAISSE/2020/005/001"</f>
        <v>DRCGOM/ CAISSE/2020/005/001</v>
      </c>
      <c r="K318" s="218" t="str">
        <f>"ONEM MAI 2020"</f>
        <v>ONEM MAI 2020</v>
      </c>
      <c r="L318" s="218" t="str">
        <f>"ONEM-May'20Bienvenu MAKURU AMANI 5%"</f>
        <v>ONEM-May'20Bienvenu MAKURU AMANI 5%</v>
      </c>
      <c r="M318" s="218" t="str">
        <f>"5150"</f>
        <v>5150</v>
      </c>
      <c r="N318" s="218" t="str">
        <f>"EMPLOYMENT RELOCATION COSTS"</f>
        <v>EMPLOYMENT RELOCATION COSTS</v>
      </c>
      <c r="O318" s="218" t="str">
        <f>"DRCGOM"</f>
        <v>DRCGOM</v>
      </c>
      <c r="P318" s="218" t="str">
        <f t="shared" si="97"/>
        <v>AP21QR</v>
      </c>
      <c r="Q318" s="218" t="str">
        <f>"SEN"</f>
        <v>SEN</v>
      </c>
      <c r="R318" s="218" t="str">
        <f>""</f>
        <v/>
      </c>
      <c r="S318" s="218" t="str">
        <f t="shared" si="108"/>
        <v>057</v>
      </c>
      <c r="T318" s="218" t="str">
        <f t="shared" si="109"/>
        <v>D</v>
      </c>
      <c r="U318" s="218" t="str">
        <f t="shared" si="98"/>
        <v>AFR000</v>
      </c>
      <c r="V318" s="218" t="str">
        <f t="shared" si="99"/>
        <v>###</v>
      </c>
      <c r="W318" s="218">
        <v>0.12</v>
      </c>
      <c r="X318" s="218" t="str">
        <f t="shared" si="110"/>
        <v>USD</v>
      </c>
      <c r="Y318" s="218">
        <v>0.1</v>
      </c>
      <c r="Z318" s="218">
        <v>0.12</v>
      </c>
      <c r="AA318" s="218">
        <v>0.11</v>
      </c>
    </row>
    <row r="319" spans="1:27">
      <c r="A319" s="218" t="s">
        <v>2592</v>
      </c>
      <c r="F319" s="219" t="str">
        <f>"""IntAlert Live"",""ALERT UK"",""17"",""1"",""555028"""</f>
        <v>"IntAlert Live","ALERT UK","17","1","555028"</v>
      </c>
      <c r="G319" s="223">
        <v>43980</v>
      </c>
      <c r="H319" s="223"/>
      <c r="I319" s="218" t="str">
        <f>"DRCGOM/ CAISSE/2020/005/001"</f>
        <v>DRCGOM/ CAISSE/2020/005/001</v>
      </c>
      <c r="K319" s="218" t="str">
        <f>"ONEM MAI 2020"</f>
        <v>ONEM MAI 2020</v>
      </c>
      <c r="L319" s="218" t="str">
        <f>"ONEM-May'20Jacques Zigabe Buhendwa 5%"</f>
        <v>ONEM-May'20Jacques Zigabe Buhendwa 5%</v>
      </c>
      <c r="M319" s="218" t="str">
        <f>"5150"</f>
        <v>5150</v>
      </c>
      <c r="N319" s="218" t="str">
        <f>"EMPLOYMENT RELOCATION COSTS"</f>
        <v>EMPLOYMENT RELOCATION COSTS</v>
      </c>
      <c r="O319" s="218" t="str">
        <f>"DRCGOM"</f>
        <v>DRCGOM</v>
      </c>
      <c r="P319" s="218" t="str">
        <f t="shared" si="97"/>
        <v>AP21QR</v>
      </c>
      <c r="Q319" s="218" t="str">
        <f>"BUE"</f>
        <v>BUE</v>
      </c>
      <c r="R319" s="218" t="str">
        <f>""</f>
        <v/>
      </c>
      <c r="S319" s="218" t="str">
        <f t="shared" si="108"/>
        <v>057</v>
      </c>
      <c r="T319" s="218" t="str">
        <f t="shared" si="109"/>
        <v>D</v>
      </c>
      <c r="U319" s="218" t="str">
        <f t="shared" si="98"/>
        <v>AFR000</v>
      </c>
      <c r="V319" s="218" t="str">
        <f t="shared" si="99"/>
        <v>###</v>
      </c>
      <c r="W319" s="218">
        <v>0.04</v>
      </c>
      <c r="X319" s="218" t="str">
        <f t="shared" si="110"/>
        <v>USD</v>
      </c>
      <c r="Y319" s="218">
        <v>0.03</v>
      </c>
      <c r="Z319" s="218">
        <v>0.04</v>
      </c>
      <c r="AA319" s="218">
        <v>0.03</v>
      </c>
    </row>
    <row r="320" spans="1:27">
      <c r="A320" s="218" t="s">
        <v>2592</v>
      </c>
      <c r="F320" s="219" t="str">
        <f>"""IntAlert Live"",""ALERT UK"",""17"",""1"",""555485"""</f>
        <v>"IntAlert Live","ALERT UK","17","1","555485"</v>
      </c>
      <c r="G320" s="223">
        <v>43980</v>
      </c>
      <c r="H320" s="223"/>
      <c r="I320" s="218" t="str">
        <f>"DRCBUK/CAISSE/2020/05/002"</f>
        <v>DRCBUK/CAISSE/2020/05/002</v>
      </c>
      <c r="K320" s="218" t="str">
        <f>"ONEM"</f>
        <v>ONEM</v>
      </c>
      <c r="L320" s="218" t="str">
        <f>"ONEM-Mai 020 Georgine BAMUNOBA TIBANAGWA 5%"</f>
        <v>ONEM-Mai 020 Georgine BAMUNOBA TIBANAGWA 5%</v>
      </c>
      <c r="M320" s="218" t="str">
        <f>"5160"</f>
        <v>5160</v>
      </c>
      <c r="N320" s="218" t="str">
        <f>"EMPLOYMENT BENEFITS COSTS"</f>
        <v>EMPLOYMENT BENEFITS COSTS</v>
      </c>
      <c r="O320" s="218" t="str">
        <f t="shared" ref="O320:O337" si="114">"DRCBUK"</f>
        <v>DRCBUK</v>
      </c>
      <c r="P320" s="218" t="str">
        <f t="shared" si="97"/>
        <v>AP21QR</v>
      </c>
      <c r="Q320" s="218" t="str">
        <f>"BAM"</f>
        <v>BAM</v>
      </c>
      <c r="R320" s="218" t="str">
        <f>""</f>
        <v/>
      </c>
      <c r="S320" s="218" t="str">
        <f t="shared" si="108"/>
        <v>057</v>
      </c>
      <c r="T320" s="218" t="str">
        <f t="shared" si="109"/>
        <v>D</v>
      </c>
      <c r="U320" s="218" t="str">
        <f t="shared" si="98"/>
        <v>AFR000</v>
      </c>
      <c r="V320" s="218" t="str">
        <f t="shared" si="99"/>
        <v>###</v>
      </c>
      <c r="W320" s="218">
        <v>0.04</v>
      </c>
      <c r="X320" s="218" t="str">
        <f t="shared" si="110"/>
        <v>USD</v>
      </c>
      <c r="Y320" s="218">
        <v>0.03</v>
      </c>
      <c r="Z320" s="218">
        <v>0.04</v>
      </c>
      <c r="AA320" s="218">
        <v>0.03</v>
      </c>
    </row>
    <row r="321" spans="1:27">
      <c r="A321" s="218" t="s">
        <v>2592</v>
      </c>
      <c r="F321" s="219" t="str">
        <f>"""IntAlert Live"",""ALERT UK"",""17"",""1"",""555494"""</f>
        <v>"IntAlert Live","ALERT UK","17","1","555494"</v>
      </c>
      <c r="G321" s="223">
        <v>43980</v>
      </c>
      <c r="H321" s="223"/>
      <c r="I321" s="218" t="str">
        <f>"DRCBUK/CAISSE/2020/05/002"</f>
        <v>DRCBUK/CAISSE/2020/05/002</v>
      </c>
      <c r="K321" s="218" t="str">
        <f>"ONEM"</f>
        <v>ONEM</v>
      </c>
      <c r="L321" s="218" t="str">
        <f>"ONEM-Mai 020 Verre KILAURI  BANYWESIZE 5%"</f>
        <v>ONEM-Mai 020 Verre KILAURI  BANYWESIZE 5%</v>
      </c>
      <c r="M321" s="218" t="str">
        <f>"5160"</f>
        <v>5160</v>
      </c>
      <c r="N321" s="218" t="str">
        <f>"EMPLOYMENT BENEFITS COSTS"</f>
        <v>EMPLOYMENT BENEFITS COSTS</v>
      </c>
      <c r="O321" s="218" t="str">
        <f t="shared" si="114"/>
        <v>DRCBUK</v>
      </c>
      <c r="P321" s="218" t="str">
        <f t="shared" si="97"/>
        <v>AP21QR</v>
      </c>
      <c r="Q321" s="218" t="str">
        <f>"KIA"</f>
        <v>KIA</v>
      </c>
      <c r="R321" s="218" t="str">
        <f>""</f>
        <v/>
      </c>
      <c r="S321" s="218" t="str">
        <f t="shared" si="108"/>
        <v>057</v>
      </c>
      <c r="T321" s="218" t="str">
        <f t="shared" si="109"/>
        <v>D</v>
      </c>
      <c r="U321" s="218" t="str">
        <f t="shared" si="98"/>
        <v>AFR000</v>
      </c>
      <c r="V321" s="218" t="str">
        <f t="shared" si="99"/>
        <v>###</v>
      </c>
      <c r="W321" s="218">
        <v>0.12</v>
      </c>
      <c r="X321" s="218" t="str">
        <f t="shared" si="110"/>
        <v>USD</v>
      </c>
      <c r="Y321" s="218">
        <v>0.1</v>
      </c>
      <c r="Z321" s="218">
        <v>0.12</v>
      </c>
      <c r="AA321" s="218">
        <v>0.11</v>
      </c>
    </row>
    <row r="322" spans="1:27">
      <c r="A322" s="218" t="s">
        <v>2592</v>
      </c>
      <c r="F322" s="219" t="str">
        <f>"""IntAlert Live"",""ALERT UK"",""17"",""1"",""555500"""</f>
        <v>"IntAlert Live","ALERT UK","17","1","555500"</v>
      </c>
      <c r="G322" s="223">
        <v>43980</v>
      </c>
      <c r="H322" s="223"/>
      <c r="I322" s="218" t="str">
        <f>"DRCBUK/CAISSE/2020/05/002"</f>
        <v>DRCBUK/CAISSE/2020/05/002</v>
      </c>
      <c r="K322" s="218" t="str">
        <f>"ONEM"</f>
        <v>ONEM</v>
      </c>
      <c r="L322" s="218" t="str">
        <f>"ONEM-Mai 020 Michel MIRINDI BASHWERE 5%"</f>
        <v>ONEM-Mai 020 Michel MIRINDI BASHWERE 5%</v>
      </c>
      <c r="M322" s="218" t="str">
        <f>"5160"</f>
        <v>5160</v>
      </c>
      <c r="N322" s="218" t="str">
        <f>"EMPLOYMENT BENEFITS COSTS"</f>
        <v>EMPLOYMENT BENEFITS COSTS</v>
      </c>
      <c r="O322" s="218" t="str">
        <f t="shared" si="114"/>
        <v>DRCBUK</v>
      </c>
      <c r="P322" s="218" t="str">
        <f t="shared" si="97"/>
        <v>AP21QR</v>
      </c>
      <c r="Q322" s="218" t="str">
        <f>"MRI"</f>
        <v>MRI</v>
      </c>
      <c r="R322" s="218" t="str">
        <f>""</f>
        <v/>
      </c>
      <c r="S322" s="218" t="str">
        <f t="shared" si="108"/>
        <v>057</v>
      </c>
      <c r="T322" s="218" t="str">
        <f t="shared" si="109"/>
        <v>D</v>
      </c>
      <c r="U322" s="218" t="str">
        <f t="shared" si="98"/>
        <v>AFR000</v>
      </c>
      <c r="V322" s="218" t="str">
        <f t="shared" si="99"/>
        <v>###</v>
      </c>
      <c r="W322" s="218">
        <v>0.03</v>
      </c>
      <c r="X322" s="218" t="str">
        <f t="shared" si="110"/>
        <v>USD</v>
      </c>
      <c r="Y322" s="218">
        <v>0.02</v>
      </c>
      <c r="Z322" s="218">
        <v>0.03</v>
      </c>
      <c r="AA322" s="218">
        <v>0.02</v>
      </c>
    </row>
    <row r="323" spans="1:27">
      <c r="A323" s="218" t="s">
        <v>2592</v>
      </c>
      <c r="F323" s="219" t="str">
        <f>"""IntAlert Live"",""ALERT UK"",""17"",""1"",""546196"""</f>
        <v>"IntAlert Live","ALERT UK","17","1","546196"</v>
      </c>
      <c r="G323" s="223">
        <v>43948</v>
      </c>
      <c r="H323" s="223"/>
      <c r="I323" s="218" t="str">
        <f>"DRCBUK/BANK/2020/04/016"</f>
        <v>DRCBUK/BANK/2020/04/016</v>
      </c>
      <c r="K323" s="218" t="str">
        <f>"HGR PANZI"</f>
        <v>HGR PANZI</v>
      </c>
      <c r="L323" s="218" t="str">
        <f>"Verre Kilauri medical fees March'20 4%"</f>
        <v>Verre Kilauri medical fees March'20 4%</v>
      </c>
      <c r="M323" s="218" t="str">
        <f t="shared" ref="M323:M337" si="115">"5140"</f>
        <v>5140</v>
      </c>
      <c r="N323" s="218" t="str">
        <f t="shared" ref="N323:N337" si="116">"EMPLOYMENT MEDICAL COSTS"</f>
        <v>EMPLOYMENT MEDICAL COSTS</v>
      </c>
      <c r="O323" s="218" t="str">
        <f t="shared" si="114"/>
        <v>DRCBUK</v>
      </c>
      <c r="P323" s="218" t="str">
        <f t="shared" si="97"/>
        <v>AP21QR</v>
      </c>
      <c r="Q323" s="218" t="str">
        <f>"KIA"</f>
        <v>KIA</v>
      </c>
      <c r="R323" s="218" t="str">
        <f>""</f>
        <v/>
      </c>
      <c r="S323" s="218" t="str">
        <f t="shared" ref="S323:S337" si="117">"058"</f>
        <v>058</v>
      </c>
      <c r="T323" s="218" t="str">
        <f t="shared" si="109"/>
        <v>D</v>
      </c>
      <c r="U323" s="218" t="str">
        <f t="shared" si="98"/>
        <v>AFR000</v>
      </c>
      <c r="V323" s="218" t="str">
        <f t="shared" si="99"/>
        <v>###</v>
      </c>
      <c r="W323" s="218">
        <v>11.9</v>
      </c>
      <c r="X323" s="218" t="str">
        <f t="shared" si="110"/>
        <v>USD</v>
      </c>
      <c r="Y323" s="218">
        <v>9.5500000000000007</v>
      </c>
      <c r="Z323" s="218">
        <v>11.9</v>
      </c>
      <c r="AA323" s="218">
        <v>10.74</v>
      </c>
    </row>
    <row r="324" spans="1:27">
      <c r="A324" s="218" t="s">
        <v>2592</v>
      </c>
      <c r="F324" s="219" t="str">
        <f>"""IntAlert Live"",""ALERT UK"",""17"",""1"",""546208"""</f>
        <v>"IntAlert Live","ALERT UK","17","1","546208"</v>
      </c>
      <c r="G324" s="223">
        <v>43948</v>
      </c>
      <c r="H324" s="223"/>
      <c r="I324" s="218" t="str">
        <f>"DRCBUK/BANK/2020/04/018"</f>
        <v>DRCBUK/BANK/2020/04/018</v>
      </c>
      <c r="K324" s="218" t="str">
        <f>"HPGRB"</f>
        <v>HPGRB</v>
      </c>
      <c r="L324" s="218" t="str">
        <f>"Barnabe Wangu medical fees March'20 10%"</f>
        <v>Barnabe Wangu medical fees March'20 10%</v>
      </c>
      <c r="M324" s="218" t="str">
        <f t="shared" si="115"/>
        <v>5140</v>
      </c>
      <c r="N324" s="218" t="str">
        <f t="shared" si="116"/>
        <v>EMPLOYMENT MEDICAL COSTS</v>
      </c>
      <c r="O324" s="218" t="str">
        <f t="shared" si="114"/>
        <v>DRCBUK</v>
      </c>
      <c r="P324" s="218" t="str">
        <f t="shared" si="97"/>
        <v>AP21QR</v>
      </c>
      <c r="Q324" s="218" t="str">
        <f>"BRB"</f>
        <v>BRB</v>
      </c>
      <c r="R324" s="218" t="str">
        <f>""</f>
        <v/>
      </c>
      <c r="S324" s="218" t="str">
        <f t="shared" si="117"/>
        <v>058</v>
      </c>
      <c r="T324" s="218" t="str">
        <f t="shared" si="109"/>
        <v>D</v>
      </c>
      <c r="U324" s="218" t="str">
        <f t="shared" si="98"/>
        <v>AFR000</v>
      </c>
      <c r="V324" s="218" t="str">
        <f t="shared" si="99"/>
        <v>###</v>
      </c>
      <c r="W324" s="218">
        <v>31.38</v>
      </c>
      <c r="X324" s="218" t="str">
        <f t="shared" si="110"/>
        <v>USD</v>
      </c>
      <c r="Y324" s="218">
        <v>25.2</v>
      </c>
      <c r="Z324" s="218">
        <v>31.38</v>
      </c>
      <c r="AA324" s="218">
        <v>28.35</v>
      </c>
    </row>
    <row r="325" spans="1:27">
      <c r="A325" s="218" t="s">
        <v>2592</v>
      </c>
      <c r="F325" s="219" t="str">
        <f>"""IntAlert Live"",""ALERT UK"",""17"",""1"",""555462"""</f>
        <v>"IntAlert Live","ALERT UK","17","1","555462"</v>
      </c>
      <c r="G325" s="223">
        <v>43970</v>
      </c>
      <c r="H325" s="223"/>
      <c r="I325" s="218" t="str">
        <f>"DRCBUK/CAISSE/2020/05/001"</f>
        <v>DRCBUK/CAISSE/2020/05/001</v>
      </c>
      <c r="K325" s="218" t="str">
        <f>"HOPITAL DE PANZI"</f>
        <v>HOPITAL DE PANZI</v>
      </c>
      <c r="L325" s="218" t="str">
        <f>"Pymt fact soins médicaux Verre avril 2020  35%"</f>
        <v>Pymt fact soins médicaux Verre avril 2020  35%</v>
      </c>
      <c r="M325" s="218" t="str">
        <f t="shared" si="115"/>
        <v>5140</v>
      </c>
      <c r="N325" s="218" t="str">
        <f t="shared" si="116"/>
        <v>EMPLOYMENT MEDICAL COSTS</v>
      </c>
      <c r="O325" s="218" t="str">
        <f t="shared" si="114"/>
        <v>DRCBUK</v>
      </c>
      <c r="P325" s="218" t="str">
        <f t="shared" si="97"/>
        <v>AP21QR</v>
      </c>
      <c r="Q325" s="218" t="str">
        <f>"KIA"</f>
        <v>KIA</v>
      </c>
      <c r="R325" s="218" t="str">
        <f>""</f>
        <v/>
      </c>
      <c r="S325" s="218" t="str">
        <f t="shared" si="117"/>
        <v>058</v>
      </c>
      <c r="T325" s="218" t="str">
        <f t="shared" si="109"/>
        <v>D</v>
      </c>
      <c r="U325" s="218" t="str">
        <f t="shared" si="98"/>
        <v>AFR000</v>
      </c>
      <c r="V325" s="218" t="str">
        <f t="shared" si="99"/>
        <v>###</v>
      </c>
      <c r="W325" s="218">
        <v>19.88</v>
      </c>
      <c r="X325" s="218" t="str">
        <f t="shared" si="110"/>
        <v>USD</v>
      </c>
      <c r="Y325" s="218">
        <v>15.77</v>
      </c>
      <c r="Z325" s="218">
        <v>19.88</v>
      </c>
      <c r="AA325" s="218">
        <v>18.05</v>
      </c>
    </row>
    <row r="326" spans="1:27">
      <c r="A326" s="218" t="s">
        <v>2592</v>
      </c>
      <c r="F326" s="219" t="str">
        <f>"""IntAlert Live"",""ALERT UK"",""17"",""1"",""555133"""</f>
        <v>"IntAlert Live","ALERT UK","17","1","555133"</v>
      </c>
      <c r="G326" s="223">
        <v>43971</v>
      </c>
      <c r="H326" s="223"/>
      <c r="I326" s="218" t="str">
        <f t="shared" ref="I326:I337" si="118">"DRCBUK/BANK/2020/05/013"</f>
        <v>DRCBUK/BANK/2020/05/013</v>
      </c>
      <c r="K326" s="218" t="str">
        <f t="shared" ref="K326:K337" si="119">"SKYBORNE HOSPITAL"</f>
        <v>SKYBORNE HOSPITAL</v>
      </c>
      <c r="L326" s="218" t="str">
        <f>"Soins Med-Christian Mutokambali Mars '020 55%"</f>
        <v>Soins Med-Christian Mutokambali Mars '020 55%</v>
      </c>
      <c r="M326" s="218" t="str">
        <f t="shared" si="115"/>
        <v>5140</v>
      </c>
      <c r="N326" s="218" t="str">
        <f t="shared" si="116"/>
        <v>EMPLOYMENT MEDICAL COSTS</v>
      </c>
      <c r="O326" s="218" t="str">
        <f t="shared" si="114"/>
        <v>DRCBUK</v>
      </c>
      <c r="P326" s="218" t="str">
        <f t="shared" si="97"/>
        <v>AP21QR</v>
      </c>
      <c r="Q326" s="218" t="str">
        <f>"MBO"</f>
        <v>MBO</v>
      </c>
      <c r="R326" s="218" t="str">
        <f>""</f>
        <v/>
      </c>
      <c r="S326" s="218" t="str">
        <f t="shared" si="117"/>
        <v>058</v>
      </c>
      <c r="T326" s="218" t="str">
        <f t="shared" si="109"/>
        <v>D</v>
      </c>
      <c r="U326" s="218" t="str">
        <f t="shared" si="98"/>
        <v>AFR000</v>
      </c>
      <c r="V326" s="218" t="str">
        <f t="shared" si="99"/>
        <v>###</v>
      </c>
      <c r="W326" s="218">
        <v>192.49</v>
      </c>
      <c r="X326" s="218" t="str">
        <f t="shared" si="110"/>
        <v>USD</v>
      </c>
      <c r="Y326" s="218">
        <v>152.72</v>
      </c>
      <c r="Z326" s="218">
        <v>192.49</v>
      </c>
      <c r="AA326" s="218">
        <v>174.78</v>
      </c>
    </row>
    <row r="327" spans="1:27">
      <c r="A327" s="218" t="s">
        <v>2592</v>
      </c>
      <c r="F327" s="219" t="str">
        <f>"""IntAlert Live"",""ALERT UK"",""17"",""1"",""555139"""</f>
        <v>"IntAlert Live","ALERT UK","17","1","555139"</v>
      </c>
      <c r="G327" s="223">
        <v>43971</v>
      </c>
      <c r="H327" s="223"/>
      <c r="I327" s="218" t="str">
        <f t="shared" si="118"/>
        <v>DRCBUK/BANK/2020/05/013</v>
      </c>
      <c r="K327" s="218" t="str">
        <f t="shared" si="119"/>
        <v>SKYBORNE HOSPITAL</v>
      </c>
      <c r="L327" s="218" t="str">
        <f>"Soins Med BAFAKUKURA -Mars  '020 25%"</f>
        <v>Soins Med BAFAKUKURA -Mars  '020 25%</v>
      </c>
      <c r="M327" s="218" t="str">
        <f t="shared" si="115"/>
        <v>5140</v>
      </c>
      <c r="N327" s="218" t="str">
        <f t="shared" si="116"/>
        <v>EMPLOYMENT MEDICAL COSTS</v>
      </c>
      <c r="O327" s="218" t="str">
        <f t="shared" si="114"/>
        <v>DRCBUK</v>
      </c>
      <c r="P327" s="218" t="str">
        <f t="shared" ref="P327:P390" si="120">"AP21QR"</f>
        <v>AP21QR</v>
      </c>
      <c r="Q327" s="218" t="str">
        <f>"BAF"</f>
        <v>BAF</v>
      </c>
      <c r="R327" s="218" t="str">
        <f>""</f>
        <v/>
      </c>
      <c r="S327" s="218" t="str">
        <f t="shared" si="117"/>
        <v>058</v>
      </c>
      <c r="T327" s="218" t="str">
        <f t="shared" si="109"/>
        <v>D</v>
      </c>
      <c r="U327" s="218" t="str">
        <f t="shared" ref="U327:U390" si="121">"AFR000"</f>
        <v>AFR000</v>
      </c>
      <c r="V327" s="218" t="str">
        <f t="shared" ref="V327:V390" si="122">"###"</f>
        <v>###</v>
      </c>
      <c r="W327" s="218">
        <v>100.69</v>
      </c>
      <c r="X327" s="218" t="str">
        <f t="shared" si="110"/>
        <v>USD</v>
      </c>
      <c r="Y327" s="218">
        <v>79.89</v>
      </c>
      <c r="Z327" s="218">
        <v>100.69</v>
      </c>
      <c r="AA327" s="218">
        <v>91.43</v>
      </c>
    </row>
    <row r="328" spans="1:27">
      <c r="A328" s="218" t="s">
        <v>2592</v>
      </c>
      <c r="F328" s="219" t="str">
        <f>"""IntAlert Live"",""ALERT UK"",""17"",""1"",""555141"""</f>
        <v>"IntAlert Live","ALERT UK","17","1","555141"</v>
      </c>
      <c r="G328" s="223">
        <v>43971</v>
      </c>
      <c r="H328" s="223"/>
      <c r="I328" s="218" t="str">
        <f t="shared" si="118"/>
        <v>DRCBUK/BANK/2020/05/013</v>
      </c>
      <c r="K328" s="218" t="str">
        <f t="shared" si="119"/>
        <v>SKYBORNE HOSPITAL</v>
      </c>
      <c r="L328" s="218" t="str">
        <f>"Soins Med Daniel Mwendanga -Mars '020 25%"</f>
        <v>Soins Med Daniel Mwendanga -Mars '020 25%</v>
      </c>
      <c r="M328" s="218" t="str">
        <f t="shared" si="115"/>
        <v>5140</v>
      </c>
      <c r="N328" s="218" t="str">
        <f t="shared" si="116"/>
        <v>EMPLOYMENT MEDICAL COSTS</v>
      </c>
      <c r="O328" s="218" t="str">
        <f t="shared" si="114"/>
        <v>DRCBUK</v>
      </c>
      <c r="P328" s="218" t="str">
        <f t="shared" si="120"/>
        <v>AP21QR</v>
      </c>
      <c r="Q328" s="218" t="str">
        <f>"MWN"</f>
        <v>MWN</v>
      </c>
      <c r="R328" s="218" t="str">
        <f>""</f>
        <v/>
      </c>
      <c r="S328" s="218" t="str">
        <f t="shared" si="117"/>
        <v>058</v>
      </c>
      <c r="T328" s="218" t="str">
        <f t="shared" si="109"/>
        <v>D</v>
      </c>
      <c r="U328" s="218" t="str">
        <f t="shared" si="121"/>
        <v>AFR000</v>
      </c>
      <c r="V328" s="218" t="str">
        <f t="shared" si="122"/>
        <v>###</v>
      </c>
      <c r="W328" s="218">
        <v>145.83000000000001</v>
      </c>
      <c r="X328" s="218" t="str">
        <f t="shared" si="110"/>
        <v>USD</v>
      </c>
      <c r="Y328" s="218">
        <v>115.7</v>
      </c>
      <c r="Z328" s="218">
        <v>145.83000000000001</v>
      </c>
      <c r="AA328" s="218">
        <v>132.41</v>
      </c>
    </row>
    <row r="329" spans="1:27">
      <c r="A329" s="218" t="s">
        <v>2592</v>
      </c>
      <c r="F329" s="219" t="str">
        <f>"""IntAlert Live"",""ALERT UK"",""17"",""1"",""555146"""</f>
        <v>"IntAlert Live","ALERT UK","17","1","555146"</v>
      </c>
      <c r="G329" s="223">
        <v>43971</v>
      </c>
      <c r="H329" s="223"/>
      <c r="I329" s="218" t="str">
        <f t="shared" si="118"/>
        <v>DRCBUK/BANK/2020/05/013</v>
      </c>
      <c r="K329" s="218" t="str">
        <f t="shared" si="119"/>
        <v>SKYBORNE HOSPITAL</v>
      </c>
      <c r="L329" s="218" t="str">
        <f>"Soins Med Christian CISIBANJI -Mars '020 45%"</f>
        <v>Soins Med Christian CISIBANJI -Mars '020 45%</v>
      </c>
      <c r="M329" s="218" t="str">
        <f t="shared" si="115"/>
        <v>5140</v>
      </c>
      <c r="N329" s="218" t="str">
        <f t="shared" si="116"/>
        <v>EMPLOYMENT MEDICAL COSTS</v>
      </c>
      <c r="O329" s="218" t="str">
        <f t="shared" si="114"/>
        <v>DRCBUK</v>
      </c>
      <c r="P329" s="218" t="str">
        <f t="shared" si="120"/>
        <v>AP21QR</v>
      </c>
      <c r="Q329" s="218" t="str">
        <f>"CCI"</f>
        <v>CCI</v>
      </c>
      <c r="R329" s="218" t="str">
        <f>""</f>
        <v/>
      </c>
      <c r="S329" s="218" t="str">
        <f t="shared" si="117"/>
        <v>058</v>
      </c>
      <c r="T329" s="218" t="str">
        <f t="shared" ref="T329:T365" si="123">"D"</f>
        <v>D</v>
      </c>
      <c r="U329" s="218" t="str">
        <f t="shared" si="121"/>
        <v>AFR000</v>
      </c>
      <c r="V329" s="218" t="str">
        <f t="shared" si="122"/>
        <v>###</v>
      </c>
      <c r="W329" s="218">
        <v>28.58</v>
      </c>
      <c r="X329" s="218" t="str">
        <f t="shared" ref="X329:X357" si="124">"USD"</f>
        <v>USD</v>
      </c>
      <c r="Y329" s="218">
        <v>22.68</v>
      </c>
      <c r="Z329" s="218">
        <v>28.58</v>
      </c>
      <c r="AA329" s="218">
        <v>25.96</v>
      </c>
    </row>
    <row r="330" spans="1:27">
      <c r="A330" s="218" t="s">
        <v>2592</v>
      </c>
      <c r="F330" s="219" t="str">
        <f>"""IntAlert Live"",""ALERT UK"",""17"",""1"",""555149"""</f>
        <v>"IntAlert Live","ALERT UK","17","1","555149"</v>
      </c>
      <c r="G330" s="223">
        <v>43971</v>
      </c>
      <c r="H330" s="223"/>
      <c r="I330" s="218" t="str">
        <f t="shared" si="118"/>
        <v>DRCBUK/BANK/2020/05/013</v>
      </c>
      <c r="K330" s="218" t="str">
        <f t="shared" si="119"/>
        <v>SKYBORNE HOSPITAL</v>
      </c>
      <c r="L330" s="218" t="str">
        <f>"Soins Méd-NYAMUSHALA-Mars '020"</f>
        <v>Soins Méd-NYAMUSHALA-Mars '020</v>
      </c>
      <c r="M330" s="218" t="str">
        <f t="shared" si="115"/>
        <v>5140</v>
      </c>
      <c r="N330" s="218" t="str">
        <f t="shared" si="116"/>
        <v>EMPLOYMENT MEDICAL COSTS</v>
      </c>
      <c r="O330" s="218" t="str">
        <f t="shared" si="114"/>
        <v>DRCBUK</v>
      </c>
      <c r="P330" s="218" t="str">
        <f t="shared" si="120"/>
        <v>AP21QR</v>
      </c>
      <c r="Q330" s="218" t="str">
        <f>"MWA"</f>
        <v>MWA</v>
      </c>
      <c r="R330" s="218" t="str">
        <f>""</f>
        <v/>
      </c>
      <c r="S330" s="218" t="str">
        <f t="shared" si="117"/>
        <v>058</v>
      </c>
      <c r="T330" s="218" t="str">
        <f t="shared" si="123"/>
        <v>D</v>
      </c>
      <c r="U330" s="218" t="str">
        <f t="shared" si="121"/>
        <v>AFR000</v>
      </c>
      <c r="V330" s="218" t="str">
        <f t="shared" si="122"/>
        <v>###</v>
      </c>
      <c r="W330" s="218">
        <v>166.5</v>
      </c>
      <c r="X330" s="218" t="str">
        <f t="shared" si="124"/>
        <v>USD</v>
      </c>
      <c r="Y330" s="218">
        <v>132.1</v>
      </c>
      <c r="Z330" s="218">
        <v>166.5</v>
      </c>
      <c r="AA330" s="218">
        <v>151.18</v>
      </c>
    </row>
    <row r="331" spans="1:27">
      <c r="A331" s="218" t="s">
        <v>2592</v>
      </c>
      <c r="F331" s="219" t="str">
        <f>"""IntAlert Live"",""ALERT UK"",""17"",""1"",""555151"""</f>
        <v>"IntAlert Live","ALERT UK","17","1","555151"</v>
      </c>
      <c r="G331" s="223">
        <v>43971</v>
      </c>
      <c r="H331" s="223"/>
      <c r="I331" s="218" t="str">
        <f t="shared" si="118"/>
        <v>DRCBUK/BANK/2020/05/013</v>
      </c>
      <c r="K331" s="218" t="str">
        <f t="shared" si="119"/>
        <v>SKYBORNE HOSPITAL</v>
      </c>
      <c r="L331" s="218" t="str">
        <f>"Soins Méd-Verre KILAURI - Mars '020 40%"</f>
        <v>Soins Méd-Verre KILAURI - Mars '020 40%</v>
      </c>
      <c r="M331" s="218" t="str">
        <f t="shared" si="115"/>
        <v>5140</v>
      </c>
      <c r="N331" s="218" t="str">
        <f t="shared" si="116"/>
        <v>EMPLOYMENT MEDICAL COSTS</v>
      </c>
      <c r="O331" s="218" t="str">
        <f t="shared" si="114"/>
        <v>DRCBUK</v>
      </c>
      <c r="P331" s="218" t="str">
        <f t="shared" si="120"/>
        <v>AP21QR</v>
      </c>
      <c r="Q331" s="218" t="str">
        <f>"KIA"</f>
        <v>KIA</v>
      </c>
      <c r="R331" s="218" t="str">
        <f>""</f>
        <v/>
      </c>
      <c r="S331" s="218" t="str">
        <f t="shared" si="117"/>
        <v>058</v>
      </c>
      <c r="T331" s="218" t="str">
        <f t="shared" si="123"/>
        <v>D</v>
      </c>
      <c r="U331" s="218" t="str">
        <f t="shared" si="121"/>
        <v>AFR000</v>
      </c>
      <c r="V331" s="218" t="str">
        <f t="shared" si="122"/>
        <v>###</v>
      </c>
      <c r="W331" s="218">
        <v>20</v>
      </c>
      <c r="X331" s="218" t="str">
        <f t="shared" si="124"/>
        <v>USD</v>
      </c>
      <c r="Y331" s="218">
        <v>15.87</v>
      </c>
      <c r="Z331" s="218">
        <v>20</v>
      </c>
      <c r="AA331" s="218">
        <v>18.16</v>
      </c>
    </row>
    <row r="332" spans="1:27">
      <c r="A332" s="218" t="s">
        <v>2592</v>
      </c>
      <c r="F332" s="219" t="str">
        <f>"""IntAlert Live"",""ALERT UK"",""17"",""1"",""555157"""</f>
        <v>"IntAlert Live","ALERT UK","17","1","555157"</v>
      </c>
      <c r="G332" s="223">
        <v>43971</v>
      </c>
      <c r="H332" s="223"/>
      <c r="I332" s="218" t="str">
        <f t="shared" si="118"/>
        <v>DRCBUK/BANK/2020/05/013</v>
      </c>
      <c r="K332" s="218" t="str">
        <f t="shared" si="119"/>
        <v>SKYBORNE HOSPITAL</v>
      </c>
      <c r="L332" s="218" t="str">
        <f>"Soins Med BUHASHE Pascal -Avril  '020 35%"</f>
        <v>Soins Med BUHASHE Pascal -Avril  '020 35%</v>
      </c>
      <c r="M332" s="218" t="str">
        <f t="shared" si="115"/>
        <v>5140</v>
      </c>
      <c r="N332" s="218" t="str">
        <f t="shared" si="116"/>
        <v>EMPLOYMENT MEDICAL COSTS</v>
      </c>
      <c r="O332" s="218" t="str">
        <f t="shared" si="114"/>
        <v>DRCBUK</v>
      </c>
      <c r="P332" s="218" t="str">
        <f t="shared" si="120"/>
        <v>AP21QR</v>
      </c>
      <c r="Q332" s="218" t="str">
        <f>"CIB"</f>
        <v>CIB</v>
      </c>
      <c r="R332" s="218" t="str">
        <f>""</f>
        <v/>
      </c>
      <c r="S332" s="218" t="str">
        <f t="shared" si="117"/>
        <v>058</v>
      </c>
      <c r="T332" s="218" t="str">
        <f t="shared" si="123"/>
        <v>D</v>
      </c>
      <c r="U332" s="218" t="str">
        <f t="shared" si="121"/>
        <v>AFR000</v>
      </c>
      <c r="V332" s="218" t="str">
        <f t="shared" si="122"/>
        <v>###</v>
      </c>
      <c r="W332" s="218">
        <v>38.700000000000003</v>
      </c>
      <c r="X332" s="218" t="str">
        <f t="shared" si="124"/>
        <v>USD</v>
      </c>
      <c r="Y332" s="218">
        <v>30.7</v>
      </c>
      <c r="Z332" s="218">
        <v>38.700000000000003</v>
      </c>
      <c r="AA332" s="218">
        <v>35.130000000000003</v>
      </c>
    </row>
    <row r="333" spans="1:27">
      <c r="A333" s="218" t="s">
        <v>2592</v>
      </c>
      <c r="F333" s="219" t="str">
        <f>"""IntAlert Live"",""ALERT UK"",""17"",""1"",""555158"""</f>
        <v>"IntAlert Live","ALERT UK","17","1","555158"</v>
      </c>
      <c r="G333" s="223">
        <v>43971</v>
      </c>
      <c r="H333" s="223"/>
      <c r="I333" s="218" t="str">
        <f t="shared" si="118"/>
        <v>DRCBUK/BANK/2020/05/013</v>
      </c>
      <c r="K333" s="218" t="str">
        <f t="shared" si="119"/>
        <v>SKYBORNE HOSPITAL</v>
      </c>
      <c r="L333" s="218" t="str">
        <f>"Soins Med BUHASHE Pascal -Avril  '020 5%"</f>
        <v>Soins Med BUHASHE Pascal -Avril  '020 5%</v>
      </c>
      <c r="M333" s="218" t="str">
        <f t="shared" si="115"/>
        <v>5140</v>
      </c>
      <c r="N333" s="218" t="str">
        <f t="shared" si="116"/>
        <v>EMPLOYMENT MEDICAL COSTS</v>
      </c>
      <c r="O333" s="218" t="str">
        <f t="shared" si="114"/>
        <v>DRCBUK</v>
      </c>
      <c r="P333" s="218" t="str">
        <f t="shared" si="120"/>
        <v>AP21QR</v>
      </c>
      <c r="Q333" s="218" t="str">
        <f>"CIB"</f>
        <v>CIB</v>
      </c>
      <c r="R333" s="218" t="str">
        <f>""</f>
        <v/>
      </c>
      <c r="S333" s="218" t="str">
        <f t="shared" si="117"/>
        <v>058</v>
      </c>
      <c r="T333" s="218" t="str">
        <f t="shared" si="123"/>
        <v>D</v>
      </c>
      <c r="U333" s="218" t="str">
        <f t="shared" si="121"/>
        <v>AFR000</v>
      </c>
      <c r="V333" s="218" t="str">
        <f t="shared" si="122"/>
        <v>###</v>
      </c>
      <c r="W333" s="218">
        <v>5.53</v>
      </c>
      <c r="X333" s="218" t="str">
        <f t="shared" si="124"/>
        <v>USD</v>
      </c>
      <c r="Y333" s="218">
        <v>4.3899999999999997</v>
      </c>
      <c r="Z333" s="218">
        <v>5.53</v>
      </c>
      <c r="AA333" s="218">
        <v>5.0199999999999996</v>
      </c>
    </row>
    <row r="334" spans="1:27">
      <c r="A334" s="218" t="s">
        <v>2592</v>
      </c>
      <c r="F334" s="219" t="str">
        <f>"""IntAlert Live"",""ALERT UK"",""17"",""1"",""555160"""</f>
        <v>"IntAlert Live","ALERT UK","17","1","555160"</v>
      </c>
      <c r="G334" s="223">
        <v>43971</v>
      </c>
      <c r="H334" s="223"/>
      <c r="I334" s="218" t="str">
        <f t="shared" si="118"/>
        <v>DRCBUK/BANK/2020/05/013</v>
      </c>
      <c r="K334" s="218" t="str">
        <f t="shared" si="119"/>
        <v>SKYBORNE HOSPITAL</v>
      </c>
      <c r="L334" s="218" t="str">
        <f>"Soins Med Daniel Mwendanga -Avril '020 25%"</f>
        <v>Soins Med Daniel Mwendanga -Avril '020 25%</v>
      </c>
      <c r="M334" s="218" t="str">
        <f t="shared" si="115"/>
        <v>5140</v>
      </c>
      <c r="N334" s="218" t="str">
        <f t="shared" si="116"/>
        <v>EMPLOYMENT MEDICAL COSTS</v>
      </c>
      <c r="O334" s="218" t="str">
        <f t="shared" si="114"/>
        <v>DRCBUK</v>
      </c>
      <c r="P334" s="218" t="str">
        <f t="shared" si="120"/>
        <v>AP21QR</v>
      </c>
      <c r="Q334" s="218" t="str">
        <f>"MWN"</f>
        <v>MWN</v>
      </c>
      <c r="R334" s="218" t="str">
        <f>""</f>
        <v/>
      </c>
      <c r="S334" s="218" t="str">
        <f t="shared" si="117"/>
        <v>058</v>
      </c>
      <c r="T334" s="218" t="str">
        <f t="shared" si="123"/>
        <v>D</v>
      </c>
      <c r="U334" s="218" t="str">
        <f t="shared" si="121"/>
        <v>AFR000</v>
      </c>
      <c r="V334" s="218" t="str">
        <f t="shared" si="122"/>
        <v>###</v>
      </c>
      <c r="W334" s="218">
        <v>141.01</v>
      </c>
      <c r="X334" s="218" t="str">
        <f t="shared" si="124"/>
        <v>USD</v>
      </c>
      <c r="Y334" s="218">
        <v>111.88</v>
      </c>
      <c r="Z334" s="218">
        <v>141.01</v>
      </c>
      <c r="AA334" s="218">
        <v>128.04</v>
      </c>
    </row>
    <row r="335" spans="1:27">
      <c r="A335" s="218" t="s">
        <v>2592</v>
      </c>
      <c r="F335" s="219" t="str">
        <f>"""IntAlert Live"",""ALERT UK"",""17"",""1"",""555165"""</f>
        <v>"IntAlert Live","ALERT UK","17","1","555165"</v>
      </c>
      <c r="G335" s="223">
        <v>43971</v>
      </c>
      <c r="H335" s="223"/>
      <c r="I335" s="218" t="str">
        <f t="shared" si="118"/>
        <v>DRCBUK/BANK/2020/05/013</v>
      </c>
      <c r="K335" s="218" t="str">
        <f t="shared" si="119"/>
        <v>SKYBORNE HOSPITAL</v>
      </c>
      <c r="L335" s="218" t="str">
        <f>"Soins Med Christian CISHIBANJI -Avril '020 45%"</f>
        <v>Soins Med Christian CISHIBANJI -Avril '020 45%</v>
      </c>
      <c r="M335" s="218" t="str">
        <f t="shared" si="115"/>
        <v>5140</v>
      </c>
      <c r="N335" s="218" t="str">
        <f t="shared" si="116"/>
        <v>EMPLOYMENT MEDICAL COSTS</v>
      </c>
      <c r="O335" s="218" t="str">
        <f t="shared" si="114"/>
        <v>DRCBUK</v>
      </c>
      <c r="P335" s="218" t="str">
        <f t="shared" si="120"/>
        <v>AP21QR</v>
      </c>
      <c r="Q335" s="218" t="str">
        <f>"CCI"</f>
        <v>CCI</v>
      </c>
      <c r="R335" s="218" t="str">
        <f>""</f>
        <v/>
      </c>
      <c r="S335" s="218" t="str">
        <f t="shared" si="117"/>
        <v>058</v>
      </c>
      <c r="T335" s="218" t="str">
        <f t="shared" si="123"/>
        <v>D</v>
      </c>
      <c r="U335" s="218" t="str">
        <f t="shared" si="121"/>
        <v>AFR000</v>
      </c>
      <c r="V335" s="218" t="str">
        <f t="shared" si="122"/>
        <v>###</v>
      </c>
      <c r="W335" s="218">
        <v>15.98</v>
      </c>
      <c r="X335" s="218" t="str">
        <f t="shared" si="124"/>
        <v>USD</v>
      </c>
      <c r="Y335" s="218">
        <v>12.68</v>
      </c>
      <c r="Z335" s="218">
        <v>15.98</v>
      </c>
      <c r="AA335" s="218">
        <v>14.51</v>
      </c>
    </row>
    <row r="336" spans="1:27">
      <c r="A336" s="218" t="s">
        <v>2592</v>
      </c>
      <c r="F336" s="219" t="str">
        <f>"""IntAlert Live"",""ALERT UK"",""17"",""1"",""555168"""</f>
        <v>"IntAlert Live","ALERT UK","17","1","555168"</v>
      </c>
      <c r="G336" s="223">
        <v>43971</v>
      </c>
      <c r="H336" s="223"/>
      <c r="I336" s="218" t="str">
        <f t="shared" si="118"/>
        <v>DRCBUK/BANK/2020/05/013</v>
      </c>
      <c r="K336" s="218" t="str">
        <f t="shared" si="119"/>
        <v>SKYBORNE HOSPITAL</v>
      </c>
      <c r="L336" s="218" t="str">
        <f>"Soins Méd-NYAMUSHALA-Avril '020"</f>
        <v>Soins Méd-NYAMUSHALA-Avril '020</v>
      </c>
      <c r="M336" s="218" t="str">
        <f t="shared" si="115"/>
        <v>5140</v>
      </c>
      <c r="N336" s="218" t="str">
        <f t="shared" si="116"/>
        <v>EMPLOYMENT MEDICAL COSTS</v>
      </c>
      <c r="O336" s="218" t="str">
        <f t="shared" si="114"/>
        <v>DRCBUK</v>
      </c>
      <c r="P336" s="218" t="str">
        <f t="shared" si="120"/>
        <v>AP21QR</v>
      </c>
      <c r="Q336" s="218" t="str">
        <f>"MWA"</f>
        <v>MWA</v>
      </c>
      <c r="R336" s="218" t="str">
        <f>""</f>
        <v/>
      </c>
      <c r="S336" s="218" t="str">
        <f t="shared" si="117"/>
        <v>058</v>
      </c>
      <c r="T336" s="218" t="str">
        <f t="shared" si="123"/>
        <v>D</v>
      </c>
      <c r="U336" s="218" t="str">
        <f t="shared" si="121"/>
        <v>AFR000</v>
      </c>
      <c r="V336" s="218" t="str">
        <f t="shared" si="122"/>
        <v>###</v>
      </c>
      <c r="W336" s="218">
        <v>79</v>
      </c>
      <c r="X336" s="218" t="str">
        <f t="shared" si="124"/>
        <v>USD</v>
      </c>
      <c r="Y336" s="218">
        <v>62.68</v>
      </c>
      <c r="Z336" s="218">
        <v>79</v>
      </c>
      <c r="AA336" s="218">
        <v>71.73</v>
      </c>
    </row>
    <row r="337" spans="1:27">
      <c r="A337" s="218" t="s">
        <v>2592</v>
      </c>
      <c r="F337" s="219" t="str">
        <f>"""IntAlert Live"",""ALERT UK"",""17"",""1"",""555170"""</f>
        <v>"IntAlert Live","ALERT UK","17","1","555170"</v>
      </c>
      <c r="G337" s="223">
        <v>43971</v>
      </c>
      <c r="H337" s="223"/>
      <c r="I337" s="218" t="str">
        <f t="shared" si="118"/>
        <v>DRCBUK/BANK/2020/05/013</v>
      </c>
      <c r="K337" s="218" t="str">
        <f t="shared" si="119"/>
        <v>SKYBORNE HOSPITAL</v>
      </c>
      <c r="L337" s="218" t="str">
        <f>"Soins Méd-Verre KILAURI - Avril '020 40%"</f>
        <v>Soins Méd-Verre KILAURI - Avril '020 40%</v>
      </c>
      <c r="M337" s="218" t="str">
        <f t="shared" si="115"/>
        <v>5140</v>
      </c>
      <c r="N337" s="218" t="str">
        <f t="shared" si="116"/>
        <v>EMPLOYMENT MEDICAL COSTS</v>
      </c>
      <c r="O337" s="218" t="str">
        <f t="shared" si="114"/>
        <v>DRCBUK</v>
      </c>
      <c r="P337" s="218" t="str">
        <f t="shared" si="120"/>
        <v>AP21QR</v>
      </c>
      <c r="Q337" s="218" t="str">
        <f>"KIA"</f>
        <v>KIA</v>
      </c>
      <c r="R337" s="218" t="str">
        <f>""</f>
        <v/>
      </c>
      <c r="S337" s="218" t="str">
        <f t="shared" si="117"/>
        <v>058</v>
      </c>
      <c r="T337" s="218" t="str">
        <f t="shared" si="123"/>
        <v>D</v>
      </c>
      <c r="U337" s="218" t="str">
        <f t="shared" si="121"/>
        <v>AFR000</v>
      </c>
      <c r="V337" s="218" t="str">
        <f t="shared" si="122"/>
        <v>###</v>
      </c>
      <c r="W337" s="218">
        <v>24</v>
      </c>
      <c r="X337" s="218" t="str">
        <f t="shared" si="124"/>
        <v>USD</v>
      </c>
      <c r="Y337" s="218">
        <v>19.04</v>
      </c>
      <c r="Z337" s="218">
        <v>24</v>
      </c>
      <c r="AA337" s="218">
        <v>21.79</v>
      </c>
    </row>
    <row r="338" spans="1:27">
      <c r="A338" s="218" t="s">
        <v>2592</v>
      </c>
      <c r="F338" s="219" t="str">
        <f>"""IntAlert Live"",""ALERT UK"",""17"",""1"",""545911"""</f>
        <v>"IntAlert Live","ALERT UK","17","1","545911"</v>
      </c>
      <c r="G338" s="223">
        <v>43942</v>
      </c>
      <c r="H338" s="223"/>
      <c r="I338" s="218" t="str">
        <f>"DRCGOM/ CAISSE/2020/004/001"</f>
        <v>DRCGOM/ CAISSE/2020/004/001</v>
      </c>
      <c r="K338" s="218" t="str">
        <f>"GARRAGE MAIDE"</f>
        <v>GARRAGE MAIDE</v>
      </c>
      <c r="L338" s="218" t="str">
        <f>"Reparation generateur chez Christine"</f>
        <v>Reparation generateur chez Christine</v>
      </c>
      <c r="M338" s="218" t="str">
        <f>"5130"</f>
        <v>5130</v>
      </c>
      <c r="N338" s="218" t="str">
        <f>"EMPLOYMENT HOUSING  COSTS"</f>
        <v>EMPLOYMENT HOUSING  COSTS</v>
      </c>
      <c r="O338" s="218" t="str">
        <f>"DRCGOM"</f>
        <v>DRCGOM</v>
      </c>
      <c r="P338" s="218" t="str">
        <f t="shared" si="120"/>
        <v>AP21QR</v>
      </c>
      <c r="Q338" s="218" t="str">
        <f>"BUU"</f>
        <v>BUU</v>
      </c>
      <c r="R338" s="218" t="str">
        <f>""</f>
        <v/>
      </c>
      <c r="S338" s="218" t="str">
        <f>"061"</f>
        <v>061</v>
      </c>
      <c r="T338" s="218" t="str">
        <f t="shared" si="123"/>
        <v>D</v>
      </c>
      <c r="U338" s="218" t="str">
        <f t="shared" si="121"/>
        <v>AFR000</v>
      </c>
      <c r="V338" s="218" t="str">
        <f t="shared" si="122"/>
        <v>###</v>
      </c>
      <c r="W338" s="218">
        <v>42.5</v>
      </c>
      <c r="X338" s="218" t="str">
        <f t="shared" si="124"/>
        <v>USD</v>
      </c>
      <c r="Y338" s="218">
        <v>34.119999999999997</v>
      </c>
      <c r="Z338" s="218">
        <v>42.5</v>
      </c>
      <c r="AA338" s="218">
        <v>38.380000000000003</v>
      </c>
    </row>
    <row r="339" spans="1:27">
      <c r="A339" s="218" t="s">
        <v>2592</v>
      </c>
      <c r="F339" s="219" t="str">
        <f>"""IntAlert Live"",""ALERT UK"",""17"",""1"",""555521"""</f>
        <v>"IntAlert Live","ALERT UK","17","1","555521"</v>
      </c>
      <c r="G339" s="223">
        <v>43970</v>
      </c>
      <c r="H339" s="223"/>
      <c r="I339" s="218" t="str">
        <f>"DRCBUK/GENJNL/2020/05/003"</f>
        <v>DRCBUK/GENJNL/2020/05/003</v>
      </c>
      <c r="K339" s="218" t="str">
        <f>"ZAKATINDI MUBEGANYA"</f>
        <v>ZAKATINDI MUBEGANYA</v>
      </c>
      <c r="L339" s="218" t="str">
        <f>"Main d'oeuvre maintence résidence Ndikintum 35%"</f>
        <v>Main d'oeuvre maintence résidence Ndikintum 35%</v>
      </c>
      <c r="M339" s="218" t="str">
        <f>"5130"</f>
        <v>5130</v>
      </c>
      <c r="N339" s="218" t="str">
        <f>"EMPLOYMENT HOUSING  COSTS"</f>
        <v>EMPLOYMENT HOUSING  COSTS</v>
      </c>
      <c r="O339" s="218" t="str">
        <f t="shared" ref="O339:O345" si="125">"DRCBUK"</f>
        <v>DRCBUK</v>
      </c>
      <c r="P339" s="218" t="str">
        <f t="shared" si="120"/>
        <v>AP21QR</v>
      </c>
      <c r="Q339" s="218" t="str">
        <f>"KIA"</f>
        <v>KIA</v>
      </c>
      <c r="R339" s="218" t="str">
        <f>""</f>
        <v/>
      </c>
      <c r="S339" s="218" t="str">
        <f>"061"</f>
        <v>061</v>
      </c>
      <c r="T339" s="218" t="str">
        <f t="shared" si="123"/>
        <v>D</v>
      </c>
      <c r="U339" s="218" t="str">
        <f t="shared" si="121"/>
        <v>AFR000</v>
      </c>
      <c r="V339" s="218" t="str">
        <f t="shared" si="122"/>
        <v>###</v>
      </c>
      <c r="W339" s="218">
        <v>17.5</v>
      </c>
      <c r="X339" s="218" t="str">
        <f t="shared" si="124"/>
        <v>USD</v>
      </c>
      <c r="Y339" s="218">
        <v>13.88</v>
      </c>
      <c r="Z339" s="218">
        <v>17.5</v>
      </c>
      <c r="AA339" s="218">
        <v>15.88</v>
      </c>
    </row>
    <row r="340" spans="1:27">
      <c r="A340" s="218" t="s">
        <v>2592</v>
      </c>
      <c r="F340" s="219" t="str">
        <f>"""IntAlert Live"",""ALERT UK"",""17"",""1"",""544309"""</f>
        <v>"IntAlert Live","ALERT UK","17","1","544309"</v>
      </c>
      <c r="G340" s="223">
        <v>43951</v>
      </c>
      <c r="H340" s="223"/>
      <c r="I340" s="218" t="str">
        <f>"JDRCBUK/BANK/2019/07/027"</f>
        <v>JDRCBUK/BANK/2019/07/027</v>
      </c>
      <c r="K340" s="218" t="str">
        <f>"J76665"</f>
        <v>J76665</v>
      </c>
      <c r="L340" s="218" t="str">
        <f>"Rbsmt frais Gym George 11 mois - 30%"</f>
        <v>Rbsmt frais Gym George 11 mois - 30%</v>
      </c>
      <c r="M340" s="218" t="str">
        <f>"5240"</f>
        <v>5240</v>
      </c>
      <c r="N340" s="218" t="str">
        <f>"STAFF WELFARE"</f>
        <v>STAFF WELFARE</v>
      </c>
      <c r="O340" s="218" t="str">
        <f t="shared" si="125"/>
        <v>DRCBUK</v>
      </c>
      <c r="P340" s="218" t="str">
        <f t="shared" si="120"/>
        <v>AP21QR</v>
      </c>
      <c r="Q340" s="218" t="str">
        <f>"NDI"</f>
        <v>NDI</v>
      </c>
      <c r="R340" s="218" t="str">
        <f>""</f>
        <v/>
      </c>
      <c r="S340" s="218" t="str">
        <f>"062"</f>
        <v>062</v>
      </c>
      <c r="T340" s="218" t="str">
        <f t="shared" si="123"/>
        <v>D</v>
      </c>
      <c r="U340" s="218" t="str">
        <f t="shared" si="121"/>
        <v>AFR000</v>
      </c>
      <c r="V340" s="218" t="str">
        <f t="shared" si="122"/>
        <v>###</v>
      </c>
      <c r="W340" s="218">
        <v>157.80000000000001</v>
      </c>
      <c r="X340" s="218" t="str">
        <f t="shared" si="124"/>
        <v>USD</v>
      </c>
      <c r="Y340" s="218">
        <v>126.7</v>
      </c>
      <c r="Z340" s="218">
        <v>157.80000000000001</v>
      </c>
      <c r="AA340" s="218">
        <v>142.52000000000001</v>
      </c>
    </row>
    <row r="341" spans="1:27">
      <c r="A341" s="218" t="s">
        <v>2592</v>
      </c>
      <c r="F341" s="219" t="str">
        <f>"""IntAlert Live"",""ALERT UK"",""17"",""1"",""546200"""</f>
        <v>"IntAlert Live","ALERT UK","17","1","546200"</v>
      </c>
      <c r="G341" s="223">
        <v>43948</v>
      </c>
      <c r="H341" s="223"/>
      <c r="I341" s="218" t="str">
        <f>"DRCBUK/BANK/2020/04/017"</f>
        <v>DRCBUK/BANK/2020/04/017</v>
      </c>
      <c r="K341" s="218" t="str">
        <f>"PETROX CONGO"</f>
        <v>PETROX CONGO</v>
      </c>
      <c r="L341" s="218" t="str">
        <f>"Carburant pour Générateur et véhicule Mar20"</f>
        <v>Carburant pour Générateur et véhicule Mar20</v>
      </c>
      <c r="M341" s="218" t="str">
        <f>"8250"</f>
        <v>8250</v>
      </c>
      <c r="N341" s="218" t="str">
        <f>"VEHICLE FUEL"</f>
        <v>VEHICLE FUEL</v>
      </c>
      <c r="O341" s="218" t="str">
        <f t="shared" si="125"/>
        <v>DRCBUK</v>
      </c>
      <c r="P341" s="218" t="str">
        <f t="shared" si="120"/>
        <v>AP21QR</v>
      </c>
      <c r="Q341" s="218" t="str">
        <f>""</f>
        <v/>
      </c>
      <c r="R341" s="218" t="str">
        <f>""</f>
        <v/>
      </c>
      <c r="S341" s="218" t="str">
        <f>"063"</f>
        <v>063</v>
      </c>
      <c r="T341" s="218" t="str">
        <f t="shared" si="123"/>
        <v>D</v>
      </c>
      <c r="U341" s="218" t="str">
        <f t="shared" si="121"/>
        <v>AFR000</v>
      </c>
      <c r="V341" s="218" t="str">
        <f t="shared" si="122"/>
        <v>###</v>
      </c>
      <c r="W341" s="218">
        <v>322.39</v>
      </c>
      <c r="X341" s="218" t="str">
        <f t="shared" si="124"/>
        <v>USD</v>
      </c>
      <c r="Y341" s="218">
        <v>258.85000000000002</v>
      </c>
      <c r="Z341" s="218">
        <v>322.39</v>
      </c>
      <c r="AA341" s="218">
        <v>291.17</v>
      </c>
    </row>
    <row r="342" spans="1:27">
      <c r="A342" s="218" t="s">
        <v>2592</v>
      </c>
      <c r="F342" s="219" t="str">
        <f>"""IntAlert Live"",""ALERT UK"",""17"",""1"",""555110"""</f>
        <v>"IntAlert Live","ALERT UK","17","1","555110"</v>
      </c>
      <c r="G342" s="223">
        <v>43963</v>
      </c>
      <c r="H342" s="223"/>
      <c r="I342" s="218" t="str">
        <f>"DRCBUK/BANK/2020/05/006"</f>
        <v>DRCBUK/BANK/2020/05/006</v>
      </c>
      <c r="K342" s="218" t="str">
        <f>"PETROX CONGO"</f>
        <v>PETROX CONGO</v>
      </c>
      <c r="L342" s="218" t="str">
        <f>"Consommation Carburant Bureau  Avril 2020-65%"</f>
        <v>Consommation Carburant Bureau  Avril 2020-65%</v>
      </c>
      <c r="M342" s="218" t="str">
        <f>"8250"</f>
        <v>8250</v>
      </c>
      <c r="N342" s="218" t="str">
        <f>"VEHICLE FUEL"</f>
        <v>VEHICLE FUEL</v>
      </c>
      <c r="O342" s="218" t="str">
        <f t="shared" si="125"/>
        <v>DRCBUK</v>
      </c>
      <c r="P342" s="218" t="str">
        <f t="shared" si="120"/>
        <v>AP21QR</v>
      </c>
      <c r="Q342" s="218" t="str">
        <f>""</f>
        <v/>
      </c>
      <c r="R342" s="218" t="str">
        <f>""</f>
        <v/>
      </c>
      <c r="S342" s="218" t="str">
        <f>"063"</f>
        <v>063</v>
      </c>
      <c r="T342" s="218" t="str">
        <f t="shared" si="123"/>
        <v>D</v>
      </c>
      <c r="U342" s="218" t="str">
        <f t="shared" si="121"/>
        <v>AFR000</v>
      </c>
      <c r="V342" s="218" t="str">
        <f t="shared" si="122"/>
        <v>###</v>
      </c>
      <c r="W342" s="218">
        <v>265.39</v>
      </c>
      <c r="X342" s="218" t="str">
        <f t="shared" si="124"/>
        <v>USD</v>
      </c>
      <c r="Y342" s="218">
        <v>210.56</v>
      </c>
      <c r="Z342" s="218">
        <v>265.39</v>
      </c>
      <c r="AA342" s="218">
        <v>240.98</v>
      </c>
    </row>
    <row r="343" spans="1:27">
      <c r="A343" s="218" t="s">
        <v>2592</v>
      </c>
      <c r="F343" s="219" t="str">
        <f>"""IntAlert Live"",""ALERT UK"",""17"",""1"",""546050"""</f>
        <v>"IntAlert Live","ALERT UK","17","1","546050"</v>
      </c>
      <c r="G343" s="223">
        <v>43945</v>
      </c>
      <c r="H343" s="223"/>
      <c r="I343" s="218" t="str">
        <f>"DRCBUK/BANK/2020/04/011"</f>
        <v>DRCBUK/BANK/2020/04/011</v>
      </c>
      <c r="K343" s="218" t="str">
        <f>"IHUSI EXPRESS"</f>
        <v>IHUSI EXPRESS</v>
      </c>
      <c r="L343" s="218" t="str">
        <f>"Ticket Boat Jean Bosco Sibo"</f>
        <v>Ticket Boat Jean Bosco Sibo</v>
      </c>
      <c r="M343" s="218" t="str">
        <f>"6020"</f>
        <v>6020</v>
      </c>
      <c r="N343" s="218" t="str">
        <f>"STAFF TRAVEL LOCAL"</f>
        <v>STAFF TRAVEL LOCAL</v>
      </c>
      <c r="O343" s="218" t="str">
        <f t="shared" si="125"/>
        <v>DRCBUK</v>
      </c>
      <c r="P343" s="218" t="str">
        <f t="shared" si="120"/>
        <v>AP21QR</v>
      </c>
      <c r="Q343" s="218" t="str">
        <f>"SIB"</f>
        <v>SIB</v>
      </c>
      <c r="R343" s="218" t="str">
        <f>""</f>
        <v/>
      </c>
      <c r="S343" s="218" t="str">
        <f>"066"</f>
        <v>066</v>
      </c>
      <c r="T343" s="218" t="str">
        <f t="shared" si="123"/>
        <v>D</v>
      </c>
      <c r="U343" s="218" t="str">
        <f t="shared" si="121"/>
        <v>AFR000</v>
      </c>
      <c r="V343" s="218" t="str">
        <f t="shared" si="122"/>
        <v>###</v>
      </c>
      <c r="W343" s="218">
        <v>8</v>
      </c>
      <c r="X343" s="218" t="str">
        <f t="shared" si="124"/>
        <v>USD</v>
      </c>
      <c r="Y343" s="218">
        <v>6.42</v>
      </c>
      <c r="Z343" s="218">
        <v>8</v>
      </c>
      <c r="AA343" s="218">
        <v>7.22</v>
      </c>
    </row>
    <row r="344" spans="1:27">
      <c r="A344" s="218" t="s">
        <v>2592</v>
      </c>
      <c r="F344" s="219" t="str">
        <f>"""IntAlert Live"",""ALERT UK"",""17"",""1"",""544308"""</f>
        <v>"IntAlert Live","ALERT UK","17","1","544308"</v>
      </c>
      <c r="G344" s="223">
        <v>43951</v>
      </c>
      <c r="H344" s="223"/>
      <c r="I344" s="218" t="str">
        <f>"JDRCBUK/BANK/2020/02/027"</f>
        <v>JDRCBUK/BANK/2020/02/027</v>
      </c>
      <c r="K344" s="218" t="str">
        <f>"JSOUZANA GUEST"</f>
        <v>JSOUZANA GUEST</v>
      </c>
      <c r="L344" s="218" t="str">
        <f>"Logemnt BUHASHE 19-21/02 Uvira close out Tujenge"</f>
        <v>Logemnt BUHASHE 19-21/02 Uvira close out Tujenge</v>
      </c>
      <c r="M344" s="218" t="str">
        <f>"6030"</f>
        <v>6030</v>
      </c>
      <c r="N344" s="218" t="str">
        <f>"STAFF ACCOMMODATION   HOTELS"</f>
        <v>STAFF ACCOMMODATION   HOTELS</v>
      </c>
      <c r="O344" s="218" t="str">
        <f t="shared" si="125"/>
        <v>DRCBUK</v>
      </c>
      <c r="P344" s="218" t="str">
        <f t="shared" si="120"/>
        <v>AP21QR</v>
      </c>
      <c r="Q344" s="218" t="str">
        <f>"CIB"</f>
        <v>CIB</v>
      </c>
      <c r="R344" s="218" t="str">
        <f>""</f>
        <v/>
      </c>
      <c r="S344" s="218" t="str">
        <f>"066"</f>
        <v>066</v>
      </c>
      <c r="T344" s="218" t="str">
        <f t="shared" si="123"/>
        <v>D</v>
      </c>
      <c r="U344" s="218" t="str">
        <f t="shared" si="121"/>
        <v>AFR000</v>
      </c>
      <c r="V344" s="218" t="str">
        <f t="shared" si="122"/>
        <v>###</v>
      </c>
      <c r="W344" s="218">
        <v>90</v>
      </c>
      <c r="X344" s="218" t="str">
        <f t="shared" si="124"/>
        <v>USD</v>
      </c>
      <c r="Y344" s="218">
        <v>72.260000000000005</v>
      </c>
      <c r="Z344" s="218">
        <v>90</v>
      </c>
      <c r="AA344" s="218">
        <v>81.28</v>
      </c>
    </row>
    <row r="345" spans="1:27">
      <c r="A345" s="218" t="s">
        <v>2592</v>
      </c>
      <c r="F345" s="219" t="str">
        <f>"""IntAlert Live"",""ALERT UK"",""17"",""1"",""555456"""</f>
        <v>"IntAlert Live","ALERT UK","17","1","555456"</v>
      </c>
      <c r="G345" s="223">
        <v>43965</v>
      </c>
      <c r="H345" s="223"/>
      <c r="I345" s="218" t="str">
        <f>"DRCBUK/CAISSE/2020/05/001"</f>
        <v>DRCBUK/CAISSE/2020/05/001</v>
      </c>
      <c r="K345" s="218" t="str">
        <f>"ETS MAIS ON BCC"</f>
        <v>ETS MAIS ON BCC</v>
      </c>
      <c r="L345" s="218" t="str">
        <f>"Achat ciseaux &amp; lime pr tailler les fleurs "</f>
        <v xml:space="preserve">Achat ciseaux &amp; lime pr tailler les fleurs </v>
      </c>
      <c r="M345" s="218" t="str">
        <f>"8320"</f>
        <v>8320</v>
      </c>
      <c r="N345" s="218" t="str">
        <f>"OFFICE EQUIPMENT"</f>
        <v>OFFICE EQUIPMENT</v>
      </c>
      <c r="O345" s="218" t="str">
        <f t="shared" si="125"/>
        <v>DRCBUK</v>
      </c>
      <c r="P345" s="218" t="str">
        <f t="shared" si="120"/>
        <v>AP21QR</v>
      </c>
      <c r="Q345" s="218" t="str">
        <f>""</f>
        <v/>
      </c>
      <c r="R345" s="218" t="str">
        <f>""</f>
        <v/>
      </c>
      <c r="S345" s="218" t="str">
        <f>"068"</f>
        <v>068</v>
      </c>
      <c r="T345" s="218" t="str">
        <f t="shared" si="123"/>
        <v>D</v>
      </c>
      <c r="U345" s="218" t="str">
        <f t="shared" si="121"/>
        <v>AFR000</v>
      </c>
      <c r="V345" s="218" t="str">
        <f t="shared" si="122"/>
        <v>###</v>
      </c>
      <c r="W345" s="218">
        <v>25</v>
      </c>
      <c r="X345" s="218" t="str">
        <f t="shared" si="124"/>
        <v>USD</v>
      </c>
      <c r="Y345" s="218">
        <v>19.829999999999998</v>
      </c>
      <c r="Z345" s="218">
        <v>25</v>
      </c>
      <c r="AA345" s="218">
        <v>22.69</v>
      </c>
    </row>
    <row r="346" spans="1:27">
      <c r="A346" s="218" t="s">
        <v>2592</v>
      </c>
      <c r="F346" s="219" t="str">
        <f>"""IntAlert Live"",""ALERT UK"",""17"",""1"",""545576"""</f>
        <v>"IntAlert Live","ALERT UK","17","1","545576"</v>
      </c>
      <c r="G346" s="223">
        <v>43937</v>
      </c>
      <c r="H346" s="223"/>
      <c r="I346" s="218" t="str">
        <f>"DRCGOM/ BANQUE/2020/004/008"</f>
        <v>DRCGOM/ BANQUE/2020/004/008</v>
      </c>
      <c r="K346" s="218" t="str">
        <f>"JEROME MIDAGU"</f>
        <v>JEROME MIDAGU</v>
      </c>
      <c r="L346" s="218" t="str">
        <f>"Honoraire Midagu 12 March-12 April 2020 10%"</f>
        <v>Honoraire Midagu 12 March-12 April 2020 10%</v>
      </c>
      <c r="M346" s="218" t="str">
        <f>"6190"</f>
        <v>6190</v>
      </c>
      <c r="N346" s="218" t="str">
        <f>"CONSULTANT  FEES"</f>
        <v>CONSULTANT  FEES</v>
      </c>
      <c r="O346" s="218" t="str">
        <f>"DRCGOM"</f>
        <v>DRCGOM</v>
      </c>
      <c r="P346" s="218" t="str">
        <f t="shared" si="120"/>
        <v>AP21QR</v>
      </c>
      <c r="Q346" s="218" t="str">
        <f>""</f>
        <v/>
      </c>
      <c r="R346" s="218" t="str">
        <f>""</f>
        <v/>
      </c>
      <c r="S346" s="218" t="str">
        <f t="shared" ref="S346:S351" si="126">"069"</f>
        <v>069</v>
      </c>
      <c r="T346" s="218" t="str">
        <f t="shared" si="123"/>
        <v>D</v>
      </c>
      <c r="U346" s="218" t="str">
        <f t="shared" si="121"/>
        <v>AFR000</v>
      </c>
      <c r="V346" s="218" t="str">
        <f t="shared" si="122"/>
        <v>###</v>
      </c>
      <c r="W346" s="218">
        <v>50</v>
      </c>
      <c r="X346" s="218" t="str">
        <f t="shared" si="124"/>
        <v>USD</v>
      </c>
      <c r="Y346" s="218">
        <v>40.15</v>
      </c>
      <c r="Z346" s="218">
        <v>50</v>
      </c>
      <c r="AA346" s="218">
        <v>45.16</v>
      </c>
    </row>
    <row r="347" spans="1:27">
      <c r="A347" s="218" t="s">
        <v>2592</v>
      </c>
      <c r="F347" s="219" t="str">
        <f>"""IntAlert Live"",""ALERT UK"",""17"",""1"",""554624"""</f>
        <v>"IntAlert Live","ALERT UK","17","1","554624"</v>
      </c>
      <c r="G347" s="223">
        <v>43964</v>
      </c>
      <c r="H347" s="223"/>
      <c r="I347" s="218" t="str">
        <f>"DRCGOM/ BANQUE/2020/005/009"</f>
        <v>DRCGOM/ BANQUE/2020/005/009</v>
      </c>
      <c r="K347" s="218" t="str">
        <f>"JEROME MIDAGU"</f>
        <v>JEROME MIDAGU</v>
      </c>
      <c r="L347" s="218" t="str">
        <f>"Honoraire Midagu 12 Apr-12 May 2020 10%"</f>
        <v>Honoraire Midagu 12 Apr-12 May 2020 10%</v>
      </c>
      <c r="M347" s="218" t="str">
        <f>"6190"</f>
        <v>6190</v>
      </c>
      <c r="N347" s="218" t="str">
        <f>"CONSULTANT  FEES"</f>
        <v>CONSULTANT  FEES</v>
      </c>
      <c r="O347" s="218" t="str">
        <f>"DRCGOM"</f>
        <v>DRCGOM</v>
      </c>
      <c r="P347" s="218" t="str">
        <f t="shared" si="120"/>
        <v>AP21QR</v>
      </c>
      <c r="Q347" s="218" t="str">
        <f>""</f>
        <v/>
      </c>
      <c r="R347" s="218" t="str">
        <f>""</f>
        <v/>
      </c>
      <c r="S347" s="218" t="str">
        <f t="shared" si="126"/>
        <v>069</v>
      </c>
      <c r="T347" s="218" t="str">
        <f t="shared" si="123"/>
        <v>D</v>
      </c>
      <c r="U347" s="218" t="str">
        <f t="shared" si="121"/>
        <v>AFR000</v>
      </c>
      <c r="V347" s="218" t="str">
        <f t="shared" si="122"/>
        <v>###</v>
      </c>
      <c r="W347" s="218">
        <v>50</v>
      </c>
      <c r="X347" s="218" t="str">
        <f t="shared" si="124"/>
        <v>USD</v>
      </c>
      <c r="Y347" s="218">
        <v>39.67</v>
      </c>
      <c r="Z347" s="218">
        <v>50</v>
      </c>
      <c r="AA347" s="218">
        <v>45.4</v>
      </c>
    </row>
    <row r="348" spans="1:27">
      <c r="A348" s="218" t="s">
        <v>2592</v>
      </c>
      <c r="F348" s="219" t="str">
        <f>"""IntAlert Live"",""ALERT UK"",""17"",""1"",""555454"""</f>
        <v>"IntAlert Live","ALERT UK","17","1","555454"</v>
      </c>
      <c r="G348" s="223">
        <v>43964</v>
      </c>
      <c r="H348" s="223"/>
      <c r="I348" s="218" t="str">
        <f>"DRCBUK/CAISSE/2020/05/001"</f>
        <v>DRCBUK/CAISSE/2020/05/001</v>
      </c>
      <c r="K348" s="218" t="str">
        <f>"INSP DU TRAVAIL"</f>
        <v>INSP DU TRAVAIL</v>
      </c>
      <c r="L348" s="218" t="str">
        <f>"Visa PV,ROI représentation &amp; mvmt staff Alert 60%"</f>
        <v>Visa PV,ROI représentation &amp; mvmt staff Alert 60%</v>
      </c>
      <c r="M348" s="218" t="str">
        <f>"8210"</f>
        <v>8210</v>
      </c>
      <c r="N348" s="218" t="str">
        <f>"RATES &amp; LOCAL TAXES"</f>
        <v>RATES &amp; LOCAL TAXES</v>
      </c>
      <c r="O348" s="218" t="str">
        <f>"DRCBUK"</f>
        <v>DRCBUK</v>
      </c>
      <c r="P348" s="218" t="str">
        <f t="shared" si="120"/>
        <v>AP21QR</v>
      </c>
      <c r="Q348" s="218" t="str">
        <f>""</f>
        <v/>
      </c>
      <c r="R348" s="218" t="str">
        <f>""</f>
        <v/>
      </c>
      <c r="S348" s="218" t="str">
        <f t="shared" si="126"/>
        <v>069</v>
      </c>
      <c r="T348" s="218" t="str">
        <f t="shared" si="123"/>
        <v>D</v>
      </c>
      <c r="U348" s="218" t="str">
        <f t="shared" si="121"/>
        <v>AFR000</v>
      </c>
      <c r="V348" s="218" t="str">
        <f t="shared" si="122"/>
        <v>###</v>
      </c>
      <c r="W348" s="218">
        <v>36</v>
      </c>
      <c r="X348" s="218" t="str">
        <f t="shared" si="124"/>
        <v>USD</v>
      </c>
      <c r="Y348" s="218">
        <v>28.56</v>
      </c>
      <c r="Z348" s="218">
        <v>36</v>
      </c>
      <c r="AA348" s="218">
        <v>32.69</v>
      </c>
    </row>
    <row r="349" spans="1:27">
      <c r="A349" s="218" t="s">
        <v>2592</v>
      </c>
      <c r="F349" s="219" t="str">
        <f>"""IntAlert Live"",""ALERT UK"",""17"",""1"",""555467"""</f>
        <v>"IntAlert Live","ALERT UK","17","1","555467"</v>
      </c>
      <c r="G349" s="223">
        <v>43972</v>
      </c>
      <c r="H349" s="223"/>
      <c r="I349" s="218" t="str">
        <f>"DRCBUK/CAISSE/2020/05/001"</f>
        <v>DRCBUK/CAISSE/2020/05/001</v>
      </c>
      <c r="K349" s="218" t="str">
        <f>"INSP DU TRAVAIL"</f>
        <v>INSP DU TRAVAIL</v>
      </c>
      <c r="L349" s="218" t="str">
        <f>"Complement visa PV,ROI représent &amp; staff Alert 60%"</f>
        <v>Complement visa PV,ROI représent &amp; staff Alert 60%</v>
      </c>
      <c r="M349" s="218" t="str">
        <f>"8210"</f>
        <v>8210</v>
      </c>
      <c r="N349" s="218" t="str">
        <f>"RATES &amp; LOCAL TAXES"</f>
        <v>RATES &amp; LOCAL TAXES</v>
      </c>
      <c r="O349" s="218" t="str">
        <f>"DRCBUK"</f>
        <v>DRCBUK</v>
      </c>
      <c r="P349" s="218" t="str">
        <f t="shared" si="120"/>
        <v>AP21QR</v>
      </c>
      <c r="Q349" s="218" t="str">
        <f>""</f>
        <v/>
      </c>
      <c r="R349" s="218" t="str">
        <f>""</f>
        <v/>
      </c>
      <c r="S349" s="218" t="str">
        <f t="shared" si="126"/>
        <v>069</v>
      </c>
      <c r="T349" s="218" t="str">
        <f t="shared" si="123"/>
        <v>D</v>
      </c>
      <c r="U349" s="218" t="str">
        <f t="shared" si="121"/>
        <v>AFR000</v>
      </c>
      <c r="V349" s="218" t="str">
        <f t="shared" si="122"/>
        <v>###</v>
      </c>
      <c r="W349" s="218">
        <v>30</v>
      </c>
      <c r="X349" s="218" t="str">
        <f t="shared" si="124"/>
        <v>USD</v>
      </c>
      <c r="Y349" s="218">
        <v>23.8</v>
      </c>
      <c r="Z349" s="218">
        <v>30</v>
      </c>
      <c r="AA349" s="218">
        <v>27.24</v>
      </c>
    </row>
    <row r="350" spans="1:27">
      <c r="A350" s="218" t="s">
        <v>2592</v>
      </c>
      <c r="F350" s="219" t="str">
        <f>"""IntAlert Live"",""ALERT UK"",""17"",""1"",""554830"""</f>
        <v>"IntAlert Live","ALERT UK","17","1","554830"</v>
      </c>
      <c r="G350" s="223">
        <v>43980</v>
      </c>
      <c r="H350" s="223"/>
      <c r="I350" s="218" t="str">
        <f>"DRCGOM/ BANQUE/2020/005/016"</f>
        <v>DRCGOM/ BANQUE/2020/005/016</v>
      </c>
      <c r="K350" s="218" t="str">
        <f>"OPS CONGO"</f>
        <v>OPS CONGO</v>
      </c>
      <c r="L350" s="218" t="str">
        <f>"Administrative fees for OPS CONGO 10%"</f>
        <v>Administrative fees for OPS CONGO 10%</v>
      </c>
      <c r="M350" s="218" t="str">
        <f>"6190"</f>
        <v>6190</v>
      </c>
      <c r="N350" s="218" t="str">
        <f>"CONSULTANT  FEES"</f>
        <v>CONSULTANT  FEES</v>
      </c>
      <c r="O350" s="218" t="str">
        <f>"DRCGOM"</f>
        <v>DRCGOM</v>
      </c>
      <c r="P350" s="218" t="str">
        <f t="shared" si="120"/>
        <v>AP21QR</v>
      </c>
      <c r="Q350" s="218" t="str">
        <f>""</f>
        <v/>
      </c>
      <c r="R350" s="218" t="str">
        <f>""</f>
        <v/>
      </c>
      <c r="S350" s="218" t="str">
        <f t="shared" si="126"/>
        <v>069</v>
      </c>
      <c r="T350" s="218" t="str">
        <f t="shared" si="123"/>
        <v>D</v>
      </c>
      <c r="U350" s="218" t="str">
        <f t="shared" si="121"/>
        <v>AFR000</v>
      </c>
      <c r="V350" s="218" t="str">
        <f t="shared" si="122"/>
        <v>###</v>
      </c>
      <c r="W350" s="218">
        <v>60</v>
      </c>
      <c r="X350" s="218" t="str">
        <f t="shared" si="124"/>
        <v>USD</v>
      </c>
      <c r="Y350" s="218">
        <v>47.6</v>
      </c>
      <c r="Z350" s="218">
        <v>60</v>
      </c>
      <c r="AA350" s="218">
        <v>54.48</v>
      </c>
    </row>
    <row r="351" spans="1:27">
      <c r="A351" s="218" t="s">
        <v>2592</v>
      </c>
      <c r="F351" s="219" t="str">
        <f>"""IntAlert Live"",""ALERT UK"",""17"",""1"",""555053"""</f>
        <v>"IntAlert Live","ALERT UK","17","1","555053"</v>
      </c>
      <c r="G351" s="223">
        <v>43980</v>
      </c>
      <c r="H351" s="223"/>
      <c r="I351" s="218" t="str">
        <f>"DRCGOM/ AVANCE/2020/005/003"</f>
        <v>DRCGOM/ AVANCE/2020/005/003</v>
      </c>
      <c r="K351" s="218" t="str">
        <f>"DGRAD KINSHASA"</f>
        <v>DGRAD KINSHASA</v>
      </c>
      <c r="L351" s="218" t="str">
        <f>"Renouvel. certificat enregist. Alert et frais adm"</f>
        <v>Renouvel. certificat enregist. Alert et frais adm</v>
      </c>
      <c r="M351" s="218" t="str">
        <f>"9730"</f>
        <v>9730</v>
      </c>
      <c r="N351" s="218" t="str">
        <f>"OTHER PROFESSIONAL FEES"</f>
        <v>OTHER PROFESSIONAL FEES</v>
      </c>
      <c r="O351" s="218" t="str">
        <f>"DRCGOM"</f>
        <v>DRCGOM</v>
      </c>
      <c r="P351" s="218" t="str">
        <f t="shared" si="120"/>
        <v>AP21QR</v>
      </c>
      <c r="Q351" s="218" t="str">
        <f>""</f>
        <v/>
      </c>
      <c r="R351" s="218" t="str">
        <f>""</f>
        <v/>
      </c>
      <c r="S351" s="218" t="str">
        <f t="shared" si="126"/>
        <v>069</v>
      </c>
      <c r="T351" s="218" t="str">
        <f t="shared" si="123"/>
        <v>D</v>
      </c>
      <c r="U351" s="218" t="str">
        <f t="shared" si="121"/>
        <v>AFR000</v>
      </c>
      <c r="V351" s="218" t="str">
        <f t="shared" si="122"/>
        <v>###</v>
      </c>
      <c r="W351" s="218">
        <v>19.7</v>
      </c>
      <c r="X351" s="218" t="str">
        <f t="shared" si="124"/>
        <v>USD</v>
      </c>
      <c r="Y351" s="218">
        <v>15.63</v>
      </c>
      <c r="Z351" s="218">
        <v>19.7</v>
      </c>
      <c r="AA351" s="218">
        <v>17.89</v>
      </c>
    </row>
    <row r="352" spans="1:27">
      <c r="A352" s="218" t="s">
        <v>2592</v>
      </c>
      <c r="F352" s="219" t="str">
        <f>"""IntAlert Live"",""ALERT UK"",""17"",""1"",""555365"""</f>
        <v>"IntAlert Live","ALERT UK","17","1","555365"</v>
      </c>
      <c r="G352" s="223">
        <v>43979</v>
      </c>
      <c r="H352" s="223"/>
      <c r="I352" s="218" t="str">
        <f>"DRCBUK/BANK/2020/05/026"</f>
        <v>DRCBUK/BANK/2020/05/026</v>
      </c>
      <c r="K352" s="218" t="str">
        <f>"NSHANGALUME RAPIDE"</f>
        <v>NSHANGALUME RAPIDE</v>
      </c>
      <c r="L352" s="218" t="str">
        <f>"Bukavu Office Rent Juin-Septembre 2020 20%"</f>
        <v>Bukavu Office Rent Juin-Septembre 2020 20%</v>
      </c>
      <c r="M352" s="218" t="str">
        <f>"8200"</f>
        <v>8200</v>
      </c>
      <c r="N352" s="218" t="str">
        <f>"RENT"</f>
        <v>RENT</v>
      </c>
      <c r="O352" s="218" t="str">
        <f t="shared" ref="O352:O357" si="127">"DRCBUK"</f>
        <v>DRCBUK</v>
      </c>
      <c r="P352" s="218" t="str">
        <f t="shared" si="120"/>
        <v>AP21QR</v>
      </c>
      <c r="Q352" s="218" t="str">
        <f>""</f>
        <v/>
      </c>
      <c r="R352" s="218" t="str">
        <f>""</f>
        <v/>
      </c>
      <c r="S352" s="218" t="str">
        <f>"070"</f>
        <v>070</v>
      </c>
      <c r="T352" s="218" t="str">
        <f t="shared" si="123"/>
        <v>D</v>
      </c>
      <c r="U352" s="218" t="str">
        <f t="shared" si="121"/>
        <v>AFR000</v>
      </c>
      <c r="V352" s="218" t="str">
        <f t="shared" si="122"/>
        <v>###</v>
      </c>
      <c r="W352" s="218">
        <v>1920</v>
      </c>
      <c r="X352" s="218" t="str">
        <f t="shared" si="124"/>
        <v>USD</v>
      </c>
      <c r="Y352" s="218">
        <v>1523.3</v>
      </c>
      <c r="Z352" s="218">
        <v>1920</v>
      </c>
      <c r="AA352" s="218">
        <v>1743.34</v>
      </c>
    </row>
    <row r="353" spans="1:27">
      <c r="A353" s="218" t="s">
        <v>2592</v>
      </c>
      <c r="F353" s="219" t="str">
        <f>"""IntAlert Live"",""ALERT UK"",""17"",""1"",""546216"""</f>
        <v>"IntAlert Live","ALERT UK","17","1","546216"</v>
      </c>
      <c r="G353" s="223">
        <v>43951</v>
      </c>
      <c r="H353" s="223"/>
      <c r="I353" s="218" t="str">
        <f>"DRCBUK/BANK/2020/04/021"</f>
        <v>DRCBUK/BANK/2020/04/021</v>
      </c>
      <c r="K353" s="218" t="str">
        <f>"TCHIBASU LANDRY"</f>
        <v>TCHIBASU LANDRY</v>
      </c>
      <c r="L353" s="218" t="str">
        <f>"Pmt Consultant Elect-Plomb Avril 020 Landry 15%"</f>
        <v>Pmt Consultant Elect-Plomb Avril 020 Landry 15%</v>
      </c>
      <c r="M353" s="218" t="str">
        <f>"6190"</f>
        <v>6190</v>
      </c>
      <c r="N353" s="218" t="str">
        <f>"CONSULTANT  FEES"</f>
        <v>CONSULTANT  FEES</v>
      </c>
      <c r="O353" s="218" t="str">
        <f t="shared" si="127"/>
        <v>DRCBUK</v>
      </c>
      <c r="P353" s="218" t="str">
        <f t="shared" si="120"/>
        <v>AP21QR</v>
      </c>
      <c r="Q353" s="218" t="str">
        <f>""</f>
        <v/>
      </c>
      <c r="R353" s="218" t="str">
        <f>""</f>
        <v/>
      </c>
      <c r="S353" s="218" t="str">
        <f>"071"</f>
        <v>071</v>
      </c>
      <c r="T353" s="218" t="str">
        <f t="shared" si="123"/>
        <v>D</v>
      </c>
      <c r="U353" s="218" t="str">
        <f t="shared" si="121"/>
        <v>AFR000</v>
      </c>
      <c r="V353" s="218" t="str">
        <f t="shared" si="122"/>
        <v>###</v>
      </c>
      <c r="W353" s="218">
        <v>60</v>
      </c>
      <c r="X353" s="218" t="str">
        <f t="shared" si="124"/>
        <v>USD</v>
      </c>
      <c r="Y353" s="218">
        <v>48.17</v>
      </c>
      <c r="Z353" s="218">
        <v>60</v>
      </c>
      <c r="AA353" s="218">
        <v>54.18</v>
      </c>
    </row>
    <row r="354" spans="1:27">
      <c r="A354" s="218" t="s">
        <v>2592</v>
      </c>
      <c r="F354" s="219" t="str">
        <f>"""IntAlert Live"",""ALERT UK"",""17"",""1"",""546302"""</f>
        <v>"IntAlert Live","ALERT UK","17","1","546302"</v>
      </c>
      <c r="G354" s="223">
        <v>43951</v>
      </c>
      <c r="H354" s="223"/>
      <c r="I354" s="218" t="str">
        <f>"DRCBUK/CAISSE/2020/04/002"</f>
        <v>DRCBUK/CAISSE/2020/04/002</v>
      </c>
      <c r="K354" s="218" t="str">
        <f>"GROUPE CIEL OUVERT"</f>
        <v>GROUPE CIEL OUVERT</v>
      </c>
      <c r="L354" s="218" t="str">
        <f>"Ramassage ordures avril 2020 15%"</f>
        <v>Ramassage ordures avril 2020 15%</v>
      </c>
      <c r="M354" s="218" t="str">
        <f>"8420"</f>
        <v>8420</v>
      </c>
      <c r="N354" s="218" t="str">
        <f>"MAINTENANCE OF PREMISES"</f>
        <v>MAINTENANCE OF PREMISES</v>
      </c>
      <c r="O354" s="218" t="str">
        <f t="shared" si="127"/>
        <v>DRCBUK</v>
      </c>
      <c r="P354" s="218" t="str">
        <f t="shared" si="120"/>
        <v>AP21QR</v>
      </c>
      <c r="Q354" s="218" t="str">
        <f>""</f>
        <v/>
      </c>
      <c r="R354" s="218" t="str">
        <f>""</f>
        <v/>
      </c>
      <c r="S354" s="218" t="str">
        <f>"071"</f>
        <v>071</v>
      </c>
      <c r="T354" s="218" t="str">
        <f t="shared" si="123"/>
        <v>D</v>
      </c>
      <c r="U354" s="218" t="str">
        <f t="shared" si="121"/>
        <v>AFR000</v>
      </c>
      <c r="V354" s="218" t="str">
        <f t="shared" si="122"/>
        <v>###</v>
      </c>
      <c r="W354" s="218">
        <v>4.5</v>
      </c>
      <c r="X354" s="218" t="str">
        <f t="shared" si="124"/>
        <v>USD</v>
      </c>
      <c r="Y354" s="218">
        <v>3.61</v>
      </c>
      <c r="Z354" s="218">
        <v>4.5</v>
      </c>
      <c r="AA354" s="218">
        <v>4.0599999999999996</v>
      </c>
    </row>
    <row r="355" spans="1:27">
      <c r="A355" s="218" t="s">
        <v>2592</v>
      </c>
      <c r="F355" s="219" t="str">
        <f>"""IntAlert Live"",""ALERT UK"",""17"",""1"",""555086"""</f>
        <v>"IntAlert Live","ALERT UK","17","1","555086"</v>
      </c>
      <c r="G355" s="223">
        <v>43958</v>
      </c>
      <c r="H355" s="223"/>
      <c r="I355" s="218" t="str">
        <f>"DRCBUK/BANK/2020/05/004"</f>
        <v>DRCBUK/BANK/2020/05/004</v>
      </c>
      <c r="K355" s="218" t="str">
        <f>"DGI/DPI SUD-KIVU"</f>
        <v>DGI/DPI SUD-KIVU</v>
      </c>
      <c r="L355" s="218" t="str">
        <f>"IPR Occ Elect-Plomb Avril 020 Landry 15%"</f>
        <v>IPR Occ Elect-Plomb Avril 020 Landry 15%</v>
      </c>
      <c r="M355" s="218" t="str">
        <f>"6190"</f>
        <v>6190</v>
      </c>
      <c r="N355" s="218" t="str">
        <f>"CONSULTANT  FEES"</f>
        <v>CONSULTANT  FEES</v>
      </c>
      <c r="O355" s="218" t="str">
        <f t="shared" si="127"/>
        <v>DRCBUK</v>
      </c>
      <c r="P355" s="218" t="str">
        <f t="shared" si="120"/>
        <v>AP21QR</v>
      </c>
      <c r="Q355" s="218" t="str">
        <f>""</f>
        <v/>
      </c>
      <c r="R355" s="218" t="str">
        <f>""</f>
        <v/>
      </c>
      <c r="S355" s="218" t="str">
        <f>"071"</f>
        <v>071</v>
      </c>
      <c r="T355" s="218" t="str">
        <f t="shared" si="123"/>
        <v>D</v>
      </c>
      <c r="U355" s="218" t="str">
        <f t="shared" si="121"/>
        <v>AFR000</v>
      </c>
      <c r="V355" s="218" t="str">
        <f t="shared" si="122"/>
        <v>###</v>
      </c>
      <c r="W355" s="218">
        <v>10.59</v>
      </c>
      <c r="X355" s="218" t="str">
        <f t="shared" si="124"/>
        <v>USD</v>
      </c>
      <c r="Y355" s="218">
        <v>8.4</v>
      </c>
      <c r="Z355" s="218">
        <v>10.59</v>
      </c>
      <c r="AA355" s="218">
        <v>9.61</v>
      </c>
    </row>
    <row r="356" spans="1:27">
      <c r="A356" s="218" t="s">
        <v>2592</v>
      </c>
      <c r="F356" s="219" t="str">
        <f>"""IntAlert Live"",""ALERT UK"",""17"",""1"",""555098"""</f>
        <v>"IntAlert Live","ALERT UK","17","1","555098"</v>
      </c>
      <c r="G356" s="223">
        <v>43958</v>
      </c>
      <c r="H356" s="223"/>
      <c r="I356" s="218" t="str">
        <f>"DRCBUK/BANK/2020/05/005"</f>
        <v>DRCBUK/BANK/2020/05/005</v>
      </c>
      <c r="K356" s="218" t="str">
        <f>"CNSS SUD KIVU"</f>
        <v>CNSS SUD KIVU</v>
      </c>
      <c r="L356" s="218" t="str">
        <f>"CNSS Occ Elect-Plomb Avril 020 Landry 15%"</f>
        <v>CNSS Occ Elect-Plomb Avril 020 Landry 15%</v>
      </c>
      <c r="M356" s="218" t="str">
        <f>"6190"</f>
        <v>6190</v>
      </c>
      <c r="N356" s="218" t="str">
        <f>"CONSULTANT  FEES"</f>
        <v>CONSULTANT  FEES</v>
      </c>
      <c r="O356" s="218" t="str">
        <f t="shared" si="127"/>
        <v>DRCBUK</v>
      </c>
      <c r="P356" s="218" t="str">
        <f t="shared" si="120"/>
        <v>AP21QR</v>
      </c>
      <c r="Q356" s="218" t="str">
        <f>""</f>
        <v/>
      </c>
      <c r="R356" s="218" t="str">
        <f>""</f>
        <v/>
      </c>
      <c r="S356" s="218" t="str">
        <f>"071"</f>
        <v>071</v>
      </c>
      <c r="T356" s="218" t="str">
        <f t="shared" si="123"/>
        <v>D</v>
      </c>
      <c r="U356" s="218" t="str">
        <f t="shared" si="121"/>
        <v>AFR000</v>
      </c>
      <c r="V356" s="218" t="str">
        <f t="shared" si="122"/>
        <v>###</v>
      </c>
      <c r="W356" s="218">
        <v>13.38</v>
      </c>
      <c r="X356" s="218" t="str">
        <f t="shared" si="124"/>
        <v>USD</v>
      </c>
      <c r="Y356" s="218">
        <v>10.62</v>
      </c>
      <c r="Z356" s="218">
        <v>13.38</v>
      </c>
      <c r="AA356" s="218">
        <v>12.15</v>
      </c>
    </row>
    <row r="357" spans="1:27">
      <c r="A357" s="218" t="s">
        <v>2592</v>
      </c>
      <c r="F357" s="219" t="str">
        <f>"""IntAlert Live"",""ALERT UK"",""17"",""1"",""555361"""</f>
        <v>"IntAlert Live","ALERT UK","17","1","555361"</v>
      </c>
      <c r="G357" s="223">
        <v>43979</v>
      </c>
      <c r="H357" s="223"/>
      <c r="I357" s="218" t="str">
        <f>"DRCBUK/BANK/2020/05/025"</f>
        <v>DRCBUK/BANK/2020/05/025</v>
      </c>
      <c r="K357" s="218" t="str">
        <f>"LANDRY TCHIBASU"</f>
        <v>LANDRY TCHIBASU</v>
      </c>
      <c r="L357" s="218" t="str">
        <f>"Pmt Consultant Elect-Plomb Mai 020 Landry 15%"</f>
        <v>Pmt Consultant Elect-Plomb Mai 020 Landry 15%</v>
      </c>
      <c r="M357" s="218" t="str">
        <f>"6190"</f>
        <v>6190</v>
      </c>
      <c r="N357" s="218" t="str">
        <f>"CONSULTANT  FEES"</f>
        <v>CONSULTANT  FEES</v>
      </c>
      <c r="O357" s="218" t="str">
        <f t="shared" si="127"/>
        <v>DRCBUK</v>
      </c>
      <c r="P357" s="218" t="str">
        <f t="shared" si="120"/>
        <v>AP21QR</v>
      </c>
      <c r="Q357" s="218" t="str">
        <f>""</f>
        <v/>
      </c>
      <c r="R357" s="218" t="str">
        <f>""</f>
        <v/>
      </c>
      <c r="S357" s="218" t="str">
        <f>"071"</f>
        <v>071</v>
      </c>
      <c r="T357" s="218" t="str">
        <f t="shared" si="123"/>
        <v>D</v>
      </c>
      <c r="U357" s="218" t="str">
        <f t="shared" si="121"/>
        <v>AFR000</v>
      </c>
      <c r="V357" s="218" t="str">
        <f t="shared" si="122"/>
        <v>###</v>
      </c>
      <c r="W357" s="218">
        <v>60</v>
      </c>
      <c r="X357" s="218" t="str">
        <f t="shared" si="124"/>
        <v>USD</v>
      </c>
      <c r="Y357" s="218">
        <v>47.6</v>
      </c>
      <c r="Z357" s="218">
        <v>60</v>
      </c>
      <c r="AA357" s="218">
        <v>54.48</v>
      </c>
    </row>
    <row r="358" spans="1:27">
      <c r="A358" s="218" t="s">
        <v>2592</v>
      </c>
      <c r="F358" s="219" t="str">
        <f>"""IntAlert Live"",""ALERT UK"",""17"",""1"",""535922"""</f>
        <v>"IntAlert Live","ALERT UK","17","1","535922"</v>
      </c>
      <c r="G358" s="223">
        <v>43868</v>
      </c>
      <c r="H358" s="223"/>
      <c r="I358" s="218" t="str">
        <f>"RELOCATION COSTS - TRANSIT VISA &amp; E"</f>
        <v>RELOCATION COSTS - TRANSIT VISA &amp; E</v>
      </c>
      <c r="K358" s="218" t="str">
        <f>"RELOCATION COSTS - TRANSIT VISA &amp; EXCESS BAGGAGE"</f>
        <v>RELOCATION COSTS - TRANSIT VISA &amp; EXCESS BAGGAGE</v>
      </c>
      <c r="L358" s="218" t="str">
        <f>"RELOCATION COSTS - TRANSIT VISA &amp; EXCESS BAGGAGE"</f>
        <v>RELOCATION COSTS - TRANSIT VISA &amp; EXCESS BAGGAGE</v>
      </c>
      <c r="M358" s="218" t="str">
        <f>"5150"</f>
        <v>5150</v>
      </c>
      <c r="N358" s="218" t="str">
        <f>"EMPLOYMENT RELOCATION COSTS"</f>
        <v>EMPLOYMENT RELOCATION COSTS</v>
      </c>
      <c r="O358" s="218" t="str">
        <f>"UNILON"</f>
        <v>UNILON</v>
      </c>
      <c r="P358" s="218" t="str">
        <f t="shared" si="120"/>
        <v>AP21QR</v>
      </c>
      <c r="Q358" s="218" t="str">
        <f>"NDI"</f>
        <v>NDI</v>
      </c>
      <c r="R358" s="218" t="str">
        <f>""</f>
        <v/>
      </c>
      <c r="S358" s="218" t="str">
        <f t="shared" ref="S358:S375" si="128">"072"</f>
        <v>072</v>
      </c>
      <c r="T358" s="218" t="str">
        <f t="shared" si="123"/>
        <v>D</v>
      </c>
      <c r="U358" s="218" t="str">
        <f t="shared" si="121"/>
        <v>AFR000</v>
      </c>
      <c r="V358" s="218" t="str">
        <f t="shared" si="122"/>
        <v>###</v>
      </c>
      <c r="W358" s="218">
        <v>0</v>
      </c>
      <c r="X358" s="218" t="str">
        <f>""</f>
        <v/>
      </c>
      <c r="Y358" s="218">
        <v>52</v>
      </c>
      <c r="Z358" s="218">
        <v>64.77</v>
      </c>
      <c r="AA358" s="218">
        <v>58.49</v>
      </c>
    </row>
    <row r="359" spans="1:27">
      <c r="A359" s="218" t="s">
        <v>2592</v>
      </c>
      <c r="F359" s="219" t="str">
        <f>"""IntAlert Live"",""ALERT UK"",""17"",""1"",""550082"""</f>
        <v>"IntAlert Live","ALERT UK","17","1","550082"</v>
      </c>
      <c r="G359" s="223">
        <v>43924</v>
      </c>
      <c r="H359" s="223"/>
      <c r="I359" s="218" t="str">
        <f>""</f>
        <v/>
      </c>
      <c r="K359" s="218" t="str">
        <f>"BANK CHARGE APR 20"</f>
        <v>BANK CHARGE APR 20</v>
      </c>
      <c r="L359" s="218" t="str">
        <f>"NDIKINTUM GEORGE"</f>
        <v>NDIKINTUM GEORGE</v>
      </c>
      <c r="M359" s="218" t="str">
        <f>"9770"</f>
        <v>9770</v>
      </c>
      <c r="N359" s="218" t="str">
        <f>"BANK CHARGES"</f>
        <v>BANK CHARGES</v>
      </c>
      <c r="O359" s="218" t="str">
        <f>"UNILON"</f>
        <v>UNILON</v>
      </c>
      <c r="P359" s="218" t="str">
        <f t="shared" si="120"/>
        <v>AP21QR</v>
      </c>
      <c r="Q359" s="218" t="str">
        <f>""</f>
        <v/>
      </c>
      <c r="R359" s="218" t="str">
        <f>""</f>
        <v/>
      </c>
      <c r="S359" s="218" t="str">
        <f t="shared" si="128"/>
        <v>072</v>
      </c>
      <c r="T359" s="218" t="str">
        <f t="shared" si="123"/>
        <v>D</v>
      </c>
      <c r="U359" s="218" t="str">
        <f t="shared" si="121"/>
        <v>AFR000</v>
      </c>
      <c r="V359" s="218" t="str">
        <f t="shared" si="122"/>
        <v>###</v>
      </c>
      <c r="W359" s="218">
        <v>0</v>
      </c>
      <c r="X359" s="218" t="str">
        <f>""</f>
        <v/>
      </c>
      <c r="Y359" s="218">
        <v>4.0999999999999996</v>
      </c>
      <c r="Z359" s="218">
        <v>5.1100000000000003</v>
      </c>
      <c r="AA359" s="218">
        <v>4.6100000000000003</v>
      </c>
    </row>
    <row r="360" spans="1:27">
      <c r="A360" s="218" t="s">
        <v>2592</v>
      </c>
      <c r="F360" s="219" t="str">
        <f>"""IntAlert Live"",""ALERT UK"",""17"",""1"",""544312"""</f>
        <v>"IntAlert Live","ALERT UK","17","1","544312"</v>
      </c>
      <c r="G360" s="223">
        <v>43951</v>
      </c>
      <c r="H360" s="223"/>
      <c r="I360" s="218" t="str">
        <f>"JDRCBUK/BANK/2019/08/017"</f>
        <v>JDRCBUK/BANK/2019/08/017</v>
      </c>
      <c r="K360" s="218" t="str">
        <f>"J76932"</f>
        <v>J76932</v>
      </c>
      <c r="L360" s="218" t="str">
        <f>"Pmt sécurité Bureau-Aout'19"</f>
        <v>Pmt sécurité Bureau-Aout'19</v>
      </c>
      <c r="M360" s="218" t="str">
        <f>"8110"</f>
        <v>8110</v>
      </c>
      <c r="N360" s="218" t="str">
        <f>"HEALTH AND SAFETY"</f>
        <v>HEALTH AND SAFETY</v>
      </c>
      <c r="O360" s="218" t="str">
        <f>"DRCBUK"</f>
        <v>DRCBUK</v>
      </c>
      <c r="P360" s="218" t="str">
        <f t="shared" si="120"/>
        <v>AP21QR</v>
      </c>
      <c r="Q360" s="218" t="str">
        <f>""</f>
        <v/>
      </c>
      <c r="R360" s="218" t="str">
        <f>""</f>
        <v/>
      </c>
      <c r="S360" s="218" t="str">
        <f t="shared" si="128"/>
        <v>072</v>
      </c>
      <c r="T360" s="218" t="str">
        <f t="shared" si="123"/>
        <v>D</v>
      </c>
      <c r="U360" s="218" t="str">
        <f t="shared" si="121"/>
        <v>AFR000</v>
      </c>
      <c r="V360" s="218" t="str">
        <f t="shared" si="122"/>
        <v>###</v>
      </c>
      <c r="W360" s="218">
        <v>75</v>
      </c>
      <c r="X360" s="218" t="str">
        <f>"USD"</f>
        <v>USD</v>
      </c>
      <c r="Y360" s="218">
        <v>60.22</v>
      </c>
      <c r="Z360" s="218">
        <v>75</v>
      </c>
      <c r="AA360" s="218">
        <v>67.739999999999995</v>
      </c>
    </row>
    <row r="361" spans="1:27">
      <c r="A361" s="218" t="s">
        <v>2592</v>
      </c>
      <c r="F361" s="219" t="str">
        <f>"""IntAlert Live"",""ALERT UK"",""17"",""1"",""544313"""</f>
        <v>"IntAlert Live","ALERT UK","17","1","544313"</v>
      </c>
      <c r="G361" s="223">
        <v>43951</v>
      </c>
      <c r="H361" s="223"/>
      <c r="I361" s="218" t="str">
        <f>"JDRCBUK/BANK/2019/09/016"</f>
        <v>JDRCBUK/BANK/2019/09/016</v>
      </c>
      <c r="K361" s="218" t="str">
        <f>"J77221"</f>
        <v>J77221</v>
      </c>
      <c r="L361" s="218" t="str">
        <f>"Pmt sécurité Résidence George-Sept'19"</f>
        <v>Pmt sécurité Résidence George-Sept'19</v>
      </c>
      <c r="M361" s="218" t="str">
        <f>"5130"</f>
        <v>5130</v>
      </c>
      <c r="N361" s="218" t="str">
        <f>"EMPLOYMENT HOUSING  COSTS"</f>
        <v>EMPLOYMENT HOUSING  COSTS</v>
      </c>
      <c r="O361" s="218" t="str">
        <f>"DRCBUK"</f>
        <v>DRCBUK</v>
      </c>
      <c r="P361" s="218" t="str">
        <f t="shared" si="120"/>
        <v>AP21QR</v>
      </c>
      <c r="Q361" s="218" t="str">
        <f>"NDI"</f>
        <v>NDI</v>
      </c>
      <c r="R361" s="218" t="str">
        <f>""</f>
        <v/>
      </c>
      <c r="S361" s="218" t="str">
        <f t="shared" si="128"/>
        <v>072</v>
      </c>
      <c r="T361" s="218" t="str">
        <f t="shared" si="123"/>
        <v>D</v>
      </c>
      <c r="U361" s="218" t="str">
        <f t="shared" si="121"/>
        <v>AFR000</v>
      </c>
      <c r="V361" s="218" t="str">
        <f t="shared" si="122"/>
        <v>###</v>
      </c>
      <c r="W361" s="218">
        <v>127.5</v>
      </c>
      <c r="X361" s="218" t="str">
        <f>"USD"</f>
        <v>USD</v>
      </c>
      <c r="Y361" s="218">
        <v>102.37</v>
      </c>
      <c r="Z361" s="218">
        <v>127.5</v>
      </c>
      <c r="AA361" s="218">
        <v>115.15</v>
      </c>
    </row>
    <row r="362" spans="1:27">
      <c r="A362" s="218" t="s">
        <v>2592</v>
      </c>
      <c r="F362" s="219" t="str">
        <f>"""IntAlert Live"",""ALERT UK"",""17"",""1"",""544314"""</f>
        <v>"IntAlert Live","ALERT UK","17","1","544314"</v>
      </c>
      <c r="G362" s="223">
        <v>43951</v>
      </c>
      <c r="H362" s="223"/>
      <c r="I362" s="218" t="str">
        <f>"JDRCBUK/BANK/2019/09/016"</f>
        <v>JDRCBUK/BANK/2019/09/016</v>
      </c>
      <c r="K362" s="218" t="str">
        <f>"J77221"</f>
        <v>J77221</v>
      </c>
      <c r="L362" s="218" t="str">
        <f>"Pmt sécurité Bureau-Sept'19"</f>
        <v>Pmt sécurité Bureau-Sept'19</v>
      </c>
      <c r="M362" s="218" t="str">
        <f>"8110"</f>
        <v>8110</v>
      </c>
      <c r="N362" s="218" t="str">
        <f>"HEALTH AND SAFETY"</f>
        <v>HEALTH AND SAFETY</v>
      </c>
      <c r="O362" s="218" t="str">
        <f>"DRCBUK"</f>
        <v>DRCBUK</v>
      </c>
      <c r="P362" s="218" t="str">
        <f t="shared" si="120"/>
        <v>AP21QR</v>
      </c>
      <c r="Q362" s="218" t="str">
        <f>""</f>
        <v/>
      </c>
      <c r="R362" s="218" t="str">
        <f>""</f>
        <v/>
      </c>
      <c r="S362" s="218" t="str">
        <f t="shared" si="128"/>
        <v>072</v>
      </c>
      <c r="T362" s="218" t="str">
        <f t="shared" si="123"/>
        <v>D</v>
      </c>
      <c r="U362" s="218" t="str">
        <f t="shared" si="121"/>
        <v>AFR000</v>
      </c>
      <c r="V362" s="218" t="str">
        <f t="shared" si="122"/>
        <v>###</v>
      </c>
      <c r="W362" s="218">
        <v>75</v>
      </c>
      <c r="X362" s="218" t="str">
        <f>"USD"</f>
        <v>USD</v>
      </c>
      <c r="Y362" s="218">
        <v>60.22</v>
      </c>
      <c r="Z362" s="218">
        <v>75</v>
      </c>
      <c r="AA362" s="218">
        <v>67.739999999999995</v>
      </c>
    </row>
    <row r="363" spans="1:27">
      <c r="A363" s="218" t="s">
        <v>2592</v>
      </c>
      <c r="F363" s="219" t="str">
        <f>"""IntAlert Live"",""ALERT UK"",""17"",""1"",""544315"""</f>
        <v>"IntAlert Live","ALERT UK","17","1","544315"</v>
      </c>
      <c r="G363" s="223">
        <v>43951</v>
      </c>
      <c r="H363" s="223"/>
      <c r="I363" s="218" t="str">
        <f>"JDRCBUK/BANK/2020/02/036"</f>
        <v>JDRCBUK/BANK/2020/02/036</v>
      </c>
      <c r="K363" s="218" t="str">
        <f>"JHDW"</f>
        <v>JHDW</v>
      </c>
      <c r="L363" s="218" t="str">
        <f>"Pmt gardenage Bureau Bukavu Fev020 50%"</f>
        <v>Pmt gardenage Bureau Bukavu Fev020 50%</v>
      </c>
      <c r="M363" s="218" t="str">
        <f>"8110"</f>
        <v>8110</v>
      </c>
      <c r="N363" s="218" t="str">
        <f>"HEALTH AND SAFETY"</f>
        <v>HEALTH AND SAFETY</v>
      </c>
      <c r="O363" s="218" t="str">
        <f>"DRCBUK"</f>
        <v>DRCBUK</v>
      </c>
      <c r="P363" s="218" t="str">
        <f t="shared" si="120"/>
        <v>AP21QR</v>
      </c>
      <c r="Q363" s="218" t="str">
        <f>""</f>
        <v/>
      </c>
      <c r="R363" s="218" t="str">
        <f>""</f>
        <v/>
      </c>
      <c r="S363" s="218" t="str">
        <f t="shared" si="128"/>
        <v>072</v>
      </c>
      <c r="T363" s="218" t="str">
        <f t="shared" si="123"/>
        <v>D</v>
      </c>
      <c r="U363" s="218" t="str">
        <f t="shared" si="121"/>
        <v>AFR000</v>
      </c>
      <c r="V363" s="218" t="str">
        <f t="shared" si="122"/>
        <v>###</v>
      </c>
      <c r="W363" s="218">
        <v>375</v>
      </c>
      <c r="X363" s="218" t="str">
        <f>"USD"</f>
        <v>USD</v>
      </c>
      <c r="Y363" s="218">
        <v>301.08999999999997</v>
      </c>
      <c r="Z363" s="218">
        <v>375</v>
      </c>
      <c r="AA363" s="218">
        <v>338.68</v>
      </c>
    </row>
    <row r="364" spans="1:27">
      <c r="A364" s="218" t="s">
        <v>2592</v>
      </c>
      <c r="F364" s="219" t="str">
        <f>"""IntAlert Live"",""ALERT UK"",""17"",""1"",""548711"""</f>
        <v>"IntAlert Live","ALERT UK","17","1","548711"</v>
      </c>
      <c r="G364" s="223">
        <v>43951</v>
      </c>
      <c r="H364" s="223"/>
      <c r="I364" s="218" t="str">
        <f>""</f>
        <v/>
      </c>
      <c r="K364" s="218" t="str">
        <f>"PR APR JNL"</f>
        <v>PR APR JNL</v>
      </c>
      <c r="L364" s="218" t="str">
        <f>"Buesser C 15%"</f>
        <v>Buesser C 15%</v>
      </c>
      <c r="M364" s="218" t="str">
        <f>"5100"</f>
        <v>5100</v>
      </c>
      <c r="N364" s="218" t="str">
        <f>"BASIC EMPLOYMENT COSTS"</f>
        <v>BASIC EMPLOYMENT COSTS</v>
      </c>
      <c r="O364" s="218" t="str">
        <f>"UNILON"</f>
        <v>UNILON</v>
      </c>
      <c r="P364" s="218" t="str">
        <f t="shared" si="120"/>
        <v>AP21QR</v>
      </c>
      <c r="Q364" s="218" t="str">
        <f>"BUU"</f>
        <v>BUU</v>
      </c>
      <c r="R364" s="218" t="str">
        <f>""</f>
        <v/>
      </c>
      <c r="S364" s="218" t="str">
        <f t="shared" si="128"/>
        <v>072</v>
      </c>
      <c r="T364" s="218" t="str">
        <f t="shared" si="123"/>
        <v>D</v>
      </c>
      <c r="U364" s="218" t="str">
        <f t="shared" si="121"/>
        <v>AFR000</v>
      </c>
      <c r="V364" s="218" t="str">
        <f t="shared" si="122"/>
        <v>###</v>
      </c>
      <c r="W364" s="218">
        <v>0</v>
      </c>
      <c r="X364" s="218" t="str">
        <f>""</f>
        <v/>
      </c>
      <c r="Y364" s="218">
        <v>675.8</v>
      </c>
      <c r="Z364" s="218">
        <v>841.7</v>
      </c>
      <c r="AA364" s="218">
        <v>760.18</v>
      </c>
    </row>
    <row r="365" spans="1:27">
      <c r="A365" s="218" t="s">
        <v>2592</v>
      </c>
      <c r="F365" s="219" t="str">
        <f>"""IntAlert Live"",""ALERT UK"",""17"",""1"",""548985"""</f>
        <v>"IntAlert Live","ALERT UK","17","1","548985"</v>
      </c>
      <c r="G365" s="223">
        <v>43951</v>
      </c>
      <c r="H365" s="223"/>
      <c r="I365" s="218" t="str">
        <f>""</f>
        <v/>
      </c>
      <c r="K365" s="218" t="str">
        <f>"PR APR JNL"</f>
        <v>PR APR JNL</v>
      </c>
      <c r="L365" s="218" t="str">
        <f>"Buesser C 15%"</f>
        <v>Buesser C 15%</v>
      </c>
      <c r="M365" s="218" t="str">
        <f>"5110"</f>
        <v>5110</v>
      </c>
      <c r="N365" s="218" t="str">
        <f>"EMPLOYER'S PENSION COSTS"</f>
        <v>EMPLOYER'S PENSION COSTS</v>
      </c>
      <c r="O365" s="218" t="str">
        <f>"UNILON"</f>
        <v>UNILON</v>
      </c>
      <c r="P365" s="218" t="str">
        <f t="shared" si="120"/>
        <v>AP21QR</v>
      </c>
      <c r="Q365" s="218" t="str">
        <f>"BUU"</f>
        <v>BUU</v>
      </c>
      <c r="R365" s="218" t="str">
        <f>""</f>
        <v/>
      </c>
      <c r="S365" s="218" t="str">
        <f t="shared" si="128"/>
        <v>072</v>
      </c>
      <c r="T365" s="218" t="str">
        <f t="shared" si="123"/>
        <v>D</v>
      </c>
      <c r="U365" s="218" t="str">
        <f t="shared" si="121"/>
        <v>AFR000</v>
      </c>
      <c r="V365" s="218" t="str">
        <f t="shared" si="122"/>
        <v>###</v>
      </c>
      <c r="W365" s="218">
        <v>0</v>
      </c>
      <c r="X365" s="218" t="str">
        <f>""</f>
        <v/>
      </c>
      <c r="Y365" s="218">
        <v>67.58</v>
      </c>
      <c r="Z365" s="218">
        <v>84.17</v>
      </c>
      <c r="AA365" s="218">
        <v>76.02</v>
      </c>
    </row>
    <row r="366" spans="1:27">
      <c r="A366" s="218" t="s">
        <v>2592</v>
      </c>
      <c r="F366" s="219" t="str">
        <f>"""IntAlert Live"",""ALERT UK"",""17"",""1"",""549138"""</f>
        <v>"IntAlert Live","ALERT UK","17","1","549138"</v>
      </c>
      <c r="G366" s="223">
        <v>43951</v>
      </c>
      <c r="H366" s="223"/>
      <c r="I366" s="218" t="str">
        <f>""</f>
        <v/>
      </c>
      <c r="K366" s="218" t="str">
        <f>"HR SCF CHG APR20"</f>
        <v>HR SCF CHG APR20</v>
      </c>
      <c r="L366" s="218" t="str">
        <f>"Buesser C 15%"</f>
        <v>Buesser C 15%</v>
      </c>
      <c r="M366" s="218" t="str">
        <f>"5100"</f>
        <v>5100</v>
      </c>
      <c r="N366" s="218" t="str">
        <f>"BASIC EMPLOYMENT COSTS"</f>
        <v>BASIC EMPLOYMENT COSTS</v>
      </c>
      <c r="O366" s="218" t="str">
        <f>"UNILON"</f>
        <v>UNILON</v>
      </c>
      <c r="P366" s="218" t="str">
        <f t="shared" si="120"/>
        <v>AP21QR</v>
      </c>
      <c r="Q366" s="218" t="str">
        <f>"BUU"</f>
        <v>BUU</v>
      </c>
      <c r="R366" s="218" t="str">
        <f>""</f>
        <v/>
      </c>
      <c r="S366" s="218" t="str">
        <f t="shared" si="128"/>
        <v>072</v>
      </c>
      <c r="T366" s="218" t="str">
        <f>"C"</f>
        <v>C</v>
      </c>
      <c r="U366" s="218" t="str">
        <f t="shared" si="121"/>
        <v>AFR000</v>
      </c>
      <c r="V366" s="218" t="str">
        <f t="shared" si="122"/>
        <v>###</v>
      </c>
      <c r="W366" s="218">
        <v>0</v>
      </c>
      <c r="X366" s="218" t="str">
        <f>""</f>
        <v/>
      </c>
      <c r="Y366" s="218">
        <v>20.27</v>
      </c>
      <c r="Z366" s="218">
        <v>25.25</v>
      </c>
      <c r="AA366" s="218">
        <v>22.8</v>
      </c>
    </row>
    <row r="367" spans="1:27">
      <c r="A367" s="218" t="s">
        <v>2592</v>
      </c>
      <c r="F367" s="219" t="str">
        <f>"""IntAlert Live"",""ALERT UK"",""17"",""1"",""549275"""</f>
        <v>"IntAlert Live","ALERT UK","17","1","549275"</v>
      </c>
      <c r="G367" s="223">
        <v>43951</v>
      </c>
      <c r="H367" s="223"/>
      <c r="I367" s="218" t="str">
        <f>""</f>
        <v/>
      </c>
      <c r="K367" s="218" t="str">
        <f>"HR CHG APR20"</f>
        <v>HR CHG APR20</v>
      </c>
      <c r="L367" s="218" t="str">
        <f>"Buesser C 15%"</f>
        <v>Buesser C 15%</v>
      </c>
      <c r="M367" s="218" t="str">
        <f>"5100"</f>
        <v>5100</v>
      </c>
      <c r="N367" s="218" t="str">
        <f>"BASIC EMPLOYMENT COSTS"</f>
        <v>BASIC EMPLOYMENT COSTS</v>
      </c>
      <c r="O367" s="218" t="str">
        <f>"UNILON"</f>
        <v>UNILON</v>
      </c>
      <c r="P367" s="218" t="str">
        <f t="shared" si="120"/>
        <v>AP21QR</v>
      </c>
      <c r="Q367" s="218" t="str">
        <f>"BUU"</f>
        <v>BUU</v>
      </c>
      <c r="R367" s="218" t="str">
        <f>""</f>
        <v/>
      </c>
      <c r="S367" s="218" t="str">
        <f t="shared" si="128"/>
        <v>072</v>
      </c>
      <c r="T367" s="218" t="str">
        <f>"S"</f>
        <v>S</v>
      </c>
      <c r="U367" s="218" t="str">
        <f t="shared" si="121"/>
        <v>AFR000</v>
      </c>
      <c r="V367" s="218" t="str">
        <f t="shared" si="122"/>
        <v>###</v>
      </c>
      <c r="W367" s="218">
        <v>0</v>
      </c>
      <c r="X367" s="218" t="str">
        <f>""</f>
        <v/>
      </c>
      <c r="Y367" s="218">
        <v>33.79</v>
      </c>
      <c r="Z367" s="218">
        <v>42.08</v>
      </c>
      <c r="AA367" s="218">
        <v>38.01</v>
      </c>
    </row>
    <row r="368" spans="1:27">
      <c r="A368" s="218" t="s">
        <v>2592</v>
      </c>
      <c r="F368" s="219" t="str">
        <f>"""IntAlert Live"",""ALERT UK"",""17"",""1"",""554569"""</f>
        <v>"IntAlert Live","ALERT UK","17","1","554569"</v>
      </c>
      <c r="G368" s="223">
        <v>43956</v>
      </c>
      <c r="H368" s="223"/>
      <c r="I368" s="218" t="str">
        <f>"DRCGOM/ BANQUE/2020/005/004"</f>
        <v>DRCGOM/ BANQUE/2020/005/004</v>
      </c>
      <c r="K368" s="218" t="str">
        <f>"KAMI SECURITY"</f>
        <v>KAMI SECURITY</v>
      </c>
      <c r="L368" s="218" t="str">
        <f>"Security Residence Christine April'20 15%"</f>
        <v>Security Residence Christine April'20 15%</v>
      </c>
      <c r="M368" s="218" t="str">
        <f>"8110"</f>
        <v>8110</v>
      </c>
      <c r="N368" s="218" t="str">
        <f>"HEALTH AND SAFETY"</f>
        <v>HEALTH AND SAFETY</v>
      </c>
      <c r="O368" s="218" t="str">
        <f>"DRCGOM"</f>
        <v>DRCGOM</v>
      </c>
      <c r="P368" s="218" t="str">
        <f t="shared" si="120"/>
        <v>AP21QR</v>
      </c>
      <c r="Q368" s="218" t="str">
        <f>""</f>
        <v/>
      </c>
      <c r="R368" s="218" t="str">
        <f>""</f>
        <v/>
      </c>
      <c r="S368" s="218" t="str">
        <f t="shared" si="128"/>
        <v>072</v>
      </c>
      <c r="T368" s="218" t="str">
        <f t="shared" ref="T368:T373" si="129">"D"</f>
        <v>D</v>
      </c>
      <c r="U368" s="218" t="str">
        <f t="shared" si="121"/>
        <v>AFR000</v>
      </c>
      <c r="V368" s="218" t="str">
        <f t="shared" si="122"/>
        <v>###</v>
      </c>
      <c r="W368" s="218">
        <v>127.5</v>
      </c>
      <c r="X368" s="218" t="str">
        <f>"USD"</f>
        <v>USD</v>
      </c>
      <c r="Y368" s="218">
        <v>101.16</v>
      </c>
      <c r="Z368" s="218">
        <v>127.5</v>
      </c>
      <c r="AA368" s="218">
        <v>115.77</v>
      </c>
    </row>
    <row r="369" spans="1:27">
      <c r="A369" s="218" t="s">
        <v>2592</v>
      </c>
      <c r="F369" s="219" t="str">
        <f>"""IntAlert Live"",""ALERT UK"",""17"",""1"",""555082"""</f>
        <v>"IntAlert Live","ALERT UK","17","1","555082"</v>
      </c>
      <c r="G369" s="223">
        <v>43958</v>
      </c>
      <c r="H369" s="223"/>
      <c r="I369" s="218" t="str">
        <f>"DRCBUK/BANK/2020/05/003"</f>
        <v>DRCBUK/BANK/2020/05/003</v>
      </c>
      <c r="K369" s="218" t="str">
        <f>"HDW"</f>
        <v>HDW</v>
      </c>
      <c r="L369" s="218" t="str">
        <f>"Pmt frs de securité Bureau BKV Avril 2020-50%"</f>
        <v>Pmt frs de securité Bureau BKV Avril 2020-50%</v>
      </c>
      <c r="M369" s="218" t="str">
        <f>"8110"</f>
        <v>8110</v>
      </c>
      <c r="N369" s="218" t="str">
        <f>"HEALTH AND SAFETY"</f>
        <v>HEALTH AND SAFETY</v>
      </c>
      <c r="O369" s="218" t="str">
        <f>"DRCBUK"</f>
        <v>DRCBUK</v>
      </c>
      <c r="P369" s="218" t="str">
        <f t="shared" si="120"/>
        <v>AP21QR</v>
      </c>
      <c r="Q369" s="218" t="str">
        <f>""</f>
        <v/>
      </c>
      <c r="R369" s="218" t="str">
        <f>""</f>
        <v/>
      </c>
      <c r="S369" s="218" t="str">
        <f t="shared" si="128"/>
        <v>072</v>
      </c>
      <c r="T369" s="218" t="str">
        <f t="shared" si="129"/>
        <v>D</v>
      </c>
      <c r="U369" s="218" t="str">
        <f t="shared" si="121"/>
        <v>AFR000</v>
      </c>
      <c r="V369" s="218" t="str">
        <f t="shared" si="122"/>
        <v>###</v>
      </c>
      <c r="W369" s="218">
        <v>375</v>
      </c>
      <c r="X369" s="218" t="str">
        <f>"USD"</f>
        <v>USD</v>
      </c>
      <c r="Y369" s="218">
        <v>297.52</v>
      </c>
      <c r="Z369" s="218">
        <v>375</v>
      </c>
      <c r="AA369" s="218">
        <v>340.5</v>
      </c>
    </row>
    <row r="370" spans="1:27">
      <c r="A370" s="218" t="s">
        <v>2592</v>
      </c>
      <c r="F370" s="219" t="str">
        <f>"""IntAlert Live"",""ALERT UK"",""17"",""1"",""555121"""</f>
        <v>"IntAlert Live","ALERT UK","17","1","555121"</v>
      </c>
      <c r="G370" s="223">
        <v>43971</v>
      </c>
      <c r="H370" s="223"/>
      <c r="I370" s="218" t="str">
        <f>"DRCBUK/BANK/2020/05/011"</f>
        <v>DRCBUK/BANK/2020/05/011</v>
      </c>
      <c r="K370" s="218" t="str">
        <f>"HDW"</f>
        <v>HDW</v>
      </c>
      <c r="L370" s="218" t="str">
        <f>"Pmt frs de securité Bureau BKV Mai 2020-50%"</f>
        <v>Pmt frs de securité Bureau BKV Mai 2020-50%</v>
      </c>
      <c r="M370" s="218" t="str">
        <f>"8110"</f>
        <v>8110</v>
      </c>
      <c r="N370" s="218" t="str">
        <f>"HEALTH AND SAFETY"</f>
        <v>HEALTH AND SAFETY</v>
      </c>
      <c r="O370" s="218" t="str">
        <f>"DRCBUK"</f>
        <v>DRCBUK</v>
      </c>
      <c r="P370" s="218" t="str">
        <f t="shared" si="120"/>
        <v>AP21QR</v>
      </c>
      <c r="Q370" s="218" t="str">
        <f>""</f>
        <v/>
      </c>
      <c r="R370" s="218" t="str">
        <f>""</f>
        <v/>
      </c>
      <c r="S370" s="218" t="str">
        <f t="shared" si="128"/>
        <v>072</v>
      </c>
      <c r="T370" s="218" t="str">
        <f t="shared" si="129"/>
        <v>D</v>
      </c>
      <c r="U370" s="218" t="str">
        <f t="shared" si="121"/>
        <v>AFR000</v>
      </c>
      <c r="V370" s="218" t="str">
        <f t="shared" si="122"/>
        <v>###</v>
      </c>
      <c r="W370" s="218">
        <v>375</v>
      </c>
      <c r="X370" s="218" t="str">
        <f>"USD"</f>
        <v>USD</v>
      </c>
      <c r="Y370" s="218">
        <v>297.52</v>
      </c>
      <c r="Z370" s="218">
        <v>375</v>
      </c>
      <c r="AA370" s="218">
        <v>340.5</v>
      </c>
    </row>
    <row r="371" spans="1:27">
      <c r="A371" s="218" t="s">
        <v>2592</v>
      </c>
      <c r="F371" s="219" t="str">
        <f>"""IntAlert Live"",""ALERT UK"",""17"",""1"",""554824"""</f>
        <v>"IntAlert Live","ALERT UK","17","1","554824"</v>
      </c>
      <c r="G371" s="223">
        <v>43980</v>
      </c>
      <c r="H371" s="223"/>
      <c r="I371" s="218" t="str">
        <f>"DRCGOM/ BANQUE/2020/005/015"</f>
        <v>DRCGOM/ BANQUE/2020/005/015</v>
      </c>
      <c r="K371" s="218" t="str">
        <f>"KAMI SECURITY"</f>
        <v>KAMI SECURITY</v>
      </c>
      <c r="L371" s="218" t="str">
        <f>"Security Residence Christine May'20 15%"</f>
        <v>Security Residence Christine May'20 15%</v>
      </c>
      <c r="M371" s="218" t="str">
        <f>"5130"</f>
        <v>5130</v>
      </c>
      <c r="N371" s="218" t="str">
        <f>"EMPLOYMENT HOUSING  COSTS"</f>
        <v>EMPLOYMENT HOUSING  COSTS</v>
      </c>
      <c r="O371" s="218" t="str">
        <f>"DRCGOM"</f>
        <v>DRCGOM</v>
      </c>
      <c r="P371" s="218" t="str">
        <f t="shared" si="120"/>
        <v>AP21QR</v>
      </c>
      <c r="Q371" s="218" t="str">
        <f>"BUU"</f>
        <v>BUU</v>
      </c>
      <c r="R371" s="218" t="str">
        <f>""</f>
        <v/>
      </c>
      <c r="S371" s="218" t="str">
        <f t="shared" si="128"/>
        <v>072</v>
      </c>
      <c r="T371" s="218" t="str">
        <f t="shared" si="129"/>
        <v>D</v>
      </c>
      <c r="U371" s="218" t="str">
        <f t="shared" si="121"/>
        <v>AFR000</v>
      </c>
      <c r="V371" s="218" t="str">
        <f t="shared" si="122"/>
        <v>###</v>
      </c>
      <c r="W371" s="218">
        <v>127.5</v>
      </c>
      <c r="X371" s="218" t="str">
        <f>"USD"</f>
        <v>USD</v>
      </c>
      <c r="Y371" s="218">
        <v>101.16</v>
      </c>
      <c r="Z371" s="218">
        <v>127.5</v>
      </c>
      <c r="AA371" s="218">
        <v>115.77</v>
      </c>
    </row>
    <row r="372" spans="1:27">
      <c r="A372" s="218" t="s">
        <v>2592</v>
      </c>
      <c r="F372" s="219" t="str">
        <f>"""IntAlert Live"",""ALERT UK"",""17"",""1"",""556812"""</f>
        <v>"IntAlert Live","ALERT UK","17","1","556812"</v>
      </c>
      <c r="G372" s="223">
        <v>43982</v>
      </c>
      <c r="H372" s="223"/>
      <c r="I372" s="218" t="str">
        <f>""</f>
        <v/>
      </c>
      <c r="K372" s="218" t="str">
        <f>"PR MAY JNL"</f>
        <v>PR MAY JNL</v>
      </c>
      <c r="L372" s="218" t="str">
        <f>"Buesser C 5%"</f>
        <v>Buesser C 5%</v>
      </c>
      <c r="M372" s="218" t="str">
        <f>"5100"</f>
        <v>5100</v>
      </c>
      <c r="N372" s="218" t="str">
        <f>"BASIC EMPLOYMENT COSTS"</f>
        <v>BASIC EMPLOYMENT COSTS</v>
      </c>
      <c r="O372" s="218" t="str">
        <f>"UNILON"</f>
        <v>UNILON</v>
      </c>
      <c r="P372" s="218" t="str">
        <f t="shared" si="120"/>
        <v>AP21QR</v>
      </c>
      <c r="Q372" s="218" t="str">
        <f>"BUU"</f>
        <v>BUU</v>
      </c>
      <c r="R372" s="218" t="str">
        <f>""</f>
        <v/>
      </c>
      <c r="S372" s="218" t="str">
        <f t="shared" si="128"/>
        <v>072</v>
      </c>
      <c r="T372" s="218" t="str">
        <f t="shared" si="129"/>
        <v>D</v>
      </c>
      <c r="U372" s="218" t="str">
        <f t="shared" si="121"/>
        <v>AFR000</v>
      </c>
      <c r="V372" s="218" t="str">
        <f t="shared" si="122"/>
        <v>###</v>
      </c>
      <c r="W372" s="218">
        <v>0</v>
      </c>
      <c r="X372" s="218" t="str">
        <f>""</f>
        <v/>
      </c>
      <c r="Y372" s="218">
        <v>236.51</v>
      </c>
      <c r="Z372" s="218">
        <v>298.10000000000002</v>
      </c>
      <c r="AA372" s="218">
        <v>270.67</v>
      </c>
    </row>
    <row r="373" spans="1:27">
      <c r="A373" s="218" t="s">
        <v>2592</v>
      </c>
      <c r="F373" s="219" t="str">
        <f>"""IntAlert Live"",""ALERT UK"",""17"",""1"",""557087"""</f>
        <v>"IntAlert Live","ALERT UK","17","1","557087"</v>
      </c>
      <c r="G373" s="223">
        <v>43982</v>
      </c>
      <c r="H373" s="223"/>
      <c r="I373" s="218" t="str">
        <f>""</f>
        <v/>
      </c>
      <c r="K373" s="218" t="str">
        <f>"PR MAY JNL"</f>
        <v>PR MAY JNL</v>
      </c>
      <c r="L373" s="218" t="str">
        <f>"Buesser C 5%"</f>
        <v>Buesser C 5%</v>
      </c>
      <c r="M373" s="218" t="str">
        <f>"5110"</f>
        <v>5110</v>
      </c>
      <c r="N373" s="218" t="str">
        <f>"EMPLOYER'S PENSION COSTS"</f>
        <v>EMPLOYER'S PENSION COSTS</v>
      </c>
      <c r="O373" s="218" t="str">
        <f>"UNILON"</f>
        <v>UNILON</v>
      </c>
      <c r="P373" s="218" t="str">
        <f t="shared" si="120"/>
        <v>AP21QR</v>
      </c>
      <c r="Q373" s="218" t="str">
        <f>"BUU"</f>
        <v>BUU</v>
      </c>
      <c r="R373" s="218" t="str">
        <f>""</f>
        <v/>
      </c>
      <c r="S373" s="218" t="str">
        <f t="shared" si="128"/>
        <v>072</v>
      </c>
      <c r="T373" s="218" t="str">
        <f t="shared" si="129"/>
        <v>D</v>
      </c>
      <c r="U373" s="218" t="str">
        <f t="shared" si="121"/>
        <v>AFR000</v>
      </c>
      <c r="V373" s="218" t="str">
        <f t="shared" si="122"/>
        <v>###</v>
      </c>
      <c r="W373" s="218">
        <v>0</v>
      </c>
      <c r="X373" s="218" t="str">
        <f>""</f>
        <v/>
      </c>
      <c r="Y373" s="218">
        <v>23.65</v>
      </c>
      <c r="Z373" s="218">
        <v>29.81</v>
      </c>
      <c r="AA373" s="218">
        <v>27.07</v>
      </c>
    </row>
    <row r="374" spans="1:27">
      <c r="A374" s="218" t="s">
        <v>2592</v>
      </c>
      <c r="F374" s="219" t="str">
        <f>"""IntAlert Live"",""ALERT UK"",""17"",""1"",""557242"""</f>
        <v>"IntAlert Live","ALERT UK","17","1","557242"</v>
      </c>
      <c r="G374" s="223">
        <v>43982</v>
      </c>
      <c r="H374" s="223"/>
      <c r="I374" s="218" t="str">
        <f>""</f>
        <v/>
      </c>
      <c r="K374" s="218" t="str">
        <f>"HR SCF CHG MAY20"</f>
        <v>HR SCF CHG MAY20</v>
      </c>
      <c r="L374" s="218" t="str">
        <f>"Buesser C 5%"</f>
        <v>Buesser C 5%</v>
      </c>
      <c r="M374" s="218" t="str">
        <f>"5100"</f>
        <v>5100</v>
      </c>
      <c r="N374" s="218" t="str">
        <f>"BASIC EMPLOYMENT COSTS"</f>
        <v>BASIC EMPLOYMENT COSTS</v>
      </c>
      <c r="O374" s="218" t="str">
        <f>"UNILON"</f>
        <v>UNILON</v>
      </c>
      <c r="P374" s="218" t="str">
        <f t="shared" si="120"/>
        <v>AP21QR</v>
      </c>
      <c r="Q374" s="218" t="str">
        <f>"BUU"</f>
        <v>BUU</v>
      </c>
      <c r="R374" s="218" t="str">
        <f>""</f>
        <v/>
      </c>
      <c r="S374" s="218" t="str">
        <f t="shared" si="128"/>
        <v>072</v>
      </c>
      <c r="T374" s="218" t="str">
        <f>"C"</f>
        <v>C</v>
      </c>
      <c r="U374" s="218" t="str">
        <f t="shared" si="121"/>
        <v>AFR000</v>
      </c>
      <c r="V374" s="218" t="str">
        <f t="shared" si="122"/>
        <v>###</v>
      </c>
      <c r="W374" s="218">
        <v>0</v>
      </c>
      <c r="X374" s="218" t="str">
        <f>""</f>
        <v/>
      </c>
      <c r="Y374" s="218">
        <v>7.1</v>
      </c>
      <c r="Z374" s="218">
        <v>8.9499999999999993</v>
      </c>
      <c r="AA374" s="218">
        <v>8.1300000000000008</v>
      </c>
    </row>
    <row r="375" spans="1:27">
      <c r="A375" s="218" t="s">
        <v>2592</v>
      </c>
      <c r="F375" s="219" t="str">
        <f>"""IntAlert Live"",""ALERT UK"",""17"",""1"",""557373"""</f>
        <v>"IntAlert Live","ALERT UK","17","1","557373"</v>
      </c>
      <c r="G375" s="223">
        <v>43982</v>
      </c>
      <c r="H375" s="223"/>
      <c r="I375" s="218" t="str">
        <f>""</f>
        <v/>
      </c>
      <c r="K375" s="218" t="str">
        <f>"HR CHG MAY20"</f>
        <v>HR CHG MAY20</v>
      </c>
      <c r="L375" s="218" t="str">
        <f>"Buesser C 5%"</f>
        <v>Buesser C 5%</v>
      </c>
      <c r="M375" s="218" t="str">
        <f>"5100"</f>
        <v>5100</v>
      </c>
      <c r="N375" s="218" t="str">
        <f>"BASIC EMPLOYMENT COSTS"</f>
        <v>BASIC EMPLOYMENT COSTS</v>
      </c>
      <c r="O375" s="218" t="str">
        <f>"UNILON"</f>
        <v>UNILON</v>
      </c>
      <c r="P375" s="218" t="str">
        <f t="shared" si="120"/>
        <v>AP21QR</v>
      </c>
      <c r="Q375" s="218" t="str">
        <f>"BUU"</f>
        <v>BUU</v>
      </c>
      <c r="R375" s="218" t="str">
        <f>""</f>
        <v/>
      </c>
      <c r="S375" s="218" t="str">
        <f t="shared" si="128"/>
        <v>072</v>
      </c>
      <c r="T375" s="218" t="str">
        <f>"S"</f>
        <v>S</v>
      </c>
      <c r="U375" s="218" t="str">
        <f t="shared" si="121"/>
        <v>AFR000</v>
      </c>
      <c r="V375" s="218" t="str">
        <f t="shared" si="122"/>
        <v>###</v>
      </c>
      <c r="W375" s="218">
        <v>0</v>
      </c>
      <c r="X375" s="218" t="str">
        <f>""</f>
        <v/>
      </c>
      <c r="Y375" s="218">
        <v>11.83</v>
      </c>
      <c r="Z375" s="218">
        <v>14.91</v>
      </c>
      <c r="AA375" s="218">
        <v>13.54</v>
      </c>
    </row>
    <row r="376" spans="1:27">
      <c r="A376" s="218" t="s">
        <v>2592</v>
      </c>
      <c r="F376" s="219" t="str">
        <f>"""IntAlert Live"",""ALERT UK"",""17"",""1"",""546026"""</f>
        <v>"IntAlert Live","ALERT UK","17","1","546026"</v>
      </c>
      <c r="G376" s="223">
        <v>43937</v>
      </c>
      <c r="H376" s="223"/>
      <c r="I376" s="218" t="str">
        <f>"DRCBUK/BANK/2020/04/006"</f>
        <v>DRCBUK/BANK/2020/04/006</v>
      </c>
      <c r="K376" s="218" t="str">
        <f>"MAISON LA BEAUTE,  GLOIRE A DIEU"</f>
        <v>MAISON LA BEAUTE,  GLOIRE A DIEU</v>
      </c>
      <c r="L376" s="218" t="str">
        <f>"Fournitures de nettoyage bureau Mars-Avril 2020 40%"</f>
        <v>Fournitures de nettoyage bureau Mars-Avril 2020 40%</v>
      </c>
      <c r="M376" s="218" t="str">
        <f>"8100"</f>
        <v>8100</v>
      </c>
      <c r="N376" s="218" t="str">
        <f>"OFFICE SUPPLIES"</f>
        <v>OFFICE SUPPLIES</v>
      </c>
      <c r="O376" s="218" t="str">
        <f t="shared" ref="O376:O390" si="130">"DRCBUK"</f>
        <v>DRCBUK</v>
      </c>
      <c r="P376" s="218" t="str">
        <f t="shared" si="120"/>
        <v>AP21QR</v>
      </c>
      <c r="Q376" s="218" t="str">
        <f>""</f>
        <v/>
      </c>
      <c r="R376" s="218" t="str">
        <f>""</f>
        <v/>
      </c>
      <c r="S376" s="218" t="str">
        <f t="shared" ref="S376:S385" si="131">"073"</f>
        <v>073</v>
      </c>
      <c r="T376" s="218" t="str">
        <f t="shared" ref="T376:T439" si="132">"D"</f>
        <v>D</v>
      </c>
      <c r="U376" s="218" t="str">
        <f t="shared" si="121"/>
        <v>AFR000</v>
      </c>
      <c r="V376" s="218" t="str">
        <f t="shared" si="122"/>
        <v>###</v>
      </c>
      <c r="W376" s="218">
        <v>475.2</v>
      </c>
      <c r="X376" s="218" t="str">
        <f t="shared" ref="X376:X390" si="133">"USD"</f>
        <v>USD</v>
      </c>
      <c r="Y376" s="218">
        <v>381.54</v>
      </c>
      <c r="Z376" s="218">
        <v>475.2</v>
      </c>
      <c r="AA376" s="218">
        <v>429.18</v>
      </c>
    </row>
    <row r="377" spans="1:27">
      <c r="A377" s="218" t="s">
        <v>2592</v>
      </c>
      <c r="F377" s="219" t="str">
        <f>"""IntAlert Live"",""ALERT UK"",""17"",""1"",""546031"""</f>
        <v>"IntAlert Live","ALERT UK","17","1","546031"</v>
      </c>
      <c r="G377" s="223">
        <v>43937</v>
      </c>
      <c r="H377" s="223"/>
      <c r="I377" s="218" t="str">
        <f>"DRCBUK/BANK/2020/04/008"</f>
        <v>DRCBUK/BANK/2020/04/008</v>
      </c>
      <c r="K377" s="218" t="str">
        <f>"ETS  STARCO"</f>
        <v>ETS  STARCO</v>
      </c>
      <c r="L377" s="218" t="str">
        <f>"Fournitures de nettoyage bureau Mars-Avril 2020 40%"</f>
        <v>Fournitures de nettoyage bureau Mars-Avril 2020 40%</v>
      </c>
      <c r="M377" s="218" t="str">
        <f>"8100"</f>
        <v>8100</v>
      </c>
      <c r="N377" s="218" t="str">
        <f>"OFFICE SUPPLIES"</f>
        <v>OFFICE SUPPLIES</v>
      </c>
      <c r="O377" s="218" t="str">
        <f t="shared" si="130"/>
        <v>DRCBUK</v>
      </c>
      <c r="P377" s="218" t="str">
        <f t="shared" si="120"/>
        <v>AP21QR</v>
      </c>
      <c r="Q377" s="218" t="str">
        <f>""</f>
        <v/>
      </c>
      <c r="R377" s="218" t="str">
        <f>""</f>
        <v/>
      </c>
      <c r="S377" s="218" t="str">
        <f t="shared" si="131"/>
        <v>073</v>
      </c>
      <c r="T377" s="218" t="str">
        <f t="shared" si="132"/>
        <v>D</v>
      </c>
      <c r="U377" s="218" t="str">
        <f t="shared" si="121"/>
        <v>AFR000</v>
      </c>
      <c r="V377" s="218" t="str">
        <f t="shared" si="122"/>
        <v>###</v>
      </c>
      <c r="W377" s="218">
        <v>136</v>
      </c>
      <c r="X377" s="218" t="str">
        <f t="shared" si="133"/>
        <v>USD</v>
      </c>
      <c r="Y377" s="218">
        <v>109.19</v>
      </c>
      <c r="Z377" s="218">
        <v>136</v>
      </c>
      <c r="AA377" s="218">
        <v>122.82</v>
      </c>
    </row>
    <row r="378" spans="1:27">
      <c r="A378" s="218" t="s">
        <v>2592</v>
      </c>
      <c r="F378" s="219" t="str">
        <f>"""IntAlert Live"",""ALERT UK"",""17"",""1"",""546271"""</f>
        <v>"IntAlert Live","ALERT UK","17","1","546271"</v>
      </c>
      <c r="G378" s="223">
        <v>43941</v>
      </c>
      <c r="H378" s="223"/>
      <c r="I378" s="218" t="str">
        <f>"DRCBUK/CAISSE/2020/04/001"</f>
        <v>DRCBUK/CAISSE/2020/04/001</v>
      </c>
      <c r="K378" s="218" t="str">
        <f>"AMIGO MARKET"</f>
        <v>AMIGO MARKET</v>
      </c>
      <c r="L378" s="218" t="str">
        <f>"Fournitures de cafeteriat pour bureau 35%"</f>
        <v>Fournitures de cafeteriat pour bureau 35%</v>
      </c>
      <c r="M378" s="218" t="str">
        <f>"8100"</f>
        <v>8100</v>
      </c>
      <c r="N378" s="218" t="str">
        <f>"OFFICE SUPPLIES"</f>
        <v>OFFICE SUPPLIES</v>
      </c>
      <c r="O378" s="218" t="str">
        <f t="shared" si="130"/>
        <v>DRCBUK</v>
      </c>
      <c r="P378" s="218" t="str">
        <f t="shared" si="120"/>
        <v>AP21QR</v>
      </c>
      <c r="Q378" s="218" t="str">
        <f>""</f>
        <v/>
      </c>
      <c r="R378" s="218" t="str">
        <f>""</f>
        <v/>
      </c>
      <c r="S378" s="218" t="str">
        <f t="shared" si="131"/>
        <v>073</v>
      </c>
      <c r="T378" s="218" t="str">
        <f t="shared" si="132"/>
        <v>D</v>
      </c>
      <c r="U378" s="218" t="str">
        <f t="shared" si="121"/>
        <v>AFR000</v>
      </c>
      <c r="V378" s="218" t="str">
        <f t="shared" si="122"/>
        <v>###</v>
      </c>
      <c r="W378" s="218">
        <v>90.83</v>
      </c>
      <c r="X378" s="218" t="str">
        <f t="shared" si="133"/>
        <v>USD</v>
      </c>
      <c r="Y378" s="218">
        <v>72.92</v>
      </c>
      <c r="Z378" s="218">
        <v>90.83</v>
      </c>
      <c r="AA378" s="218">
        <v>82.02</v>
      </c>
    </row>
    <row r="379" spans="1:27">
      <c r="A379" s="218" t="s">
        <v>2592</v>
      </c>
      <c r="F379" s="219" t="str">
        <f>"""IntAlert Live"",""ALERT UK"",""17"",""1"",""546276"""</f>
        <v>"IntAlert Live","ALERT UK","17","1","546276"</v>
      </c>
      <c r="G379" s="223">
        <v>43941</v>
      </c>
      <c r="H379" s="223"/>
      <c r="I379" s="218" t="str">
        <f>"DRCBUK/CAISSE/2020/04/001"</f>
        <v>DRCBUK/CAISSE/2020/04/001</v>
      </c>
      <c r="K379" s="218" t="str">
        <f>"PAPETERIE HOSANA"</f>
        <v>PAPETERIE HOSANA</v>
      </c>
      <c r="L379" s="218" t="str">
        <f>"Cartouche pour Imprimante HP bureau finance 40%"</f>
        <v>Cartouche pour Imprimante HP bureau finance 40%</v>
      </c>
      <c r="M379" s="218" t="str">
        <f>"8360"</f>
        <v>8360</v>
      </c>
      <c r="N379" s="218" t="str">
        <f>"COMPUTER SUPPLIES"</f>
        <v>COMPUTER SUPPLIES</v>
      </c>
      <c r="O379" s="218" t="str">
        <f t="shared" si="130"/>
        <v>DRCBUK</v>
      </c>
      <c r="P379" s="218" t="str">
        <f t="shared" si="120"/>
        <v>AP21QR</v>
      </c>
      <c r="Q379" s="218" t="str">
        <f>""</f>
        <v/>
      </c>
      <c r="R379" s="218" t="str">
        <f>""</f>
        <v/>
      </c>
      <c r="S379" s="218" t="str">
        <f t="shared" si="131"/>
        <v>073</v>
      </c>
      <c r="T379" s="218" t="str">
        <f t="shared" si="132"/>
        <v>D</v>
      </c>
      <c r="U379" s="218" t="str">
        <f t="shared" si="121"/>
        <v>AFR000</v>
      </c>
      <c r="V379" s="218" t="str">
        <f t="shared" si="122"/>
        <v>###</v>
      </c>
      <c r="W379" s="218">
        <v>52</v>
      </c>
      <c r="X379" s="218" t="str">
        <f t="shared" si="133"/>
        <v>USD</v>
      </c>
      <c r="Y379" s="218">
        <v>41.75</v>
      </c>
      <c r="Z379" s="218">
        <v>52</v>
      </c>
      <c r="AA379" s="218">
        <v>46.96</v>
      </c>
    </row>
    <row r="380" spans="1:27">
      <c r="A380" s="218" t="s">
        <v>2592</v>
      </c>
      <c r="F380" s="219" t="str">
        <f>"""IntAlert Live"",""ALERT UK"",""17"",""1"",""546279"""</f>
        <v>"IntAlert Live","ALERT UK","17","1","546279"</v>
      </c>
      <c r="G380" s="223">
        <v>43941</v>
      </c>
      <c r="H380" s="223"/>
      <c r="I380" s="218" t="str">
        <f>"DRCBUK/CAISSE/2020/04/001"</f>
        <v>DRCBUK/CAISSE/2020/04/001</v>
      </c>
      <c r="K380" s="218" t="str">
        <f>"MAISON BCC"</f>
        <v>MAISON BCC</v>
      </c>
      <c r="L380" s="218" t="str">
        <f>"Pymt ampoules pour bureau 40%"</f>
        <v>Pymt ampoules pour bureau 40%</v>
      </c>
      <c r="M380" s="218" t="str">
        <f t="shared" ref="M380:M385" si="134">"8100"</f>
        <v>8100</v>
      </c>
      <c r="N380" s="218" t="str">
        <f t="shared" ref="N380:N385" si="135">"OFFICE SUPPLIES"</f>
        <v>OFFICE SUPPLIES</v>
      </c>
      <c r="O380" s="218" t="str">
        <f t="shared" si="130"/>
        <v>DRCBUK</v>
      </c>
      <c r="P380" s="218" t="str">
        <f t="shared" si="120"/>
        <v>AP21QR</v>
      </c>
      <c r="Q380" s="218" t="str">
        <f>""</f>
        <v/>
      </c>
      <c r="R380" s="218" t="str">
        <f>""</f>
        <v/>
      </c>
      <c r="S380" s="218" t="str">
        <f t="shared" si="131"/>
        <v>073</v>
      </c>
      <c r="T380" s="218" t="str">
        <f t="shared" si="132"/>
        <v>D</v>
      </c>
      <c r="U380" s="218" t="str">
        <f t="shared" si="121"/>
        <v>AFR000</v>
      </c>
      <c r="V380" s="218" t="str">
        <f t="shared" si="122"/>
        <v>###</v>
      </c>
      <c r="W380" s="218">
        <v>118.4</v>
      </c>
      <c r="X380" s="218" t="str">
        <f t="shared" si="133"/>
        <v>USD</v>
      </c>
      <c r="Y380" s="218">
        <v>95.06</v>
      </c>
      <c r="Z380" s="218">
        <v>118.4</v>
      </c>
      <c r="AA380" s="218">
        <v>106.93</v>
      </c>
    </row>
    <row r="381" spans="1:27">
      <c r="A381" s="218" t="s">
        <v>2592</v>
      </c>
      <c r="F381" s="219" t="str">
        <f>"""IntAlert Live"",""ALERT UK"",""17"",""1"",""546283"""</f>
        <v>"IntAlert Live","ALERT UK","17","1","546283"</v>
      </c>
      <c r="G381" s="223">
        <v>43941</v>
      </c>
      <c r="H381" s="223"/>
      <c r="I381" s="218" t="str">
        <f>"DRCBUK/CAISSE/2020/04/001"</f>
        <v>DRCBUK/CAISSE/2020/04/001</v>
      </c>
      <c r="K381" s="218" t="str">
        <f>"ETS MULTI SERVICES"</f>
        <v>ETS MULTI SERVICES</v>
      </c>
      <c r="L381" s="218" t="str">
        <f>"Impression bons de sortie et entrée caisse"</f>
        <v>Impression bons de sortie et entrée caisse</v>
      </c>
      <c r="M381" s="218" t="str">
        <f t="shared" si="134"/>
        <v>8100</v>
      </c>
      <c r="N381" s="218" t="str">
        <f t="shared" si="135"/>
        <v>OFFICE SUPPLIES</v>
      </c>
      <c r="O381" s="218" t="str">
        <f t="shared" si="130"/>
        <v>DRCBUK</v>
      </c>
      <c r="P381" s="218" t="str">
        <f t="shared" si="120"/>
        <v>AP21QR</v>
      </c>
      <c r="Q381" s="218" t="str">
        <f>""</f>
        <v/>
      </c>
      <c r="R381" s="218" t="str">
        <f>""</f>
        <v/>
      </c>
      <c r="S381" s="218" t="str">
        <f t="shared" si="131"/>
        <v>073</v>
      </c>
      <c r="T381" s="218" t="str">
        <f t="shared" si="132"/>
        <v>D</v>
      </c>
      <c r="U381" s="218" t="str">
        <f t="shared" si="121"/>
        <v>AFR000</v>
      </c>
      <c r="V381" s="218" t="str">
        <f t="shared" si="122"/>
        <v>###</v>
      </c>
      <c r="W381" s="218">
        <v>88</v>
      </c>
      <c r="X381" s="218" t="str">
        <f t="shared" si="133"/>
        <v>USD</v>
      </c>
      <c r="Y381" s="218">
        <v>70.66</v>
      </c>
      <c r="Z381" s="218">
        <v>88</v>
      </c>
      <c r="AA381" s="218">
        <v>79.48</v>
      </c>
    </row>
    <row r="382" spans="1:27">
      <c r="A382" s="218" t="s">
        <v>2592</v>
      </c>
      <c r="F382" s="219" t="str">
        <f>"""IntAlert Live"",""ALERT UK"",""17"",""1"",""546297"""</f>
        <v>"IntAlert Live","ALERT UK","17","1","546297"</v>
      </c>
      <c r="G382" s="223">
        <v>43951</v>
      </c>
      <c r="H382" s="223"/>
      <c r="I382" s="218" t="str">
        <f>"DRCBUK/CAISSE/2020/04/002"</f>
        <v>DRCBUK/CAISSE/2020/04/002</v>
      </c>
      <c r="K382" s="218" t="str">
        <f>"ASILI"</f>
        <v>ASILI</v>
      </c>
      <c r="L382" s="218" t="str">
        <f>"Achat eau minérale pour bureau 45%"</f>
        <v>Achat eau minérale pour bureau 45%</v>
      </c>
      <c r="M382" s="218" t="str">
        <f t="shared" si="134"/>
        <v>8100</v>
      </c>
      <c r="N382" s="218" t="str">
        <f t="shared" si="135"/>
        <v>OFFICE SUPPLIES</v>
      </c>
      <c r="O382" s="218" t="str">
        <f t="shared" si="130"/>
        <v>DRCBUK</v>
      </c>
      <c r="P382" s="218" t="str">
        <f t="shared" si="120"/>
        <v>AP21QR</v>
      </c>
      <c r="Q382" s="218" t="str">
        <f>""</f>
        <v/>
      </c>
      <c r="R382" s="218" t="str">
        <f>""</f>
        <v/>
      </c>
      <c r="S382" s="218" t="str">
        <f t="shared" si="131"/>
        <v>073</v>
      </c>
      <c r="T382" s="218" t="str">
        <f t="shared" si="132"/>
        <v>D</v>
      </c>
      <c r="U382" s="218" t="str">
        <f t="shared" si="121"/>
        <v>AFR000</v>
      </c>
      <c r="V382" s="218" t="str">
        <f t="shared" si="122"/>
        <v>###</v>
      </c>
      <c r="W382" s="218">
        <v>15.75</v>
      </c>
      <c r="X382" s="218" t="str">
        <f t="shared" si="133"/>
        <v>USD</v>
      </c>
      <c r="Y382" s="218">
        <v>12.65</v>
      </c>
      <c r="Z382" s="218">
        <v>15.75</v>
      </c>
      <c r="AA382" s="218">
        <v>14.23</v>
      </c>
    </row>
    <row r="383" spans="1:27">
      <c r="A383" s="218" t="s">
        <v>2592</v>
      </c>
      <c r="F383" s="219" t="str">
        <f>"""IntAlert Live"",""ALERT UK"",""17"",""1"",""555445"""</f>
        <v>"IntAlert Live","ALERT UK","17","1","555445"</v>
      </c>
      <c r="G383" s="223">
        <v>43959</v>
      </c>
      <c r="H383" s="223"/>
      <c r="I383" s="218" t="str">
        <f>"DRCBUK/CAISSE/2020/05/001"</f>
        <v>DRCBUK/CAISSE/2020/05/001</v>
      </c>
      <c r="K383" s="218" t="str">
        <f>"ASILI"</f>
        <v>ASILI</v>
      </c>
      <c r="L383" s="218" t="str">
        <f>"Pymt eau minérale pour bureau 48%"</f>
        <v>Pymt eau minérale pour bureau 48%</v>
      </c>
      <c r="M383" s="218" t="str">
        <f t="shared" si="134"/>
        <v>8100</v>
      </c>
      <c r="N383" s="218" t="str">
        <f t="shared" si="135"/>
        <v>OFFICE SUPPLIES</v>
      </c>
      <c r="O383" s="218" t="str">
        <f t="shared" si="130"/>
        <v>DRCBUK</v>
      </c>
      <c r="P383" s="218" t="str">
        <f t="shared" si="120"/>
        <v>AP21QR</v>
      </c>
      <c r="Q383" s="218" t="str">
        <f>""</f>
        <v/>
      </c>
      <c r="R383" s="218" t="str">
        <f>""</f>
        <v/>
      </c>
      <c r="S383" s="218" t="str">
        <f t="shared" si="131"/>
        <v>073</v>
      </c>
      <c r="T383" s="218" t="str">
        <f t="shared" si="132"/>
        <v>D</v>
      </c>
      <c r="U383" s="218" t="str">
        <f t="shared" si="121"/>
        <v>AFR000</v>
      </c>
      <c r="V383" s="218" t="str">
        <f t="shared" si="122"/>
        <v>###</v>
      </c>
      <c r="W383" s="218">
        <v>16.8</v>
      </c>
      <c r="X383" s="218" t="str">
        <f t="shared" si="133"/>
        <v>USD</v>
      </c>
      <c r="Y383" s="218">
        <v>13.33</v>
      </c>
      <c r="Z383" s="218">
        <v>16.8</v>
      </c>
      <c r="AA383" s="218">
        <v>15.26</v>
      </c>
    </row>
    <row r="384" spans="1:27">
      <c r="A384" s="218" t="s">
        <v>2592</v>
      </c>
      <c r="F384" s="219" t="str">
        <f>"""IntAlert Live"",""ALERT UK"",""17"",""1"",""555448"""</f>
        <v>"IntAlert Live","ALERT UK","17","1","555448"</v>
      </c>
      <c r="G384" s="223">
        <v>43959</v>
      </c>
      <c r="H384" s="223"/>
      <c r="I384" s="218" t="str">
        <f>"DRCBUK/CAISSE/2020/05/001"</f>
        <v>DRCBUK/CAISSE/2020/05/001</v>
      </c>
      <c r="K384" s="218" t="str">
        <f>"ASILI"</f>
        <v>ASILI</v>
      </c>
      <c r="L384" s="218" t="str">
        <f>"Pymt eau minérale pour bureau 48%"</f>
        <v>Pymt eau minérale pour bureau 48%</v>
      </c>
      <c r="M384" s="218" t="str">
        <f t="shared" si="134"/>
        <v>8100</v>
      </c>
      <c r="N384" s="218" t="str">
        <f t="shared" si="135"/>
        <v>OFFICE SUPPLIES</v>
      </c>
      <c r="O384" s="218" t="str">
        <f t="shared" si="130"/>
        <v>DRCBUK</v>
      </c>
      <c r="P384" s="218" t="str">
        <f t="shared" si="120"/>
        <v>AP21QR</v>
      </c>
      <c r="Q384" s="218" t="str">
        <f>""</f>
        <v/>
      </c>
      <c r="R384" s="218" t="str">
        <f>""</f>
        <v/>
      </c>
      <c r="S384" s="218" t="str">
        <f t="shared" si="131"/>
        <v>073</v>
      </c>
      <c r="T384" s="218" t="str">
        <f t="shared" si="132"/>
        <v>D</v>
      </c>
      <c r="U384" s="218" t="str">
        <f t="shared" si="121"/>
        <v>AFR000</v>
      </c>
      <c r="V384" s="218" t="str">
        <f t="shared" si="122"/>
        <v>###</v>
      </c>
      <c r="W384" s="218">
        <v>16.8</v>
      </c>
      <c r="X384" s="218" t="str">
        <f t="shared" si="133"/>
        <v>USD</v>
      </c>
      <c r="Y384" s="218">
        <v>13.33</v>
      </c>
      <c r="Z384" s="218">
        <v>16.8</v>
      </c>
      <c r="AA384" s="218">
        <v>15.26</v>
      </c>
    </row>
    <row r="385" spans="1:27">
      <c r="A385" s="218" t="s">
        <v>2592</v>
      </c>
      <c r="F385" s="219" t="str">
        <f>"""IntAlert Live"",""ALERT UK"",""17"",""1"",""555458"""</f>
        <v>"IntAlert Live","ALERT UK","17","1","555458"</v>
      </c>
      <c r="G385" s="223">
        <v>43970</v>
      </c>
      <c r="H385" s="223"/>
      <c r="I385" s="218" t="str">
        <f>"DRCBUK/CAISSE/2020/05/001"</f>
        <v>DRCBUK/CAISSE/2020/05/001</v>
      </c>
      <c r="K385" s="218" t="str">
        <f>"ASILI"</f>
        <v>ASILI</v>
      </c>
      <c r="L385" s="218" t="str">
        <f>"Pymt eau minérale du 6 avril 020 bureau 45%"</f>
        <v>Pymt eau minérale du 6 avril 020 bureau 45%</v>
      </c>
      <c r="M385" s="218" t="str">
        <f t="shared" si="134"/>
        <v>8100</v>
      </c>
      <c r="N385" s="218" t="str">
        <f t="shared" si="135"/>
        <v>OFFICE SUPPLIES</v>
      </c>
      <c r="O385" s="218" t="str">
        <f t="shared" si="130"/>
        <v>DRCBUK</v>
      </c>
      <c r="P385" s="218" t="str">
        <f t="shared" si="120"/>
        <v>AP21QR</v>
      </c>
      <c r="Q385" s="218" t="str">
        <f>""</f>
        <v/>
      </c>
      <c r="R385" s="218" t="str">
        <f>""</f>
        <v/>
      </c>
      <c r="S385" s="218" t="str">
        <f t="shared" si="131"/>
        <v>073</v>
      </c>
      <c r="T385" s="218" t="str">
        <f t="shared" si="132"/>
        <v>D</v>
      </c>
      <c r="U385" s="218" t="str">
        <f t="shared" si="121"/>
        <v>AFR000</v>
      </c>
      <c r="V385" s="218" t="str">
        <f t="shared" si="122"/>
        <v>###</v>
      </c>
      <c r="W385" s="218">
        <v>11.55</v>
      </c>
      <c r="X385" s="218" t="str">
        <f t="shared" si="133"/>
        <v>USD</v>
      </c>
      <c r="Y385" s="218">
        <v>9.16</v>
      </c>
      <c r="Z385" s="218">
        <v>11.55</v>
      </c>
      <c r="AA385" s="218">
        <v>10.48</v>
      </c>
    </row>
    <row r="386" spans="1:27">
      <c r="A386" s="218" t="s">
        <v>2592</v>
      </c>
      <c r="F386" s="219" t="str">
        <f>"""IntAlert Live"",""ALERT UK"",""17"",""1"",""546035"""</f>
        <v>"IntAlert Live","ALERT UK","17","1","546035"</v>
      </c>
      <c r="G386" s="223">
        <v>43937</v>
      </c>
      <c r="H386" s="223"/>
      <c r="I386" s="218" t="str">
        <f>"DRCBUK/BANK/2020/04/009"</f>
        <v>DRCBUK/BANK/2020/04/009</v>
      </c>
      <c r="K386" s="218" t="str">
        <f>"DATCO  SERVCES INTERNET"</f>
        <v>DATCO  SERVCES INTERNET</v>
      </c>
      <c r="L386" s="218" t="str">
        <f>"Bukavu Office Internet Subscription April 2020 18%"</f>
        <v>Bukavu Office Internet Subscription April 2020 18%</v>
      </c>
      <c r="M386" s="218" t="str">
        <f>"8030"</f>
        <v>8030</v>
      </c>
      <c r="N386" s="218" t="str">
        <f>"INTERNET SERVICES"</f>
        <v>INTERNET SERVICES</v>
      </c>
      <c r="O386" s="218" t="str">
        <f t="shared" si="130"/>
        <v>DRCBUK</v>
      </c>
      <c r="P386" s="218" t="str">
        <f t="shared" si="120"/>
        <v>AP21QR</v>
      </c>
      <c r="Q386" s="218" t="str">
        <f>""</f>
        <v/>
      </c>
      <c r="R386" s="218" t="str">
        <f>""</f>
        <v/>
      </c>
      <c r="S386" s="218" t="str">
        <f>"074"</f>
        <v>074</v>
      </c>
      <c r="T386" s="218" t="str">
        <f t="shared" si="132"/>
        <v>D</v>
      </c>
      <c r="U386" s="218" t="str">
        <f t="shared" si="121"/>
        <v>AFR000</v>
      </c>
      <c r="V386" s="218" t="str">
        <f t="shared" si="122"/>
        <v>###</v>
      </c>
      <c r="W386" s="218">
        <v>180</v>
      </c>
      <c r="X386" s="218" t="str">
        <f t="shared" si="133"/>
        <v>USD</v>
      </c>
      <c r="Y386" s="218">
        <v>144.52000000000001</v>
      </c>
      <c r="Z386" s="218">
        <v>180</v>
      </c>
      <c r="AA386" s="218">
        <v>162.56</v>
      </c>
    </row>
    <row r="387" spans="1:27">
      <c r="A387" s="218" t="s">
        <v>2592</v>
      </c>
      <c r="F387" s="219" t="str">
        <f>"""IntAlert Live"",""ALERT UK"",""17"",""1"",""546295"""</f>
        <v>"IntAlert Live","ALERT UK","17","1","546295"</v>
      </c>
      <c r="G387" s="223">
        <v>43941</v>
      </c>
      <c r="H387" s="223"/>
      <c r="I387" s="218" t="str">
        <f>"DRCBUK/CAISSE/2020/04/001"</f>
        <v>DRCBUK/CAISSE/2020/04/001</v>
      </c>
      <c r="K387" s="218" t="str">
        <f>"ORANGE"</f>
        <v>ORANGE</v>
      </c>
      <c r="L387" s="218" t="str">
        <f>"Credit communication et Megas Laurent Mik"</f>
        <v>Credit communication et Megas Laurent Mik</v>
      </c>
      <c r="M387" s="218" t="str">
        <f>"8010"</f>
        <v>8010</v>
      </c>
      <c r="N387" s="218" t="str">
        <f>"TELEPHONE, FAX, ETC"</f>
        <v>TELEPHONE, FAX, ETC</v>
      </c>
      <c r="O387" s="218" t="str">
        <f t="shared" si="130"/>
        <v>DRCBUK</v>
      </c>
      <c r="P387" s="218" t="str">
        <f t="shared" si="120"/>
        <v>AP21QR</v>
      </c>
      <c r="Q387" s="218" t="str">
        <f>""</f>
        <v/>
      </c>
      <c r="R387" s="218" t="str">
        <f>""</f>
        <v/>
      </c>
      <c r="S387" s="218" t="str">
        <f>"074"</f>
        <v>074</v>
      </c>
      <c r="T387" s="218" t="str">
        <f t="shared" si="132"/>
        <v>D</v>
      </c>
      <c r="U387" s="218" t="str">
        <f t="shared" si="121"/>
        <v>AFR000</v>
      </c>
      <c r="V387" s="218" t="str">
        <f t="shared" si="122"/>
        <v>###</v>
      </c>
      <c r="W387" s="218">
        <v>20</v>
      </c>
      <c r="X387" s="218" t="str">
        <f t="shared" si="133"/>
        <v>USD</v>
      </c>
      <c r="Y387" s="218">
        <v>16.059999999999999</v>
      </c>
      <c r="Z387" s="218">
        <v>20</v>
      </c>
      <c r="AA387" s="218">
        <v>18.07</v>
      </c>
    </row>
    <row r="388" spans="1:27">
      <c r="A388" s="218" t="s">
        <v>2592</v>
      </c>
      <c r="F388" s="219" t="str">
        <f>"""IntAlert Live"",""ALERT UK"",""17"",""1"",""546340"""</f>
        <v>"IntAlert Live","ALERT UK","17","1","546340"</v>
      </c>
      <c r="G388" s="223">
        <v>43951</v>
      </c>
      <c r="H388" s="223"/>
      <c r="I388" s="218" t="str">
        <f>"DRCBUK/CAISSE/2020/04/002"</f>
        <v>DRCBUK/CAISSE/2020/04/002</v>
      </c>
      <c r="K388" s="218" t="str">
        <f>"ORANGE"</f>
        <v>ORANGE</v>
      </c>
      <c r="L388" s="218" t="str">
        <f>"Approv modem service finance avril 2020 33%"</f>
        <v>Approv modem service finance avril 2020 33%</v>
      </c>
      <c r="M388" s="218" t="str">
        <f>"8030"</f>
        <v>8030</v>
      </c>
      <c r="N388" s="218" t="str">
        <f>"INTERNET SERVICES"</f>
        <v>INTERNET SERVICES</v>
      </c>
      <c r="O388" s="218" t="str">
        <f t="shared" si="130"/>
        <v>DRCBUK</v>
      </c>
      <c r="P388" s="218" t="str">
        <f t="shared" si="120"/>
        <v>AP21QR</v>
      </c>
      <c r="Q388" s="218" t="str">
        <f>""</f>
        <v/>
      </c>
      <c r="R388" s="218" t="str">
        <f>""</f>
        <v/>
      </c>
      <c r="S388" s="218" t="str">
        <f>"074"</f>
        <v>074</v>
      </c>
      <c r="T388" s="218" t="str">
        <f t="shared" si="132"/>
        <v>D</v>
      </c>
      <c r="U388" s="218" t="str">
        <f t="shared" si="121"/>
        <v>AFR000</v>
      </c>
      <c r="V388" s="218" t="str">
        <f t="shared" si="122"/>
        <v>###</v>
      </c>
      <c r="W388" s="218">
        <v>19.8</v>
      </c>
      <c r="X388" s="218" t="str">
        <f t="shared" si="133"/>
        <v>USD</v>
      </c>
      <c r="Y388" s="218">
        <v>15.9</v>
      </c>
      <c r="Z388" s="218">
        <v>19.8</v>
      </c>
      <c r="AA388" s="218">
        <v>17.89</v>
      </c>
    </row>
    <row r="389" spans="1:27">
      <c r="A389" s="218" t="s">
        <v>2592</v>
      </c>
      <c r="F389" s="219" t="str">
        <f>"""IntAlert Live"",""ALERT UK"",""17"",""1"",""555118"""</f>
        <v>"IntAlert Live","ALERT UK","17","1","555118"</v>
      </c>
      <c r="G389" s="223">
        <v>43965</v>
      </c>
      <c r="H389" s="223"/>
      <c r="I389" s="218" t="str">
        <f>"DRCBUK/BANK/2020/05/010"</f>
        <v>DRCBUK/BANK/2020/05/010</v>
      </c>
      <c r="K389" s="218" t="str">
        <f>"DATCO S.INTERNET"</f>
        <v>DATCO S.INTERNET</v>
      </c>
      <c r="L389" s="218" t="str">
        <f>"Pmt Internet bureau pr Mai 2020 33%"</f>
        <v>Pmt Internet bureau pr Mai 2020 33%</v>
      </c>
      <c r="M389" s="218" t="str">
        <f>"8030"</f>
        <v>8030</v>
      </c>
      <c r="N389" s="218" t="str">
        <f>"INTERNET SERVICES"</f>
        <v>INTERNET SERVICES</v>
      </c>
      <c r="O389" s="218" t="str">
        <f t="shared" si="130"/>
        <v>DRCBUK</v>
      </c>
      <c r="P389" s="218" t="str">
        <f t="shared" si="120"/>
        <v>AP21QR</v>
      </c>
      <c r="Q389" s="218" t="str">
        <f>""</f>
        <v/>
      </c>
      <c r="R389" s="218" t="str">
        <f>""</f>
        <v/>
      </c>
      <c r="S389" s="218" t="str">
        <f>"074"</f>
        <v>074</v>
      </c>
      <c r="T389" s="218" t="str">
        <f t="shared" si="132"/>
        <v>D</v>
      </c>
      <c r="U389" s="218" t="str">
        <f t="shared" si="121"/>
        <v>AFR000</v>
      </c>
      <c r="V389" s="218" t="str">
        <f t="shared" si="122"/>
        <v>###</v>
      </c>
      <c r="W389" s="218">
        <v>330</v>
      </c>
      <c r="X389" s="218" t="str">
        <f t="shared" si="133"/>
        <v>USD</v>
      </c>
      <c r="Y389" s="218">
        <v>261.82</v>
      </c>
      <c r="Z389" s="218">
        <v>330</v>
      </c>
      <c r="AA389" s="218">
        <v>299.64</v>
      </c>
    </row>
    <row r="390" spans="1:27">
      <c r="A390" s="218" t="s">
        <v>2592</v>
      </c>
      <c r="F390" s="219" t="str">
        <f>"""IntAlert Live"",""ALERT UK"",""17"",""1"",""555472"""</f>
        <v>"IntAlert Live","ALERT UK","17","1","555472"</v>
      </c>
      <c r="G390" s="223">
        <v>43979</v>
      </c>
      <c r="H390" s="223"/>
      <c r="I390" s="218" t="str">
        <f>"DRCBUK/CAISSE/2020/05/002"</f>
        <v>DRCBUK/CAISSE/2020/05/002</v>
      </c>
      <c r="K390" s="218" t="str">
        <f>"MUBALAMA / GCO"</f>
        <v>MUBALAMA / GCO</v>
      </c>
      <c r="L390" s="218" t="str">
        <f>"Pymt fact 05/020 ramassage ordures bureau 33%"</f>
        <v>Pymt fact 05/020 ramassage ordures bureau 33%</v>
      </c>
      <c r="M390" s="218" t="str">
        <f>"8270"</f>
        <v>8270</v>
      </c>
      <c r="N390" s="218" t="str">
        <f>"CLEANING"</f>
        <v>CLEANING</v>
      </c>
      <c r="O390" s="218" t="str">
        <f t="shared" si="130"/>
        <v>DRCBUK</v>
      </c>
      <c r="P390" s="218" t="str">
        <f t="shared" si="120"/>
        <v>AP21QR</v>
      </c>
      <c r="Q390" s="218" t="str">
        <f>""</f>
        <v/>
      </c>
      <c r="R390" s="218" t="str">
        <f>""</f>
        <v/>
      </c>
      <c r="S390" s="218" t="str">
        <f>"074"</f>
        <v>074</v>
      </c>
      <c r="T390" s="218" t="str">
        <f t="shared" si="132"/>
        <v>D</v>
      </c>
      <c r="U390" s="218" t="str">
        <f t="shared" si="121"/>
        <v>AFR000</v>
      </c>
      <c r="V390" s="218" t="str">
        <f t="shared" si="122"/>
        <v>###</v>
      </c>
      <c r="W390" s="218">
        <v>4.5</v>
      </c>
      <c r="X390" s="218" t="str">
        <f t="shared" si="133"/>
        <v>USD</v>
      </c>
      <c r="Y390" s="218">
        <v>3.57</v>
      </c>
      <c r="Z390" s="218">
        <v>4.5</v>
      </c>
      <c r="AA390" s="218">
        <v>4.09</v>
      </c>
    </row>
    <row r="391" spans="1:27">
      <c r="A391" s="218" t="s">
        <v>2592</v>
      </c>
      <c r="F391" s="219" t="str">
        <f>"""IntAlert Live"",""ALERT UK"",""17"",""1"",""550094"""</f>
        <v>"IntAlert Live","ALERT UK","17","1","550094"</v>
      </c>
      <c r="G391" s="223">
        <v>43945</v>
      </c>
      <c r="H391" s="223"/>
      <c r="I391" s="218" t="str">
        <f>""</f>
        <v/>
      </c>
      <c r="K391" s="218" t="str">
        <f>"BANK CHARGE APR 20"</f>
        <v>BANK CHARGE APR 20</v>
      </c>
      <c r="L391" s="218" t="str">
        <f>"JEANBOSCO SIBORU"</f>
        <v>JEANBOSCO SIBORU</v>
      </c>
      <c r="M391" s="218" t="str">
        <f t="shared" ref="M391:M436" si="136">"9770"</f>
        <v>9770</v>
      </c>
      <c r="N391" s="218" t="str">
        <f t="shared" ref="N391:N436" si="137">"BANK CHARGES"</f>
        <v>BANK CHARGES</v>
      </c>
      <c r="O391" s="218" t="str">
        <f>"UNILON"</f>
        <v>UNILON</v>
      </c>
      <c r="P391" s="218" t="str">
        <f t="shared" ref="P391:P454" si="138">"AP21QR"</f>
        <v>AP21QR</v>
      </c>
      <c r="Q391" s="218" t="str">
        <f>""</f>
        <v/>
      </c>
      <c r="R391" s="218" t="str">
        <f>""</f>
        <v/>
      </c>
      <c r="S391" s="218" t="str">
        <f t="shared" ref="S391:S436" si="139">"075"</f>
        <v>075</v>
      </c>
      <c r="T391" s="218" t="str">
        <f t="shared" si="132"/>
        <v>D</v>
      </c>
      <c r="U391" s="218" t="str">
        <f t="shared" ref="U391:U454" si="140">"AFR000"</f>
        <v>AFR000</v>
      </c>
      <c r="V391" s="218" t="str">
        <f t="shared" ref="V391:V454" si="141">"###"</f>
        <v>###</v>
      </c>
      <c r="W391" s="218">
        <v>0</v>
      </c>
      <c r="X391" s="218" t="str">
        <f>""</f>
        <v/>
      </c>
      <c r="Y391" s="218">
        <v>20.5</v>
      </c>
      <c r="Z391" s="218">
        <v>25.53</v>
      </c>
      <c r="AA391" s="218">
        <v>23.06</v>
      </c>
    </row>
    <row r="392" spans="1:27">
      <c r="A392" s="218" t="s">
        <v>2592</v>
      </c>
      <c r="F392" s="219" t="str">
        <f>"""IntAlert Live"",""ALERT UK"",""17"",""1"",""546124"""</f>
        <v>"IntAlert Live","ALERT UK","17","1","546124"</v>
      </c>
      <c r="G392" s="223">
        <v>43948</v>
      </c>
      <c r="H392" s="223"/>
      <c r="I392" s="218" t="str">
        <f>"DRCBUK/BANK/2020/04/013"</f>
        <v>DRCBUK/BANK/2020/04/013</v>
      </c>
      <c r="K392" s="218" t="str">
        <f>"DGI SUD KIVU"</f>
        <v>DGI SUD KIVU</v>
      </c>
      <c r="L392" s="218" t="str">
        <f>"Frais bancaires sur IPR staff -Avril 2020  "</f>
        <v xml:space="preserve">Frais bancaires sur IPR staff -Avril 2020  </v>
      </c>
      <c r="M392" s="218" t="str">
        <f t="shared" si="136"/>
        <v>9770</v>
      </c>
      <c r="N392" s="218" t="str">
        <f t="shared" si="137"/>
        <v>BANK CHARGES</v>
      </c>
      <c r="O392" s="218" t="str">
        <f>"DRCBUK"</f>
        <v>DRCBUK</v>
      </c>
      <c r="P392" s="218" t="str">
        <f t="shared" si="138"/>
        <v>AP21QR</v>
      </c>
      <c r="Q392" s="218" t="str">
        <f>""</f>
        <v/>
      </c>
      <c r="R392" s="218" t="str">
        <f>""</f>
        <v/>
      </c>
      <c r="S392" s="218" t="str">
        <f t="shared" si="139"/>
        <v>075</v>
      </c>
      <c r="T392" s="218" t="str">
        <f t="shared" si="132"/>
        <v>D</v>
      </c>
      <c r="U392" s="218" t="str">
        <f t="shared" si="140"/>
        <v>AFR000</v>
      </c>
      <c r="V392" s="218" t="str">
        <f t="shared" si="141"/>
        <v>###</v>
      </c>
      <c r="W392" s="218">
        <v>8.26</v>
      </c>
      <c r="X392" s="218" t="str">
        <f t="shared" ref="X392:X455" si="142">"USD"</f>
        <v>USD</v>
      </c>
      <c r="Y392" s="218">
        <v>6.63</v>
      </c>
      <c r="Z392" s="218">
        <v>8.26</v>
      </c>
      <c r="AA392" s="218">
        <v>7.46</v>
      </c>
    </row>
    <row r="393" spans="1:27">
      <c r="A393" s="218" t="s">
        <v>2592</v>
      </c>
      <c r="F393" s="219" t="str">
        <f>"""IntAlert Live"",""ALERT UK"",""17"",""1"",""544316"""</f>
        <v>"IntAlert Live","ALERT UK","17","1","544316"</v>
      </c>
      <c r="G393" s="223">
        <v>43951</v>
      </c>
      <c r="H393" s="223"/>
      <c r="I393" s="218" t="str">
        <f>"JDRCBUK/BANK/2020/02/036"</f>
        <v>JDRCBUK/BANK/2020/02/036</v>
      </c>
      <c r="K393" s="218" t="str">
        <f>"JUSD 11 FEB20"</f>
        <v>JUSD 11 FEB20</v>
      </c>
      <c r="L393" s="218" t="str">
        <f>"UNDP"</f>
        <v>UNDP</v>
      </c>
      <c r="M393" s="218" t="str">
        <f t="shared" si="136"/>
        <v>9770</v>
      </c>
      <c r="N393" s="218" t="str">
        <f t="shared" si="137"/>
        <v>BANK CHARGES</v>
      </c>
      <c r="O393" s="218" t="str">
        <f>"UNILON"</f>
        <v>UNILON</v>
      </c>
      <c r="P393" s="218" t="str">
        <f t="shared" si="138"/>
        <v>AP21QR</v>
      </c>
      <c r="Q393" s="218" t="str">
        <f>""</f>
        <v/>
      </c>
      <c r="R393" s="218" t="str">
        <f>""</f>
        <v/>
      </c>
      <c r="S393" s="218" t="str">
        <f t="shared" si="139"/>
        <v>075</v>
      </c>
      <c r="T393" s="218" t="str">
        <f t="shared" si="132"/>
        <v>D</v>
      </c>
      <c r="U393" s="218" t="str">
        <f t="shared" si="140"/>
        <v>AFR000</v>
      </c>
      <c r="V393" s="218" t="str">
        <f t="shared" si="141"/>
        <v>###</v>
      </c>
      <c r="W393" s="218">
        <v>9.27</v>
      </c>
      <c r="X393" s="218" t="str">
        <f t="shared" si="142"/>
        <v>USD</v>
      </c>
      <c r="Y393" s="218">
        <v>7.44</v>
      </c>
      <c r="Z393" s="218">
        <v>9.27</v>
      </c>
      <c r="AA393" s="218">
        <v>8.3699999999999992</v>
      </c>
    </row>
    <row r="394" spans="1:27">
      <c r="A394" s="218" t="s">
        <v>2592</v>
      </c>
      <c r="F394" s="219" t="str">
        <f>"""IntAlert Live"",""ALERT UK"",""17"",""1"",""546219"""</f>
        <v>"IntAlert Live","ALERT UK","17","1","546219"</v>
      </c>
      <c r="G394" s="223">
        <v>43951</v>
      </c>
      <c r="H394" s="223"/>
      <c r="I394" s="218" t="str">
        <f t="shared" ref="I394:I412" si="143">"DRCBUK/BANK/2020/04/022"</f>
        <v>DRCBUK/BANK/2020/04/022</v>
      </c>
      <c r="K394" s="218" t="str">
        <f t="shared" ref="K394:K412" si="144">"BCDC BUKAVU"</f>
        <v>BCDC BUKAVU</v>
      </c>
      <c r="L394" s="218" t="str">
        <f>"Cion s/Transfert OV60182011 pour IRL loyer Lucy"</f>
        <v>Cion s/Transfert OV60182011 pour IRL loyer Lucy</v>
      </c>
      <c r="M394" s="218" t="str">
        <f t="shared" si="136"/>
        <v>9770</v>
      </c>
      <c r="N394" s="218" t="str">
        <f t="shared" si="137"/>
        <v>BANK CHARGES</v>
      </c>
      <c r="O394" s="218" t="str">
        <f t="shared" ref="O394:O457" si="145">"DRCBUK"</f>
        <v>DRCBUK</v>
      </c>
      <c r="P394" s="218" t="str">
        <f t="shared" si="138"/>
        <v>AP21QR</v>
      </c>
      <c r="Q394" s="218" t="str">
        <f>""</f>
        <v/>
      </c>
      <c r="R394" s="218" t="str">
        <f>""</f>
        <v/>
      </c>
      <c r="S394" s="218" t="str">
        <f t="shared" si="139"/>
        <v>075</v>
      </c>
      <c r="T394" s="218" t="str">
        <f t="shared" si="132"/>
        <v>D</v>
      </c>
      <c r="U394" s="218" t="str">
        <f t="shared" si="140"/>
        <v>AFR000</v>
      </c>
      <c r="V394" s="218" t="str">
        <f t="shared" si="141"/>
        <v>###</v>
      </c>
      <c r="W394" s="218">
        <v>46.4</v>
      </c>
      <c r="X394" s="218" t="str">
        <f t="shared" si="142"/>
        <v>USD</v>
      </c>
      <c r="Y394" s="218">
        <v>37.25</v>
      </c>
      <c r="Z394" s="218">
        <v>46.4</v>
      </c>
      <c r="AA394" s="218">
        <v>41.9</v>
      </c>
    </row>
    <row r="395" spans="1:27">
      <c r="A395" s="218" t="s">
        <v>2592</v>
      </c>
      <c r="F395" s="219" t="str">
        <f>"""IntAlert Live"",""ALERT UK"",""17"",""1"",""546220"""</f>
        <v>"IntAlert Live","ALERT UK","17","1","546220"</v>
      </c>
      <c r="G395" s="223">
        <v>43951</v>
      </c>
      <c r="H395" s="223"/>
      <c r="I395" s="218" t="str">
        <f t="shared" si="143"/>
        <v>DRCBUK/BANK/2020/04/022</v>
      </c>
      <c r="K395" s="218" t="str">
        <f t="shared" si="144"/>
        <v>BCDC BUKAVU</v>
      </c>
      <c r="L395" s="218" t="str">
        <f t="shared" ref="L395:L404" si="146">"FRS MENSUEL DE GESTION"</f>
        <v>FRS MENSUEL DE GESTION</v>
      </c>
      <c r="M395" s="218" t="str">
        <f t="shared" si="136"/>
        <v>9770</v>
      </c>
      <c r="N395" s="218" t="str">
        <f t="shared" si="137"/>
        <v>BANK CHARGES</v>
      </c>
      <c r="O395" s="218" t="str">
        <f t="shared" si="145"/>
        <v>DRCBUK</v>
      </c>
      <c r="P395" s="218" t="str">
        <f t="shared" si="138"/>
        <v>AP21QR</v>
      </c>
      <c r="Q395" s="218" t="str">
        <f>""</f>
        <v/>
      </c>
      <c r="R395" s="218" t="str">
        <f>""</f>
        <v/>
      </c>
      <c r="S395" s="218" t="str">
        <f t="shared" si="139"/>
        <v>075</v>
      </c>
      <c r="T395" s="218" t="str">
        <f t="shared" si="132"/>
        <v>D</v>
      </c>
      <c r="U395" s="218" t="str">
        <f t="shared" si="140"/>
        <v>AFR000</v>
      </c>
      <c r="V395" s="218" t="str">
        <f t="shared" si="141"/>
        <v>###</v>
      </c>
      <c r="W395" s="218">
        <v>5.8</v>
      </c>
      <c r="X395" s="218" t="str">
        <f t="shared" si="142"/>
        <v>USD</v>
      </c>
      <c r="Y395" s="218">
        <v>4.66</v>
      </c>
      <c r="Z395" s="218">
        <v>5.8</v>
      </c>
      <c r="AA395" s="218">
        <v>5.24</v>
      </c>
    </row>
    <row r="396" spans="1:27">
      <c r="A396" s="218" t="s">
        <v>2592</v>
      </c>
      <c r="F396" s="219" t="str">
        <f>"""IntAlert Live"",""ALERT UK"",""17"",""1"",""546222"""</f>
        <v>"IntAlert Live","ALERT UK","17","1","546222"</v>
      </c>
      <c r="G396" s="223">
        <v>43951</v>
      </c>
      <c r="H396" s="223"/>
      <c r="I396" s="218" t="str">
        <f t="shared" si="143"/>
        <v>DRCBUK/BANK/2020/04/022</v>
      </c>
      <c r="K396" s="218" t="str">
        <f t="shared" si="144"/>
        <v>BCDC BUKAVU</v>
      </c>
      <c r="L396" s="218" t="str">
        <f t="shared" si="146"/>
        <v>FRS MENSUEL DE GESTION</v>
      </c>
      <c r="M396" s="218" t="str">
        <f t="shared" si="136"/>
        <v>9770</v>
      </c>
      <c r="N396" s="218" t="str">
        <f t="shared" si="137"/>
        <v>BANK CHARGES</v>
      </c>
      <c r="O396" s="218" t="str">
        <f t="shared" si="145"/>
        <v>DRCBUK</v>
      </c>
      <c r="P396" s="218" t="str">
        <f t="shared" si="138"/>
        <v>AP21QR</v>
      </c>
      <c r="Q396" s="218" t="str">
        <f>""</f>
        <v/>
      </c>
      <c r="R396" s="218" t="str">
        <f>""</f>
        <v/>
      </c>
      <c r="S396" s="218" t="str">
        <f t="shared" si="139"/>
        <v>075</v>
      </c>
      <c r="T396" s="218" t="str">
        <f t="shared" si="132"/>
        <v>D</v>
      </c>
      <c r="U396" s="218" t="str">
        <f t="shared" si="140"/>
        <v>AFR000</v>
      </c>
      <c r="V396" s="218" t="str">
        <f t="shared" si="141"/>
        <v>###</v>
      </c>
      <c r="W396" s="218">
        <v>5.8</v>
      </c>
      <c r="X396" s="218" t="str">
        <f t="shared" si="142"/>
        <v>USD</v>
      </c>
      <c r="Y396" s="218">
        <v>4.66</v>
      </c>
      <c r="Z396" s="218">
        <v>5.8</v>
      </c>
      <c r="AA396" s="218">
        <v>5.24</v>
      </c>
    </row>
    <row r="397" spans="1:27">
      <c r="A397" s="218" t="s">
        <v>2592</v>
      </c>
      <c r="F397" s="219" t="str">
        <f>"""IntAlert Live"",""ALERT UK"",""17"",""1"",""546223"""</f>
        <v>"IntAlert Live","ALERT UK","17","1","546223"</v>
      </c>
      <c r="G397" s="223">
        <v>43951</v>
      </c>
      <c r="H397" s="223"/>
      <c r="I397" s="218" t="str">
        <f t="shared" si="143"/>
        <v>DRCBUK/BANK/2020/04/022</v>
      </c>
      <c r="K397" s="218" t="str">
        <f t="shared" si="144"/>
        <v>BCDC BUKAVU</v>
      </c>
      <c r="L397" s="218" t="str">
        <f t="shared" si="146"/>
        <v>FRS MENSUEL DE GESTION</v>
      </c>
      <c r="M397" s="218" t="str">
        <f t="shared" si="136"/>
        <v>9770</v>
      </c>
      <c r="N397" s="218" t="str">
        <f t="shared" si="137"/>
        <v>BANK CHARGES</v>
      </c>
      <c r="O397" s="218" t="str">
        <f t="shared" si="145"/>
        <v>DRCBUK</v>
      </c>
      <c r="P397" s="218" t="str">
        <f t="shared" si="138"/>
        <v>AP21QR</v>
      </c>
      <c r="Q397" s="218" t="str">
        <f>""</f>
        <v/>
      </c>
      <c r="R397" s="218" t="str">
        <f>""</f>
        <v/>
      </c>
      <c r="S397" s="218" t="str">
        <f t="shared" si="139"/>
        <v>075</v>
      </c>
      <c r="T397" s="218" t="str">
        <f t="shared" si="132"/>
        <v>D</v>
      </c>
      <c r="U397" s="218" t="str">
        <f t="shared" si="140"/>
        <v>AFR000</v>
      </c>
      <c r="V397" s="218" t="str">
        <f t="shared" si="141"/>
        <v>###</v>
      </c>
      <c r="W397" s="218">
        <v>5.8</v>
      </c>
      <c r="X397" s="218" t="str">
        <f t="shared" si="142"/>
        <v>USD</v>
      </c>
      <c r="Y397" s="218">
        <v>4.66</v>
      </c>
      <c r="Z397" s="218">
        <v>5.8</v>
      </c>
      <c r="AA397" s="218">
        <v>5.24</v>
      </c>
    </row>
    <row r="398" spans="1:27">
      <c r="A398" s="218" t="s">
        <v>2592</v>
      </c>
      <c r="F398" s="219" t="str">
        <f>"""IntAlert Live"",""ALERT UK"",""17"",""1"",""546224"""</f>
        <v>"IntAlert Live","ALERT UK","17","1","546224"</v>
      </c>
      <c r="G398" s="223">
        <v>43951</v>
      </c>
      <c r="H398" s="223"/>
      <c r="I398" s="218" t="str">
        <f t="shared" si="143"/>
        <v>DRCBUK/BANK/2020/04/022</v>
      </c>
      <c r="K398" s="218" t="str">
        <f t="shared" si="144"/>
        <v>BCDC BUKAVU</v>
      </c>
      <c r="L398" s="218" t="str">
        <f t="shared" si="146"/>
        <v>FRS MENSUEL DE GESTION</v>
      </c>
      <c r="M398" s="218" t="str">
        <f t="shared" si="136"/>
        <v>9770</v>
      </c>
      <c r="N398" s="218" t="str">
        <f t="shared" si="137"/>
        <v>BANK CHARGES</v>
      </c>
      <c r="O398" s="218" t="str">
        <f t="shared" si="145"/>
        <v>DRCBUK</v>
      </c>
      <c r="P398" s="218" t="str">
        <f t="shared" si="138"/>
        <v>AP21QR</v>
      </c>
      <c r="Q398" s="218" t="str">
        <f>""</f>
        <v/>
      </c>
      <c r="R398" s="218" t="str">
        <f>""</f>
        <v/>
      </c>
      <c r="S398" s="218" t="str">
        <f t="shared" si="139"/>
        <v>075</v>
      </c>
      <c r="T398" s="218" t="str">
        <f t="shared" si="132"/>
        <v>D</v>
      </c>
      <c r="U398" s="218" t="str">
        <f t="shared" si="140"/>
        <v>AFR000</v>
      </c>
      <c r="V398" s="218" t="str">
        <f t="shared" si="141"/>
        <v>###</v>
      </c>
      <c r="W398" s="218">
        <v>5.8</v>
      </c>
      <c r="X398" s="218" t="str">
        <f t="shared" si="142"/>
        <v>USD</v>
      </c>
      <c r="Y398" s="218">
        <v>4.66</v>
      </c>
      <c r="Z398" s="218">
        <v>5.8</v>
      </c>
      <c r="AA398" s="218">
        <v>5.24</v>
      </c>
    </row>
    <row r="399" spans="1:27">
      <c r="A399" s="218" t="s">
        <v>2592</v>
      </c>
      <c r="F399" s="219" t="str">
        <f>"""IntAlert Live"",""ALERT UK"",""17"",""1"",""546226"""</f>
        <v>"IntAlert Live","ALERT UK","17","1","546226"</v>
      </c>
      <c r="G399" s="223">
        <v>43951</v>
      </c>
      <c r="H399" s="223"/>
      <c r="I399" s="218" t="str">
        <f t="shared" si="143"/>
        <v>DRCBUK/BANK/2020/04/022</v>
      </c>
      <c r="K399" s="218" t="str">
        <f t="shared" si="144"/>
        <v>BCDC BUKAVU</v>
      </c>
      <c r="L399" s="218" t="str">
        <f t="shared" si="146"/>
        <v>FRS MENSUEL DE GESTION</v>
      </c>
      <c r="M399" s="218" t="str">
        <f t="shared" si="136"/>
        <v>9770</v>
      </c>
      <c r="N399" s="218" t="str">
        <f t="shared" si="137"/>
        <v>BANK CHARGES</v>
      </c>
      <c r="O399" s="218" t="str">
        <f t="shared" si="145"/>
        <v>DRCBUK</v>
      </c>
      <c r="P399" s="218" t="str">
        <f t="shared" si="138"/>
        <v>AP21QR</v>
      </c>
      <c r="Q399" s="218" t="str">
        <f>""</f>
        <v/>
      </c>
      <c r="R399" s="218" t="str">
        <f>""</f>
        <v/>
      </c>
      <c r="S399" s="218" t="str">
        <f t="shared" si="139"/>
        <v>075</v>
      </c>
      <c r="T399" s="218" t="str">
        <f t="shared" si="132"/>
        <v>D</v>
      </c>
      <c r="U399" s="218" t="str">
        <f t="shared" si="140"/>
        <v>AFR000</v>
      </c>
      <c r="V399" s="218" t="str">
        <f t="shared" si="141"/>
        <v>###</v>
      </c>
      <c r="W399" s="218">
        <v>5.8</v>
      </c>
      <c r="X399" s="218" t="str">
        <f t="shared" si="142"/>
        <v>USD</v>
      </c>
      <c r="Y399" s="218">
        <v>4.66</v>
      </c>
      <c r="Z399" s="218">
        <v>5.8</v>
      </c>
      <c r="AA399" s="218">
        <v>5.24</v>
      </c>
    </row>
    <row r="400" spans="1:27">
      <c r="A400" s="218" t="s">
        <v>2592</v>
      </c>
      <c r="F400" s="219" t="str">
        <f>"""IntAlert Live"",""ALERT UK"",""17"",""1"",""546227"""</f>
        <v>"IntAlert Live","ALERT UK","17","1","546227"</v>
      </c>
      <c r="G400" s="223">
        <v>43951</v>
      </c>
      <c r="H400" s="223"/>
      <c r="I400" s="218" t="str">
        <f t="shared" si="143"/>
        <v>DRCBUK/BANK/2020/04/022</v>
      </c>
      <c r="K400" s="218" t="str">
        <f t="shared" si="144"/>
        <v>BCDC BUKAVU</v>
      </c>
      <c r="L400" s="218" t="str">
        <f t="shared" si="146"/>
        <v>FRS MENSUEL DE GESTION</v>
      </c>
      <c r="M400" s="218" t="str">
        <f t="shared" si="136"/>
        <v>9770</v>
      </c>
      <c r="N400" s="218" t="str">
        <f t="shared" si="137"/>
        <v>BANK CHARGES</v>
      </c>
      <c r="O400" s="218" t="str">
        <f t="shared" si="145"/>
        <v>DRCBUK</v>
      </c>
      <c r="P400" s="218" t="str">
        <f t="shared" si="138"/>
        <v>AP21QR</v>
      </c>
      <c r="Q400" s="218" t="str">
        <f>""</f>
        <v/>
      </c>
      <c r="R400" s="218" t="str">
        <f>""</f>
        <v/>
      </c>
      <c r="S400" s="218" t="str">
        <f t="shared" si="139"/>
        <v>075</v>
      </c>
      <c r="T400" s="218" t="str">
        <f t="shared" si="132"/>
        <v>D</v>
      </c>
      <c r="U400" s="218" t="str">
        <f t="shared" si="140"/>
        <v>AFR000</v>
      </c>
      <c r="V400" s="218" t="str">
        <f t="shared" si="141"/>
        <v>###</v>
      </c>
      <c r="W400" s="218">
        <v>5.8</v>
      </c>
      <c r="X400" s="218" t="str">
        <f t="shared" si="142"/>
        <v>USD</v>
      </c>
      <c r="Y400" s="218">
        <v>4.66</v>
      </c>
      <c r="Z400" s="218">
        <v>5.8</v>
      </c>
      <c r="AA400" s="218">
        <v>5.24</v>
      </c>
    </row>
    <row r="401" spans="1:27">
      <c r="A401" s="218" t="s">
        <v>2592</v>
      </c>
      <c r="F401" s="219" t="str">
        <f>"""IntAlert Live"",""ALERT UK"",""17"",""1"",""546238"""</f>
        <v>"IntAlert Live","ALERT UK","17","1","546238"</v>
      </c>
      <c r="G401" s="223">
        <v>43951</v>
      </c>
      <c r="H401" s="223"/>
      <c r="I401" s="218" t="str">
        <f t="shared" si="143"/>
        <v>DRCBUK/BANK/2020/04/022</v>
      </c>
      <c r="K401" s="218" t="str">
        <f t="shared" si="144"/>
        <v>BCDC BUKAVU</v>
      </c>
      <c r="L401" s="218" t="str">
        <f t="shared" si="146"/>
        <v>FRS MENSUEL DE GESTION</v>
      </c>
      <c r="M401" s="218" t="str">
        <f t="shared" si="136"/>
        <v>9770</v>
      </c>
      <c r="N401" s="218" t="str">
        <f t="shared" si="137"/>
        <v>BANK CHARGES</v>
      </c>
      <c r="O401" s="218" t="str">
        <f t="shared" si="145"/>
        <v>DRCBUK</v>
      </c>
      <c r="P401" s="218" t="str">
        <f t="shared" si="138"/>
        <v>AP21QR</v>
      </c>
      <c r="Q401" s="218" t="str">
        <f>""</f>
        <v/>
      </c>
      <c r="R401" s="218" t="str">
        <f>""</f>
        <v/>
      </c>
      <c r="S401" s="218" t="str">
        <f t="shared" si="139"/>
        <v>075</v>
      </c>
      <c r="T401" s="218" t="str">
        <f t="shared" si="132"/>
        <v>D</v>
      </c>
      <c r="U401" s="218" t="str">
        <f t="shared" si="140"/>
        <v>AFR000</v>
      </c>
      <c r="V401" s="218" t="str">
        <f t="shared" si="141"/>
        <v>###</v>
      </c>
      <c r="W401" s="218">
        <v>5.8</v>
      </c>
      <c r="X401" s="218" t="str">
        <f t="shared" si="142"/>
        <v>USD</v>
      </c>
      <c r="Y401" s="218">
        <v>4.66</v>
      </c>
      <c r="Z401" s="218">
        <v>5.8</v>
      </c>
      <c r="AA401" s="218">
        <v>5.24</v>
      </c>
    </row>
    <row r="402" spans="1:27">
      <c r="A402" s="218" t="s">
        <v>2592</v>
      </c>
      <c r="F402" s="219" t="str">
        <f>"""IntAlert Live"",""ALERT UK"",""17"",""1"",""546239"""</f>
        <v>"IntAlert Live","ALERT UK","17","1","546239"</v>
      </c>
      <c r="G402" s="223">
        <v>43951</v>
      </c>
      <c r="H402" s="223"/>
      <c r="I402" s="218" t="str">
        <f t="shared" si="143"/>
        <v>DRCBUK/BANK/2020/04/022</v>
      </c>
      <c r="K402" s="218" t="str">
        <f t="shared" si="144"/>
        <v>BCDC BUKAVU</v>
      </c>
      <c r="L402" s="218" t="str">
        <f t="shared" si="146"/>
        <v>FRS MENSUEL DE GESTION</v>
      </c>
      <c r="M402" s="218" t="str">
        <f t="shared" si="136"/>
        <v>9770</v>
      </c>
      <c r="N402" s="218" t="str">
        <f t="shared" si="137"/>
        <v>BANK CHARGES</v>
      </c>
      <c r="O402" s="218" t="str">
        <f t="shared" si="145"/>
        <v>DRCBUK</v>
      </c>
      <c r="P402" s="218" t="str">
        <f t="shared" si="138"/>
        <v>AP21QR</v>
      </c>
      <c r="Q402" s="218" t="str">
        <f>""</f>
        <v/>
      </c>
      <c r="R402" s="218" t="str">
        <f>""</f>
        <v/>
      </c>
      <c r="S402" s="218" t="str">
        <f t="shared" si="139"/>
        <v>075</v>
      </c>
      <c r="T402" s="218" t="str">
        <f t="shared" si="132"/>
        <v>D</v>
      </c>
      <c r="U402" s="218" t="str">
        <f t="shared" si="140"/>
        <v>AFR000</v>
      </c>
      <c r="V402" s="218" t="str">
        <f t="shared" si="141"/>
        <v>###</v>
      </c>
      <c r="W402" s="218">
        <v>5.8</v>
      </c>
      <c r="X402" s="218" t="str">
        <f t="shared" si="142"/>
        <v>USD</v>
      </c>
      <c r="Y402" s="218">
        <v>4.66</v>
      </c>
      <c r="Z402" s="218">
        <v>5.8</v>
      </c>
      <c r="AA402" s="218">
        <v>5.24</v>
      </c>
    </row>
    <row r="403" spans="1:27">
      <c r="A403" s="218" t="s">
        <v>2592</v>
      </c>
      <c r="F403" s="219" t="str">
        <f>"""IntAlert Live"",""ALERT UK"",""17"",""1"",""546241"""</f>
        <v>"IntAlert Live","ALERT UK","17","1","546241"</v>
      </c>
      <c r="G403" s="223">
        <v>43951</v>
      </c>
      <c r="H403" s="223"/>
      <c r="I403" s="218" t="str">
        <f t="shared" si="143"/>
        <v>DRCBUK/BANK/2020/04/022</v>
      </c>
      <c r="K403" s="218" t="str">
        <f t="shared" si="144"/>
        <v>BCDC BUKAVU</v>
      </c>
      <c r="L403" s="218" t="str">
        <f t="shared" si="146"/>
        <v>FRS MENSUEL DE GESTION</v>
      </c>
      <c r="M403" s="218" t="str">
        <f t="shared" si="136"/>
        <v>9770</v>
      </c>
      <c r="N403" s="218" t="str">
        <f t="shared" si="137"/>
        <v>BANK CHARGES</v>
      </c>
      <c r="O403" s="218" t="str">
        <f t="shared" si="145"/>
        <v>DRCBUK</v>
      </c>
      <c r="P403" s="218" t="str">
        <f t="shared" si="138"/>
        <v>AP21QR</v>
      </c>
      <c r="Q403" s="218" t="str">
        <f>""</f>
        <v/>
      </c>
      <c r="R403" s="218" t="str">
        <f>""</f>
        <v/>
      </c>
      <c r="S403" s="218" t="str">
        <f t="shared" si="139"/>
        <v>075</v>
      </c>
      <c r="T403" s="218" t="str">
        <f t="shared" si="132"/>
        <v>D</v>
      </c>
      <c r="U403" s="218" t="str">
        <f t="shared" si="140"/>
        <v>AFR000</v>
      </c>
      <c r="V403" s="218" t="str">
        <f t="shared" si="141"/>
        <v>###</v>
      </c>
      <c r="W403" s="218">
        <v>5.8</v>
      </c>
      <c r="X403" s="218" t="str">
        <f t="shared" si="142"/>
        <v>USD</v>
      </c>
      <c r="Y403" s="218">
        <v>4.66</v>
      </c>
      <c r="Z403" s="218">
        <v>5.8</v>
      </c>
      <c r="AA403" s="218">
        <v>5.24</v>
      </c>
    </row>
    <row r="404" spans="1:27">
      <c r="A404" s="218" t="s">
        <v>2592</v>
      </c>
      <c r="F404" s="219" t="str">
        <f>"""IntAlert Live"",""ALERT UK"",""17"",""1"",""546242"""</f>
        <v>"IntAlert Live","ALERT UK","17","1","546242"</v>
      </c>
      <c r="G404" s="223">
        <v>43951</v>
      </c>
      <c r="H404" s="223"/>
      <c r="I404" s="218" t="str">
        <f t="shared" si="143"/>
        <v>DRCBUK/BANK/2020/04/022</v>
      </c>
      <c r="K404" s="218" t="str">
        <f t="shared" si="144"/>
        <v>BCDC BUKAVU</v>
      </c>
      <c r="L404" s="218" t="str">
        <f t="shared" si="146"/>
        <v>FRS MENSUEL DE GESTION</v>
      </c>
      <c r="M404" s="218" t="str">
        <f t="shared" si="136"/>
        <v>9770</v>
      </c>
      <c r="N404" s="218" t="str">
        <f t="shared" si="137"/>
        <v>BANK CHARGES</v>
      </c>
      <c r="O404" s="218" t="str">
        <f t="shared" si="145"/>
        <v>DRCBUK</v>
      </c>
      <c r="P404" s="218" t="str">
        <f t="shared" si="138"/>
        <v>AP21QR</v>
      </c>
      <c r="Q404" s="218" t="str">
        <f>""</f>
        <v/>
      </c>
      <c r="R404" s="218" t="str">
        <f>""</f>
        <v/>
      </c>
      <c r="S404" s="218" t="str">
        <f t="shared" si="139"/>
        <v>075</v>
      </c>
      <c r="T404" s="218" t="str">
        <f t="shared" si="132"/>
        <v>D</v>
      </c>
      <c r="U404" s="218" t="str">
        <f t="shared" si="140"/>
        <v>AFR000</v>
      </c>
      <c r="V404" s="218" t="str">
        <f t="shared" si="141"/>
        <v>###</v>
      </c>
      <c r="W404" s="218">
        <v>5.8</v>
      </c>
      <c r="X404" s="218" t="str">
        <f t="shared" si="142"/>
        <v>USD</v>
      </c>
      <c r="Y404" s="218">
        <v>4.66</v>
      </c>
      <c r="Z404" s="218">
        <v>5.8</v>
      </c>
      <c r="AA404" s="218">
        <v>5.24</v>
      </c>
    </row>
    <row r="405" spans="1:27">
      <c r="A405" s="218" t="s">
        <v>2592</v>
      </c>
      <c r="F405" s="219" t="str">
        <f>"""IntAlert Live"",""ALERT UK"",""17"",""1"",""546248"""</f>
        <v>"IntAlert Live","ALERT UK","17","1","546248"</v>
      </c>
      <c r="G405" s="223">
        <v>43951</v>
      </c>
      <c r="H405" s="223"/>
      <c r="I405" s="218" t="str">
        <f t="shared" si="143"/>
        <v>DRCBUK/BANK/2020/04/022</v>
      </c>
      <c r="K405" s="218" t="str">
        <f t="shared" si="144"/>
        <v>BCDC BUKAVU</v>
      </c>
      <c r="L405" s="218" t="str">
        <f>"Cion TTC chèque 09522367"</f>
        <v>Cion TTC chèque 09522367</v>
      </c>
      <c r="M405" s="218" t="str">
        <f t="shared" si="136"/>
        <v>9770</v>
      </c>
      <c r="N405" s="218" t="str">
        <f t="shared" si="137"/>
        <v>BANK CHARGES</v>
      </c>
      <c r="O405" s="218" t="str">
        <f t="shared" si="145"/>
        <v>DRCBUK</v>
      </c>
      <c r="P405" s="218" t="str">
        <f t="shared" si="138"/>
        <v>AP21QR</v>
      </c>
      <c r="Q405" s="218" t="str">
        <f>""</f>
        <v/>
      </c>
      <c r="R405" s="218" t="str">
        <f>""</f>
        <v/>
      </c>
      <c r="S405" s="218" t="str">
        <f t="shared" si="139"/>
        <v>075</v>
      </c>
      <c r="T405" s="218" t="str">
        <f t="shared" si="132"/>
        <v>D</v>
      </c>
      <c r="U405" s="218" t="str">
        <f t="shared" si="140"/>
        <v>AFR000</v>
      </c>
      <c r="V405" s="218" t="str">
        <f t="shared" si="141"/>
        <v>###</v>
      </c>
      <c r="W405" s="218">
        <v>19.07</v>
      </c>
      <c r="X405" s="218" t="str">
        <f t="shared" si="142"/>
        <v>USD</v>
      </c>
      <c r="Y405" s="218">
        <v>15.31</v>
      </c>
      <c r="Z405" s="218">
        <v>19.07</v>
      </c>
      <c r="AA405" s="218">
        <v>17.22</v>
      </c>
    </row>
    <row r="406" spans="1:27">
      <c r="A406" s="218" t="s">
        <v>2592</v>
      </c>
      <c r="F406" s="219" t="str">
        <f>"""IntAlert Live"",""ALERT UK"",""17"",""1"",""546250"""</f>
        <v>"IntAlert Live","ALERT UK","17","1","546250"</v>
      </c>
      <c r="G406" s="223">
        <v>43951</v>
      </c>
      <c r="H406" s="223"/>
      <c r="I406" s="218" t="str">
        <f t="shared" si="143"/>
        <v>DRCBUK/BANK/2020/04/022</v>
      </c>
      <c r="K406" s="218" t="str">
        <f t="shared" si="144"/>
        <v>BCDC BUKAVU</v>
      </c>
      <c r="L406" s="218" t="str">
        <f>"Cion TTC chèque 09522374"</f>
        <v>Cion TTC chèque 09522374</v>
      </c>
      <c r="M406" s="218" t="str">
        <f t="shared" si="136"/>
        <v>9770</v>
      </c>
      <c r="N406" s="218" t="str">
        <f t="shared" si="137"/>
        <v>BANK CHARGES</v>
      </c>
      <c r="O406" s="218" t="str">
        <f t="shared" si="145"/>
        <v>DRCBUK</v>
      </c>
      <c r="P406" s="218" t="str">
        <f t="shared" si="138"/>
        <v>AP21QR</v>
      </c>
      <c r="Q406" s="218" t="str">
        <f>""</f>
        <v/>
      </c>
      <c r="R406" s="218" t="str">
        <f>""</f>
        <v/>
      </c>
      <c r="S406" s="218" t="str">
        <f t="shared" si="139"/>
        <v>075</v>
      </c>
      <c r="T406" s="218" t="str">
        <f t="shared" si="132"/>
        <v>D</v>
      </c>
      <c r="U406" s="218" t="str">
        <f t="shared" si="140"/>
        <v>AFR000</v>
      </c>
      <c r="V406" s="218" t="str">
        <f t="shared" si="141"/>
        <v>###</v>
      </c>
      <c r="W406" s="218">
        <v>47.25</v>
      </c>
      <c r="X406" s="218" t="str">
        <f t="shared" si="142"/>
        <v>USD</v>
      </c>
      <c r="Y406" s="218">
        <v>37.94</v>
      </c>
      <c r="Z406" s="218">
        <v>47.25</v>
      </c>
      <c r="AA406" s="218">
        <v>42.68</v>
      </c>
    </row>
    <row r="407" spans="1:27">
      <c r="A407" s="218" t="s">
        <v>2592</v>
      </c>
      <c r="F407" s="219" t="str">
        <f>"""IntAlert Live"",""ALERT UK"",""17"",""1"",""546254"""</f>
        <v>"IntAlert Live","ALERT UK","17","1","546254"</v>
      </c>
      <c r="G407" s="223">
        <v>43951</v>
      </c>
      <c r="H407" s="223"/>
      <c r="I407" s="218" t="str">
        <f t="shared" si="143"/>
        <v>DRCBUK/BANK/2020/04/022</v>
      </c>
      <c r="K407" s="218" t="str">
        <f t="shared" si="144"/>
        <v>BCDC BUKAVU</v>
      </c>
      <c r="L407" s="218" t="str">
        <f>"Cion TTC chèque 09522378"</f>
        <v>Cion TTC chèque 09522378</v>
      </c>
      <c r="M407" s="218" t="str">
        <f t="shared" si="136"/>
        <v>9770</v>
      </c>
      <c r="N407" s="218" t="str">
        <f t="shared" si="137"/>
        <v>BANK CHARGES</v>
      </c>
      <c r="O407" s="218" t="str">
        <f t="shared" si="145"/>
        <v>DRCBUK</v>
      </c>
      <c r="P407" s="218" t="str">
        <f t="shared" si="138"/>
        <v>AP21QR</v>
      </c>
      <c r="Q407" s="218" t="str">
        <f>""</f>
        <v/>
      </c>
      <c r="R407" s="218" t="str">
        <f>""</f>
        <v/>
      </c>
      <c r="S407" s="218" t="str">
        <f t="shared" si="139"/>
        <v>075</v>
      </c>
      <c r="T407" s="218" t="str">
        <f t="shared" si="132"/>
        <v>D</v>
      </c>
      <c r="U407" s="218" t="str">
        <f t="shared" si="140"/>
        <v>AFR000</v>
      </c>
      <c r="V407" s="218" t="str">
        <f t="shared" si="141"/>
        <v>###</v>
      </c>
      <c r="W407" s="218">
        <v>11.6</v>
      </c>
      <c r="X407" s="218" t="str">
        <f t="shared" si="142"/>
        <v>USD</v>
      </c>
      <c r="Y407" s="218">
        <v>9.31</v>
      </c>
      <c r="Z407" s="218">
        <v>11.6</v>
      </c>
      <c r="AA407" s="218">
        <v>10.47</v>
      </c>
    </row>
    <row r="408" spans="1:27">
      <c r="A408" s="218" t="s">
        <v>2592</v>
      </c>
      <c r="F408" s="219" t="str">
        <f>"""IntAlert Live"",""ALERT UK"",""17"",""1"",""546258"""</f>
        <v>"IntAlert Live","ALERT UK","17","1","546258"</v>
      </c>
      <c r="G408" s="223">
        <v>43951</v>
      </c>
      <c r="H408" s="223"/>
      <c r="I408" s="218" t="str">
        <f t="shared" si="143"/>
        <v>DRCBUK/BANK/2020/04/022</v>
      </c>
      <c r="K408" s="218" t="str">
        <f t="shared" si="144"/>
        <v>BCDC BUKAVU</v>
      </c>
      <c r="L408" s="218" t="str">
        <f>"TRANSFERT OV 60182017 INPP CION"</f>
        <v>TRANSFERT OV 60182017 INPP CION</v>
      </c>
      <c r="M408" s="218" t="str">
        <f t="shared" si="136"/>
        <v>9770</v>
      </c>
      <c r="N408" s="218" t="str">
        <f t="shared" si="137"/>
        <v>BANK CHARGES</v>
      </c>
      <c r="O408" s="218" t="str">
        <f t="shared" si="145"/>
        <v>DRCBUK</v>
      </c>
      <c r="P408" s="218" t="str">
        <f t="shared" si="138"/>
        <v>AP21QR</v>
      </c>
      <c r="Q408" s="218" t="str">
        <f>""</f>
        <v/>
      </c>
      <c r="R408" s="218" t="str">
        <f>""</f>
        <v/>
      </c>
      <c r="S408" s="218" t="str">
        <f t="shared" si="139"/>
        <v>075</v>
      </c>
      <c r="T408" s="218" t="str">
        <f t="shared" si="132"/>
        <v>D</v>
      </c>
      <c r="U408" s="218" t="str">
        <f t="shared" si="140"/>
        <v>AFR000</v>
      </c>
      <c r="V408" s="218" t="str">
        <f t="shared" si="141"/>
        <v>###</v>
      </c>
      <c r="W408" s="218">
        <v>46.4</v>
      </c>
      <c r="X408" s="218" t="str">
        <f t="shared" si="142"/>
        <v>USD</v>
      </c>
      <c r="Y408" s="218">
        <v>37.25</v>
      </c>
      <c r="Z408" s="218">
        <v>46.4</v>
      </c>
      <c r="AA408" s="218">
        <v>41.9</v>
      </c>
    </row>
    <row r="409" spans="1:27">
      <c r="A409" s="218" t="s">
        <v>2592</v>
      </c>
      <c r="F409" s="219" t="str">
        <f>"""IntAlert Live"",""ALERT UK"",""17"",""1"",""546259"""</f>
        <v>"IntAlert Live","ALERT UK","17","1","546259"</v>
      </c>
      <c r="G409" s="223">
        <v>43951</v>
      </c>
      <c r="H409" s="223"/>
      <c r="I409" s="218" t="str">
        <f t="shared" si="143"/>
        <v>DRCBUK/BANK/2020/04/022</v>
      </c>
      <c r="K409" s="218" t="str">
        <f t="shared" si="144"/>
        <v>BCDC BUKAVU</v>
      </c>
      <c r="L409" s="218" t="str">
        <f>"CION TRANSFERT OV60182013 SALARIES"</f>
        <v>CION TRANSFERT OV60182013 SALARIES</v>
      </c>
      <c r="M409" s="218" t="str">
        <f t="shared" si="136"/>
        <v>9770</v>
      </c>
      <c r="N409" s="218" t="str">
        <f t="shared" si="137"/>
        <v>BANK CHARGES</v>
      </c>
      <c r="O409" s="218" t="str">
        <f t="shared" si="145"/>
        <v>DRCBUK</v>
      </c>
      <c r="P409" s="218" t="str">
        <f t="shared" si="138"/>
        <v>AP21QR</v>
      </c>
      <c r="Q409" s="218" t="str">
        <f>""</f>
        <v/>
      </c>
      <c r="R409" s="218" t="str">
        <f>""</f>
        <v/>
      </c>
      <c r="S409" s="218" t="str">
        <f t="shared" si="139"/>
        <v>075</v>
      </c>
      <c r="T409" s="218" t="str">
        <f t="shared" si="132"/>
        <v>D</v>
      </c>
      <c r="U409" s="218" t="str">
        <f t="shared" si="140"/>
        <v>AFR000</v>
      </c>
      <c r="V409" s="218" t="str">
        <f t="shared" si="141"/>
        <v>###</v>
      </c>
      <c r="W409" s="218">
        <v>181.03</v>
      </c>
      <c r="X409" s="218" t="str">
        <f t="shared" si="142"/>
        <v>USD</v>
      </c>
      <c r="Y409" s="218">
        <v>145.35</v>
      </c>
      <c r="Z409" s="218">
        <v>181.03</v>
      </c>
      <c r="AA409" s="218">
        <v>163.5</v>
      </c>
    </row>
    <row r="410" spans="1:27">
      <c r="A410" s="218" t="s">
        <v>2592</v>
      </c>
      <c r="F410" s="219" t="str">
        <f>"""IntAlert Live"",""ALERT UK"",""17"",""1"",""546262"""</f>
        <v>"IntAlert Live","ALERT UK","17","1","546262"</v>
      </c>
      <c r="G410" s="223">
        <v>43951</v>
      </c>
      <c r="H410" s="223"/>
      <c r="I410" s="218" t="str">
        <f t="shared" si="143"/>
        <v>DRCBUK/BANK/2020/04/022</v>
      </c>
      <c r="K410" s="218" t="str">
        <f t="shared" si="144"/>
        <v>BCDC BUKAVU</v>
      </c>
      <c r="L410" s="218" t="str">
        <f>"CION TRANSFERT OV60182020"</f>
        <v>CION TRANSFERT OV60182020</v>
      </c>
      <c r="M410" s="218" t="str">
        <f t="shared" si="136"/>
        <v>9770</v>
      </c>
      <c r="N410" s="218" t="str">
        <f t="shared" si="137"/>
        <v>BANK CHARGES</v>
      </c>
      <c r="O410" s="218" t="str">
        <f t="shared" si="145"/>
        <v>DRCBUK</v>
      </c>
      <c r="P410" s="218" t="str">
        <f t="shared" si="138"/>
        <v>AP21QR</v>
      </c>
      <c r="Q410" s="218" t="str">
        <f>""</f>
        <v/>
      </c>
      <c r="R410" s="218" t="str">
        <f>""</f>
        <v/>
      </c>
      <c r="S410" s="218" t="str">
        <f t="shared" si="139"/>
        <v>075</v>
      </c>
      <c r="T410" s="218" t="str">
        <f t="shared" si="132"/>
        <v>D</v>
      </c>
      <c r="U410" s="218" t="str">
        <f t="shared" si="140"/>
        <v>AFR000</v>
      </c>
      <c r="V410" s="218" t="str">
        <f t="shared" si="141"/>
        <v>###</v>
      </c>
      <c r="W410" s="218">
        <v>46.4</v>
      </c>
      <c r="X410" s="218" t="str">
        <f t="shared" si="142"/>
        <v>USD</v>
      </c>
      <c r="Y410" s="218">
        <v>37.25</v>
      </c>
      <c r="Z410" s="218">
        <v>46.4</v>
      </c>
      <c r="AA410" s="218">
        <v>41.9</v>
      </c>
    </row>
    <row r="411" spans="1:27">
      <c r="A411" s="218" t="s">
        <v>2592</v>
      </c>
      <c r="F411" s="219" t="str">
        <f>"""IntAlert Live"",""ALERT UK"",""17"",""1"",""546263"""</f>
        <v>"IntAlert Live","ALERT UK","17","1","546263"</v>
      </c>
      <c r="G411" s="223">
        <v>43951</v>
      </c>
      <c r="H411" s="223"/>
      <c r="I411" s="218" t="str">
        <f t="shared" si="143"/>
        <v>DRCBUK/BANK/2020/04/022</v>
      </c>
      <c r="K411" s="218" t="str">
        <f t="shared" si="144"/>
        <v>BCDC BUKAVU</v>
      </c>
      <c r="L411" s="218" t="str">
        <f>"CION TRANSFERT OV60182019 58%"</f>
        <v>CION TRANSFERT OV60182019 58%</v>
      </c>
      <c r="M411" s="218" t="str">
        <f t="shared" si="136"/>
        <v>9770</v>
      </c>
      <c r="N411" s="218" t="str">
        <f t="shared" si="137"/>
        <v>BANK CHARGES</v>
      </c>
      <c r="O411" s="218" t="str">
        <f t="shared" si="145"/>
        <v>DRCBUK</v>
      </c>
      <c r="P411" s="218" t="str">
        <f t="shared" si="138"/>
        <v>AP21QR</v>
      </c>
      <c r="Q411" s="218" t="str">
        <f>""</f>
        <v/>
      </c>
      <c r="R411" s="218" t="str">
        <f>""</f>
        <v/>
      </c>
      <c r="S411" s="218" t="str">
        <f t="shared" si="139"/>
        <v>075</v>
      </c>
      <c r="T411" s="218" t="str">
        <f t="shared" si="132"/>
        <v>D</v>
      </c>
      <c r="U411" s="218" t="str">
        <f t="shared" si="140"/>
        <v>AFR000</v>
      </c>
      <c r="V411" s="218" t="str">
        <f t="shared" si="141"/>
        <v>###</v>
      </c>
      <c r="W411" s="218">
        <v>26.91</v>
      </c>
      <c r="X411" s="218" t="str">
        <f t="shared" si="142"/>
        <v>USD</v>
      </c>
      <c r="Y411" s="218">
        <v>21.61</v>
      </c>
      <c r="Z411" s="218">
        <v>26.91</v>
      </c>
      <c r="AA411" s="218">
        <v>24.31</v>
      </c>
    </row>
    <row r="412" spans="1:27">
      <c r="A412" s="218" t="s">
        <v>2592</v>
      </c>
      <c r="F412" s="219" t="str">
        <f>"""IntAlert Live"",""ALERT UK"",""17"",""1"",""546267"""</f>
        <v>"IntAlert Live","ALERT UK","17","1","546267"</v>
      </c>
      <c r="G412" s="223">
        <v>43951</v>
      </c>
      <c r="H412" s="223"/>
      <c r="I412" s="218" t="str">
        <f t="shared" si="143"/>
        <v>DRCBUK/BANK/2020/04/022</v>
      </c>
      <c r="K412" s="218" t="str">
        <f t="shared" si="144"/>
        <v>BCDC BUKAVU</v>
      </c>
      <c r="L412" s="218" t="str">
        <f>"CION TRANSFERT FROM HO 55%"</f>
        <v>CION TRANSFERT FROM HO 55%</v>
      </c>
      <c r="M412" s="218" t="str">
        <f t="shared" si="136"/>
        <v>9770</v>
      </c>
      <c r="N412" s="218" t="str">
        <f t="shared" si="137"/>
        <v>BANK CHARGES</v>
      </c>
      <c r="O412" s="218" t="str">
        <f t="shared" si="145"/>
        <v>DRCBUK</v>
      </c>
      <c r="P412" s="218" t="str">
        <f t="shared" si="138"/>
        <v>AP21QR</v>
      </c>
      <c r="Q412" s="218" t="str">
        <f>""</f>
        <v/>
      </c>
      <c r="R412" s="218" t="str">
        <f>""</f>
        <v/>
      </c>
      <c r="S412" s="218" t="str">
        <f t="shared" si="139"/>
        <v>075</v>
      </c>
      <c r="T412" s="218" t="str">
        <f t="shared" si="132"/>
        <v>D</v>
      </c>
      <c r="U412" s="218" t="str">
        <f t="shared" si="140"/>
        <v>AFR000</v>
      </c>
      <c r="V412" s="218" t="str">
        <f t="shared" si="141"/>
        <v>###</v>
      </c>
      <c r="W412" s="218">
        <v>381.14</v>
      </c>
      <c r="X412" s="218" t="str">
        <f t="shared" si="142"/>
        <v>USD</v>
      </c>
      <c r="Y412" s="218">
        <v>306.02</v>
      </c>
      <c r="Z412" s="218">
        <v>381.14</v>
      </c>
      <c r="AA412" s="218">
        <v>344.23</v>
      </c>
    </row>
    <row r="413" spans="1:27">
      <c r="A413" s="218" t="s">
        <v>2592</v>
      </c>
      <c r="F413" s="219" t="str">
        <f>"""IntAlert Live"",""ALERT UK"",""17"",""1"",""555345"""</f>
        <v>"IntAlert Live","ALERT UK","17","1","555345"</v>
      </c>
      <c r="G413" s="223">
        <v>43979</v>
      </c>
      <c r="H413" s="223"/>
      <c r="I413" s="218" t="str">
        <f>"DRCBUK/BANK/2020/05/021"</f>
        <v>DRCBUK/BANK/2020/05/021</v>
      </c>
      <c r="K413" s="218" t="str">
        <f t="shared" ref="K413:K436" si="147">"BCDC"</f>
        <v>BCDC</v>
      </c>
      <c r="L413" s="218" t="str">
        <f>"Frs bancaire sur IPR STC"</f>
        <v>Frs bancaire sur IPR STC</v>
      </c>
      <c r="M413" s="218" t="str">
        <f t="shared" si="136"/>
        <v>9770</v>
      </c>
      <c r="N413" s="218" t="str">
        <f t="shared" si="137"/>
        <v>BANK CHARGES</v>
      </c>
      <c r="O413" s="218" t="str">
        <f t="shared" si="145"/>
        <v>DRCBUK</v>
      </c>
      <c r="P413" s="218" t="str">
        <f t="shared" si="138"/>
        <v>AP21QR</v>
      </c>
      <c r="Q413" s="218" t="str">
        <f>""</f>
        <v/>
      </c>
      <c r="R413" s="218" t="str">
        <f>""</f>
        <v/>
      </c>
      <c r="S413" s="218" t="str">
        <f t="shared" si="139"/>
        <v>075</v>
      </c>
      <c r="T413" s="218" t="str">
        <f t="shared" si="132"/>
        <v>D</v>
      </c>
      <c r="U413" s="218" t="str">
        <f t="shared" si="140"/>
        <v>AFR000</v>
      </c>
      <c r="V413" s="218" t="str">
        <f t="shared" si="141"/>
        <v>###</v>
      </c>
      <c r="W413" s="218">
        <v>8.2100000000000009</v>
      </c>
      <c r="X413" s="218" t="str">
        <f t="shared" si="142"/>
        <v>USD</v>
      </c>
      <c r="Y413" s="218">
        <v>6.51</v>
      </c>
      <c r="Z413" s="218">
        <v>8.2100000000000009</v>
      </c>
      <c r="AA413" s="218">
        <v>7.45</v>
      </c>
    </row>
    <row r="414" spans="1:27">
      <c r="A414" s="218" t="s">
        <v>2592</v>
      </c>
      <c r="F414" s="219" t="str">
        <f>"""IntAlert Live"",""ALERT UK"",""17"",""1"",""555369"""</f>
        <v>"IntAlert Live","ALERT UK","17","1","555369"</v>
      </c>
      <c r="G414" s="223">
        <v>43982</v>
      </c>
      <c r="H414" s="223"/>
      <c r="I414" s="218" t="str">
        <f t="shared" ref="I414:I436" si="148">"DRCBUK/BANK/2020/05/027"</f>
        <v>DRCBUK/BANK/2020/05/027</v>
      </c>
      <c r="K414" s="218" t="str">
        <f t="shared" si="147"/>
        <v>BCDC</v>
      </c>
      <c r="L414" s="218" t="str">
        <f>"Cion TTC chèque 09522385 55%"</f>
        <v>Cion TTC chèque 09522385 55%</v>
      </c>
      <c r="M414" s="218" t="str">
        <f t="shared" si="136"/>
        <v>9770</v>
      </c>
      <c r="N414" s="218" t="str">
        <f t="shared" si="137"/>
        <v>BANK CHARGES</v>
      </c>
      <c r="O414" s="218" t="str">
        <f t="shared" si="145"/>
        <v>DRCBUK</v>
      </c>
      <c r="P414" s="218" t="str">
        <f t="shared" si="138"/>
        <v>AP21QR</v>
      </c>
      <c r="Q414" s="218" t="str">
        <f>""</f>
        <v/>
      </c>
      <c r="R414" s="218" t="str">
        <f>""</f>
        <v/>
      </c>
      <c r="S414" s="218" t="str">
        <f t="shared" si="139"/>
        <v>075</v>
      </c>
      <c r="T414" s="218" t="str">
        <f t="shared" si="132"/>
        <v>D</v>
      </c>
      <c r="U414" s="218" t="str">
        <f t="shared" si="140"/>
        <v>AFR000</v>
      </c>
      <c r="V414" s="218" t="str">
        <f t="shared" si="141"/>
        <v>###</v>
      </c>
      <c r="W414" s="218">
        <v>2.5499999999999998</v>
      </c>
      <c r="X414" s="218" t="str">
        <f t="shared" si="142"/>
        <v>USD</v>
      </c>
      <c r="Y414" s="218">
        <v>2.02</v>
      </c>
      <c r="Z414" s="218">
        <v>2.5499999999999998</v>
      </c>
      <c r="AA414" s="218">
        <v>2.31</v>
      </c>
    </row>
    <row r="415" spans="1:27">
      <c r="A415" s="218" t="s">
        <v>2592</v>
      </c>
      <c r="F415" s="219" t="str">
        <f>"""IntAlert Live"",""ALERT UK"",""17"",""1"",""555373"""</f>
        <v>"IntAlert Live","ALERT UK","17","1","555373"</v>
      </c>
      <c r="G415" s="223">
        <v>43982</v>
      </c>
      <c r="H415" s="223"/>
      <c r="I415" s="218" t="str">
        <f t="shared" si="148"/>
        <v>DRCBUK/BANK/2020/05/027</v>
      </c>
      <c r="K415" s="218" t="str">
        <f t="shared" si="147"/>
        <v>BCDC</v>
      </c>
      <c r="L415" s="218" t="str">
        <f>"Cion TTC chèque 09522382"</f>
        <v>Cion TTC chèque 09522382</v>
      </c>
      <c r="M415" s="218" t="str">
        <f t="shared" si="136"/>
        <v>9770</v>
      </c>
      <c r="N415" s="218" t="str">
        <f t="shared" si="137"/>
        <v>BANK CHARGES</v>
      </c>
      <c r="O415" s="218" t="str">
        <f t="shared" si="145"/>
        <v>DRCBUK</v>
      </c>
      <c r="P415" s="218" t="str">
        <f t="shared" si="138"/>
        <v>AP21QR</v>
      </c>
      <c r="Q415" s="218" t="str">
        <f>""</f>
        <v/>
      </c>
      <c r="R415" s="218" t="str">
        <f>""</f>
        <v/>
      </c>
      <c r="S415" s="218" t="str">
        <f t="shared" si="139"/>
        <v>075</v>
      </c>
      <c r="T415" s="218" t="str">
        <f t="shared" si="132"/>
        <v>D</v>
      </c>
      <c r="U415" s="218" t="str">
        <f t="shared" si="140"/>
        <v>AFR000</v>
      </c>
      <c r="V415" s="218" t="str">
        <f t="shared" si="141"/>
        <v>###</v>
      </c>
      <c r="W415" s="218">
        <v>3.84</v>
      </c>
      <c r="X415" s="218" t="str">
        <f t="shared" si="142"/>
        <v>USD</v>
      </c>
      <c r="Y415" s="218">
        <v>3.05</v>
      </c>
      <c r="Z415" s="218">
        <v>3.84</v>
      </c>
      <c r="AA415" s="218">
        <v>3.49</v>
      </c>
    </row>
    <row r="416" spans="1:27">
      <c r="A416" s="218" t="s">
        <v>2592</v>
      </c>
      <c r="F416" s="219" t="str">
        <f>"""IntAlert Live"",""ALERT UK"",""17"",""1"",""555376"""</f>
        <v>"IntAlert Live","ALERT UK","17","1","555376"</v>
      </c>
      <c r="G416" s="223">
        <v>43982</v>
      </c>
      <c r="H416" s="223"/>
      <c r="I416" s="218" t="str">
        <f t="shared" si="148"/>
        <v>DRCBUK/BANK/2020/05/027</v>
      </c>
      <c r="K416" s="218" t="str">
        <f t="shared" si="147"/>
        <v>BCDC</v>
      </c>
      <c r="L416" s="218" t="str">
        <f t="shared" ref="L416:L425" si="149">"FRS MENSUEL DE GESTION"</f>
        <v>FRS MENSUEL DE GESTION</v>
      </c>
      <c r="M416" s="218" t="str">
        <f t="shared" si="136"/>
        <v>9770</v>
      </c>
      <c r="N416" s="218" t="str">
        <f t="shared" si="137"/>
        <v>BANK CHARGES</v>
      </c>
      <c r="O416" s="218" t="str">
        <f t="shared" si="145"/>
        <v>DRCBUK</v>
      </c>
      <c r="P416" s="218" t="str">
        <f t="shared" si="138"/>
        <v>AP21QR</v>
      </c>
      <c r="Q416" s="218" t="str">
        <f>""</f>
        <v/>
      </c>
      <c r="R416" s="218" t="str">
        <f>""</f>
        <v/>
      </c>
      <c r="S416" s="218" t="str">
        <f t="shared" si="139"/>
        <v>075</v>
      </c>
      <c r="T416" s="218" t="str">
        <f t="shared" si="132"/>
        <v>D</v>
      </c>
      <c r="U416" s="218" t="str">
        <f t="shared" si="140"/>
        <v>AFR000</v>
      </c>
      <c r="V416" s="218" t="str">
        <f t="shared" si="141"/>
        <v>###</v>
      </c>
      <c r="W416" s="218">
        <v>5.8</v>
      </c>
      <c r="X416" s="218" t="str">
        <f t="shared" si="142"/>
        <v>USD</v>
      </c>
      <c r="Y416" s="218">
        <v>4.5999999999999996</v>
      </c>
      <c r="Z416" s="218">
        <v>5.8</v>
      </c>
      <c r="AA416" s="218">
        <v>5.26</v>
      </c>
    </row>
    <row r="417" spans="1:27">
      <c r="A417" s="218" t="s">
        <v>2592</v>
      </c>
      <c r="F417" s="219" t="str">
        <f>"""IntAlert Live"",""ALERT UK"",""17"",""1"",""555378"""</f>
        <v>"IntAlert Live","ALERT UK","17","1","555378"</v>
      </c>
      <c r="G417" s="223">
        <v>43982</v>
      </c>
      <c r="H417" s="223"/>
      <c r="I417" s="218" t="str">
        <f t="shared" si="148"/>
        <v>DRCBUK/BANK/2020/05/027</v>
      </c>
      <c r="K417" s="218" t="str">
        <f t="shared" si="147"/>
        <v>BCDC</v>
      </c>
      <c r="L417" s="218" t="str">
        <f t="shared" si="149"/>
        <v>FRS MENSUEL DE GESTION</v>
      </c>
      <c r="M417" s="218" t="str">
        <f t="shared" si="136"/>
        <v>9770</v>
      </c>
      <c r="N417" s="218" t="str">
        <f t="shared" si="137"/>
        <v>BANK CHARGES</v>
      </c>
      <c r="O417" s="218" t="str">
        <f t="shared" si="145"/>
        <v>DRCBUK</v>
      </c>
      <c r="P417" s="218" t="str">
        <f t="shared" si="138"/>
        <v>AP21QR</v>
      </c>
      <c r="Q417" s="218" t="str">
        <f>""</f>
        <v/>
      </c>
      <c r="R417" s="218" t="str">
        <f>""</f>
        <v/>
      </c>
      <c r="S417" s="218" t="str">
        <f t="shared" si="139"/>
        <v>075</v>
      </c>
      <c r="T417" s="218" t="str">
        <f t="shared" si="132"/>
        <v>D</v>
      </c>
      <c r="U417" s="218" t="str">
        <f t="shared" si="140"/>
        <v>AFR000</v>
      </c>
      <c r="V417" s="218" t="str">
        <f t="shared" si="141"/>
        <v>###</v>
      </c>
      <c r="W417" s="218">
        <v>5.8</v>
      </c>
      <c r="X417" s="218" t="str">
        <f t="shared" si="142"/>
        <v>USD</v>
      </c>
      <c r="Y417" s="218">
        <v>4.5999999999999996</v>
      </c>
      <c r="Z417" s="218">
        <v>5.8</v>
      </c>
      <c r="AA417" s="218">
        <v>5.26</v>
      </c>
    </row>
    <row r="418" spans="1:27">
      <c r="A418" s="218" t="s">
        <v>2592</v>
      </c>
      <c r="F418" s="219" t="str">
        <f>"""IntAlert Live"",""ALERT UK"",""17"",""1"",""555379"""</f>
        <v>"IntAlert Live","ALERT UK","17","1","555379"</v>
      </c>
      <c r="G418" s="223">
        <v>43982</v>
      </c>
      <c r="H418" s="223"/>
      <c r="I418" s="218" t="str">
        <f t="shared" si="148"/>
        <v>DRCBUK/BANK/2020/05/027</v>
      </c>
      <c r="K418" s="218" t="str">
        <f t="shared" si="147"/>
        <v>BCDC</v>
      </c>
      <c r="L418" s="218" t="str">
        <f t="shared" si="149"/>
        <v>FRS MENSUEL DE GESTION</v>
      </c>
      <c r="M418" s="218" t="str">
        <f t="shared" si="136"/>
        <v>9770</v>
      </c>
      <c r="N418" s="218" t="str">
        <f t="shared" si="137"/>
        <v>BANK CHARGES</v>
      </c>
      <c r="O418" s="218" t="str">
        <f t="shared" si="145"/>
        <v>DRCBUK</v>
      </c>
      <c r="P418" s="218" t="str">
        <f t="shared" si="138"/>
        <v>AP21QR</v>
      </c>
      <c r="Q418" s="218" t="str">
        <f>""</f>
        <v/>
      </c>
      <c r="R418" s="218" t="str">
        <f>""</f>
        <v/>
      </c>
      <c r="S418" s="218" t="str">
        <f t="shared" si="139"/>
        <v>075</v>
      </c>
      <c r="T418" s="218" t="str">
        <f t="shared" si="132"/>
        <v>D</v>
      </c>
      <c r="U418" s="218" t="str">
        <f t="shared" si="140"/>
        <v>AFR000</v>
      </c>
      <c r="V418" s="218" t="str">
        <f t="shared" si="141"/>
        <v>###</v>
      </c>
      <c r="W418" s="218">
        <v>5.8</v>
      </c>
      <c r="X418" s="218" t="str">
        <f t="shared" si="142"/>
        <v>USD</v>
      </c>
      <c r="Y418" s="218">
        <v>4.5999999999999996</v>
      </c>
      <c r="Z418" s="218">
        <v>5.8</v>
      </c>
      <c r="AA418" s="218">
        <v>5.26</v>
      </c>
    </row>
    <row r="419" spans="1:27">
      <c r="A419" s="218" t="s">
        <v>2592</v>
      </c>
      <c r="F419" s="219" t="str">
        <f>"""IntAlert Live"",""ALERT UK"",""17"",""1"",""555380"""</f>
        <v>"IntAlert Live","ALERT UK","17","1","555380"</v>
      </c>
      <c r="G419" s="223">
        <v>43982</v>
      </c>
      <c r="H419" s="223"/>
      <c r="I419" s="218" t="str">
        <f t="shared" si="148"/>
        <v>DRCBUK/BANK/2020/05/027</v>
      </c>
      <c r="K419" s="218" t="str">
        <f t="shared" si="147"/>
        <v>BCDC</v>
      </c>
      <c r="L419" s="218" t="str">
        <f t="shared" si="149"/>
        <v>FRS MENSUEL DE GESTION</v>
      </c>
      <c r="M419" s="218" t="str">
        <f t="shared" si="136"/>
        <v>9770</v>
      </c>
      <c r="N419" s="218" t="str">
        <f t="shared" si="137"/>
        <v>BANK CHARGES</v>
      </c>
      <c r="O419" s="218" t="str">
        <f t="shared" si="145"/>
        <v>DRCBUK</v>
      </c>
      <c r="P419" s="218" t="str">
        <f t="shared" si="138"/>
        <v>AP21QR</v>
      </c>
      <c r="Q419" s="218" t="str">
        <f>""</f>
        <v/>
      </c>
      <c r="R419" s="218" t="str">
        <f>""</f>
        <v/>
      </c>
      <c r="S419" s="218" t="str">
        <f t="shared" si="139"/>
        <v>075</v>
      </c>
      <c r="T419" s="218" t="str">
        <f t="shared" si="132"/>
        <v>D</v>
      </c>
      <c r="U419" s="218" t="str">
        <f t="shared" si="140"/>
        <v>AFR000</v>
      </c>
      <c r="V419" s="218" t="str">
        <f t="shared" si="141"/>
        <v>###</v>
      </c>
      <c r="W419" s="218">
        <v>5.8</v>
      </c>
      <c r="X419" s="218" t="str">
        <f t="shared" si="142"/>
        <v>USD</v>
      </c>
      <c r="Y419" s="218">
        <v>4.5999999999999996</v>
      </c>
      <c r="Z419" s="218">
        <v>5.8</v>
      </c>
      <c r="AA419" s="218">
        <v>5.26</v>
      </c>
    </row>
    <row r="420" spans="1:27">
      <c r="A420" s="218" t="s">
        <v>2592</v>
      </c>
      <c r="F420" s="219" t="str">
        <f>"""IntAlert Live"",""ALERT UK"",""17"",""1"",""555382"""</f>
        <v>"IntAlert Live","ALERT UK","17","1","555382"</v>
      </c>
      <c r="G420" s="223">
        <v>43982</v>
      </c>
      <c r="H420" s="223"/>
      <c r="I420" s="218" t="str">
        <f t="shared" si="148"/>
        <v>DRCBUK/BANK/2020/05/027</v>
      </c>
      <c r="K420" s="218" t="str">
        <f t="shared" si="147"/>
        <v>BCDC</v>
      </c>
      <c r="L420" s="218" t="str">
        <f t="shared" si="149"/>
        <v>FRS MENSUEL DE GESTION</v>
      </c>
      <c r="M420" s="218" t="str">
        <f t="shared" si="136"/>
        <v>9770</v>
      </c>
      <c r="N420" s="218" t="str">
        <f t="shared" si="137"/>
        <v>BANK CHARGES</v>
      </c>
      <c r="O420" s="218" t="str">
        <f t="shared" si="145"/>
        <v>DRCBUK</v>
      </c>
      <c r="P420" s="218" t="str">
        <f t="shared" si="138"/>
        <v>AP21QR</v>
      </c>
      <c r="Q420" s="218" t="str">
        <f>""</f>
        <v/>
      </c>
      <c r="R420" s="218" t="str">
        <f>""</f>
        <v/>
      </c>
      <c r="S420" s="218" t="str">
        <f t="shared" si="139"/>
        <v>075</v>
      </c>
      <c r="T420" s="218" t="str">
        <f t="shared" si="132"/>
        <v>D</v>
      </c>
      <c r="U420" s="218" t="str">
        <f t="shared" si="140"/>
        <v>AFR000</v>
      </c>
      <c r="V420" s="218" t="str">
        <f t="shared" si="141"/>
        <v>###</v>
      </c>
      <c r="W420" s="218">
        <v>5.8</v>
      </c>
      <c r="X420" s="218" t="str">
        <f t="shared" si="142"/>
        <v>USD</v>
      </c>
      <c r="Y420" s="218">
        <v>4.5999999999999996</v>
      </c>
      <c r="Z420" s="218">
        <v>5.8</v>
      </c>
      <c r="AA420" s="218">
        <v>5.26</v>
      </c>
    </row>
    <row r="421" spans="1:27">
      <c r="A421" s="218" t="s">
        <v>2592</v>
      </c>
      <c r="F421" s="219" t="str">
        <f>"""IntAlert Live"",""ALERT UK"",""17"",""1"",""555383"""</f>
        <v>"IntAlert Live","ALERT UK","17","1","555383"</v>
      </c>
      <c r="G421" s="223">
        <v>43982</v>
      </c>
      <c r="H421" s="223"/>
      <c r="I421" s="218" t="str">
        <f t="shared" si="148"/>
        <v>DRCBUK/BANK/2020/05/027</v>
      </c>
      <c r="K421" s="218" t="str">
        <f t="shared" si="147"/>
        <v>BCDC</v>
      </c>
      <c r="L421" s="218" t="str">
        <f t="shared" si="149"/>
        <v>FRS MENSUEL DE GESTION</v>
      </c>
      <c r="M421" s="218" t="str">
        <f t="shared" si="136"/>
        <v>9770</v>
      </c>
      <c r="N421" s="218" t="str">
        <f t="shared" si="137"/>
        <v>BANK CHARGES</v>
      </c>
      <c r="O421" s="218" t="str">
        <f t="shared" si="145"/>
        <v>DRCBUK</v>
      </c>
      <c r="P421" s="218" t="str">
        <f t="shared" si="138"/>
        <v>AP21QR</v>
      </c>
      <c r="Q421" s="218" t="str">
        <f>""</f>
        <v/>
      </c>
      <c r="R421" s="218" t="str">
        <f>""</f>
        <v/>
      </c>
      <c r="S421" s="218" t="str">
        <f t="shared" si="139"/>
        <v>075</v>
      </c>
      <c r="T421" s="218" t="str">
        <f t="shared" si="132"/>
        <v>D</v>
      </c>
      <c r="U421" s="218" t="str">
        <f t="shared" si="140"/>
        <v>AFR000</v>
      </c>
      <c r="V421" s="218" t="str">
        <f t="shared" si="141"/>
        <v>###</v>
      </c>
      <c r="W421" s="218">
        <v>5.8</v>
      </c>
      <c r="X421" s="218" t="str">
        <f t="shared" si="142"/>
        <v>USD</v>
      </c>
      <c r="Y421" s="218">
        <v>4.5999999999999996</v>
      </c>
      <c r="Z421" s="218">
        <v>5.8</v>
      </c>
      <c r="AA421" s="218">
        <v>5.26</v>
      </c>
    </row>
    <row r="422" spans="1:27">
      <c r="A422" s="218" t="s">
        <v>2592</v>
      </c>
      <c r="F422" s="219" t="str">
        <f>"""IntAlert Live"",""ALERT UK"",""17"",""1"",""555394"""</f>
        <v>"IntAlert Live","ALERT UK","17","1","555394"</v>
      </c>
      <c r="G422" s="223">
        <v>43982</v>
      </c>
      <c r="H422" s="223"/>
      <c r="I422" s="218" t="str">
        <f t="shared" si="148"/>
        <v>DRCBUK/BANK/2020/05/027</v>
      </c>
      <c r="K422" s="218" t="str">
        <f t="shared" si="147"/>
        <v>BCDC</v>
      </c>
      <c r="L422" s="218" t="str">
        <f t="shared" si="149"/>
        <v>FRS MENSUEL DE GESTION</v>
      </c>
      <c r="M422" s="218" t="str">
        <f t="shared" si="136"/>
        <v>9770</v>
      </c>
      <c r="N422" s="218" t="str">
        <f t="shared" si="137"/>
        <v>BANK CHARGES</v>
      </c>
      <c r="O422" s="218" t="str">
        <f t="shared" si="145"/>
        <v>DRCBUK</v>
      </c>
      <c r="P422" s="218" t="str">
        <f t="shared" si="138"/>
        <v>AP21QR</v>
      </c>
      <c r="Q422" s="218" t="str">
        <f>""</f>
        <v/>
      </c>
      <c r="R422" s="218" t="str">
        <f>""</f>
        <v/>
      </c>
      <c r="S422" s="218" t="str">
        <f t="shared" si="139"/>
        <v>075</v>
      </c>
      <c r="T422" s="218" t="str">
        <f t="shared" si="132"/>
        <v>D</v>
      </c>
      <c r="U422" s="218" t="str">
        <f t="shared" si="140"/>
        <v>AFR000</v>
      </c>
      <c r="V422" s="218" t="str">
        <f t="shared" si="141"/>
        <v>###</v>
      </c>
      <c r="W422" s="218">
        <v>5.8</v>
      </c>
      <c r="X422" s="218" t="str">
        <f t="shared" si="142"/>
        <v>USD</v>
      </c>
      <c r="Y422" s="218">
        <v>4.5999999999999996</v>
      </c>
      <c r="Z422" s="218">
        <v>5.8</v>
      </c>
      <c r="AA422" s="218">
        <v>5.26</v>
      </c>
    </row>
    <row r="423" spans="1:27">
      <c r="A423" s="218" t="s">
        <v>2592</v>
      </c>
      <c r="F423" s="219" t="str">
        <f>"""IntAlert Live"",""ALERT UK"",""17"",""1"",""555395"""</f>
        <v>"IntAlert Live","ALERT UK","17","1","555395"</v>
      </c>
      <c r="G423" s="223">
        <v>43982</v>
      </c>
      <c r="H423" s="223"/>
      <c r="I423" s="218" t="str">
        <f t="shared" si="148"/>
        <v>DRCBUK/BANK/2020/05/027</v>
      </c>
      <c r="K423" s="218" t="str">
        <f t="shared" si="147"/>
        <v>BCDC</v>
      </c>
      <c r="L423" s="218" t="str">
        <f t="shared" si="149"/>
        <v>FRS MENSUEL DE GESTION</v>
      </c>
      <c r="M423" s="218" t="str">
        <f t="shared" si="136"/>
        <v>9770</v>
      </c>
      <c r="N423" s="218" t="str">
        <f t="shared" si="137"/>
        <v>BANK CHARGES</v>
      </c>
      <c r="O423" s="218" t="str">
        <f t="shared" si="145"/>
        <v>DRCBUK</v>
      </c>
      <c r="P423" s="218" t="str">
        <f t="shared" si="138"/>
        <v>AP21QR</v>
      </c>
      <c r="Q423" s="218" t="str">
        <f>""</f>
        <v/>
      </c>
      <c r="R423" s="218" t="str">
        <f>""</f>
        <v/>
      </c>
      <c r="S423" s="218" t="str">
        <f t="shared" si="139"/>
        <v>075</v>
      </c>
      <c r="T423" s="218" t="str">
        <f t="shared" si="132"/>
        <v>D</v>
      </c>
      <c r="U423" s="218" t="str">
        <f t="shared" si="140"/>
        <v>AFR000</v>
      </c>
      <c r="V423" s="218" t="str">
        <f t="shared" si="141"/>
        <v>###</v>
      </c>
      <c r="W423" s="218">
        <v>5.8</v>
      </c>
      <c r="X423" s="218" t="str">
        <f t="shared" si="142"/>
        <v>USD</v>
      </c>
      <c r="Y423" s="218">
        <v>4.5999999999999996</v>
      </c>
      <c r="Z423" s="218">
        <v>5.8</v>
      </c>
      <c r="AA423" s="218">
        <v>5.26</v>
      </c>
    </row>
    <row r="424" spans="1:27">
      <c r="A424" s="218" t="s">
        <v>2592</v>
      </c>
      <c r="F424" s="219" t="str">
        <f>"""IntAlert Live"",""ALERT UK"",""17"",""1"",""555397"""</f>
        <v>"IntAlert Live","ALERT UK","17","1","555397"</v>
      </c>
      <c r="G424" s="223">
        <v>43982</v>
      </c>
      <c r="H424" s="223"/>
      <c r="I424" s="218" t="str">
        <f t="shared" si="148"/>
        <v>DRCBUK/BANK/2020/05/027</v>
      </c>
      <c r="K424" s="218" t="str">
        <f t="shared" si="147"/>
        <v>BCDC</v>
      </c>
      <c r="L424" s="218" t="str">
        <f t="shared" si="149"/>
        <v>FRS MENSUEL DE GESTION</v>
      </c>
      <c r="M424" s="218" t="str">
        <f t="shared" si="136"/>
        <v>9770</v>
      </c>
      <c r="N424" s="218" t="str">
        <f t="shared" si="137"/>
        <v>BANK CHARGES</v>
      </c>
      <c r="O424" s="218" t="str">
        <f t="shared" si="145"/>
        <v>DRCBUK</v>
      </c>
      <c r="P424" s="218" t="str">
        <f t="shared" si="138"/>
        <v>AP21QR</v>
      </c>
      <c r="Q424" s="218" t="str">
        <f>""</f>
        <v/>
      </c>
      <c r="R424" s="218" t="str">
        <f>""</f>
        <v/>
      </c>
      <c r="S424" s="218" t="str">
        <f t="shared" si="139"/>
        <v>075</v>
      </c>
      <c r="T424" s="218" t="str">
        <f t="shared" si="132"/>
        <v>D</v>
      </c>
      <c r="U424" s="218" t="str">
        <f t="shared" si="140"/>
        <v>AFR000</v>
      </c>
      <c r="V424" s="218" t="str">
        <f t="shared" si="141"/>
        <v>###</v>
      </c>
      <c r="W424" s="218">
        <v>5.8</v>
      </c>
      <c r="X424" s="218" t="str">
        <f t="shared" si="142"/>
        <v>USD</v>
      </c>
      <c r="Y424" s="218">
        <v>4.5999999999999996</v>
      </c>
      <c r="Z424" s="218">
        <v>5.8</v>
      </c>
      <c r="AA424" s="218">
        <v>5.26</v>
      </c>
    </row>
    <row r="425" spans="1:27">
      <c r="A425" s="218" t="s">
        <v>2592</v>
      </c>
      <c r="F425" s="219" t="str">
        <f>"""IntAlert Live"",""ALERT UK"",""17"",""1"",""555398"""</f>
        <v>"IntAlert Live","ALERT UK","17","1","555398"</v>
      </c>
      <c r="G425" s="223">
        <v>43982</v>
      </c>
      <c r="H425" s="223"/>
      <c r="I425" s="218" t="str">
        <f t="shared" si="148"/>
        <v>DRCBUK/BANK/2020/05/027</v>
      </c>
      <c r="K425" s="218" t="str">
        <f t="shared" si="147"/>
        <v>BCDC</v>
      </c>
      <c r="L425" s="218" t="str">
        <f t="shared" si="149"/>
        <v>FRS MENSUEL DE GESTION</v>
      </c>
      <c r="M425" s="218" t="str">
        <f t="shared" si="136"/>
        <v>9770</v>
      </c>
      <c r="N425" s="218" t="str">
        <f t="shared" si="137"/>
        <v>BANK CHARGES</v>
      </c>
      <c r="O425" s="218" t="str">
        <f t="shared" si="145"/>
        <v>DRCBUK</v>
      </c>
      <c r="P425" s="218" t="str">
        <f t="shared" si="138"/>
        <v>AP21QR</v>
      </c>
      <c r="Q425" s="218" t="str">
        <f>""</f>
        <v/>
      </c>
      <c r="R425" s="218" t="str">
        <f>""</f>
        <v/>
      </c>
      <c r="S425" s="218" t="str">
        <f t="shared" si="139"/>
        <v>075</v>
      </c>
      <c r="T425" s="218" t="str">
        <f t="shared" si="132"/>
        <v>D</v>
      </c>
      <c r="U425" s="218" t="str">
        <f t="shared" si="140"/>
        <v>AFR000</v>
      </c>
      <c r="V425" s="218" t="str">
        <f t="shared" si="141"/>
        <v>###</v>
      </c>
      <c r="W425" s="218">
        <v>5.8</v>
      </c>
      <c r="X425" s="218" t="str">
        <f t="shared" si="142"/>
        <v>USD</v>
      </c>
      <c r="Y425" s="218">
        <v>4.5999999999999996</v>
      </c>
      <c r="Z425" s="218">
        <v>5.8</v>
      </c>
      <c r="AA425" s="218">
        <v>5.26</v>
      </c>
    </row>
    <row r="426" spans="1:27">
      <c r="A426" s="218" t="s">
        <v>2592</v>
      </c>
      <c r="F426" s="219" t="str">
        <f>"""IntAlert Live"",""ALERT UK"",""17"",""1"",""555400"""</f>
        <v>"IntAlert Live","ALERT UK","17","1","555400"</v>
      </c>
      <c r="G426" s="223">
        <v>43982</v>
      </c>
      <c r="H426" s="223"/>
      <c r="I426" s="218" t="str">
        <f t="shared" si="148"/>
        <v>DRCBUK/BANK/2020/05/027</v>
      </c>
      <c r="K426" s="218" t="str">
        <f t="shared" si="147"/>
        <v>BCDC</v>
      </c>
      <c r="L426" s="218" t="str">
        <f>"TVA SUR VAL LIC. DEC0801868 "</f>
        <v xml:space="preserve">TVA SUR VAL LIC. DEC0801868 </v>
      </c>
      <c r="M426" s="218" t="str">
        <f t="shared" si="136"/>
        <v>9770</v>
      </c>
      <c r="N426" s="218" t="str">
        <f t="shared" si="137"/>
        <v>BANK CHARGES</v>
      </c>
      <c r="O426" s="218" t="str">
        <f t="shared" si="145"/>
        <v>DRCBUK</v>
      </c>
      <c r="P426" s="218" t="str">
        <f t="shared" si="138"/>
        <v>AP21QR</v>
      </c>
      <c r="Q426" s="218" t="str">
        <f>""</f>
        <v/>
      </c>
      <c r="R426" s="218" t="str">
        <f>""</f>
        <v/>
      </c>
      <c r="S426" s="218" t="str">
        <f t="shared" si="139"/>
        <v>075</v>
      </c>
      <c r="T426" s="218" t="str">
        <f t="shared" si="132"/>
        <v>D</v>
      </c>
      <c r="U426" s="218" t="str">
        <f t="shared" si="140"/>
        <v>AFR000</v>
      </c>
      <c r="V426" s="218" t="str">
        <f t="shared" si="141"/>
        <v>###</v>
      </c>
      <c r="W426" s="218">
        <v>1.6</v>
      </c>
      <c r="X426" s="218" t="str">
        <f t="shared" si="142"/>
        <v>USD</v>
      </c>
      <c r="Y426" s="218">
        <v>1.27</v>
      </c>
      <c r="Z426" s="218">
        <v>1.6</v>
      </c>
      <c r="AA426" s="218">
        <v>1.45</v>
      </c>
    </row>
    <row r="427" spans="1:27">
      <c r="A427" s="218" t="s">
        <v>2592</v>
      </c>
      <c r="F427" s="219" t="str">
        <f>"""IntAlert Live"",""ALERT UK"",""17"",""1"",""555402"""</f>
        <v>"IntAlert Live","ALERT UK","17","1","555402"</v>
      </c>
      <c r="G427" s="223">
        <v>43982</v>
      </c>
      <c r="H427" s="223"/>
      <c r="I427" s="218" t="str">
        <f t="shared" si="148"/>
        <v>DRCBUK/BANK/2020/05/027</v>
      </c>
      <c r="K427" s="218" t="str">
        <f t="shared" si="147"/>
        <v>BCDC</v>
      </c>
      <c r="L427" s="218" t="str">
        <f>" COUT ACHAT LIC. DEC0801868-88C 55%"</f>
        <v xml:space="preserve"> COUT ACHAT LIC. DEC0801868-88C 55%</v>
      </c>
      <c r="M427" s="218" t="str">
        <f t="shared" si="136"/>
        <v>9770</v>
      </c>
      <c r="N427" s="218" t="str">
        <f t="shared" si="137"/>
        <v>BANK CHARGES</v>
      </c>
      <c r="O427" s="218" t="str">
        <f t="shared" si="145"/>
        <v>DRCBUK</v>
      </c>
      <c r="P427" s="218" t="str">
        <f t="shared" si="138"/>
        <v>AP21QR</v>
      </c>
      <c r="Q427" s="218" t="str">
        <f>""</f>
        <v/>
      </c>
      <c r="R427" s="218" t="str">
        <f>""</f>
        <v/>
      </c>
      <c r="S427" s="218" t="str">
        <f t="shared" si="139"/>
        <v>075</v>
      </c>
      <c r="T427" s="218" t="str">
        <f t="shared" si="132"/>
        <v>D</v>
      </c>
      <c r="U427" s="218" t="str">
        <f t="shared" si="140"/>
        <v>AFR000</v>
      </c>
      <c r="V427" s="218" t="str">
        <f t="shared" si="141"/>
        <v>###</v>
      </c>
      <c r="W427" s="218">
        <v>9.44</v>
      </c>
      <c r="X427" s="218" t="str">
        <f t="shared" si="142"/>
        <v>USD</v>
      </c>
      <c r="Y427" s="218">
        <v>7.49</v>
      </c>
      <c r="Z427" s="218">
        <v>9.44</v>
      </c>
      <c r="AA427" s="218">
        <v>8.57</v>
      </c>
    </row>
    <row r="428" spans="1:27">
      <c r="A428" s="218" t="s">
        <v>2592</v>
      </c>
      <c r="F428" s="219" t="str">
        <f>"""IntAlert Live"",""ALERT UK"",""17"",""1"",""555406"""</f>
        <v>"IntAlert Live","ALERT UK","17","1","555406"</v>
      </c>
      <c r="G428" s="223">
        <v>43982</v>
      </c>
      <c r="H428" s="223"/>
      <c r="I428" s="218" t="str">
        <f t="shared" si="148"/>
        <v>DRCBUK/BANK/2020/05/027</v>
      </c>
      <c r="K428" s="218" t="str">
        <f t="shared" si="147"/>
        <v>BCDC</v>
      </c>
      <c r="L428" s="218" t="str">
        <f>"Cion TTC chèque 09522386 55%"</f>
        <v>Cion TTC chèque 09522386 55%</v>
      </c>
      <c r="M428" s="218" t="str">
        <f t="shared" si="136"/>
        <v>9770</v>
      </c>
      <c r="N428" s="218" t="str">
        <f t="shared" si="137"/>
        <v>BANK CHARGES</v>
      </c>
      <c r="O428" s="218" t="str">
        <f t="shared" si="145"/>
        <v>DRCBUK</v>
      </c>
      <c r="P428" s="218" t="str">
        <f t="shared" si="138"/>
        <v>AP21QR</v>
      </c>
      <c r="Q428" s="218" t="str">
        <f>""</f>
        <v/>
      </c>
      <c r="R428" s="218" t="str">
        <f>""</f>
        <v/>
      </c>
      <c r="S428" s="218" t="str">
        <f t="shared" si="139"/>
        <v>075</v>
      </c>
      <c r="T428" s="218" t="str">
        <f t="shared" si="132"/>
        <v>D</v>
      </c>
      <c r="U428" s="218" t="str">
        <f t="shared" si="140"/>
        <v>AFR000</v>
      </c>
      <c r="V428" s="218" t="str">
        <f t="shared" si="141"/>
        <v>###</v>
      </c>
      <c r="W428" s="218">
        <v>4.79</v>
      </c>
      <c r="X428" s="218" t="str">
        <f t="shared" si="142"/>
        <v>USD</v>
      </c>
      <c r="Y428" s="218">
        <v>3.8</v>
      </c>
      <c r="Z428" s="218">
        <v>4.79</v>
      </c>
      <c r="AA428" s="218">
        <v>4.3499999999999996</v>
      </c>
    </row>
    <row r="429" spans="1:27">
      <c r="A429" s="218" t="s">
        <v>2592</v>
      </c>
      <c r="F429" s="219" t="str">
        <f>"""IntAlert Live"",""ALERT UK"",""17"",""1"",""555409"""</f>
        <v>"IntAlert Live","ALERT UK","17","1","555409"</v>
      </c>
      <c r="G429" s="223">
        <v>43982</v>
      </c>
      <c r="H429" s="223"/>
      <c r="I429" s="218" t="str">
        <f t="shared" si="148"/>
        <v>DRCBUK/BANK/2020/05/027</v>
      </c>
      <c r="K429" s="218" t="str">
        <f t="shared" si="147"/>
        <v>BCDC</v>
      </c>
      <c r="L429" s="218" t="str">
        <f>"ABONNEMENT BCDC NET LIGHT"</f>
        <v>ABONNEMENT BCDC NET LIGHT</v>
      </c>
      <c r="M429" s="218" t="str">
        <f t="shared" si="136"/>
        <v>9770</v>
      </c>
      <c r="N429" s="218" t="str">
        <f t="shared" si="137"/>
        <v>BANK CHARGES</v>
      </c>
      <c r="O429" s="218" t="str">
        <f t="shared" si="145"/>
        <v>DRCBUK</v>
      </c>
      <c r="P429" s="218" t="str">
        <f t="shared" si="138"/>
        <v>AP21QR</v>
      </c>
      <c r="Q429" s="218" t="str">
        <f>""</f>
        <v/>
      </c>
      <c r="R429" s="218" t="str">
        <f>""</f>
        <v/>
      </c>
      <c r="S429" s="218" t="str">
        <f t="shared" si="139"/>
        <v>075</v>
      </c>
      <c r="T429" s="218" t="str">
        <f t="shared" si="132"/>
        <v>D</v>
      </c>
      <c r="U429" s="218" t="str">
        <f t="shared" si="140"/>
        <v>AFR000</v>
      </c>
      <c r="V429" s="218" t="str">
        <f t="shared" si="141"/>
        <v>###</v>
      </c>
      <c r="W429" s="218">
        <v>5.8</v>
      </c>
      <c r="X429" s="218" t="str">
        <f t="shared" si="142"/>
        <v>USD</v>
      </c>
      <c r="Y429" s="218">
        <v>4.5999999999999996</v>
      </c>
      <c r="Z429" s="218">
        <v>5.8</v>
      </c>
      <c r="AA429" s="218">
        <v>5.26</v>
      </c>
    </row>
    <row r="430" spans="1:27">
      <c r="A430" s="218" t="s">
        <v>2592</v>
      </c>
      <c r="F430" s="219" t="str">
        <f>"""IntAlert Live"",""ALERT UK"",""17"",""1"",""555411"""</f>
        <v>"IntAlert Live","ALERT UK","17","1","555411"</v>
      </c>
      <c r="G430" s="223">
        <v>43982</v>
      </c>
      <c r="H430" s="223"/>
      <c r="I430" s="218" t="str">
        <f t="shared" si="148"/>
        <v>DRCBUK/BANK/2020/05/027</v>
      </c>
      <c r="K430" s="218" t="str">
        <f t="shared" si="147"/>
        <v>BCDC</v>
      </c>
      <c r="L430" s="218" t="str">
        <f>"CION DE TRANSFERT OV60182027 55%"</f>
        <v>CION DE TRANSFERT OV60182027 55%</v>
      </c>
      <c r="M430" s="218" t="str">
        <f t="shared" si="136"/>
        <v>9770</v>
      </c>
      <c r="N430" s="218" t="str">
        <f t="shared" si="137"/>
        <v>BANK CHARGES</v>
      </c>
      <c r="O430" s="218" t="str">
        <f t="shared" si="145"/>
        <v>DRCBUK</v>
      </c>
      <c r="P430" s="218" t="str">
        <f t="shared" si="138"/>
        <v>AP21QR</v>
      </c>
      <c r="Q430" s="218" t="str">
        <f>""</f>
        <v/>
      </c>
      <c r="R430" s="218" t="str">
        <f>""</f>
        <v/>
      </c>
      <c r="S430" s="218" t="str">
        <f t="shared" si="139"/>
        <v>075</v>
      </c>
      <c r="T430" s="218" t="str">
        <f t="shared" si="132"/>
        <v>D</v>
      </c>
      <c r="U430" s="218" t="str">
        <f t="shared" si="140"/>
        <v>AFR000</v>
      </c>
      <c r="V430" s="218" t="str">
        <f t="shared" si="141"/>
        <v>###</v>
      </c>
      <c r="W430" s="218">
        <v>25.52</v>
      </c>
      <c r="X430" s="218" t="str">
        <f t="shared" si="142"/>
        <v>USD</v>
      </c>
      <c r="Y430" s="218">
        <v>20.25</v>
      </c>
      <c r="Z430" s="218">
        <v>25.52</v>
      </c>
      <c r="AA430" s="218">
        <v>23.18</v>
      </c>
    </row>
    <row r="431" spans="1:27">
      <c r="A431" s="218" t="s">
        <v>2592</v>
      </c>
      <c r="F431" s="219" t="str">
        <f>"""IntAlert Live"",""ALERT UK"",""17"",""1"",""555418"""</f>
        <v>"IntAlert Live","ALERT UK","17","1","555418"</v>
      </c>
      <c r="G431" s="223">
        <v>43982</v>
      </c>
      <c r="H431" s="223"/>
      <c r="I431" s="218" t="str">
        <f t="shared" si="148"/>
        <v>DRCBUK/BANK/2020/05/027</v>
      </c>
      <c r="K431" s="218" t="str">
        <f t="shared" si="147"/>
        <v>BCDC</v>
      </c>
      <c r="L431" s="218" t="str">
        <f>"CIONS/OV60182022 USD 10 041 "</f>
        <v xml:space="preserve">CIONS/OV60182022 USD 10 041 </v>
      </c>
      <c r="M431" s="218" t="str">
        <f t="shared" si="136"/>
        <v>9770</v>
      </c>
      <c r="N431" s="218" t="str">
        <f t="shared" si="137"/>
        <v>BANK CHARGES</v>
      </c>
      <c r="O431" s="218" t="str">
        <f t="shared" si="145"/>
        <v>DRCBUK</v>
      </c>
      <c r="P431" s="218" t="str">
        <f t="shared" si="138"/>
        <v>AP21QR</v>
      </c>
      <c r="Q431" s="218" t="str">
        <f>""</f>
        <v/>
      </c>
      <c r="R431" s="218" t="str">
        <f>""</f>
        <v/>
      </c>
      <c r="S431" s="218" t="str">
        <f t="shared" si="139"/>
        <v>075</v>
      </c>
      <c r="T431" s="218" t="str">
        <f t="shared" si="132"/>
        <v>D</v>
      </c>
      <c r="U431" s="218" t="str">
        <f t="shared" si="140"/>
        <v>AFR000</v>
      </c>
      <c r="V431" s="218" t="str">
        <f t="shared" si="141"/>
        <v>###</v>
      </c>
      <c r="W431" s="218">
        <v>100.41</v>
      </c>
      <c r="X431" s="218" t="str">
        <f t="shared" si="142"/>
        <v>USD</v>
      </c>
      <c r="Y431" s="218">
        <v>79.66</v>
      </c>
      <c r="Z431" s="218">
        <v>100.41</v>
      </c>
      <c r="AA431" s="218">
        <v>91.17</v>
      </c>
    </row>
    <row r="432" spans="1:27">
      <c r="A432" s="218" t="s">
        <v>2592</v>
      </c>
      <c r="F432" s="219" t="str">
        <f>"""IntAlert Live"",""ALERT UK"",""17"",""1"",""555420"""</f>
        <v>"IntAlert Live","ALERT UK","17","1","555420"</v>
      </c>
      <c r="G432" s="223">
        <v>43982</v>
      </c>
      <c r="H432" s="223"/>
      <c r="I432" s="218" t="str">
        <f t="shared" si="148"/>
        <v>DRCBUK/BANK/2020/05/027</v>
      </c>
      <c r="K432" s="218" t="str">
        <f t="shared" si="147"/>
        <v>BCDC</v>
      </c>
      <c r="L432" s="218" t="str">
        <f>"Cion TTC chèque 09522388"</f>
        <v>Cion TTC chèque 09522388</v>
      </c>
      <c r="M432" s="218" t="str">
        <f t="shared" si="136"/>
        <v>9770</v>
      </c>
      <c r="N432" s="218" t="str">
        <f t="shared" si="137"/>
        <v>BANK CHARGES</v>
      </c>
      <c r="O432" s="218" t="str">
        <f t="shared" si="145"/>
        <v>DRCBUK</v>
      </c>
      <c r="P432" s="218" t="str">
        <f t="shared" si="138"/>
        <v>AP21QR</v>
      </c>
      <c r="Q432" s="218" t="str">
        <f>""</f>
        <v/>
      </c>
      <c r="R432" s="218" t="str">
        <f>""</f>
        <v/>
      </c>
      <c r="S432" s="218" t="str">
        <f t="shared" si="139"/>
        <v>075</v>
      </c>
      <c r="T432" s="218" t="str">
        <f t="shared" si="132"/>
        <v>D</v>
      </c>
      <c r="U432" s="218" t="str">
        <f t="shared" si="140"/>
        <v>AFR000</v>
      </c>
      <c r="V432" s="218" t="str">
        <f t="shared" si="141"/>
        <v>###</v>
      </c>
      <c r="W432" s="218">
        <v>11.6</v>
      </c>
      <c r="X432" s="218" t="str">
        <f t="shared" si="142"/>
        <v>USD</v>
      </c>
      <c r="Y432" s="218">
        <v>9.1999999999999993</v>
      </c>
      <c r="Z432" s="218">
        <v>11.6</v>
      </c>
      <c r="AA432" s="218">
        <v>10.53</v>
      </c>
    </row>
    <row r="433" spans="1:27">
      <c r="A433" s="218" t="s">
        <v>2592</v>
      </c>
      <c r="F433" s="219" t="str">
        <f>"""IntAlert Live"",""ALERT UK"",""17"",""1"",""555422"""</f>
        <v>"IntAlert Live","ALERT UK","17","1","555422"</v>
      </c>
      <c r="G433" s="223">
        <v>43982</v>
      </c>
      <c r="H433" s="223"/>
      <c r="I433" s="218" t="str">
        <f t="shared" si="148"/>
        <v>DRCBUK/BANK/2020/05/027</v>
      </c>
      <c r="K433" s="218" t="str">
        <f t="shared" si="147"/>
        <v>BCDC</v>
      </c>
      <c r="L433" s="218" t="str">
        <f>"Cion TTC chèque 09522391 55%"</f>
        <v>Cion TTC chèque 09522391 55%</v>
      </c>
      <c r="M433" s="218" t="str">
        <f t="shared" si="136"/>
        <v>9770</v>
      </c>
      <c r="N433" s="218" t="str">
        <f t="shared" si="137"/>
        <v>BANK CHARGES</v>
      </c>
      <c r="O433" s="218" t="str">
        <f t="shared" si="145"/>
        <v>DRCBUK</v>
      </c>
      <c r="P433" s="218" t="str">
        <f t="shared" si="138"/>
        <v>AP21QR</v>
      </c>
      <c r="Q433" s="218" t="str">
        <f>""</f>
        <v/>
      </c>
      <c r="R433" s="218" t="str">
        <f>""</f>
        <v/>
      </c>
      <c r="S433" s="218" t="str">
        <f t="shared" si="139"/>
        <v>075</v>
      </c>
      <c r="T433" s="218" t="str">
        <f t="shared" si="132"/>
        <v>D</v>
      </c>
      <c r="U433" s="218" t="str">
        <f t="shared" si="140"/>
        <v>AFR000</v>
      </c>
      <c r="V433" s="218" t="str">
        <f t="shared" si="141"/>
        <v>###</v>
      </c>
      <c r="W433" s="218">
        <v>17.579999999999998</v>
      </c>
      <c r="X433" s="218" t="str">
        <f t="shared" si="142"/>
        <v>USD</v>
      </c>
      <c r="Y433" s="218">
        <v>13.95</v>
      </c>
      <c r="Z433" s="218">
        <v>17.579999999999998</v>
      </c>
      <c r="AA433" s="218">
        <v>15.97</v>
      </c>
    </row>
    <row r="434" spans="1:27">
      <c r="A434" s="218" t="s">
        <v>2592</v>
      </c>
      <c r="F434" s="219" t="str">
        <f>"""IntAlert Live"",""ALERT UK"",""17"",""1"",""555426"""</f>
        <v>"IntAlert Live","ALERT UK","17","1","555426"</v>
      </c>
      <c r="G434" s="223">
        <v>43982</v>
      </c>
      <c r="H434" s="223"/>
      <c r="I434" s="218" t="str">
        <f t="shared" si="148"/>
        <v>DRCBUK/BANK/2020/05/027</v>
      </c>
      <c r="K434" s="218" t="str">
        <f t="shared" si="147"/>
        <v>BCDC</v>
      </c>
      <c r="L434" s="218" t="str">
        <f>"Cion TTC chèque 09522390 55%"</f>
        <v>Cion TTC chèque 09522390 55%</v>
      </c>
      <c r="M434" s="218" t="str">
        <f t="shared" si="136"/>
        <v>9770</v>
      </c>
      <c r="N434" s="218" t="str">
        <f t="shared" si="137"/>
        <v>BANK CHARGES</v>
      </c>
      <c r="O434" s="218" t="str">
        <f t="shared" si="145"/>
        <v>DRCBUK</v>
      </c>
      <c r="P434" s="218" t="str">
        <f t="shared" si="138"/>
        <v>AP21QR</v>
      </c>
      <c r="Q434" s="218" t="str">
        <f>""</f>
        <v/>
      </c>
      <c r="R434" s="218" t="str">
        <f>""</f>
        <v/>
      </c>
      <c r="S434" s="218" t="str">
        <f t="shared" si="139"/>
        <v>075</v>
      </c>
      <c r="T434" s="218" t="str">
        <f t="shared" si="132"/>
        <v>D</v>
      </c>
      <c r="U434" s="218" t="str">
        <f t="shared" si="140"/>
        <v>AFR000</v>
      </c>
      <c r="V434" s="218" t="str">
        <f t="shared" si="141"/>
        <v>###</v>
      </c>
      <c r="W434" s="218">
        <v>4.79</v>
      </c>
      <c r="X434" s="218" t="str">
        <f t="shared" si="142"/>
        <v>USD</v>
      </c>
      <c r="Y434" s="218">
        <v>3.8</v>
      </c>
      <c r="Z434" s="218">
        <v>4.79</v>
      </c>
      <c r="AA434" s="218">
        <v>4.3499999999999996</v>
      </c>
    </row>
    <row r="435" spans="1:27">
      <c r="A435" s="218" t="s">
        <v>2592</v>
      </c>
      <c r="F435" s="219" t="str">
        <f>"""IntAlert Live"",""ALERT UK"",""17"",""1"",""555432"""</f>
        <v>"IntAlert Live","ALERT UK","17","1","555432"</v>
      </c>
      <c r="G435" s="223">
        <v>43982</v>
      </c>
      <c r="H435" s="223"/>
      <c r="I435" s="218" t="str">
        <f t="shared" si="148"/>
        <v>DRCBUK/BANK/2020/05/027</v>
      </c>
      <c r="K435" s="218" t="str">
        <f t="shared" si="147"/>
        <v>BCDC</v>
      </c>
      <c r="L435" s="218" t="str">
        <f>"CION DE TRANSFERT OV60182032 USD 1 025,86 55%"</f>
        <v>CION DE TRANSFERT OV60182032 USD 1 025,86 55%</v>
      </c>
      <c r="M435" s="218" t="str">
        <f t="shared" si="136"/>
        <v>9770</v>
      </c>
      <c r="N435" s="218" t="str">
        <f t="shared" si="137"/>
        <v>BANK CHARGES</v>
      </c>
      <c r="O435" s="218" t="str">
        <f t="shared" si="145"/>
        <v>DRCBUK</v>
      </c>
      <c r="P435" s="218" t="str">
        <f t="shared" si="138"/>
        <v>AP21QR</v>
      </c>
      <c r="Q435" s="218" t="str">
        <f>""</f>
        <v/>
      </c>
      <c r="R435" s="218" t="str">
        <f>""</f>
        <v/>
      </c>
      <c r="S435" s="218" t="str">
        <f t="shared" si="139"/>
        <v>075</v>
      </c>
      <c r="T435" s="218" t="str">
        <f t="shared" si="132"/>
        <v>D</v>
      </c>
      <c r="U435" s="218" t="str">
        <f t="shared" si="140"/>
        <v>AFR000</v>
      </c>
      <c r="V435" s="218" t="str">
        <f t="shared" si="141"/>
        <v>###</v>
      </c>
      <c r="W435" s="218">
        <v>25.52</v>
      </c>
      <c r="X435" s="218" t="str">
        <f t="shared" si="142"/>
        <v>USD</v>
      </c>
      <c r="Y435" s="218">
        <v>20.25</v>
      </c>
      <c r="Z435" s="218">
        <v>25.52</v>
      </c>
      <c r="AA435" s="218">
        <v>23.18</v>
      </c>
    </row>
    <row r="436" spans="1:27">
      <c r="A436" s="218" t="s">
        <v>2592</v>
      </c>
      <c r="F436" s="219" t="str">
        <f>"""IntAlert Live"",""ALERT UK"",""17"",""1"",""555437"""</f>
        <v>"IntAlert Live","ALERT UK","17","1","555437"</v>
      </c>
      <c r="G436" s="223">
        <v>43982</v>
      </c>
      <c r="H436" s="223"/>
      <c r="I436" s="218" t="str">
        <f t="shared" si="148"/>
        <v>DRCBUK/BANK/2020/05/027</v>
      </c>
      <c r="K436" s="218" t="str">
        <f t="shared" si="147"/>
        <v>BCDC</v>
      </c>
      <c r="L436" s="218" t="str">
        <f>"CION DE TRANSFERT OV60182037 USD732.18"</f>
        <v>CION DE TRANSFERT OV60182037 USD732.18</v>
      </c>
      <c r="M436" s="218" t="str">
        <f t="shared" si="136"/>
        <v>9770</v>
      </c>
      <c r="N436" s="218" t="str">
        <f t="shared" si="137"/>
        <v>BANK CHARGES</v>
      </c>
      <c r="O436" s="218" t="str">
        <f t="shared" si="145"/>
        <v>DRCBUK</v>
      </c>
      <c r="P436" s="218" t="str">
        <f t="shared" si="138"/>
        <v>AP21QR</v>
      </c>
      <c r="Q436" s="218" t="str">
        <f>""</f>
        <v/>
      </c>
      <c r="R436" s="218" t="str">
        <f>""</f>
        <v/>
      </c>
      <c r="S436" s="218" t="str">
        <f t="shared" si="139"/>
        <v>075</v>
      </c>
      <c r="T436" s="218" t="str">
        <f t="shared" si="132"/>
        <v>D</v>
      </c>
      <c r="U436" s="218" t="str">
        <f t="shared" si="140"/>
        <v>AFR000</v>
      </c>
      <c r="V436" s="218" t="str">
        <f t="shared" si="141"/>
        <v>###</v>
      </c>
      <c r="W436" s="218">
        <v>25.52</v>
      </c>
      <c r="X436" s="218" t="str">
        <f t="shared" si="142"/>
        <v>USD</v>
      </c>
      <c r="Y436" s="218">
        <v>20.25</v>
      </c>
      <c r="Z436" s="218">
        <v>25.52</v>
      </c>
      <c r="AA436" s="218">
        <v>23.18</v>
      </c>
    </row>
    <row r="437" spans="1:27">
      <c r="A437" s="218" t="s">
        <v>2592</v>
      </c>
      <c r="F437" s="219" t="str">
        <f>"""IntAlert Live"",""ALERT UK"",""17"",""1"",""555649"""</f>
        <v>"IntAlert Live","ALERT UK","17","1","555649"</v>
      </c>
      <c r="G437" s="223">
        <v>43857</v>
      </c>
      <c r="H437" s="223"/>
      <c r="I437" s="218" t="str">
        <f>"DRCPARTNER/PAPU/AP21QR/2020/01"</f>
        <v>DRCPARTNER/PAPU/AP21QR/2020/01</v>
      </c>
      <c r="K437" s="218" t="str">
        <f>"TMB"</f>
        <v>TMB</v>
      </c>
      <c r="L437" s="218" t="str">
        <f>"Frais carnet OP du 27/01/2020"</f>
        <v>Frais carnet OP du 27/01/2020</v>
      </c>
      <c r="M437" s="218" t="str">
        <f t="shared" ref="M437:M442" si="150">"6410"</f>
        <v>6410</v>
      </c>
      <c r="N437" s="218" t="str">
        <f t="shared" ref="N437:N442" si="151">"PARTNER - EMPLOYMENT COST"</f>
        <v>PARTNER - EMPLOYMENT COST</v>
      </c>
      <c r="O437" s="218" t="str">
        <f t="shared" si="145"/>
        <v>DRCBUK</v>
      </c>
      <c r="P437" s="218" t="str">
        <f t="shared" si="138"/>
        <v>AP21QR</v>
      </c>
      <c r="Q437" s="218" t="str">
        <f>""</f>
        <v/>
      </c>
      <c r="R437" s="218" t="str">
        <f>"PAPU"</f>
        <v>PAPU</v>
      </c>
      <c r="S437" s="218" t="str">
        <f t="shared" ref="S437:S468" si="152">"076"</f>
        <v>076</v>
      </c>
      <c r="T437" s="218" t="str">
        <f t="shared" si="132"/>
        <v>D</v>
      </c>
      <c r="U437" s="218" t="str">
        <f t="shared" si="140"/>
        <v>AFR000</v>
      </c>
      <c r="V437" s="218" t="str">
        <f t="shared" si="141"/>
        <v>###</v>
      </c>
      <c r="W437" s="218">
        <v>15</v>
      </c>
      <c r="X437" s="218" t="str">
        <f t="shared" si="142"/>
        <v>USD</v>
      </c>
      <c r="Y437" s="218">
        <v>11.9</v>
      </c>
      <c r="Z437" s="218">
        <v>15</v>
      </c>
      <c r="AA437" s="218">
        <v>13.62</v>
      </c>
    </row>
    <row r="438" spans="1:27">
      <c r="A438" s="218" t="s">
        <v>2592</v>
      </c>
      <c r="F438" s="219" t="str">
        <f>"""IntAlert Live"",""ALERT UK"",""17"",""1"",""555650"""</f>
        <v>"IntAlert Live","ALERT UK","17","1","555650"</v>
      </c>
      <c r="G438" s="223">
        <v>43857</v>
      </c>
      <c r="H438" s="223"/>
      <c r="I438" s="218" t="str">
        <f>"DRCPARTNER/PAPU/AP21QR/2020/01"</f>
        <v>DRCPARTNER/PAPU/AP21QR/2020/01</v>
      </c>
      <c r="K438" s="218" t="str">
        <f>"TMB"</f>
        <v>TMB</v>
      </c>
      <c r="L438" s="218" t="str">
        <f>"TVA/Frais carnet OP du 27/01/2020"</f>
        <v>TVA/Frais carnet OP du 27/01/2020</v>
      </c>
      <c r="M438" s="218" t="str">
        <f t="shared" si="150"/>
        <v>6410</v>
      </c>
      <c r="N438" s="218" t="str">
        <f t="shared" si="151"/>
        <v>PARTNER - EMPLOYMENT COST</v>
      </c>
      <c r="O438" s="218" t="str">
        <f t="shared" si="145"/>
        <v>DRCBUK</v>
      </c>
      <c r="P438" s="218" t="str">
        <f t="shared" si="138"/>
        <v>AP21QR</v>
      </c>
      <c r="Q438" s="218" t="str">
        <f>""</f>
        <v/>
      </c>
      <c r="R438" s="218" t="str">
        <f>"PAPU"</f>
        <v>PAPU</v>
      </c>
      <c r="S438" s="218" t="str">
        <f t="shared" si="152"/>
        <v>076</v>
      </c>
      <c r="T438" s="218" t="str">
        <f t="shared" si="132"/>
        <v>D</v>
      </c>
      <c r="U438" s="218" t="str">
        <f t="shared" si="140"/>
        <v>AFR000</v>
      </c>
      <c r="V438" s="218" t="str">
        <f t="shared" si="141"/>
        <v>###</v>
      </c>
      <c r="W438" s="218">
        <v>2.4</v>
      </c>
      <c r="X438" s="218" t="str">
        <f t="shared" si="142"/>
        <v>USD</v>
      </c>
      <c r="Y438" s="218">
        <v>1.9</v>
      </c>
      <c r="Z438" s="218">
        <v>2.4</v>
      </c>
      <c r="AA438" s="218">
        <v>2.17</v>
      </c>
    </row>
    <row r="439" spans="1:27">
      <c r="A439" s="218" t="s">
        <v>2592</v>
      </c>
      <c r="F439" s="219" t="str">
        <f>"""IntAlert Live"",""ALERT UK"",""17"",""1"",""555651"""</f>
        <v>"IntAlert Live","ALERT UK","17","1","555651"</v>
      </c>
      <c r="G439" s="223">
        <v>43861</v>
      </c>
      <c r="H439" s="223"/>
      <c r="I439" s="218" t="str">
        <f>"DRCPARTNER/PAPU/AP21QR/2020/01"</f>
        <v>DRCPARTNER/PAPU/AP21QR/2020/01</v>
      </c>
      <c r="K439" s="218" t="str">
        <f>"TMB"</f>
        <v>TMB</v>
      </c>
      <c r="L439" s="218" t="str">
        <f>"Frais de tenue de compte"</f>
        <v>Frais de tenue de compte</v>
      </c>
      <c r="M439" s="218" t="str">
        <f t="shared" si="150"/>
        <v>6410</v>
      </c>
      <c r="N439" s="218" t="str">
        <f t="shared" si="151"/>
        <v>PARTNER - EMPLOYMENT COST</v>
      </c>
      <c r="O439" s="218" t="str">
        <f t="shared" si="145"/>
        <v>DRCBUK</v>
      </c>
      <c r="P439" s="218" t="str">
        <f t="shared" si="138"/>
        <v>AP21QR</v>
      </c>
      <c r="Q439" s="218" t="str">
        <f>""</f>
        <v/>
      </c>
      <c r="R439" s="218" t="str">
        <f>"PAPU"</f>
        <v>PAPU</v>
      </c>
      <c r="S439" s="218" t="str">
        <f t="shared" si="152"/>
        <v>076</v>
      </c>
      <c r="T439" s="218" t="str">
        <f t="shared" si="132"/>
        <v>D</v>
      </c>
      <c r="U439" s="218" t="str">
        <f t="shared" si="140"/>
        <v>AFR000</v>
      </c>
      <c r="V439" s="218" t="str">
        <f t="shared" si="141"/>
        <v>###</v>
      </c>
      <c r="W439" s="218">
        <v>5</v>
      </c>
      <c r="X439" s="218" t="str">
        <f t="shared" si="142"/>
        <v>USD</v>
      </c>
      <c r="Y439" s="218">
        <v>3.97</v>
      </c>
      <c r="Z439" s="218">
        <v>5</v>
      </c>
      <c r="AA439" s="218">
        <v>4.54</v>
      </c>
    </row>
    <row r="440" spans="1:27">
      <c r="A440" s="218" t="s">
        <v>2592</v>
      </c>
      <c r="F440" s="219" t="str">
        <f>"""IntAlert Live"",""ALERT UK"",""17"",""1"",""555652"""</f>
        <v>"IntAlert Live","ALERT UK","17","1","555652"</v>
      </c>
      <c r="G440" s="223">
        <v>43861</v>
      </c>
      <c r="H440" s="223"/>
      <c r="I440" s="218" t="str">
        <f>"DRCPARTNER/PAPU/AP21QR/2020/01"</f>
        <v>DRCPARTNER/PAPU/AP21QR/2020/01</v>
      </c>
      <c r="K440" s="218" t="str">
        <f>"TMB"</f>
        <v>TMB</v>
      </c>
      <c r="L440" s="218" t="str">
        <f>"TVA collectée"</f>
        <v>TVA collectée</v>
      </c>
      <c r="M440" s="218" t="str">
        <f t="shared" si="150"/>
        <v>6410</v>
      </c>
      <c r="N440" s="218" t="str">
        <f t="shared" si="151"/>
        <v>PARTNER - EMPLOYMENT COST</v>
      </c>
      <c r="O440" s="218" t="str">
        <f t="shared" si="145"/>
        <v>DRCBUK</v>
      </c>
      <c r="P440" s="218" t="str">
        <f t="shared" si="138"/>
        <v>AP21QR</v>
      </c>
      <c r="Q440" s="218" t="str">
        <f>""</f>
        <v/>
      </c>
      <c r="R440" s="218" t="str">
        <f>"PAPU"</f>
        <v>PAPU</v>
      </c>
      <c r="S440" s="218" t="str">
        <f t="shared" si="152"/>
        <v>076</v>
      </c>
      <c r="T440" s="218" t="str">
        <f t="shared" ref="T440:T503" si="153">"D"</f>
        <v>D</v>
      </c>
      <c r="U440" s="218" t="str">
        <f t="shared" si="140"/>
        <v>AFR000</v>
      </c>
      <c r="V440" s="218" t="str">
        <f t="shared" si="141"/>
        <v>###</v>
      </c>
      <c r="W440" s="218">
        <v>0.8</v>
      </c>
      <c r="X440" s="218" t="str">
        <f t="shared" si="142"/>
        <v>USD</v>
      </c>
      <c r="Y440" s="218">
        <v>0.63</v>
      </c>
      <c r="Z440" s="218">
        <v>0.8</v>
      </c>
      <c r="AA440" s="218">
        <v>0.72</v>
      </c>
    </row>
    <row r="441" spans="1:27">
      <c r="A441" s="218" t="s">
        <v>2592</v>
      </c>
      <c r="F441" s="219" t="str">
        <f>"""IntAlert Live"",""ALERT UK"",""17"",""1"",""556003"""</f>
        <v>"IntAlert Live","ALERT UK","17","1","556003"</v>
      </c>
      <c r="G441" s="223">
        <v>43862</v>
      </c>
      <c r="H441" s="223"/>
      <c r="I441" s="218" t="str">
        <f>"DRCPARTNER/PBVE/AP21QR/2020/01"</f>
        <v>DRCPARTNER/PBVE/AP21QR/2020/01</v>
      </c>
      <c r="K441" s="218" t="str">
        <f>"BITITI"</f>
        <v>BITITI</v>
      </c>
      <c r="L441" s="218" t="str">
        <f>"Paiement loyer Bureau D'uvira pour 5mois"</f>
        <v>Paiement loyer Bureau D'uvira pour 5mois</v>
      </c>
      <c r="M441" s="218" t="str">
        <f t="shared" si="150"/>
        <v>6410</v>
      </c>
      <c r="N441" s="218" t="str">
        <f t="shared" si="151"/>
        <v>PARTNER - EMPLOYMENT COST</v>
      </c>
      <c r="O441" s="218" t="str">
        <f t="shared" si="145"/>
        <v>DRCBUK</v>
      </c>
      <c r="P441" s="218" t="str">
        <f t="shared" si="138"/>
        <v>AP21QR</v>
      </c>
      <c r="Q441" s="218" t="str">
        <f>""</f>
        <v/>
      </c>
      <c r="R441" s="218" t="str">
        <f>"PBVE"</f>
        <v>PBVE</v>
      </c>
      <c r="S441" s="218" t="str">
        <f t="shared" si="152"/>
        <v>076</v>
      </c>
      <c r="T441" s="218" t="str">
        <f t="shared" si="153"/>
        <v>D</v>
      </c>
      <c r="U441" s="218" t="str">
        <f t="shared" si="140"/>
        <v>AFR000</v>
      </c>
      <c r="V441" s="218" t="str">
        <f t="shared" si="141"/>
        <v>###</v>
      </c>
      <c r="W441" s="218">
        <v>750</v>
      </c>
      <c r="X441" s="218" t="str">
        <f t="shared" si="142"/>
        <v>USD</v>
      </c>
      <c r="Y441" s="218">
        <v>595.04</v>
      </c>
      <c r="Z441" s="218">
        <v>750</v>
      </c>
      <c r="AA441" s="218">
        <v>680.99</v>
      </c>
    </row>
    <row r="442" spans="1:27">
      <c r="A442" s="218" t="s">
        <v>2592</v>
      </c>
      <c r="F442" s="219" t="str">
        <f>"""IntAlert Live"",""ALERT UK"",""17"",""1"",""555820"""</f>
        <v>"IntAlert Live","ALERT UK","17","1","555820"</v>
      </c>
      <c r="G442" s="223">
        <v>43869</v>
      </c>
      <c r="H442" s="223"/>
      <c r="I442" s="218" t="str">
        <f>"DRCPARTNER/PSOL/AP21QR/2020/01"</f>
        <v>DRCPARTNER/PSOL/AP21QR/2020/01</v>
      </c>
      <c r="K442" s="218" t="str">
        <f>"FACTURE"</f>
        <v>FACTURE</v>
      </c>
      <c r="L442" s="218" t="str">
        <f>"Achat cartes d'appel pour la communication"</f>
        <v>Achat cartes d'appel pour la communication</v>
      </c>
      <c r="M442" s="218" t="str">
        <f t="shared" si="150"/>
        <v>6410</v>
      </c>
      <c r="N442" s="218" t="str">
        <f t="shared" si="151"/>
        <v>PARTNER - EMPLOYMENT COST</v>
      </c>
      <c r="O442" s="218" t="str">
        <f t="shared" si="145"/>
        <v>DRCBUK</v>
      </c>
      <c r="P442" s="218" t="str">
        <f t="shared" si="138"/>
        <v>AP21QR</v>
      </c>
      <c r="Q442" s="218" t="str">
        <f>""</f>
        <v/>
      </c>
      <c r="R442" s="218" t="str">
        <f>"PSOL"</f>
        <v>PSOL</v>
      </c>
      <c r="S442" s="218" t="str">
        <f t="shared" si="152"/>
        <v>076</v>
      </c>
      <c r="T442" s="218" t="str">
        <f t="shared" si="153"/>
        <v>D</v>
      </c>
      <c r="U442" s="218" t="str">
        <f t="shared" si="140"/>
        <v>AFR000</v>
      </c>
      <c r="V442" s="218" t="str">
        <f t="shared" si="141"/>
        <v>###</v>
      </c>
      <c r="W442" s="218">
        <v>120</v>
      </c>
      <c r="X442" s="218" t="str">
        <f t="shared" si="142"/>
        <v>USD</v>
      </c>
      <c r="Y442" s="218">
        <v>95.21</v>
      </c>
      <c r="Z442" s="218">
        <v>120</v>
      </c>
      <c r="AA442" s="218">
        <v>108.96</v>
      </c>
    </row>
    <row r="443" spans="1:27">
      <c r="A443" s="218" t="s">
        <v>2592</v>
      </c>
      <c r="F443" s="219" t="str">
        <f>"""IntAlert Live"",""ALERT UK"",""17"",""1"",""555821"""</f>
        <v>"IntAlert Live","ALERT UK","17","1","555821"</v>
      </c>
      <c r="G443" s="223">
        <v>43869</v>
      </c>
      <c r="H443" s="223"/>
      <c r="I443" s="218" t="str">
        <f>"DRCPARTNER/PSOL/AP21QR/2020/01"</f>
        <v>DRCPARTNER/PSOL/AP21QR/2020/01</v>
      </c>
      <c r="K443" s="218" t="str">
        <f>"FACTURE"</f>
        <v>FACTURE</v>
      </c>
      <c r="L443" s="218" t="str">
        <f>"Achat Fournitures de bureau"</f>
        <v>Achat Fournitures de bureau</v>
      </c>
      <c r="M443" s="218" t="str">
        <f>"6430"</f>
        <v>6430</v>
      </c>
      <c r="N443" s="218" t="str">
        <f>"PARTNER - OFFICE COST"</f>
        <v>PARTNER - OFFICE COST</v>
      </c>
      <c r="O443" s="218" t="str">
        <f t="shared" si="145"/>
        <v>DRCBUK</v>
      </c>
      <c r="P443" s="218" t="str">
        <f t="shared" si="138"/>
        <v>AP21QR</v>
      </c>
      <c r="Q443" s="218" t="str">
        <f>""</f>
        <v/>
      </c>
      <c r="R443" s="218" t="str">
        <f>"PSOL"</f>
        <v>PSOL</v>
      </c>
      <c r="S443" s="218" t="str">
        <f t="shared" si="152"/>
        <v>076</v>
      </c>
      <c r="T443" s="218" t="str">
        <f t="shared" si="153"/>
        <v>D</v>
      </c>
      <c r="U443" s="218" t="str">
        <f t="shared" si="140"/>
        <v>AFR000</v>
      </c>
      <c r="V443" s="218" t="str">
        <f t="shared" si="141"/>
        <v>###</v>
      </c>
      <c r="W443" s="218">
        <v>63</v>
      </c>
      <c r="X443" s="218" t="str">
        <f t="shared" si="142"/>
        <v>USD</v>
      </c>
      <c r="Y443" s="218">
        <v>49.98</v>
      </c>
      <c r="Z443" s="218">
        <v>63</v>
      </c>
      <c r="AA443" s="218">
        <v>57.2</v>
      </c>
    </row>
    <row r="444" spans="1:27">
      <c r="A444" s="218" t="s">
        <v>2592</v>
      </c>
      <c r="F444" s="219" t="str">
        <f>"""IntAlert Live"",""ALERT UK"",""17"",""1"",""556004"""</f>
        <v>"IntAlert Live","ALERT UK","17","1","556004"</v>
      </c>
      <c r="G444" s="223">
        <v>43871</v>
      </c>
      <c r="H444" s="223"/>
      <c r="I444" s="218" t="str">
        <f>"DRCPARTNER/PBVE/AP21QR/2020/01"</f>
        <v>DRCPARTNER/PBVE/AP21QR/2020/01</v>
      </c>
      <c r="K444" s="218" t="str">
        <f>"ETS CIMS"</f>
        <v>ETS CIMS</v>
      </c>
      <c r="L444" s="218" t="str">
        <f>"Achat matériel de bureau"</f>
        <v>Achat matériel de bureau</v>
      </c>
      <c r="M444" s="218" t="str">
        <f t="shared" ref="M444:M475" si="154">"6410"</f>
        <v>6410</v>
      </c>
      <c r="N444" s="218" t="str">
        <f t="shared" ref="N444:N475" si="155">"PARTNER - EMPLOYMENT COST"</f>
        <v>PARTNER - EMPLOYMENT COST</v>
      </c>
      <c r="O444" s="218" t="str">
        <f t="shared" si="145"/>
        <v>DRCBUK</v>
      </c>
      <c r="P444" s="218" t="str">
        <f t="shared" si="138"/>
        <v>AP21QR</v>
      </c>
      <c r="Q444" s="218" t="str">
        <f>""</f>
        <v/>
      </c>
      <c r="R444" s="218" t="str">
        <f>"PBVE"</f>
        <v>PBVE</v>
      </c>
      <c r="S444" s="218" t="str">
        <f t="shared" si="152"/>
        <v>076</v>
      </c>
      <c r="T444" s="218" t="str">
        <f t="shared" si="153"/>
        <v>D</v>
      </c>
      <c r="U444" s="218" t="str">
        <f t="shared" si="140"/>
        <v>AFR000</v>
      </c>
      <c r="V444" s="218" t="str">
        <f t="shared" si="141"/>
        <v>###</v>
      </c>
      <c r="W444" s="218">
        <v>120</v>
      </c>
      <c r="X444" s="218" t="str">
        <f t="shared" si="142"/>
        <v>USD</v>
      </c>
      <c r="Y444" s="218">
        <v>95.21</v>
      </c>
      <c r="Z444" s="218">
        <v>120</v>
      </c>
      <c r="AA444" s="218">
        <v>108.96</v>
      </c>
    </row>
    <row r="445" spans="1:27">
      <c r="A445" s="218" t="s">
        <v>2592</v>
      </c>
      <c r="F445" s="219" t="str">
        <f>"""IntAlert Live"",""ALERT UK"",""17"",""1"",""555666"""</f>
        <v>"IntAlert Live","ALERT UK","17","1","555666"</v>
      </c>
      <c r="G445" s="223">
        <v>43879</v>
      </c>
      <c r="H445" s="223"/>
      <c r="I445" s="218" t="str">
        <f t="shared" ref="I445:I456" si="156">"DRCPARTNER/PAPU/AP21QR/2020/01"</f>
        <v>DRCPARTNER/PAPU/AP21QR/2020/01</v>
      </c>
      <c r="K445" s="218" t="str">
        <f>"THARCISSE"</f>
        <v>THARCISSE</v>
      </c>
      <c r="L445" s="218" t="str">
        <f>"Pmnt loyer bureau Minembwe Janvier-Avril 2020"</f>
        <v>Pmnt loyer bureau Minembwe Janvier-Avril 2020</v>
      </c>
      <c r="M445" s="218" t="str">
        <f t="shared" si="154"/>
        <v>6410</v>
      </c>
      <c r="N445" s="218" t="str">
        <f t="shared" si="155"/>
        <v>PARTNER - EMPLOYMENT COST</v>
      </c>
      <c r="O445" s="218" t="str">
        <f t="shared" si="145"/>
        <v>DRCBUK</v>
      </c>
      <c r="P445" s="218" t="str">
        <f t="shared" si="138"/>
        <v>AP21QR</v>
      </c>
      <c r="Q445" s="218" t="str">
        <f>""</f>
        <v/>
      </c>
      <c r="R445" s="218" t="str">
        <f t="shared" ref="R445:R456" si="157">"PAPU"</f>
        <v>PAPU</v>
      </c>
      <c r="S445" s="218" t="str">
        <f t="shared" si="152"/>
        <v>076</v>
      </c>
      <c r="T445" s="218" t="str">
        <f t="shared" si="153"/>
        <v>D</v>
      </c>
      <c r="U445" s="218" t="str">
        <f t="shared" si="140"/>
        <v>AFR000</v>
      </c>
      <c r="V445" s="218" t="str">
        <f t="shared" si="141"/>
        <v>###</v>
      </c>
      <c r="W445" s="218">
        <v>400</v>
      </c>
      <c r="X445" s="218" t="str">
        <f t="shared" si="142"/>
        <v>USD</v>
      </c>
      <c r="Y445" s="218">
        <v>317.35000000000002</v>
      </c>
      <c r="Z445" s="218">
        <v>400</v>
      </c>
      <c r="AA445" s="218">
        <v>363.19</v>
      </c>
    </row>
    <row r="446" spans="1:27">
      <c r="A446" s="218" t="s">
        <v>2592</v>
      </c>
      <c r="F446" s="219" t="str">
        <f>"""IntAlert Live"",""ALERT UK"",""17"",""1"",""555667"""</f>
        <v>"IntAlert Live","ALERT UK","17","1","555667"</v>
      </c>
      <c r="G446" s="223">
        <v>43880</v>
      </c>
      <c r="H446" s="223"/>
      <c r="I446" s="218" t="str">
        <f t="shared" si="156"/>
        <v>DRCPARTNER/PAPU/AP21QR/2020/01</v>
      </c>
      <c r="K446" s="218" t="str">
        <f>"STATION MANGWA"</f>
        <v>STATION MANGWA</v>
      </c>
      <c r="L446" s="218" t="str">
        <f>"Achat carburant Moto"</f>
        <v>Achat carburant Moto</v>
      </c>
      <c r="M446" s="218" t="str">
        <f t="shared" si="154"/>
        <v>6410</v>
      </c>
      <c r="N446" s="218" t="str">
        <f t="shared" si="155"/>
        <v>PARTNER - EMPLOYMENT COST</v>
      </c>
      <c r="O446" s="218" t="str">
        <f t="shared" si="145"/>
        <v>DRCBUK</v>
      </c>
      <c r="P446" s="218" t="str">
        <f t="shared" si="138"/>
        <v>AP21QR</v>
      </c>
      <c r="Q446" s="218" t="str">
        <f>""</f>
        <v/>
      </c>
      <c r="R446" s="218" t="str">
        <f t="shared" si="157"/>
        <v>PAPU</v>
      </c>
      <c r="S446" s="218" t="str">
        <f t="shared" si="152"/>
        <v>076</v>
      </c>
      <c r="T446" s="218" t="str">
        <f t="shared" si="153"/>
        <v>D</v>
      </c>
      <c r="U446" s="218" t="str">
        <f t="shared" si="140"/>
        <v>AFR000</v>
      </c>
      <c r="V446" s="218" t="str">
        <f t="shared" si="141"/>
        <v>###</v>
      </c>
      <c r="W446" s="218">
        <v>260</v>
      </c>
      <c r="X446" s="218" t="str">
        <f t="shared" si="142"/>
        <v>USD</v>
      </c>
      <c r="Y446" s="218">
        <v>206.28</v>
      </c>
      <c r="Z446" s="218">
        <v>260</v>
      </c>
      <c r="AA446" s="218">
        <v>236.08</v>
      </c>
    </row>
    <row r="447" spans="1:27">
      <c r="A447" s="218" t="s">
        <v>2592</v>
      </c>
      <c r="F447" s="219" t="str">
        <f>"""IntAlert Live"",""ALERT UK"",""17"",""1"",""555668"""</f>
        <v>"IntAlert Live","ALERT UK","17","1","555668"</v>
      </c>
      <c r="G447" s="223">
        <v>43880</v>
      </c>
      <c r="H447" s="223"/>
      <c r="I447" s="218" t="str">
        <f t="shared" si="156"/>
        <v>DRCPARTNER/PAPU/AP21QR/2020/01</v>
      </c>
      <c r="K447" s="218" t="str">
        <f>"STATION MANGWA"</f>
        <v>STATION MANGWA</v>
      </c>
      <c r="L447" s="218" t="str">
        <f>"Achat carburant groupe electrogène"</f>
        <v>Achat carburant groupe electrogène</v>
      </c>
      <c r="M447" s="218" t="str">
        <f t="shared" si="154"/>
        <v>6410</v>
      </c>
      <c r="N447" s="218" t="str">
        <f t="shared" si="155"/>
        <v>PARTNER - EMPLOYMENT COST</v>
      </c>
      <c r="O447" s="218" t="str">
        <f t="shared" si="145"/>
        <v>DRCBUK</v>
      </c>
      <c r="P447" s="218" t="str">
        <f t="shared" si="138"/>
        <v>AP21QR</v>
      </c>
      <c r="Q447" s="218" t="str">
        <f>""</f>
        <v/>
      </c>
      <c r="R447" s="218" t="str">
        <f t="shared" si="157"/>
        <v>PAPU</v>
      </c>
      <c r="S447" s="218" t="str">
        <f t="shared" si="152"/>
        <v>076</v>
      </c>
      <c r="T447" s="218" t="str">
        <f t="shared" si="153"/>
        <v>D</v>
      </c>
      <c r="U447" s="218" t="str">
        <f t="shared" si="140"/>
        <v>AFR000</v>
      </c>
      <c r="V447" s="218" t="str">
        <f t="shared" si="141"/>
        <v>###</v>
      </c>
      <c r="W447" s="218">
        <v>180</v>
      </c>
      <c r="X447" s="218" t="str">
        <f t="shared" si="142"/>
        <v>USD</v>
      </c>
      <c r="Y447" s="218">
        <v>142.81</v>
      </c>
      <c r="Z447" s="218">
        <v>180</v>
      </c>
      <c r="AA447" s="218">
        <v>163.44</v>
      </c>
    </row>
    <row r="448" spans="1:27">
      <c r="A448" s="218" t="s">
        <v>2592</v>
      </c>
      <c r="F448" s="219" t="str">
        <f>"""IntAlert Live"",""ALERT UK"",""17"",""1"",""555670"""</f>
        <v>"IntAlert Live","ALERT UK","17","1","555670"</v>
      </c>
      <c r="G448" s="223">
        <v>43881</v>
      </c>
      <c r="H448" s="223"/>
      <c r="I448" s="218" t="str">
        <f t="shared" si="156"/>
        <v>DRCPARTNER/PAPU/AP21QR/2020/01</v>
      </c>
      <c r="K448" s="218" t="str">
        <f>"MAISON LIGABLO"</f>
        <v>MAISON LIGABLO</v>
      </c>
      <c r="L448" s="218" t="str">
        <f>"Achat unités de communication"</f>
        <v>Achat unités de communication</v>
      </c>
      <c r="M448" s="218" t="str">
        <f t="shared" si="154"/>
        <v>6410</v>
      </c>
      <c r="N448" s="218" t="str">
        <f t="shared" si="155"/>
        <v>PARTNER - EMPLOYMENT COST</v>
      </c>
      <c r="O448" s="218" t="str">
        <f t="shared" si="145"/>
        <v>DRCBUK</v>
      </c>
      <c r="P448" s="218" t="str">
        <f t="shared" si="138"/>
        <v>AP21QR</v>
      </c>
      <c r="Q448" s="218" t="str">
        <f>""</f>
        <v/>
      </c>
      <c r="R448" s="218" t="str">
        <f t="shared" si="157"/>
        <v>PAPU</v>
      </c>
      <c r="S448" s="218" t="str">
        <f t="shared" si="152"/>
        <v>076</v>
      </c>
      <c r="T448" s="218" t="str">
        <f t="shared" si="153"/>
        <v>D</v>
      </c>
      <c r="U448" s="218" t="str">
        <f t="shared" si="140"/>
        <v>AFR000</v>
      </c>
      <c r="V448" s="218" t="str">
        <f t="shared" si="141"/>
        <v>###</v>
      </c>
      <c r="W448" s="218">
        <v>30</v>
      </c>
      <c r="X448" s="218" t="str">
        <f t="shared" si="142"/>
        <v>USD</v>
      </c>
      <c r="Y448" s="218">
        <v>23.8</v>
      </c>
      <c r="Z448" s="218">
        <v>30</v>
      </c>
      <c r="AA448" s="218">
        <v>27.24</v>
      </c>
    </row>
    <row r="449" spans="1:27">
      <c r="A449" s="218" t="s">
        <v>2592</v>
      </c>
      <c r="F449" s="219" t="str">
        <f>"""IntAlert Live"",""ALERT UK"",""17"",""1"",""555671"""</f>
        <v>"IntAlert Live","ALERT UK","17","1","555671"</v>
      </c>
      <c r="G449" s="223">
        <v>43881</v>
      </c>
      <c r="H449" s="223"/>
      <c r="I449" s="218" t="str">
        <f t="shared" si="156"/>
        <v>DRCPARTNER/PAPU/AP21QR/2020/01</v>
      </c>
      <c r="K449" s="218" t="str">
        <f>"MAISON LIGABLO"</f>
        <v>MAISON LIGABLO</v>
      </c>
      <c r="L449" s="218" t="str">
        <f>"Achat Mégas internet"</f>
        <v>Achat Mégas internet</v>
      </c>
      <c r="M449" s="218" t="str">
        <f t="shared" si="154"/>
        <v>6410</v>
      </c>
      <c r="N449" s="218" t="str">
        <f t="shared" si="155"/>
        <v>PARTNER - EMPLOYMENT COST</v>
      </c>
      <c r="O449" s="218" t="str">
        <f t="shared" si="145"/>
        <v>DRCBUK</v>
      </c>
      <c r="P449" s="218" t="str">
        <f t="shared" si="138"/>
        <v>AP21QR</v>
      </c>
      <c r="Q449" s="218" t="str">
        <f>""</f>
        <v/>
      </c>
      <c r="R449" s="218" t="str">
        <f t="shared" si="157"/>
        <v>PAPU</v>
      </c>
      <c r="S449" s="218" t="str">
        <f t="shared" si="152"/>
        <v>076</v>
      </c>
      <c r="T449" s="218" t="str">
        <f t="shared" si="153"/>
        <v>D</v>
      </c>
      <c r="U449" s="218" t="str">
        <f t="shared" si="140"/>
        <v>AFR000</v>
      </c>
      <c r="V449" s="218" t="str">
        <f t="shared" si="141"/>
        <v>###</v>
      </c>
      <c r="W449" s="218">
        <v>60</v>
      </c>
      <c r="X449" s="218" t="str">
        <f t="shared" si="142"/>
        <v>USD</v>
      </c>
      <c r="Y449" s="218">
        <v>47.6</v>
      </c>
      <c r="Z449" s="218">
        <v>60</v>
      </c>
      <c r="AA449" s="218">
        <v>54.48</v>
      </c>
    </row>
    <row r="450" spans="1:27">
      <c r="A450" s="218" t="s">
        <v>2592</v>
      </c>
      <c r="F450" s="219" t="str">
        <f>"""IntAlert Live"",""ALERT UK"",""17"",""1"",""555672"""</f>
        <v>"IntAlert Live","ALERT UK","17","1","555672"</v>
      </c>
      <c r="G450" s="223">
        <v>43881</v>
      </c>
      <c r="H450" s="223"/>
      <c r="I450" s="218" t="str">
        <f t="shared" si="156"/>
        <v>DRCPARTNER/PAPU/AP21QR/2020/01</v>
      </c>
      <c r="K450" s="218" t="str">
        <f>"PAPETERIE BYOSE"</f>
        <v>PAPETERIE BYOSE</v>
      </c>
      <c r="L450" s="218" t="str">
        <f>"Achat fournitures de bureau"</f>
        <v>Achat fournitures de bureau</v>
      </c>
      <c r="M450" s="218" t="str">
        <f t="shared" si="154"/>
        <v>6410</v>
      </c>
      <c r="N450" s="218" t="str">
        <f t="shared" si="155"/>
        <v>PARTNER - EMPLOYMENT COST</v>
      </c>
      <c r="O450" s="218" t="str">
        <f t="shared" si="145"/>
        <v>DRCBUK</v>
      </c>
      <c r="P450" s="218" t="str">
        <f t="shared" si="138"/>
        <v>AP21QR</v>
      </c>
      <c r="Q450" s="218" t="str">
        <f>""</f>
        <v/>
      </c>
      <c r="R450" s="218" t="str">
        <f t="shared" si="157"/>
        <v>PAPU</v>
      </c>
      <c r="S450" s="218" t="str">
        <f t="shared" si="152"/>
        <v>076</v>
      </c>
      <c r="T450" s="218" t="str">
        <f t="shared" si="153"/>
        <v>D</v>
      </c>
      <c r="U450" s="218" t="str">
        <f t="shared" si="140"/>
        <v>AFR000</v>
      </c>
      <c r="V450" s="218" t="str">
        <f t="shared" si="141"/>
        <v>###</v>
      </c>
      <c r="W450" s="218">
        <v>60</v>
      </c>
      <c r="X450" s="218" t="str">
        <f t="shared" si="142"/>
        <v>USD</v>
      </c>
      <c r="Y450" s="218">
        <v>47.6</v>
      </c>
      <c r="Z450" s="218">
        <v>60</v>
      </c>
      <c r="AA450" s="218">
        <v>54.48</v>
      </c>
    </row>
    <row r="451" spans="1:27">
      <c r="A451" s="218" t="s">
        <v>2592</v>
      </c>
      <c r="F451" s="219" t="str">
        <f>"""IntAlert Live"",""ALERT UK"",""17"",""1"",""555653"""</f>
        <v>"IntAlert Live","ALERT UK","17","1","555653"</v>
      </c>
      <c r="G451" s="223">
        <v>43889</v>
      </c>
      <c r="H451" s="223"/>
      <c r="I451" s="218" t="str">
        <f t="shared" si="156"/>
        <v>DRCPARTNER/PAPU/AP21QR/2020/01</v>
      </c>
      <c r="K451" s="218" t="str">
        <f>"GILBERT"</f>
        <v>GILBERT</v>
      </c>
      <c r="L451" s="218" t="str">
        <f>"Pmnt salaire GILBERT Fevrier 20 Coordinateur"</f>
        <v>Pmnt salaire GILBERT Fevrier 20 Coordinateur</v>
      </c>
      <c r="M451" s="218" t="str">
        <f t="shared" si="154"/>
        <v>6410</v>
      </c>
      <c r="N451" s="218" t="str">
        <f t="shared" si="155"/>
        <v>PARTNER - EMPLOYMENT COST</v>
      </c>
      <c r="O451" s="218" t="str">
        <f t="shared" si="145"/>
        <v>DRCBUK</v>
      </c>
      <c r="P451" s="218" t="str">
        <f t="shared" si="138"/>
        <v>AP21QR</v>
      </c>
      <c r="Q451" s="218" t="str">
        <f>""</f>
        <v/>
      </c>
      <c r="R451" s="218" t="str">
        <f t="shared" si="157"/>
        <v>PAPU</v>
      </c>
      <c r="S451" s="218" t="str">
        <f t="shared" si="152"/>
        <v>076</v>
      </c>
      <c r="T451" s="218" t="str">
        <f t="shared" si="153"/>
        <v>D</v>
      </c>
      <c r="U451" s="218" t="str">
        <f t="shared" si="140"/>
        <v>AFR000</v>
      </c>
      <c r="V451" s="218" t="str">
        <f t="shared" si="141"/>
        <v>###</v>
      </c>
      <c r="W451" s="218">
        <v>230</v>
      </c>
      <c r="X451" s="218" t="str">
        <f t="shared" si="142"/>
        <v>USD</v>
      </c>
      <c r="Y451" s="218">
        <v>182.48</v>
      </c>
      <c r="Z451" s="218">
        <v>230</v>
      </c>
      <c r="AA451" s="218">
        <v>208.84</v>
      </c>
    </row>
    <row r="452" spans="1:27">
      <c r="A452" s="218" t="s">
        <v>2592</v>
      </c>
      <c r="F452" s="219" t="str">
        <f>"""IntAlert Live"",""ALERT UK"",""17"",""1"",""555654"""</f>
        <v>"IntAlert Live","ALERT UK","17","1","555654"</v>
      </c>
      <c r="G452" s="223">
        <v>43889</v>
      </c>
      <c r="H452" s="223"/>
      <c r="I452" s="218" t="str">
        <f t="shared" si="156"/>
        <v>DRCPARTNER/PAPU/AP21QR/2020/01</v>
      </c>
      <c r="K452" s="218" t="str">
        <f>"WILONDJA"</f>
        <v>WILONDJA</v>
      </c>
      <c r="L452" s="218" t="str">
        <f>"Pmnt salaire WILONDJA Fevrier 20 Chargé de suivi"</f>
        <v>Pmnt salaire WILONDJA Fevrier 20 Chargé de suivi</v>
      </c>
      <c r="M452" s="218" t="str">
        <f t="shared" si="154"/>
        <v>6410</v>
      </c>
      <c r="N452" s="218" t="str">
        <f t="shared" si="155"/>
        <v>PARTNER - EMPLOYMENT COST</v>
      </c>
      <c r="O452" s="218" t="str">
        <f t="shared" si="145"/>
        <v>DRCBUK</v>
      </c>
      <c r="P452" s="218" t="str">
        <f t="shared" si="138"/>
        <v>AP21QR</v>
      </c>
      <c r="Q452" s="218" t="str">
        <f>""</f>
        <v/>
      </c>
      <c r="R452" s="218" t="str">
        <f t="shared" si="157"/>
        <v>PAPU</v>
      </c>
      <c r="S452" s="218" t="str">
        <f t="shared" si="152"/>
        <v>076</v>
      </c>
      <c r="T452" s="218" t="str">
        <f t="shared" si="153"/>
        <v>D</v>
      </c>
      <c r="U452" s="218" t="str">
        <f t="shared" si="140"/>
        <v>AFR000</v>
      </c>
      <c r="V452" s="218" t="str">
        <f t="shared" si="141"/>
        <v>###</v>
      </c>
      <c r="W452" s="218">
        <v>181</v>
      </c>
      <c r="X452" s="218" t="str">
        <f t="shared" si="142"/>
        <v>USD</v>
      </c>
      <c r="Y452" s="218">
        <v>143.6</v>
      </c>
      <c r="Z452" s="218">
        <v>181</v>
      </c>
      <c r="AA452" s="218">
        <v>164.34</v>
      </c>
    </row>
    <row r="453" spans="1:27">
      <c r="A453" s="218" t="s">
        <v>2592</v>
      </c>
      <c r="F453" s="219" t="str">
        <f>"""IntAlert Live"",""ALERT UK"",""17"",""1"",""555655"""</f>
        <v>"IntAlert Live","ALERT UK","17","1","555655"</v>
      </c>
      <c r="G453" s="223">
        <v>43889</v>
      </c>
      <c r="H453" s="223"/>
      <c r="I453" s="218" t="str">
        <f t="shared" si="156"/>
        <v>DRCPARTNER/PAPU/AP21QR/2020/01</v>
      </c>
      <c r="K453" s="218" t="str">
        <f>"MUSOLE"</f>
        <v>MUSOLE</v>
      </c>
      <c r="L453" s="218" t="str">
        <f>"Pmnt salaire MUSOLE Fevrier 20 Comptable"</f>
        <v>Pmnt salaire MUSOLE Fevrier 20 Comptable</v>
      </c>
      <c r="M453" s="218" t="str">
        <f t="shared" si="154"/>
        <v>6410</v>
      </c>
      <c r="N453" s="218" t="str">
        <f t="shared" si="155"/>
        <v>PARTNER - EMPLOYMENT COST</v>
      </c>
      <c r="O453" s="218" t="str">
        <f t="shared" si="145"/>
        <v>DRCBUK</v>
      </c>
      <c r="P453" s="218" t="str">
        <f t="shared" si="138"/>
        <v>AP21QR</v>
      </c>
      <c r="Q453" s="218" t="str">
        <f>""</f>
        <v/>
      </c>
      <c r="R453" s="218" t="str">
        <f t="shared" si="157"/>
        <v>PAPU</v>
      </c>
      <c r="S453" s="218" t="str">
        <f t="shared" si="152"/>
        <v>076</v>
      </c>
      <c r="T453" s="218" t="str">
        <f t="shared" si="153"/>
        <v>D</v>
      </c>
      <c r="U453" s="218" t="str">
        <f t="shared" si="140"/>
        <v>AFR000</v>
      </c>
      <c r="V453" s="218" t="str">
        <f t="shared" si="141"/>
        <v>###</v>
      </c>
      <c r="W453" s="218">
        <v>211</v>
      </c>
      <c r="X453" s="218" t="str">
        <f t="shared" si="142"/>
        <v>USD</v>
      </c>
      <c r="Y453" s="218">
        <v>167.4</v>
      </c>
      <c r="Z453" s="218">
        <v>211</v>
      </c>
      <c r="AA453" s="218">
        <v>191.58</v>
      </c>
    </row>
    <row r="454" spans="1:27">
      <c r="A454" s="218" t="s">
        <v>2592</v>
      </c>
      <c r="F454" s="219" t="str">
        <f>"""IntAlert Live"",""ALERT UK"",""17"",""1"",""555656"""</f>
        <v>"IntAlert Live","ALERT UK","17","1","555656"</v>
      </c>
      <c r="G454" s="223">
        <v>43889</v>
      </c>
      <c r="H454" s="223"/>
      <c r="I454" s="218" t="str">
        <f t="shared" si="156"/>
        <v>DRCPARTNER/PAPU/AP21QR/2020/01</v>
      </c>
      <c r="K454" s="218" t="str">
        <f>"BYIRINGIRO"</f>
        <v>BYIRINGIRO</v>
      </c>
      <c r="L454" s="218" t="str">
        <f>"Pmnt salaire BYIRINGIRO Fevrier 20 Caissier"</f>
        <v>Pmnt salaire BYIRINGIRO Fevrier 20 Caissier</v>
      </c>
      <c r="M454" s="218" t="str">
        <f t="shared" si="154"/>
        <v>6410</v>
      </c>
      <c r="N454" s="218" t="str">
        <f t="shared" si="155"/>
        <v>PARTNER - EMPLOYMENT COST</v>
      </c>
      <c r="O454" s="218" t="str">
        <f t="shared" si="145"/>
        <v>DRCBUK</v>
      </c>
      <c r="P454" s="218" t="str">
        <f t="shared" si="138"/>
        <v>AP21QR</v>
      </c>
      <c r="Q454" s="218" t="str">
        <f>""</f>
        <v/>
      </c>
      <c r="R454" s="218" t="str">
        <f t="shared" si="157"/>
        <v>PAPU</v>
      </c>
      <c r="S454" s="218" t="str">
        <f t="shared" si="152"/>
        <v>076</v>
      </c>
      <c r="T454" s="218" t="str">
        <f t="shared" si="153"/>
        <v>D</v>
      </c>
      <c r="U454" s="218" t="str">
        <f t="shared" si="140"/>
        <v>AFR000</v>
      </c>
      <c r="V454" s="218" t="str">
        <f t="shared" si="141"/>
        <v>###</v>
      </c>
      <c r="W454" s="218">
        <v>179</v>
      </c>
      <c r="X454" s="218" t="str">
        <f t="shared" si="142"/>
        <v>USD</v>
      </c>
      <c r="Y454" s="218">
        <v>142.02000000000001</v>
      </c>
      <c r="Z454" s="218">
        <v>179</v>
      </c>
      <c r="AA454" s="218">
        <v>162.53</v>
      </c>
    </row>
    <row r="455" spans="1:27">
      <c r="A455" s="218" t="s">
        <v>2592</v>
      </c>
      <c r="F455" s="219" t="str">
        <f>"""IntAlert Live"",""ALERT UK"",""17"",""1"",""555657"""</f>
        <v>"IntAlert Live","ALERT UK","17","1","555657"</v>
      </c>
      <c r="G455" s="223">
        <v>43889</v>
      </c>
      <c r="H455" s="223"/>
      <c r="I455" s="218" t="str">
        <f t="shared" si="156"/>
        <v>DRCPARTNER/PAPU/AP21QR/2020/01</v>
      </c>
      <c r="K455" s="218" t="str">
        <f>"MARTIN"</f>
        <v>MARTIN</v>
      </c>
      <c r="L455" s="218" t="str">
        <f>"Pmnt salaire Martin Fevrier 20 Chef de Projet"</f>
        <v>Pmnt salaire Martin Fevrier 20 Chef de Projet</v>
      </c>
      <c r="M455" s="218" t="str">
        <f t="shared" si="154"/>
        <v>6410</v>
      </c>
      <c r="N455" s="218" t="str">
        <f t="shared" si="155"/>
        <v>PARTNER - EMPLOYMENT COST</v>
      </c>
      <c r="O455" s="218" t="str">
        <f t="shared" si="145"/>
        <v>DRCBUK</v>
      </c>
      <c r="P455" s="218" t="str">
        <f t="shared" ref="P455:P518" si="158">"AP21QR"</f>
        <v>AP21QR</v>
      </c>
      <c r="Q455" s="218" t="str">
        <f>""</f>
        <v/>
      </c>
      <c r="R455" s="218" t="str">
        <f t="shared" si="157"/>
        <v>PAPU</v>
      </c>
      <c r="S455" s="218" t="str">
        <f t="shared" si="152"/>
        <v>076</v>
      </c>
      <c r="T455" s="218" t="str">
        <f t="shared" si="153"/>
        <v>D</v>
      </c>
      <c r="U455" s="218" t="str">
        <f t="shared" ref="U455:U518" si="159">"AFR000"</f>
        <v>AFR000</v>
      </c>
      <c r="V455" s="218" t="str">
        <f t="shared" ref="V455:V518" si="160">"###"</f>
        <v>###</v>
      </c>
      <c r="W455" s="218">
        <v>680</v>
      </c>
      <c r="X455" s="218" t="str">
        <f t="shared" si="142"/>
        <v>USD</v>
      </c>
      <c r="Y455" s="218">
        <v>539.5</v>
      </c>
      <c r="Z455" s="218">
        <v>680</v>
      </c>
      <c r="AA455" s="218">
        <v>617.42999999999995</v>
      </c>
    </row>
    <row r="456" spans="1:27">
      <c r="A456" s="218" t="s">
        <v>2592</v>
      </c>
      <c r="F456" s="219" t="str">
        <f>"""IntAlert Live"",""ALERT UK"",""17"",""1"",""555658"""</f>
        <v>"IntAlert Live","ALERT UK","17","1","555658"</v>
      </c>
      <c r="G456" s="223">
        <v>43889</v>
      </c>
      <c r="H456" s="223"/>
      <c r="I456" s="218" t="str">
        <f t="shared" si="156"/>
        <v>DRCPARTNER/PAPU/AP21QR/2020/01</v>
      </c>
      <c r="K456" s="218" t="str">
        <f>"BIKINO"</f>
        <v>BIKINO</v>
      </c>
      <c r="L456" s="218" t="str">
        <f>"Pmnt salaire BIKINO Fevrier 20 Superviseur"</f>
        <v>Pmnt salaire BIKINO Fevrier 20 Superviseur</v>
      </c>
      <c r="M456" s="218" t="str">
        <f t="shared" si="154"/>
        <v>6410</v>
      </c>
      <c r="N456" s="218" t="str">
        <f t="shared" si="155"/>
        <v>PARTNER - EMPLOYMENT COST</v>
      </c>
      <c r="O456" s="218" t="str">
        <f t="shared" si="145"/>
        <v>DRCBUK</v>
      </c>
      <c r="P456" s="218" t="str">
        <f t="shared" si="158"/>
        <v>AP21QR</v>
      </c>
      <c r="Q456" s="218" t="str">
        <f>""</f>
        <v/>
      </c>
      <c r="R456" s="218" t="str">
        <f t="shared" si="157"/>
        <v>PAPU</v>
      </c>
      <c r="S456" s="218" t="str">
        <f t="shared" si="152"/>
        <v>076</v>
      </c>
      <c r="T456" s="218" t="str">
        <f t="shared" si="153"/>
        <v>D</v>
      </c>
      <c r="U456" s="218" t="str">
        <f t="shared" si="159"/>
        <v>AFR000</v>
      </c>
      <c r="V456" s="218" t="str">
        <f t="shared" si="160"/>
        <v>###</v>
      </c>
      <c r="W456" s="218">
        <v>500</v>
      </c>
      <c r="X456" s="218" t="str">
        <f t="shared" ref="X456:X519" si="161">"USD"</f>
        <v>USD</v>
      </c>
      <c r="Y456" s="218">
        <v>396.69</v>
      </c>
      <c r="Z456" s="218">
        <v>500</v>
      </c>
      <c r="AA456" s="218">
        <v>453.99</v>
      </c>
    </row>
    <row r="457" spans="1:27">
      <c r="A457" s="218" t="s">
        <v>2592</v>
      </c>
      <c r="F457" s="219" t="str">
        <f>"""IntAlert Live"",""ALERT UK"",""17"",""1"",""555998"""</f>
        <v>"IntAlert Live","ALERT UK","17","1","555998"</v>
      </c>
      <c r="G457" s="223">
        <v>43889</v>
      </c>
      <c r="H457" s="223"/>
      <c r="I457" s="218" t="str">
        <f>"DRCPARTNER/PBVE/AP21QR/2020/01"</f>
        <v>DRCPARTNER/PBVE/AP21QR/2020/01</v>
      </c>
      <c r="K457" s="218" t="str">
        <f>"MURHABAZI"</f>
        <v>MURHABAZI</v>
      </c>
      <c r="L457" s="218" t="str">
        <f>"Salaire Murhabazi Février2020"</f>
        <v>Salaire Murhabazi Février2020</v>
      </c>
      <c r="M457" s="218" t="str">
        <f t="shared" si="154"/>
        <v>6410</v>
      </c>
      <c r="N457" s="218" t="str">
        <f t="shared" si="155"/>
        <v>PARTNER - EMPLOYMENT COST</v>
      </c>
      <c r="O457" s="218" t="str">
        <f t="shared" si="145"/>
        <v>DRCBUK</v>
      </c>
      <c r="P457" s="218" t="str">
        <f t="shared" si="158"/>
        <v>AP21QR</v>
      </c>
      <c r="Q457" s="218" t="str">
        <f>""</f>
        <v/>
      </c>
      <c r="R457" s="218" t="str">
        <f>"PBVE"</f>
        <v>PBVE</v>
      </c>
      <c r="S457" s="218" t="str">
        <f t="shared" si="152"/>
        <v>076</v>
      </c>
      <c r="T457" s="218" t="str">
        <f t="shared" si="153"/>
        <v>D</v>
      </c>
      <c r="U457" s="218" t="str">
        <f t="shared" si="159"/>
        <v>AFR000</v>
      </c>
      <c r="V457" s="218" t="str">
        <f t="shared" si="160"/>
        <v>###</v>
      </c>
      <c r="W457" s="218">
        <v>600</v>
      </c>
      <c r="X457" s="218" t="str">
        <f t="shared" si="161"/>
        <v>USD</v>
      </c>
      <c r="Y457" s="218">
        <v>476.03</v>
      </c>
      <c r="Z457" s="218">
        <v>600</v>
      </c>
      <c r="AA457" s="218">
        <v>544.79</v>
      </c>
    </row>
    <row r="458" spans="1:27">
      <c r="A458" s="218" t="s">
        <v>2592</v>
      </c>
      <c r="F458" s="219" t="str">
        <f>"""IntAlert Live"",""ALERT UK"",""17"",""1"",""556006"""</f>
        <v>"IntAlert Live","ALERT UK","17","1","556006"</v>
      </c>
      <c r="G458" s="223">
        <v>43889</v>
      </c>
      <c r="H458" s="223"/>
      <c r="I458" s="218" t="str">
        <f>"DRCPARTNER/PBVE/AP21QR/2020/01"</f>
        <v>DRCPARTNER/PBVE/AP21QR/2020/01</v>
      </c>
      <c r="K458" s="218" t="str">
        <f>"BYADUNIA"</f>
        <v>BYADUNIA</v>
      </c>
      <c r="L458" s="218" t="str">
        <f>"Salaire Byaduniya chargé de suivi Février 2020"</f>
        <v>Salaire Byaduniya chargé de suivi Février 2020</v>
      </c>
      <c r="M458" s="218" t="str">
        <f t="shared" si="154"/>
        <v>6410</v>
      </c>
      <c r="N458" s="218" t="str">
        <f t="shared" si="155"/>
        <v>PARTNER - EMPLOYMENT COST</v>
      </c>
      <c r="O458" s="218" t="str">
        <f t="shared" ref="O458:O521" si="162">"DRCBUK"</f>
        <v>DRCBUK</v>
      </c>
      <c r="P458" s="218" t="str">
        <f t="shared" si="158"/>
        <v>AP21QR</v>
      </c>
      <c r="Q458" s="218" t="str">
        <f>""</f>
        <v/>
      </c>
      <c r="R458" s="218" t="str">
        <f>"PBVE"</f>
        <v>PBVE</v>
      </c>
      <c r="S458" s="218" t="str">
        <f t="shared" si="152"/>
        <v>076</v>
      </c>
      <c r="T458" s="218" t="str">
        <f t="shared" si="153"/>
        <v>D</v>
      </c>
      <c r="U458" s="218" t="str">
        <f t="shared" si="159"/>
        <v>AFR000</v>
      </c>
      <c r="V458" s="218" t="str">
        <f t="shared" si="160"/>
        <v>###</v>
      </c>
      <c r="W458" s="218">
        <v>450</v>
      </c>
      <c r="X458" s="218" t="str">
        <f t="shared" si="161"/>
        <v>USD</v>
      </c>
      <c r="Y458" s="218">
        <v>357.02</v>
      </c>
      <c r="Z458" s="218">
        <v>450</v>
      </c>
      <c r="AA458" s="218">
        <v>408.59</v>
      </c>
    </row>
    <row r="459" spans="1:27">
      <c r="A459" s="218" t="s">
        <v>2592</v>
      </c>
      <c r="F459" s="219" t="str">
        <f>"""IntAlert Live"",""ALERT UK"",""17"",""1"",""556007"""</f>
        <v>"IntAlert Live","ALERT UK","17","1","556007"</v>
      </c>
      <c r="G459" s="223">
        <v>43889</v>
      </c>
      <c r="H459" s="223"/>
      <c r="I459" s="218" t="str">
        <f>"DRCPARTNER/PBVE/AP21QR/2020/01"</f>
        <v>DRCPARTNER/PBVE/AP21QR/2020/01</v>
      </c>
      <c r="K459" s="218" t="str">
        <f>"BELINDA"</f>
        <v>BELINDA</v>
      </c>
      <c r="L459" s="218" t="str">
        <f>"Salaire Belinda comptable Février 2020"</f>
        <v>Salaire Belinda comptable Février 2020</v>
      </c>
      <c r="M459" s="218" t="str">
        <f t="shared" si="154"/>
        <v>6410</v>
      </c>
      <c r="N459" s="218" t="str">
        <f t="shared" si="155"/>
        <v>PARTNER - EMPLOYMENT COST</v>
      </c>
      <c r="O459" s="218" t="str">
        <f t="shared" si="162"/>
        <v>DRCBUK</v>
      </c>
      <c r="P459" s="218" t="str">
        <f t="shared" si="158"/>
        <v>AP21QR</v>
      </c>
      <c r="Q459" s="218" t="str">
        <f>""</f>
        <v/>
      </c>
      <c r="R459" s="218" t="str">
        <f>"PBVE"</f>
        <v>PBVE</v>
      </c>
      <c r="S459" s="218" t="str">
        <f t="shared" si="152"/>
        <v>076</v>
      </c>
      <c r="T459" s="218" t="str">
        <f t="shared" si="153"/>
        <v>D</v>
      </c>
      <c r="U459" s="218" t="str">
        <f t="shared" si="159"/>
        <v>AFR000</v>
      </c>
      <c r="V459" s="218" t="str">
        <f t="shared" si="160"/>
        <v>###</v>
      </c>
      <c r="W459" s="218">
        <v>200</v>
      </c>
      <c r="X459" s="218" t="str">
        <f t="shared" si="161"/>
        <v>USD</v>
      </c>
      <c r="Y459" s="218">
        <v>158.68</v>
      </c>
      <c r="Z459" s="218">
        <v>200</v>
      </c>
      <c r="AA459" s="218">
        <v>181.6</v>
      </c>
    </row>
    <row r="460" spans="1:27">
      <c r="A460" s="218" t="s">
        <v>2592</v>
      </c>
      <c r="F460" s="219" t="str">
        <f>"""IntAlert Live"",""ALERT UK"",""17"",""1"",""555659"""</f>
        <v>"IntAlert Live","ALERT UK","17","1","555659"</v>
      </c>
      <c r="G460" s="223">
        <v>43890</v>
      </c>
      <c r="H460" s="223"/>
      <c r="I460" s="218" t="str">
        <f>"DRCPARTNER/PAPU/AP21QR/2020/01"</f>
        <v>DRCPARTNER/PAPU/AP21QR/2020/01</v>
      </c>
      <c r="K460" s="218" t="str">
        <f>"TMB"</f>
        <v>TMB</v>
      </c>
      <c r="L460" s="218" t="str">
        <f>"Frais de tenue de compte"</f>
        <v>Frais de tenue de compte</v>
      </c>
      <c r="M460" s="218" t="str">
        <f t="shared" si="154"/>
        <v>6410</v>
      </c>
      <c r="N460" s="218" t="str">
        <f t="shared" si="155"/>
        <v>PARTNER - EMPLOYMENT COST</v>
      </c>
      <c r="O460" s="218" t="str">
        <f t="shared" si="162"/>
        <v>DRCBUK</v>
      </c>
      <c r="P460" s="218" t="str">
        <f t="shared" si="158"/>
        <v>AP21QR</v>
      </c>
      <c r="Q460" s="218" t="str">
        <f>""</f>
        <v/>
      </c>
      <c r="R460" s="218" t="str">
        <f>"PAPU"</f>
        <v>PAPU</v>
      </c>
      <c r="S460" s="218" t="str">
        <f t="shared" si="152"/>
        <v>076</v>
      </c>
      <c r="T460" s="218" t="str">
        <f t="shared" si="153"/>
        <v>D</v>
      </c>
      <c r="U460" s="218" t="str">
        <f t="shared" si="159"/>
        <v>AFR000</v>
      </c>
      <c r="V460" s="218" t="str">
        <f t="shared" si="160"/>
        <v>###</v>
      </c>
      <c r="W460" s="218">
        <v>5</v>
      </c>
      <c r="X460" s="218" t="str">
        <f t="shared" si="161"/>
        <v>USD</v>
      </c>
      <c r="Y460" s="218">
        <v>3.97</v>
      </c>
      <c r="Z460" s="218">
        <v>5</v>
      </c>
      <c r="AA460" s="218">
        <v>4.54</v>
      </c>
    </row>
    <row r="461" spans="1:27">
      <c r="A461" s="218" t="s">
        <v>2592</v>
      </c>
      <c r="F461" s="219" t="str">
        <f>"""IntAlert Live"",""ALERT UK"",""17"",""1"",""555660"""</f>
        <v>"IntAlert Live","ALERT UK","17","1","555660"</v>
      </c>
      <c r="G461" s="223">
        <v>43890</v>
      </c>
      <c r="H461" s="223"/>
      <c r="I461" s="218" t="str">
        <f>"DRCPARTNER/PAPU/AP21QR/2020/01"</f>
        <v>DRCPARTNER/PAPU/AP21QR/2020/01</v>
      </c>
      <c r="K461" s="218" t="str">
        <f>"TMB"</f>
        <v>TMB</v>
      </c>
      <c r="L461" s="218" t="str">
        <f>"TVA collectée"</f>
        <v>TVA collectée</v>
      </c>
      <c r="M461" s="218" t="str">
        <f t="shared" si="154"/>
        <v>6410</v>
      </c>
      <c r="N461" s="218" t="str">
        <f t="shared" si="155"/>
        <v>PARTNER - EMPLOYMENT COST</v>
      </c>
      <c r="O461" s="218" t="str">
        <f t="shared" si="162"/>
        <v>DRCBUK</v>
      </c>
      <c r="P461" s="218" t="str">
        <f t="shared" si="158"/>
        <v>AP21QR</v>
      </c>
      <c r="Q461" s="218" t="str">
        <f>""</f>
        <v/>
      </c>
      <c r="R461" s="218" t="str">
        <f>"PAPU"</f>
        <v>PAPU</v>
      </c>
      <c r="S461" s="218" t="str">
        <f t="shared" si="152"/>
        <v>076</v>
      </c>
      <c r="T461" s="218" t="str">
        <f t="shared" si="153"/>
        <v>D</v>
      </c>
      <c r="U461" s="218" t="str">
        <f t="shared" si="159"/>
        <v>AFR000</v>
      </c>
      <c r="V461" s="218" t="str">
        <f t="shared" si="160"/>
        <v>###</v>
      </c>
      <c r="W461" s="218">
        <v>0.8</v>
      </c>
      <c r="X461" s="218" t="str">
        <f t="shared" si="161"/>
        <v>USD</v>
      </c>
      <c r="Y461" s="218">
        <v>0.63</v>
      </c>
      <c r="Z461" s="218">
        <v>0.8</v>
      </c>
      <c r="AA461" s="218">
        <v>0.72</v>
      </c>
    </row>
    <row r="462" spans="1:27">
      <c r="A462" s="218" t="s">
        <v>2592</v>
      </c>
      <c r="F462" s="219" t="str">
        <f>"""IntAlert Live"",""ALERT UK"",""17"",""1"",""555673"""</f>
        <v>"IntAlert Live","ALERT UK","17","1","555673"</v>
      </c>
      <c r="G462" s="223">
        <v>43892</v>
      </c>
      <c r="H462" s="223"/>
      <c r="I462" s="218" t="str">
        <f>"DRCPARTNER/PAPU/AP21QR/2020/01"</f>
        <v>DRCPARTNER/PAPU/AP21QR/2020/01</v>
      </c>
      <c r="K462" s="218" t="str">
        <f>"GARAGE MOTO"</f>
        <v>GARAGE MOTO</v>
      </c>
      <c r="L462" s="218" t="str">
        <f>"Frais entretien Groupe électrogène"</f>
        <v>Frais entretien Groupe électrogène</v>
      </c>
      <c r="M462" s="218" t="str">
        <f t="shared" si="154"/>
        <v>6410</v>
      </c>
      <c r="N462" s="218" t="str">
        <f t="shared" si="155"/>
        <v>PARTNER - EMPLOYMENT COST</v>
      </c>
      <c r="O462" s="218" t="str">
        <f t="shared" si="162"/>
        <v>DRCBUK</v>
      </c>
      <c r="P462" s="218" t="str">
        <f t="shared" si="158"/>
        <v>AP21QR</v>
      </c>
      <c r="Q462" s="218" t="str">
        <f>""</f>
        <v/>
      </c>
      <c r="R462" s="218" t="str">
        <f>"PAPU"</f>
        <v>PAPU</v>
      </c>
      <c r="S462" s="218" t="str">
        <f t="shared" si="152"/>
        <v>076</v>
      </c>
      <c r="T462" s="218" t="str">
        <f t="shared" si="153"/>
        <v>D</v>
      </c>
      <c r="U462" s="218" t="str">
        <f t="shared" si="159"/>
        <v>AFR000</v>
      </c>
      <c r="V462" s="218" t="str">
        <f t="shared" si="160"/>
        <v>###</v>
      </c>
      <c r="W462" s="218">
        <v>25</v>
      </c>
      <c r="X462" s="218" t="str">
        <f t="shared" si="161"/>
        <v>USD</v>
      </c>
      <c r="Y462" s="218">
        <v>19.829999999999998</v>
      </c>
      <c r="Z462" s="218">
        <v>25</v>
      </c>
      <c r="AA462" s="218">
        <v>22.69</v>
      </c>
    </row>
    <row r="463" spans="1:27">
      <c r="A463" s="218" t="s">
        <v>2592</v>
      </c>
      <c r="F463" s="219" t="str">
        <f>"""IntAlert Live"",""ALERT UK"",""17"",""1"",""555822"""</f>
        <v>"IntAlert Live","ALERT UK","17","1","555822"</v>
      </c>
      <c r="G463" s="223">
        <v>43893</v>
      </c>
      <c r="H463" s="223"/>
      <c r="I463" s="218" t="str">
        <f>"DRCPARTNER/PSOL/AP21QR/2020/01"</f>
        <v>DRCPARTNER/PSOL/AP21QR/2020/01</v>
      </c>
      <c r="K463" s="218" t="str">
        <f>"JANVIER"</f>
        <v>JANVIER</v>
      </c>
      <c r="L463" s="218" t="str">
        <f>"Pyt salaire CP&amp;ME   février 2020"</f>
        <v>Pyt salaire CP&amp;ME   février 2020</v>
      </c>
      <c r="M463" s="218" t="str">
        <f t="shared" si="154"/>
        <v>6410</v>
      </c>
      <c r="N463" s="218" t="str">
        <f t="shared" si="155"/>
        <v>PARTNER - EMPLOYMENT COST</v>
      </c>
      <c r="O463" s="218" t="str">
        <f t="shared" si="162"/>
        <v>DRCBUK</v>
      </c>
      <c r="P463" s="218" t="str">
        <f t="shared" si="158"/>
        <v>AP21QR</v>
      </c>
      <c r="Q463" s="218" t="str">
        <f>""</f>
        <v/>
      </c>
      <c r="R463" s="218" t="str">
        <f>"PSOL"</f>
        <v>PSOL</v>
      </c>
      <c r="S463" s="218" t="str">
        <f t="shared" si="152"/>
        <v>076</v>
      </c>
      <c r="T463" s="218" t="str">
        <f t="shared" si="153"/>
        <v>D</v>
      </c>
      <c r="U463" s="218" t="str">
        <f t="shared" si="159"/>
        <v>AFR000</v>
      </c>
      <c r="V463" s="218" t="str">
        <f t="shared" si="160"/>
        <v>###</v>
      </c>
      <c r="W463" s="218">
        <v>397.6</v>
      </c>
      <c r="X463" s="218" t="str">
        <f t="shared" si="161"/>
        <v>USD</v>
      </c>
      <c r="Y463" s="218">
        <v>315.45</v>
      </c>
      <c r="Z463" s="218">
        <v>397.6</v>
      </c>
      <c r="AA463" s="218">
        <v>361.02</v>
      </c>
    </row>
    <row r="464" spans="1:27">
      <c r="A464" s="218" t="s">
        <v>2592</v>
      </c>
      <c r="F464" s="219" t="str">
        <f>"""IntAlert Live"",""ALERT UK"",""17"",""1"",""555823"""</f>
        <v>"IntAlert Live","ALERT UK","17","1","555823"</v>
      </c>
      <c r="G464" s="223">
        <v>43893</v>
      </c>
      <c r="H464" s="223"/>
      <c r="I464" s="218" t="str">
        <f>"DRCPARTNER/PSOL/AP21QR/2020/01"</f>
        <v>DRCPARTNER/PSOL/AP21QR/2020/01</v>
      </c>
      <c r="K464" s="218" t="str">
        <f>"MALIPO"</f>
        <v>MALIPO</v>
      </c>
      <c r="L464" s="218" t="str">
        <f>"Pyt salaire Animateur  février 2020"</f>
        <v>Pyt salaire Animateur  février 2020</v>
      </c>
      <c r="M464" s="218" t="str">
        <f t="shared" si="154"/>
        <v>6410</v>
      </c>
      <c r="N464" s="218" t="str">
        <f t="shared" si="155"/>
        <v>PARTNER - EMPLOYMENT COST</v>
      </c>
      <c r="O464" s="218" t="str">
        <f t="shared" si="162"/>
        <v>DRCBUK</v>
      </c>
      <c r="P464" s="218" t="str">
        <f t="shared" si="158"/>
        <v>AP21QR</v>
      </c>
      <c r="Q464" s="218" t="str">
        <f>""</f>
        <v/>
      </c>
      <c r="R464" s="218" t="str">
        <f>"PSOL"</f>
        <v>PSOL</v>
      </c>
      <c r="S464" s="218" t="str">
        <f t="shared" si="152"/>
        <v>076</v>
      </c>
      <c r="T464" s="218" t="str">
        <f t="shared" si="153"/>
        <v>D</v>
      </c>
      <c r="U464" s="218" t="str">
        <f t="shared" si="159"/>
        <v>AFR000</v>
      </c>
      <c r="V464" s="218" t="str">
        <f t="shared" si="160"/>
        <v>###</v>
      </c>
      <c r="W464" s="218">
        <v>259.57</v>
      </c>
      <c r="X464" s="218" t="str">
        <f t="shared" si="161"/>
        <v>USD</v>
      </c>
      <c r="Y464" s="218">
        <v>205.94</v>
      </c>
      <c r="Z464" s="218">
        <v>259.57</v>
      </c>
      <c r="AA464" s="218">
        <v>235.69</v>
      </c>
    </row>
    <row r="465" spans="1:27">
      <c r="A465" s="218" t="s">
        <v>2592</v>
      </c>
      <c r="F465" s="219" t="str">
        <f>"""IntAlert Live"",""ALERT UK"",""17"",""1"",""555824"""</f>
        <v>"IntAlert Live","ALERT UK","17","1","555824"</v>
      </c>
      <c r="G465" s="223">
        <v>43893</v>
      </c>
      <c r="H465" s="223"/>
      <c r="I465" s="218" t="str">
        <f>"DRCPARTNER/PSOL/AP21QR/2020/01"</f>
        <v>DRCPARTNER/PSOL/AP21QR/2020/01</v>
      </c>
      <c r="K465" s="218" t="str">
        <f>"MUGAZA"</f>
        <v>MUGAZA</v>
      </c>
      <c r="L465" s="218" t="str">
        <f>"Pyt salaire Gardien   février 2020"</f>
        <v>Pyt salaire Gardien   février 2020</v>
      </c>
      <c r="M465" s="218" t="str">
        <f t="shared" si="154"/>
        <v>6410</v>
      </c>
      <c r="N465" s="218" t="str">
        <f t="shared" si="155"/>
        <v>PARTNER - EMPLOYMENT COST</v>
      </c>
      <c r="O465" s="218" t="str">
        <f t="shared" si="162"/>
        <v>DRCBUK</v>
      </c>
      <c r="P465" s="218" t="str">
        <f t="shared" si="158"/>
        <v>AP21QR</v>
      </c>
      <c r="Q465" s="218" t="str">
        <f>""</f>
        <v/>
      </c>
      <c r="R465" s="218" t="str">
        <f>"PSOL"</f>
        <v>PSOL</v>
      </c>
      <c r="S465" s="218" t="str">
        <f t="shared" si="152"/>
        <v>076</v>
      </c>
      <c r="T465" s="218" t="str">
        <f t="shared" si="153"/>
        <v>D</v>
      </c>
      <c r="U465" s="218" t="str">
        <f t="shared" si="159"/>
        <v>AFR000</v>
      </c>
      <c r="V465" s="218" t="str">
        <f t="shared" si="160"/>
        <v>###</v>
      </c>
      <c r="W465" s="218">
        <v>123.75</v>
      </c>
      <c r="X465" s="218" t="str">
        <f t="shared" si="161"/>
        <v>USD</v>
      </c>
      <c r="Y465" s="218">
        <v>98.18</v>
      </c>
      <c r="Z465" s="218">
        <v>123.75</v>
      </c>
      <c r="AA465" s="218">
        <v>112.36</v>
      </c>
    </row>
    <row r="466" spans="1:27">
      <c r="A466" s="218" t="s">
        <v>2592</v>
      </c>
      <c r="F466" s="219" t="str">
        <f>"""IntAlert Live"",""ALERT UK"",""17"",""1"",""555825"""</f>
        <v>"IntAlert Live","ALERT UK","17","1","555825"</v>
      </c>
      <c r="G466" s="223">
        <v>43893</v>
      </c>
      <c r="H466" s="223"/>
      <c r="I466" s="218" t="str">
        <f>"DRCPARTNER/PSOL/AP21QR/2020/01"</f>
        <v>DRCPARTNER/PSOL/AP21QR/2020/01</v>
      </c>
      <c r="K466" s="218" t="str">
        <f>"OLIVE"</f>
        <v>OLIVE</v>
      </c>
      <c r="L466" s="218" t="str">
        <f>"Pyt salaire Financière   février 2020"</f>
        <v>Pyt salaire Financière   février 2020</v>
      </c>
      <c r="M466" s="218" t="str">
        <f t="shared" si="154"/>
        <v>6410</v>
      </c>
      <c r="N466" s="218" t="str">
        <f t="shared" si="155"/>
        <v>PARTNER - EMPLOYMENT COST</v>
      </c>
      <c r="O466" s="218" t="str">
        <f t="shared" si="162"/>
        <v>DRCBUK</v>
      </c>
      <c r="P466" s="218" t="str">
        <f t="shared" si="158"/>
        <v>AP21QR</v>
      </c>
      <c r="Q466" s="218" t="str">
        <f>""</f>
        <v/>
      </c>
      <c r="R466" s="218" t="str">
        <f>"PSOL"</f>
        <v>PSOL</v>
      </c>
      <c r="S466" s="218" t="str">
        <f t="shared" si="152"/>
        <v>076</v>
      </c>
      <c r="T466" s="218" t="str">
        <f t="shared" si="153"/>
        <v>D</v>
      </c>
      <c r="U466" s="218" t="str">
        <f t="shared" si="159"/>
        <v>AFR000</v>
      </c>
      <c r="V466" s="218" t="str">
        <f t="shared" si="160"/>
        <v>###</v>
      </c>
      <c r="W466" s="218">
        <v>183.85</v>
      </c>
      <c r="X466" s="218" t="str">
        <f t="shared" si="161"/>
        <v>USD</v>
      </c>
      <c r="Y466" s="218">
        <v>145.86000000000001</v>
      </c>
      <c r="Z466" s="218">
        <v>183.85</v>
      </c>
      <c r="AA466" s="218">
        <v>166.93</v>
      </c>
    </row>
    <row r="467" spans="1:27">
      <c r="A467" s="218" t="s">
        <v>2592</v>
      </c>
      <c r="F467" s="219" t="str">
        <f>"""IntAlert Live"",""ALERT UK"",""17"",""1"",""555675"""</f>
        <v>"IntAlert Live","ALERT UK","17","1","555675"</v>
      </c>
      <c r="G467" s="223">
        <v>43895</v>
      </c>
      <c r="H467" s="223"/>
      <c r="I467" s="218" t="str">
        <f>"DRCPARTNER/PAPU/AP21QR/2020/01"</f>
        <v>DRCPARTNER/PAPU/AP21QR/2020/01</v>
      </c>
      <c r="K467" s="218" t="str">
        <f>"MAISON LIGABLO"</f>
        <v>MAISON LIGABLO</v>
      </c>
      <c r="L467" s="218" t="str">
        <f>"Achat unités de communication"</f>
        <v>Achat unités de communication</v>
      </c>
      <c r="M467" s="218" t="str">
        <f t="shared" si="154"/>
        <v>6410</v>
      </c>
      <c r="N467" s="218" t="str">
        <f t="shared" si="155"/>
        <v>PARTNER - EMPLOYMENT COST</v>
      </c>
      <c r="O467" s="218" t="str">
        <f t="shared" si="162"/>
        <v>DRCBUK</v>
      </c>
      <c r="P467" s="218" t="str">
        <f t="shared" si="158"/>
        <v>AP21QR</v>
      </c>
      <c r="Q467" s="218" t="str">
        <f>""</f>
        <v/>
      </c>
      <c r="R467" s="218" t="str">
        <f>"PAPU"</f>
        <v>PAPU</v>
      </c>
      <c r="S467" s="218" t="str">
        <f t="shared" si="152"/>
        <v>076</v>
      </c>
      <c r="T467" s="218" t="str">
        <f t="shared" si="153"/>
        <v>D</v>
      </c>
      <c r="U467" s="218" t="str">
        <f t="shared" si="159"/>
        <v>AFR000</v>
      </c>
      <c r="V467" s="218" t="str">
        <f t="shared" si="160"/>
        <v>###</v>
      </c>
      <c r="W467" s="218">
        <v>30</v>
      </c>
      <c r="X467" s="218" t="str">
        <f t="shared" si="161"/>
        <v>USD</v>
      </c>
      <c r="Y467" s="218">
        <v>23.8</v>
      </c>
      <c r="Z467" s="218">
        <v>30</v>
      </c>
      <c r="AA467" s="218">
        <v>27.24</v>
      </c>
    </row>
    <row r="468" spans="1:27">
      <c r="A468" s="218" t="s">
        <v>2592</v>
      </c>
      <c r="F468" s="219" t="str">
        <f>"""IntAlert Live"",""ALERT UK"",""17"",""1"",""555676"""</f>
        <v>"IntAlert Live","ALERT UK","17","1","555676"</v>
      </c>
      <c r="G468" s="223">
        <v>43895</v>
      </c>
      <c r="H468" s="223"/>
      <c r="I468" s="218" t="str">
        <f>"DRCPARTNER/PAPU/AP21QR/2020/01"</f>
        <v>DRCPARTNER/PAPU/AP21QR/2020/01</v>
      </c>
      <c r="K468" s="218" t="str">
        <f>"MAISON LIGABLO"</f>
        <v>MAISON LIGABLO</v>
      </c>
      <c r="L468" s="218" t="str">
        <f>"Achat Megas internet"</f>
        <v>Achat Megas internet</v>
      </c>
      <c r="M468" s="218" t="str">
        <f t="shared" si="154"/>
        <v>6410</v>
      </c>
      <c r="N468" s="218" t="str">
        <f t="shared" si="155"/>
        <v>PARTNER - EMPLOYMENT COST</v>
      </c>
      <c r="O468" s="218" t="str">
        <f t="shared" si="162"/>
        <v>DRCBUK</v>
      </c>
      <c r="P468" s="218" t="str">
        <f t="shared" si="158"/>
        <v>AP21QR</v>
      </c>
      <c r="Q468" s="218" t="str">
        <f>""</f>
        <v/>
      </c>
      <c r="R468" s="218" t="str">
        <f>"PAPU"</f>
        <v>PAPU</v>
      </c>
      <c r="S468" s="218" t="str">
        <f t="shared" si="152"/>
        <v>076</v>
      </c>
      <c r="T468" s="218" t="str">
        <f t="shared" si="153"/>
        <v>D</v>
      </c>
      <c r="U468" s="218" t="str">
        <f t="shared" si="159"/>
        <v>AFR000</v>
      </c>
      <c r="V468" s="218" t="str">
        <f t="shared" si="160"/>
        <v>###</v>
      </c>
      <c r="W468" s="218">
        <v>60</v>
      </c>
      <c r="X468" s="218" t="str">
        <f t="shared" si="161"/>
        <v>USD</v>
      </c>
      <c r="Y468" s="218">
        <v>47.6</v>
      </c>
      <c r="Z468" s="218">
        <v>60</v>
      </c>
      <c r="AA468" s="218">
        <v>54.48</v>
      </c>
    </row>
    <row r="469" spans="1:27">
      <c r="A469" s="218" t="s">
        <v>2592</v>
      </c>
      <c r="F469" s="219" t="str">
        <f>"""IntAlert Live"",""ALERT UK"",""17"",""1"",""555826"""</f>
        <v>"IntAlert Live","ALERT UK","17","1","555826"</v>
      </c>
      <c r="G469" s="223">
        <v>43899</v>
      </c>
      <c r="H469" s="223"/>
      <c r="I469" s="218" t="str">
        <f>"DRCPARTNER/PSOL/AP21QR/2020/01"</f>
        <v>DRCPARTNER/PSOL/AP21QR/2020/01</v>
      </c>
      <c r="K469" s="218" t="str">
        <f>"DGI"</f>
        <v>DGI</v>
      </c>
      <c r="L469" s="218" t="str">
        <f>"Pyt IPR  CP&amp;ME  février 2020"</f>
        <v>Pyt IPR  CP&amp;ME  février 2020</v>
      </c>
      <c r="M469" s="218" t="str">
        <f t="shared" si="154"/>
        <v>6410</v>
      </c>
      <c r="N469" s="218" t="str">
        <f t="shared" si="155"/>
        <v>PARTNER - EMPLOYMENT COST</v>
      </c>
      <c r="O469" s="218" t="str">
        <f t="shared" si="162"/>
        <v>DRCBUK</v>
      </c>
      <c r="P469" s="218" t="str">
        <f t="shared" si="158"/>
        <v>AP21QR</v>
      </c>
      <c r="Q469" s="218" t="str">
        <f>""</f>
        <v/>
      </c>
      <c r="R469" s="218" t="str">
        <f>"PSOL"</f>
        <v>PSOL</v>
      </c>
      <c r="S469" s="218" t="str">
        <f t="shared" ref="S469:S500" si="163">"076"</f>
        <v>076</v>
      </c>
      <c r="T469" s="218" t="str">
        <f t="shared" si="153"/>
        <v>D</v>
      </c>
      <c r="U469" s="218" t="str">
        <f t="shared" si="159"/>
        <v>AFR000</v>
      </c>
      <c r="V469" s="218" t="str">
        <f t="shared" si="160"/>
        <v>###</v>
      </c>
      <c r="W469" s="218">
        <v>38</v>
      </c>
      <c r="X469" s="218" t="str">
        <f t="shared" si="161"/>
        <v>USD</v>
      </c>
      <c r="Y469" s="218">
        <v>30.15</v>
      </c>
      <c r="Z469" s="218">
        <v>38</v>
      </c>
      <c r="AA469" s="218">
        <v>34.51</v>
      </c>
    </row>
    <row r="470" spans="1:27">
      <c r="A470" s="218" t="s">
        <v>2592</v>
      </c>
      <c r="F470" s="219" t="str">
        <f>"""IntAlert Live"",""ALERT UK"",""17"",""1"",""555827"""</f>
        <v>"IntAlert Live","ALERT UK","17","1","555827"</v>
      </c>
      <c r="G470" s="223">
        <v>43899</v>
      </c>
      <c r="H470" s="223"/>
      <c r="I470" s="218" t="str">
        <f>"DRCPARTNER/PSOL/AP21QR/2020/01"</f>
        <v>DRCPARTNER/PSOL/AP21QR/2020/01</v>
      </c>
      <c r="K470" s="218" t="str">
        <f>"DGI"</f>
        <v>DGI</v>
      </c>
      <c r="L470" s="218" t="str">
        <f>"Pyt IPR  Animateur  février 2020"</f>
        <v>Pyt IPR  Animateur  février 2020</v>
      </c>
      <c r="M470" s="218" t="str">
        <f t="shared" si="154"/>
        <v>6410</v>
      </c>
      <c r="N470" s="218" t="str">
        <f t="shared" si="155"/>
        <v>PARTNER - EMPLOYMENT COST</v>
      </c>
      <c r="O470" s="218" t="str">
        <f t="shared" si="162"/>
        <v>DRCBUK</v>
      </c>
      <c r="P470" s="218" t="str">
        <f t="shared" si="158"/>
        <v>AP21QR</v>
      </c>
      <c r="Q470" s="218" t="str">
        <f>""</f>
        <v/>
      </c>
      <c r="R470" s="218" t="str">
        <f>"PSOL"</f>
        <v>PSOL</v>
      </c>
      <c r="S470" s="218" t="str">
        <f t="shared" si="163"/>
        <v>076</v>
      </c>
      <c r="T470" s="218" t="str">
        <f t="shared" si="153"/>
        <v>D</v>
      </c>
      <c r="U470" s="218" t="str">
        <f t="shared" si="159"/>
        <v>AFR000</v>
      </c>
      <c r="V470" s="218" t="str">
        <f t="shared" si="160"/>
        <v>###</v>
      </c>
      <c r="W470" s="218">
        <v>30.5</v>
      </c>
      <c r="X470" s="218" t="str">
        <f t="shared" si="161"/>
        <v>USD</v>
      </c>
      <c r="Y470" s="218">
        <v>24.2</v>
      </c>
      <c r="Z470" s="218">
        <v>30.5</v>
      </c>
      <c r="AA470" s="218">
        <v>27.7</v>
      </c>
    </row>
    <row r="471" spans="1:27">
      <c r="A471" s="218" t="s">
        <v>2592</v>
      </c>
      <c r="F471" s="219" t="str">
        <f>"""IntAlert Live"",""ALERT UK"",""17"",""1"",""555828"""</f>
        <v>"IntAlert Live","ALERT UK","17","1","555828"</v>
      </c>
      <c r="G471" s="223">
        <v>43899</v>
      </c>
      <c r="H471" s="223"/>
      <c r="I471" s="218" t="str">
        <f>"DRCPARTNER/PSOL/AP21QR/2020/01"</f>
        <v>DRCPARTNER/PSOL/AP21QR/2020/01</v>
      </c>
      <c r="K471" s="218" t="str">
        <f>"DGI"</f>
        <v>DGI</v>
      </c>
      <c r="L471" s="218" t="str">
        <f>"Pyt IPR  Gardien  février 2020"</f>
        <v>Pyt IPR  Gardien  février 2020</v>
      </c>
      <c r="M471" s="218" t="str">
        <f t="shared" si="154"/>
        <v>6410</v>
      </c>
      <c r="N471" s="218" t="str">
        <f t="shared" si="155"/>
        <v>PARTNER - EMPLOYMENT COST</v>
      </c>
      <c r="O471" s="218" t="str">
        <f t="shared" si="162"/>
        <v>DRCBUK</v>
      </c>
      <c r="P471" s="218" t="str">
        <f t="shared" si="158"/>
        <v>AP21QR</v>
      </c>
      <c r="Q471" s="218" t="str">
        <f>""</f>
        <v/>
      </c>
      <c r="R471" s="218" t="str">
        <f>"PSOL"</f>
        <v>PSOL</v>
      </c>
      <c r="S471" s="218" t="str">
        <f t="shared" si="163"/>
        <v>076</v>
      </c>
      <c r="T471" s="218" t="str">
        <f t="shared" si="153"/>
        <v>D</v>
      </c>
      <c r="U471" s="218" t="str">
        <f t="shared" si="159"/>
        <v>AFR000</v>
      </c>
      <c r="V471" s="218" t="str">
        <f t="shared" si="160"/>
        <v>###</v>
      </c>
      <c r="W471" s="218">
        <v>3.5</v>
      </c>
      <c r="X471" s="218" t="str">
        <f t="shared" si="161"/>
        <v>USD</v>
      </c>
      <c r="Y471" s="218">
        <v>2.78</v>
      </c>
      <c r="Z471" s="218">
        <v>3.5</v>
      </c>
      <c r="AA471" s="218">
        <v>3.18</v>
      </c>
    </row>
    <row r="472" spans="1:27">
      <c r="A472" s="218" t="s">
        <v>2592</v>
      </c>
      <c r="F472" s="219" t="str">
        <f>"""IntAlert Live"",""ALERT UK"",""17"",""1"",""555829"""</f>
        <v>"IntAlert Live","ALERT UK","17","1","555829"</v>
      </c>
      <c r="G472" s="223">
        <v>43899</v>
      </c>
      <c r="H472" s="223"/>
      <c r="I472" s="218" t="str">
        <f>"DRCPARTNER/PSOL/AP21QR/2020/01"</f>
        <v>DRCPARTNER/PSOL/AP21QR/2020/01</v>
      </c>
      <c r="K472" s="218" t="str">
        <f>"DGI"</f>
        <v>DGI</v>
      </c>
      <c r="L472" s="218" t="str">
        <f>"Pyt IPR  Financière  février 2020"</f>
        <v>Pyt IPR  Financière  février 2020</v>
      </c>
      <c r="M472" s="218" t="str">
        <f t="shared" si="154"/>
        <v>6410</v>
      </c>
      <c r="N472" s="218" t="str">
        <f t="shared" si="155"/>
        <v>PARTNER - EMPLOYMENT COST</v>
      </c>
      <c r="O472" s="218" t="str">
        <f t="shared" si="162"/>
        <v>DRCBUK</v>
      </c>
      <c r="P472" s="218" t="str">
        <f t="shared" si="158"/>
        <v>AP21QR</v>
      </c>
      <c r="Q472" s="218" t="str">
        <f>""</f>
        <v/>
      </c>
      <c r="R472" s="218" t="str">
        <f>"PSOL"</f>
        <v>PSOL</v>
      </c>
      <c r="S472" s="218" t="str">
        <f t="shared" si="163"/>
        <v>076</v>
      </c>
      <c r="T472" s="218" t="str">
        <f t="shared" si="153"/>
        <v>D</v>
      </c>
      <c r="U472" s="218" t="str">
        <f t="shared" si="159"/>
        <v>AFR000</v>
      </c>
      <c r="V472" s="218" t="str">
        <f t="shared" si="160"/>
        <v>###</v>
      </c>
      <c r="W472" s="218">
        <v>11.78</v>
      </c>
      <c r="X472" s="218" t="str">
        <f t="shared" si="161"/>
        <v>USD</v>
      </c>
      <c r="Y472" s="218">
        <v>9.35</v>
      </c>
      <c r="Z472" s="218">
        <v>11.78</v>
      </c>
      <c r="AA472" s="218">
        <v>10.7</v>
      </c>
    </row>
    <row r="473" spans="1:27">
      <c r="A473" s="218" t="s">
        <v>2592</v>
      </c>
      <c r="F473" s="219" t="str">
        <f>"""IntAlert Live"",""ALERT UK"",""17"",""1"",""555661"""</f>
        <v>"IntAlert Live","ALERT UK","17","1","555661"</v>
      </c>
      <c r="G473" s="223">
        <v>43900</v>
      </c>
      <c r="H473" s="223"/>
      <c r="I473" s="218" t="str">
        <f>"DRCPARTNER/PAPU/AP21QR/2020/01"</f>
        <v>DRCPARTNER/PAPU/AP21QR/2020/01</v>
      </c>
      <c r="K473" s="218" t="str">
        <f t="shared" ref="K473:K482" si="164">"TMB"</f>
        <v>TMB</v>
      </c>
      <c r="L473" s="218" t="str">
        <f>"Commissions sur transferts"</f>
        <v>Commissions sur transferts</v>
      </c>
      <c r="M473" s="218" t="str">
        <f t="shared" si="154"/>
        <v>6410</v>
      </c>
      <c r="N473" s="218" t="str">
        <f t="shared" si="155"/>
        <v>PARTNER - EMPLOYMENT COST</v>
      </c>
      <c r="O473" s="218" t="str">
        <f t="shared" si="162"/>
        <v>DRCBUK</v>
      </c>
      <c r="P473" s="218" t="str">
        <f t="shared" si="158"/>
        <v>AP21QR</v>
      </c>
      <c r="Q473" s="218" t="str">
        <f>""</f>
        <v/>
      </c>
      <c r="R473" s="218" t="str">
        <f>"PAPU"</f>
        <v>PAPU</v>
      </c>
      <c r="S473" s="218" t="str">
        <f t="shared" si="163"/>
        <v>076</v>
      </c>
      <c r="T473" s="218" t="str">
        <f t="shared" si="153"/>
        <v>D</v>
      </c>
      <c r="U473" s="218" t="str">
        <f t="shared" si="159"/>
        <v>AFR000</v>
      </c>
      <c r="V473" s="218" t="str">
        <f t="shared" si="160"/>
        <v>###</v>
      </c>
      <c r="W473" s="218">
        <v>397.43</v>
      </c>
      <c r="X473" s="218" t="str">
        <f t="shared" si="161"/>
        <v>USD</v>
      </c>
      <c r="Y473" s="218">
        <v>315.32</v>
      </c>
      <c r="Z473" s="218">
        <v>397.43</v>
      </c>
      <c r="AA473" s="218">
        <v>360.87</v>
      </c>
    </row>
    <row r="474" spans="1:27">
      <c r="A474" s="218" t="s">
        <v>2592</v>
      </c>
      <c r="F474" s="219" t="str">
        <f>"""IntAlert Live"",""ALERT UK"",""17"",""1"",""555662"""</f>
        <v>"IntAlert Live","ALERT UK","17","1","555662"</v>
      </c>
      <c r="G474" s="223">
        <v>43900</v>
      </c>
      <c r="H474" s="223"/>
      <c r="I474" s="218" t="str">
        <f>"DRCPARTNER/PAPU/AP21QR/2020/01"</f>
        <v>DRCPARTNER/PAPU/AP21QR/2020/01</v>
      </c>
      <c r="K474" s="218" t="str">
        <f t="shared" si="164"/>
        <v>TMB</v>
      </c>
      <c r="L474" s="218" t="str">
        <f>"TVA Collectée"</f>
        <v>TVA Collectée</v>
      </c>
      <c r="M474" s="218" t="str">
        <f t="shared" si="154"/>
        <v>6410</v>
      </c>
      <c r="N474" s="218" t="str">
        <f t="shared" si="155"/>
        <v>PARTNER - EMPLOYMENT COST</v>
      </c>
      <c r="O474" s="218" t="str">
        <f t="shared" si="162"/>
        <v>DRCBUK</v>
      </c>
      <c r="P474" s="218" t="str">
        <f t="shared" si="158"/>
        <v>AP21QR</v>
      </c>
      <c r="Q474" s="218" t="str">
        <f>""</f>
        <v/>
      </c>
      <c r="R474" s="218" t="str">
        <f>"PAPU"</f>
        <v>PAPU</v>
      </c>
      <c r="S474" s="218" t="str">
        <f t="shared" si="163"/>
        <v>076</v>
      </c>
      <c r="T474" s="218" t="str">
        <f t="shared" si="153"/>
        <v>D</v>
      </c>
      <c r="U474" s="218" t="str">
        <f t="shared" si="159"/>
        <v>AFR000</v>
      </c>
      <c r="V474" s="218" t="str">
        <f t="shared" si="160"/>
        <v>###</v>
      </c>
      <c r="W474" s="218">
        <v>63.59</v>
      </c>
      <c r="X474" s="218" t="str">
        <f t="shared" si="161"/>
        <v>USD</v>
      </c>
      <c r="Y474" s="218">
        <v>50.45</v>
      </c>
      <c r="Z474" s="218">
        <v>63.59</v>
      </c>
      <c r="AA474" s="218">
        <v>57.74</v>
      </c>
    </row>
    <row r="475" spans="1:27">
      <c r="A475" s="218" t="s">
        <v>2592</v>
      </c>
      <c r="F475" s="219" t="str">
        <f>"""IntAlert Live"",""ALERT UK"",""17"",""1"",""555810"""</f>
        <v>"IntAlert Live","ALERT UK","17","1","555810"</v>
      </c>
      <c r="G475" s="223">
        <v>43900</v>
      </c>
      <c r="H475" s="223"/>
      <c r="I475" s="218" t="str">
        <f t="shared" ref="I475:I494" si="165">"DRCPARTNER/PSOL/AP21QR/2020/01"</f>
        <v>DRCPARTNER/PSOL/AP21QR/2020/01</v>
      </c>
      <c r="K475" s="218" t="str">
        <f t="shared" si="164"/>
        <v>TMB</v>
      </c>
      <c r="L475" s="218" t="str">
        <f>"Frais de tenu de compte"</f>
        <v>Frais de tenu de compte</v>
      </c>
      <c r="M475" s="218" t="str">
        <f t="shared" si="154"/>
        <v>6410</v>
      </c>
      <c r="N475" s="218" t="str">
        <f t="shared" si="155"/>
        <v>PARTNER - EMPLOYMENT COST</v>
      </c>
      <c r="O475" s="218" t="str">
        <f t="shared" si="162"/>
        <v>DRCBUK</v>
      </c>
      <c r="P475" s="218" t="str">
        <f t="shared" si="158"/>
        <v>AP21QR</v>
      </c>
      <c r="Q475" s="218" t="str">
        <f>""</f>
        <v/>
      </c>
      <c r="R475" s="218" t="str">
        <f t="shared" ref="R475:R494" si="166">"PSOL"</f>
        <v>PSOL</v>
      </c>
      <c r="S475" s="218" t="str">
        <f t="shared" si="163"/>
        <v>076</v>
      </c>
      <c r="T475" s="218" t="str">
        <f t="shared" si="153"/>
        <v>D</v>
      </c>
      <c r="U475" s="218" t="str">
        <f t="shared" si="159"/>
        <v>AFR000</v>
      </c>
      <c r="V475" s="218" t="str">
        <f t="shared" si="160"/>
        <v>###</v>
      </c>
      <c r="W475" s="218">
        <v>5</v>
      </c>
      <c r="X475" s="218" t="str">
        <f t="shared" si="161"/>
        <v>USD</v>
      </c>
      <c r="Y475" s="218">
        <v>3.97</v>
      </c>
      <c r="Z475" s="218">
        <v>5</v>
      </c>
      <c r="AA475" s="218">
        <v>4.54</v>
      </c>
    </row>
    <row r="476" spans="1:27">
      <c r="A476" s="218" t="s">
        <v>2592</v>
      </c>
      <c r="F476" s="219" t="str">
        <f>"""IntAlert Live"",""ALERT UK"",""17"",""1"",""555811"""</f>
        <v>"IntAlert Live","ALERT UK","17","1","555811"</v>
      </c>
      <c r="G476" s="223">
        <v>43900</v>
      </c>
      <c r="H476" s="223"/>
      <c r="I476" s="218" t="str">
        <f t="shared" si="165"/>
        <v>DRCPARTNER/PSOL/AP21QR/2020/01</v>
      </c>
      <c r="K476" s="218" t="str">
        <f t="shared" si="164"/>
        <v>TMB</v>
      </c>
      <c r="L476" s="218" t="str">
        <f>"TVA-Frais tenu de compte"</f>
        <v>TVA-Frais tenu de compte</v>
      </c>
      <c r="M476" s="218" t="str">
        <f t="shared" ref="M476:M507" si="167">"6410"</f>
        <v>6410</v>
      </c>
      <c r="N476" s="218" t="str">
        <f t="shared" ref="N476:N507" si="168">"PARTNER - EMPLOYMENT COST"</f>
        <v>PARTNER - EMPLOYMENT COST</v>
      </c>
      <c r="O476" s="218" t="str">
        <f t="shared" si="162"/>
        <v>DRCBUK</v>
      </c>
      <c r="P476" s="218" t="str">
        <f t="shared" si="158"/>
        <v>AP21QR</v>
      </c>
      <c r="Q476" s="218" t="str">
        <f>""</f>
        <v/>
      </c>
      <c r="R476" s="218" t="str">
        <f t="shared" si="166"/>
        <v>PSOL</v>
      </c>
      <c r="S476" s="218" t="str">
        <f t="shared" si="163"/>
        <v>076</v>
      </c>
      <c r="T476" s="218" t="str">
        <f t="shared" si="153"/>
        <v>D</v>
      </c>
      <c r="U476" s="218" t="str">
        <f t="shared" si="159"/>
        <v>AFR000</v>
      </c>
      <c r="V476" s="218" t="str">
        <f t="shared" si="160"/>
        <v>###</v>
      </c>
      <c r="W476" s="218">
        <v>0.8</v>
      </c>
      <c r="X476" s="218" t="str">
        <f t="shared" si="161"/>
        <v>USD</v>
      </c>
      <c r="Y476" s="218">
        <v>0.63</v>
      </c>
      <c r="Z476" s="218">
        <v>0.8</v>
      </c>
      <c r="AA476" s="218">
        <v>0.72</v>
      </c>
    </row>
    <row r="477" spans="1:27">
      <c r="A477" s="218" t="s">
        <v>2592</v>
      </c>
      <c r="F477" s="219" t="str">
        <f>"""IntAlert Live"",""ALERT UK"",""17"",""1"",""555812"""</f>
        <v>"IntAlert Live","ALERT UK","17","1","555812"</v>
      </c>
      <c r="G477" s="223">
        <v>43900</v>
      </c>
      <c r="H477" s="223"/>
      <c r="I477" s="218" t="str">
        <f t="shared" si="165"/>
        <v>DRCPARTNER/PSOL/AP21QR/2020/01</v>
      </c>
      <c r="K477" s="218" t="str">
        <f t="shared" si="164"/>
        <v>TMB</v>
      </c>
      <c r="L477" s="218" t="str">
        <f>"Frais de tenu de compte"</f>
        <v>Frais de tenu de compte</v>
      </c>
      <c r="M477" s="218" t="str">
        <f t="shared" si="167"/>
        <v>6410</v>
      </c>
      <c r="N477" s="218" t="str">
        <f t="shared" si="168"/>
        <v>PARTNER - EMPLOYMENT COST</v>
      </c>
      <c r="O477" s="218" t="str">
        <f t="shared" si="162"/>
        <v>DRCBUK</v>
      </c>
      <c r="P477" s="218" t="str">
        <f t="shared" si="158"/>
        <v>AP21QR</v>
      </c>
      <c r="Q477" s="218" t="str">
        <f>""</f>
        <v/>
      </c>
      <c r="R477" s="218" t="str">
        <f t="shared" si="166"/>
        <v>PSOL</v>
      </c>
      <c r="S477" s="218" t="str">
        <f t="shared" si="163"/>
        <v>076</v>
      </c>
      <c r="T477" s="218" t="str">
        <f t="shared" si="153"/>
        <v>D</v>
      </c>
      <c r="U477" s="218" t="str">
        <f t="shared" si="159"/>
        <v>AFR000</v>
      </c>
      <c r="V477" s="218" t="str">
        <f t="shared" si="160"/>
        <v>###</v>
      </c>
      <c r="W477" s="218">
        <v>5</v>
      </c>
      <c r="X477" s="218" t="str">
        <f t="shared" si="161"/>
        <v>USD</v>
      </c>
      <c r="Y477" s="218">
        <v>3.97</v>
      </c>
      <c r="Z477" s="218">
        <v>5</v>
      </c>
      <c r="AA477" s="218">
        <v>4.54</v>
      </c>
    </row>
    <row r="478" spans="1:27">
      <c r="A478" s="218" t="s">
        <v>2592</v>
      </c>
      <c r="F478" s="219" t="str">
        <f>"""IntAlert Live"",""ALERT UK"",""17"",""1"",""555813"""</f>
        <v>"IntAlert Live","ALERT UK","17","1","555813"</v>
      </c>
      <c r="G478" s="223">
        <v>43900</v>
      </c>
      <c r="H478" s="223"/>
      <c r="I478" s="218" t="str">
        <f t="shared" si="165"/>
        <v>DRCPARTNER/PSOL/AP21QR/2020/01</v>
      </c>
      <c r="K478" s="218" t="str">
        <f t="shared" si="164"/>
        <v>TMB</v>
      </c>
      <c r="L478" s="218" t="str">
        <f>"TVA-Frais tenu de compte"</f>
        <v>TVA-Frais tenu de compte</v>
      </c>
      <c r="M478" s="218" t="str">
        <f t="shared" si="167"/>
        <v>6410</v>
      </c>
      <c r="N478" s="218" t="str">
        <f t="shared" si="168"/>
        <v>PARTNER - EMPLOYMENT COST</v>
      </c>
      <c r="O478" s="218" t="str">
        <f t="shared" si="162"/>
        <v>DRCBUK</v>
      </c>
      <c r="P478" s="218" t="str">
        <f t="shared" si="158"/>
        <v>AP21QR</v>
      </c>
      <c r="Q478" s="218" t="str">
        <f>""</f>
        <v/>
      </c>
      <c r="R478" s="218" t="str">
        <f t="shared" si="166"/>
        <v>PSOL</v>
      </c>
      <c r="S478" s="218" t="str">
        <f t="shared" si="163"/>
        <v>076</v>
      </c>
      <c r="T478" s="218" t="str">
        <f t="shared" si="153"/>
        <v>D</v>
      </c>
      <c r="U478" s="218" t="str">
        <f t="shared" si="159"/>
        <v>AFR000</v>
      </c>
      <c r="V478" s="218" t="str">
        <f t="shared" si="160"/>
        <v>###</v>
      </c>
      <c r="W478" s="218">
        <v>0.8</v>
      </c>
      <c r="X478" s="218" t="str">
        <f t="shared" si="161"/>
        <v>USD</v>
      </c>
      <c r="Y478" s="218">
        <v>0.63</v>
      </c>
      <c r="Z478" s="218">
        <v>0.8</v>
      </c>
      <c r="AA478" s="218">
        <v>0.72</v>
      </c>
    </row>
    <row r="479" spans="1:27">
      <c r="A479" s="218" t="s">
        <v>2592</v>
      </c>
      <c r="F479" s="219" t="str">
        <f>"""IntAlert Live"",""ALERT UK"",""17"",""1"",""555814"""</f>
        <v>"IntAlert Live","ALERT UK","17","1","555814"</v>
      </c>
      <c r="G479" s="223">
        <v>43900</v>
      </c>
      <c r="H479" s="223"/>
      <c r="I479" s="218" t="str">
        <f t="shared" si="165"/>
        <v>DRCPARTNER/PSOL/AP21QR/2020/01</v>
      </c>
      <c r="K479" s="218" t="str">
        <f t="shared" si="164"/>
        <v>TMB</v>
      </c>
      <c r="L479" s="218" t="str">
        <f>"Frais de tenu de compte"</f>
        <v>Frais de tenu de compte</v>
      </c>
      <c r="M479" s="218" t="str">
        <f t="shared" si="167"/>
        <v>6410</v>
      </c>
      <c r="N479" s="218" t="str">
        <f t="shared" si="168"/>
        <v>PARTNER - EMPLOYMENT COST</v>
      </c>
      <c r="O479" s="218" t="str">
        <f t="shared" si="162"/>
        <v>DRCBUK</v>
      </c>
      <c r="P479" s="218" t="str">
        <f t="shared" si="158"/>
        <v>AP21QR</v>
      </c>
      <c r="Q479" s="218" t="str">
        <f>""</f>
        <v/>
      </c>
      <c r="R479" s="218" t="str">
        <f t="shared" si="166"/>
        <v>PSOL</v>
      </c>
      <c r="S479" s="218" t="str">
        <f t="shared" si="163"/>
        <v>076</v>
      </c>
      <c r="T479" s="218" t="str">
        <f t="shared" si="153"/>
        <v>D</v>
      </c>
      <c r="U479" s="218" t="str">
        <f t="shared" si="159"/>
        <v>AFR000</v>
      </c>
      <c r="V479" s="218" t="str">
        <f t="shared" si="160"/>
        <v>###</v>
      </c>
      <c r="W479" s="218">
        <v>5</v>
      </c>
      <c r="X479" s="218" t="str">
        <f t="shared" si="161"/>
        <v>USD</v>
      </c>
      <c r="Y479" s="218">
        <v>3.97</v>
      </c>
      <c r="Z479" s="218">
        <v>5</v>
      </c>
      <c r="AA479" s="218">
        <v>4.54</v>
      </c>
    </row>
    <row r="480" spans="1:27">
      <c r="A480" s="218" t="s">
        <v>2592</v>
      </c>
      <c r="F480" s="219" t="str">
        <f>"""IntAlert Live"",""ALERT UK"",""17"",""1"",""555815"""</f>
        <v>"IntAlert Live","ALERT UK","17","1","555815"</v>
      </c>
      <c r="G480" s="223">
        <v>43900</v>
      </c>
      <c r="H480" s="223"/>
      <c r="I480" s="218" t="str">
        <f t="shared" si="165"/>
        <v>DRCPARTNER/PSOL/AP21QR/2020/01</v>
      </c>
      <c r="K480" s="218" t="str">
        <f t="shared" si="164"/>
        <v>TMB</v>
      </c>
      <c r="L480" s="218" t="str">
        <f>"TVA-Frais tenu de compte"</f>
        <v>TVA-Frais tenu de compte</v>
      </c>
      <c r="M480" s="218" t="str">
        <f t="shared" si="167"/>
        <v>6410</v>
      </c>
      <c r="N480" s="218" t="str">
        <f t="shared" si="168"/>
        <v>PARTNER - EMPLOYMENT COST</v>
      </c>
      <c r="O480" s="218" t="str">
        <f t="shared" si="162"/>
        <v>DRCBUK</v>
      </c>
      <c r="P480" s="218" t="str">
        <f t="shared" si="158"/>
        <v>AP21QR</v>
      </c>
      <c r="Q480" s="218" t="str">
        <f>""</f>
        <v/>
      </c>
      <c r="R480" s="218" t="str">
        <f t="shared" si="166"/>
        <v>PSOL</v>
      </c>
      <c r="S480" s="218" t="str">
        <f t="shared" si="163"/>
        <v>076</v>
      </c>
      <c r="T480" s="218" t="str">
        <f t="shared" si="153"/>
        <v>D</v>
      </c>
      <c r="U480" s="218" t="str">
        <f t="shared" si="159"/>
        <v>AFR000</v>
      </c>
      <c r="V480" s="218" t="str">
        <f t="shared" si="160"/>
        <v>###</v>
      </c>
      <c r="W480" s="218">
        <v>0.8</v>
      </c>
      <c r="X480" s="218" t="str">
        <f t="shared" si="161"/>
        <v>USD</v>
      </c>
      <c r="Y480" s="218">
        <v>0.63</v>
      </c>
      <c r="Z480" s="218">
        <v>0.8</v>
      </c>
      <c r="AA480" s="218">
        <v>0.72</v>
      </c>
    </row>
    <row r="481" spans="1:27">
      <c r="A481" s="218" t="s">
        <v>2592</v>
      </c>
      <c r="F481" s="219" t="str">
        <f>"""IntAlert Live"",""ALERT UK"",""17"",""1"",""555816"""</f>
        <v>"IntAlert Live","ALERT UK","17","1","555816"</v>
      </c>
      <c r="G481" s="223">
        <v>43900</v>
      </c>
      <c r="H481" s="223"/>
      <c r="I481" s="218" t="str">
        <f t="shared" si="165"/>
        <v>DRCPARTNER/PSOL/AP21QR/2020/01</v>
      </c>
      <c r="K481" s="218" t="str">
        <f t="shared" si="164"/>
        <v>TMB</v>
      </c>
      <c r="L481" s="218" t="str">
        <f>"Comission sur transfert"</f>
        <v>Comission sur transfert</v>
      </c>
      <c r="M481" s="218" t="str">
        <f t="shared" si="167"/>
        <v>6410</v>
      </c>
      <c r="N481" s="218" t="str">
        <f t="shared" si="168"/>
        <v>PARTNER - EMPLOYMENT COST</v>
      </c>
      <c r="O481" s="218" t="str">
        <f t="shared" si="162"/>
        <v>DRCBUK</v>
      </c>
      <c r="P481" s="218" t="str">
        <f t="shared" si="158"/>
        <v>AP21QR</v>
      </c>
      <c r="Q481" s="218" t="str">
        <f>""</f>
        <v/>
      </c>
      <c r="R481" s="218" t="str">
        <f t="shared" si="166"/>
        <v>PSOL</v>
      </c>
      <c r="S481" s="218" t="str">
        <f t="shared" si="163"/>
        <v>076</v>
      </c>
      <c r="T481" s="218" t="str">
        <f t="shared" si="153"/>
        <v>D</v>
      </c>
      <c r="U481" s="218" t="str">
        <f t="shared" si="159"/>
        <v>AFR000</v>
      </c>
      <c r="V481" s="218" t="str">
        <f t="shared" si="160"/>
        <v>###</v>
      </c>
      <c r="W481" s="218">
        <v>213.24</v>
      </c>
      <c r="X481" s="218" t="str">
        <f t="shared" si="161"/>
        <v>USD</v>
      </c>
      <c r="Y481" s="218">
        <v>169.18</v>
      </c>
      <c r="Z481" s="218">
        <v>213.24</v>
      </c>
      <c r="AA481" s="218">
        <v>193.62</v>
      </c>
    </row>
    <row r="482" spans="1:27">
      <c r="A482" s="218" t="s">
        <v>2592</v>
      </c>
      <c r="F482" s="219" t="str">
        <f>"""IntAlert Live"",""ALERT UK"",""17"",""1"",""555817"""</f>
        <v>"IntAlert Live","ALERT UK","17","1","555817"</v>
      </c>
      <c r="G482" s="223">
        <v>43900</v>
      </c>
      <c r="H482" s="223"/>
      <c r="I482" s="218" t="str">
        <f t="shared" si="165"/>
        <v>DRCPARTNER/PSOL/AP21QR/2020/01</v>
      </c>
      <c r="K482" s="218" t="str">
        <f t="shared" si="164"/>
        <v>TMB</v>
      </c>
      <c r="L482" s="218" t="str">
        <f>"TVA collectée"</f>
        <v>TVA collectée</v>
      </c>
      <c r="M482" s="218" t="str">
        <f t="shared" si="167"/>
        <v>6410</v>
      </c>
      <c r="N482" s="218" t="str">
        <f t="shared" si="168"/>
        <v>PARTNER - EMPLOYMENT COST</v>
      </c>
      <c r="O482" s="218" t="str">
        <f t="shared" si="162"/>
        <v>DRCBUK</v>
      </c>
      <c r="P482" s="218" t="str">
        <f t="shared" si="158"/>
        <v>AP21QR</v>
      </c>
      <c r="Q482" s="218" t="str">
        <f>""</f>
        <v/>
      </c>
      <c r="R482" s="218" t="str">
        <f t="shared" si="166"/>
        <v>PSOL</v>
      </c>
      <c r="S482" s="218" t="str">
        <f t="shared" si="163"/>
        <v>076</v>
      </c>
      <c r="T482" s="218" t="str">
        <f t="shared" si="153"/>
        <v>D</v>
      </c>
      <c r="U482" s="218" t="str">
        <f t="shared" si="159"/>
        <v>AFR000</v>
      </c>
      <c r="V482" s="218" t="str">
        <f t="shared" si="160"/>
        <v>###</v>
      </c>
      <c r="W482" s="218">
        <v>34.119999999999997</v>
      </c>
      <c r="X482" s="218" t="str">
        <f t="shared" si="161"/>
        <v>USD</v>
      </c>
      <c r="Y482" s="218">
        <v>27.07</v>
      </c>
      <c r="Z482" s="218">
        <v>34.119999999999997</v>
      </c>
      <c r="AA482" s="218">
        <v>30.98</v>
      </c>
    </row>
    <row r="483" spans="1:27">
      <c r="A483" s="218" t="s">
        <v>2592</v>
      </c>
      <c r="F483" s="219" t="str">
        <f>"""IntAlert Live"",""ALERT UK"",""17"",""1"",""555830"""</f>
        <v>"IntAlert Live","ALERT UK","17","1","555830"</v>
      </c>
      <c r="G483" s="223">
        <v>43901</v>
      </c>
      <c r="H483" s="223"/>
      <c r="I483" s="218" t="str">
        <f t="shared" si="165"/>
        <v>DRCPARTNER/PSOL/AP21QR/2020/01</v>
      </c>
      <c r="K483" s="218" t="str">
        <f t="shared" ref="K483:K494" si="169">"CNSS"</f>
        <v>CNSS</v>
      </c>
      <c r="L483" s="218" t="str">
        <f>"Pyt Cotisation sociale CP&amp;ME février 2020"</f>
        <v>Pyt Cotisation sociale CP&amp;ME février 2020</v>
      </c>
      <c r="M483" s="218" t="str">
        <f t="shared" si="167"/>
        <v>6410</v>
      </c>
      <c r="N483" s="218" t="str">
        <f t="shared" si="168"/>
        <v>PARTNER - EMPLOYMENT COST</v>
      </c>
      <c r="O483" s="218" t="str">
        <f t="shared" si="162"/>
        <v>DRCBUK</v>
      </c>
      <c r="P483" s="218" t="str">
        <f t="shared" si="158"/>
        <v>AP21QR</v>
      </c>
      <c r="Q483" s="218" t="str">
        <f>""</f>
        <v/>
      </c>
      <c r="R483" s="218" t="str">
        <f t="shared" si="166"/>
        <v>PSOL</v>
      </c>
      <c r="S483" s="218" t="str">
        <f t="shared" si="163"/>
        <v>076</v>
      </c>
      <c r="T483" s="218" t="str">
        <f t="shared" si="153"/>
        <v>D</v>
      </c>
      <c r="U483" s="218" t="str">
        <f t="shared" si="159"/>
        <v>AFR000</v>
      </c>
      <c r="V483" s="218" t="str">
        <f t="shared" si="160"/>
        <v>###</v>
      </c>
      <c r="W483" s="218">
        <v>14</v>
      </c>
      <c r="X483" s="218" t="str">
        <f t="shared" si="161"/>
        <v>USD</v>
      </c>
      <c r="Y483" s="218">
        <v>11.11</v>
      </c>
      <c r="Z483" s="218">
        <v>14</v>
      </c>
      <c r="AA483" s="218">
        <v>12.71</v>
      </c>
    </row>
    <row r="484" spans="1:27">
      <c r="A484" s="218" t="s">
        <v>2592</v>
      </c>
      <c r="F484" s="219" t="str">
        <f>"""IntAlert Live"",""ALERT UK"",""17"",""1"",""555831"""</f>
        <v>"IntAlert Live","ALERT UK","17","1","555831"</v>
      </c>
      <c r="G484" s="223">
        <v>43901</v>
      </c>
      <c r="H484" s="223"/>
      <c r="I484" s="218" t="str">
        <f t="shared" si="165"/>
        <v>DRCPARTNER/PSOL/AP21QR/2020/01</v>
      </c>
      <c r="K484" s="218" t="str">
        <f t="shared" si="169"/>
        <v>CNSS</v>
      </c>
      <c r="L484" s="218" t="str">
        <f>"Pyt Cotisation sociale Animateur  février 2020"</f>
        <v>Pyt Cotisation sociale Animateur  février 2020</v>
      </c>
      <c r="M484" s="218" t="str">
        <f t="shared" si="167"/>
        <v>6410</v>
      </c>
      <c r="N484" s="218" t="str">
        <f t="shared" si="168"/>
        <v>PARTNER - EMPLOYMENT COST</v>
      </c>
      <c r="O484" s="218" t="str">
        <f t="shared" si="162"/>
        <v>DRCBUK</v>
      </c>
      <c r="P484" s="218" t="str">
        <f t="shared" si="158"/>
        <v>AP21QR</v>
      </c>
      <c r="Q484" s="218" t="str">
        <f>""</f>
        <v/>
      </c>
      <c r="R484" s="218" t="str">
        <f t="shared" si="166"/>
        <v>PSOL</v>
      </c>
      <c r="S484" s="218" t="str">
        <f t="shared" si="163"/>
        <v>076</v>
      </c>
      <c r="T484" s="218" t="str">
        <f t="shared" si="153"/>
        <v>D</v>
      </c>
      <c r="U484" s="218" t="str">
        <f t="shared" si="159"/>
        <v>AFR000</v>
      </c>
      <c r="V484" s="218" t="str">
        <f t="shared" si="160"/>
        <v>###</v>
      </c>
      <c r="W484" s="218">
        <v>10</v>
      </c>
      <c r="X484" s="218" t="str">
        <f t="shared" si="161"/>
        <v>USD</v>
      </c>
      <c r="Y484" s="218">
        <v>7.93</v>
      </c>
      <c r="Z484" s="218">
        <v>10</v>
      </c>
      <c r="AA484" s="218">
        <v>9.08</v>
      </c>
    </row>
    <row r="485" spans="1:27">
      <c r="A485" s="218" t="s">
        <v>2592</v>
      </c>
      <c r="F485" s="219" t="str">
        <f>"""IntAlert Live"",""ALERT UK"",""17"",""1"",""555832"""</f>
        <v>"IntAlert Live","ALERT UK","17","1","555832"</v>
      </c>
      <c r="G485" s="223">
        <v>43901</v>
      </c>
      <c r="H485" s="223"/>
      <c r="I485" s="218" t="str">
        <f t="shared" si="165"/>
        <v>DRCPARTNER/PSOL/AP21QR/2020/01</v>
      </c>
      <c r="K485" s="218" t="str">
        <f t="shared" si="169"/>
        <v>CNSS</v>
      </c>
      <c r="L485" s="218" t="str">
        <f>"Pyt Cotisation sociale Gardien  février 2020"</f>
        <v>Pyt Cotisation sociale Gardien  février 2020</v>
      </c>
      <c r="M485" s="218" t="str">
        <f t="shared" si="167"/>
        <v>6410</v>
      </c>
      <c r="N485" s="218" t="str">
        <f t="shared" si="168"/>
        <v>PARTNER - EMPLOYMENT COST</v>
      </c>
      <c r="O485" s="218" t="str">
        <f t="shared" si="162"/>
        <v>DRCBUK</v>
      </c>
      <c r="P485" s="218" t="str">
        <f t="shared" si="158"/>
        <v>AP21QR</v>
      </c>
      <c r="Q485" s="218" t="str">
        <f>""</f>
        <v/>
      </c>
      <c r="R485" s="218" t="str">
        <f t="shared" si="166"/>
        <v>PSOL</v>
      </c>
      <c r="S485" s="218" t="str">
        <f t="shared" si="163"/>
        <v>076</v>
      </c>
      <c r="T485" s="218" t="str">
        <f t="shared" si="153"/>
        <v>D</v>
      </c>
      <c r="U485" s="218" t="str">
        <f t="shared" si="159"/>
        <v>AFR000</v>
      </c>
      <c r="V485" s="218" t="str">
        <f t="shared" si="160"/>
        <v>###</v>
      </c>
      <c r="W485" s="218">
        <v>3</v>
      </c>
      <c r="X485" s="218" t="str">
        <f t="shared" si="161"/>
        <v>USD</v>
      </c>
      <c r="Y485" s="218">
        <v>2.38</v>
      </c>
      <c r="Z485" s="218">
        <v>3</v>
      </c>
      <c r="AA485" s="218">
        <v>2.72</v>
      </c>
    </row>
    <row r="486" spans="1:27">
      <c r="A486" s="218" t="s">
        <v>2592</v>
      </c>
      <c r="F486" s="219" t="str">
        <f>"""IntAlert Live"",""ALERT UK"",""17"",""1"",""555833"""</f>
        <v>"IntAlert Live","ALERT UK","17","1","555833"</v>
      </c>
      <c r="G486" s="223">
        <v>43901</v>
      </c>
      <c r="H486" s="223"/>
      <c r="I486" s="218" t="str">
        <f t="shared" si="165"/>
        <v>DRCPARTNER/PSOL/AP21QR/2020/01</v>
      </c>
      <c r="K486" s="218" t="str">
        <f t="shared" si="169"/>
        <v>CNSS</v>
      </c>
      <c r="L486" s="218" t="str">
        <f>"Pyt Cotisation sociale Financière  février 2020"</f>
        <v>Pyt Cotisation sociale Financière  février 2020</v>
      </c>
      <c r="M486" s="218" t="str">
        <f t="shared" si="167"/>
        <v>6410</v>
      </c>
      <c r="N486" s="218" t="str">
        <f t="shared" si="168"/>
        <v>PARTNER - EMPLOYMENT COST</v>
      </c>
      <c r="O486" s="218" t="str">
        <f t="shared" si="162"/>
        <v>DRCBUK</v>
      </c>
      <c r="P486" s="218" t="str">
        <f t="shared" si="158"/>
        <v>AP21QR</v>
      </c>
      <c r="Q486" s="218" t="str">
        <f>""</f>
        <v/>
      </c>
      <c r="R486" s="218" t="str">
        <f t="shared" si="166"/>
        <v>PSOL</v>
      </c>
      <c r="S486" s="218" t="str">
        <f t="shared" si="163"/>
        <v>076</v>
      </c>
      <c r="T486" s="218" t="str">
        <f t="shared" si="153"/>
        <v>D</v>
      </c>
      <c r="U486" s="218" t="str">
        <f t="shared" si="159"/>
        <v>AFR000</v>
      </c>
      <c r="V486" s="218" t="str">
        <f t="shared" si="160"/>
        <v>###</v>
      </c>
      <c r="W486" s="218">
        <v>4</v>
      </c>
      <c r="X486" s="218" t="str">
        <f t="shared" si="161"/>
        <v>USD</v>
      </c>
      <c r="Y486" s="218">
        <v>3.17</v>
      </c>
      <c r="Z486" s="218">
        <v>4</v>
      </c>
      <c r="AA486" s="218">
        <v>3.63</v>
      </c>
    </row>
    <row r="487" spans="1:27">
      <c r="A487" s="218" t="s">
        <v>2592</v>
      </c>
      <c r="F487" s="219" t="str">
        <f>"""IntAlert Live"",""ALERT UK"",""17"",""1"",""555834"""</f>
        <v>"IntAlert Live","ALERT UK","17","1","555834"</v>
      </c>
      <c r="G487" s="223">
        <v>43901</v>
      </c>
      <c r="H487" s="223"/>
      <c r="I487" s="218" t="str">
        <f t="shared" si="165"/>
        <v>DRCPARTNER/PSOL/AP21QR/2020/01</v>
      </c>
      <c r="K487" s="218" t="str">
        <f t="shared" si="169"/>
        <v>CNSS</v>
      </c>
      <c r="L487" s="218" t="str">
        <f>"Pyt Cotisation sociale CP&amp;ME   février 2020"</f>
        <v>Pyt Cotisation sociale CP&amp;ME   février 2020</v>
      </c>
      <c r="M487" s="218" t="str">
        <f t="shared" si="167"/>
        <v>6410</v>
      </c>
      <c r="N487" s="218" t="str">
        <f t="shared" si="168"/>
        <v>PARTNER - EMPLOYMENT COST</v>
      </c>
      <c r="O487" s="218" t="str">
        <f t="shared" si="162"/>
        <v>DRCBUK</v>
      </c>
      <c r="P487" s="218" t="str">
        <f t="shared" si="158"/>
        <v>AP21QR</v>
      </c>
      <c r="Q487" s="218" t="str">
        <f>""</f>
        <v/>
      </c>
      <c r="R487" s="218" t="str">
        <f t="shared" si="166"/>
        <v>PSOL</v>
      </c>
      <c r="S487" s="218" t="str">
        <f t="shared" si="163"/>
        <v>076</v>
      </c>
      <c r="T487" s="218" t="str">
        <f t="shared" si="153"/>
        <v>D</v>
      </c>
      <c r="U487" s="218" t="str">
        <f t="shared" si="159"/>
        <v>AFR000</v>
      </c>
      <c r="V487" s="218" t="str">
        <f t="shared" si="160"/>
        <v>###</v>
      </c>
      <c r="W487" s="218">
        <v>36</v>
      </c>
      <c r="X487" s="218" t="str">
        <f t="shared" si="161"/>
        <v>USD</v>
      </c>
      <c r="Y487" s="218">
        <v>28.56</v>
      </c>
      <c r="Z487" s="218">
        <v>36</v>
      </c>
      <c r="AA487" s="218">
        <v>32.69</v>
      </c>
    </row>
    <row r="488" spans="1:27">
      <c r="A488" s="218" t="s">
        <v>2592</v>
      </c>
      <c r="F488" s="219" t="str">
        <f>"""IntAlert Live"",""ALERT UK"",""17"",""1"",""555835"""</f>
        <v>"IntAlert Live","ALERT UK","17","1","555835"</v>
      </c>
      <c r="G488" s="223">
        <v>43901</v>
      </c>
      <c r="H488" s="223"/>
      <c r="I488" s="218" t="str">
        <f t="shared" si="165"/>
        <v>DRCPARTNER/PSOL/AP21QR/2020/01</v>
      </c>
      <c r="K488" s="218" t="str">
        <f t="shared" si="169"/>
        <v>CNSS</v>
      </c>
      <c r="L488" s="218" t="str">
        <f>"PytCotisation sociale Animateur  février 2020"</f>
        <v>PytCotisation sociale Animateur  février 2020</v>
      </c>
      <c r="M488" s="218" t="str">
        <f t="shared" si="167"/>
        <v>6410</v>
      </c>
      <c r="N488" s="218" t="str">
        <f t="shared" si="168"/>
        <v>PARTNER - EMPLOYMENT COST</v>
      </c>
      <c r="O488" s="218" t="str">
        <f t="shared" si="162"/>
        <v>DRCBUK</v>
      </c>
      <c r="P488" s="218" t="str">
        <f t="shared" si="158"/>
        <v>AP21QR</v>
      </c>
      <c r="Q488" s="218" t="str">
        <f>""</f>
        <v/>
      </c>
      <c r="R488" s="218" t="str">
        <f t="shared" si="166"/>
        <v>PSOL</v>
      </c>
      <c r="S488" s="218" t="str">
        <f t="shared" si="163"/>
        <v>076</v>
      </c>
      <c r="T488" s="218" t="str">
        <f t="shared" si="153"/>
        <v>D</v>
      </c>
      <c r="U488" s="218" t="str">
        <f t="shared" si="159"/>
        <v>AFR000</v>
      </c>
      <c r="V488" s="218" t="str">
        <f t="shared" si="160"/>
        <v>###</v>
      </c>
      <c r="W488" s="218">
        <v>26</v>
      </c>
      <c r="X488" s="218" t="str">
        <f t="shared" si="161"/>
        <v>USD</v>
      </c>
      <c r="Y488" s="218">
        <v>20.63</v>
      </c>
      <c r="Z488" s="218">
        <v>26</v>
      </c>
      <c r="AA488" s="218">
        <v>23.61</v>
      </c>
    </row>
    <row r="489" spans="1:27">
      <c r="A489" s="218" t="s">
        <v>2592</v>
      </c>
      <c r="F489" s="219" t="str">
        <f>"""IntAlert Live"",""ALERT UK"",""17"",""1"",""555836"""</f>
        <v>"IntAlert Live","ALERT UK","17","1","555836"</v>
      </c>
      <c r="G489" s="223">
        <v>43901</v>
      </c>
      <c r="H489" s="223"/>
      <c r="I489" s="218" t="str">
        <f t="shared" si="165"/>
        <v>DRCPARTNER/PSOL/AP21QR/2020/01</v>
      </c>
      <c r="K489" s="218" t="str">
        <f t="shared" si="169"/>
        <v>CNSS</v>
      </c>
      <c r="L489" s="218" t="str">
        <f>"Pyt Cotisation sociale Gardien  février 2020"</f>
        <v>Pyt Cotisation sociale Gardien  février 2020</v>
      </c>
      <c r="M489" s="218" t="str">
        <f t="shared" si="167"/>
        <v>6410</v>
      </c>
      <c r="N489" s="218" t="str">
        <f t="shared" si="168"/>
        <v>PARTNER - EMPLOYMENT COST</v>
      </c>
      <c r="O489" s="218" t="str">
        <f t="shared" si="162"/>
        <v>DRCBUK</v>
      </c>
      <c r="P489" s="218" t="str">
        <f t="shared" si="158"/>
        <v>AP21QR</v>
      </c>
      <c r="Q489" s="218" t="str">
        <f>""</f>
        <v/>
      </c>
      <c r="R489" s="218" t="str">
        <f t="shared" si="166"/>
        <v>PSOL</v>
      </c>
      <c r="S489" s="218" t="str">
        <f t="shared" si="163"/>
        <v>076</v>
      </c>
      <c r="T489" s="218" t="str">
        <f t="shared" si="153"/>
        <v>D</v>
      </c>
      <c r="U489" s="218" t="str">
        <f t="shared" si="159"/>
        <v>AFR000</v>
      </c>
      <c r="V489" s="218" t="str">
        <f t="shared" si="160"/>
        <v>###</v>
      </c>
      <c r="W489" s="218">
        <v>7</v>
      </c>
      <c r="X489" s="218" t="str">
        <f t="shared" si="161"/>
        <v>USD</v>
      </c>
      <c r="Y489" s="218">
        <v>5.55</v>
      </c>
      <c r="Z489" s="218">
        <v>7</v>
      </c>
      <c r="AA489" s="218">
        <v>6.35</v>
      </c>
    </row>
    <row r="490" spans="1:27">
      <c r="A490" s="218" t="s">
        <v>2592</v>
      </c>
      <c r="F490" s="219" t="str">
        <f>"""IntAlert Live"",""ALERT UK"",""17"",""1"",""555837"""</f>
        <v>"IntAlert Live","ALERT UK","17","1","555837"</v>
      </c>
      <c r="G490" s="223">
        <v>43901</v>
      </c>
      <c r="H490" s="223"/>
      <c r="I490" s="218" t="str">
        <f t="shared" si="165"/>
        <v>DRCPARTNER/PSOL/AP21QR/2020/01</v>
      </c>
      <c r="K490" s="218" t="str">
        <f t="shared" si="169"/>
        <v>CNSS</v>
      </c>
      <c r="L490" s="218" t="str">
        <f>"Pyt Cotisation sociale Financière  février 2020"</f>
        <v>Pyt Cotisation sociale Financière  février 2020</v>
      </c>
      <c r="M490" s="218" t="str">
        <f t="shared" si="167"/>
        <v>6410</v>
      </c>
      <c r="N490" s="218" t="str">
        <f t="shared" si="168"/>
        <v>PARTNER - EMPLOYMENT COST</v>
      </c>
      <c r="O490" s="218" t="str">
        <f t="shared" si="162"/>
        <v>DRCBUK</v>
      </c>
      <c r="P490" s="218" t="str">
        <f t="shared" si="158"/>
        <v>AP21QR</v>
      </c>
      <c r="Q490" s="218" t="str">
        <f>""</f>
        <v/>
      </c>
      <c r="R490" s="218" t="str">
        <f t="shared" si="166"/>
        <v>PSOL</v>
      </c>
      <c r="S490" s="218" t="str">
        <f t="shared" si="163"/>
        <v>076</v>
      </c>
      <c r="T490" s="218" t="str">
        <f t="shared" si="153"/>
        <v>D</v>
      </c>
      <c r="U490" s="218" t="str">
        <f t="shared" si="159"/>
        <v>AFR000</v>
      </c>
      <c r="V490" s="218" t="str">
        <f t="shared" si="160"/>
        <v>###</v>
      </c>
      <c r="W490" s="218">
        <v>14</v>
      </c>
      <c r="X490" s="218" t="str">
        <f t="shared" si="161"/>
        <v>USD</v>
      </c>
      <c r="Y490" s="218">
        <v>11.11</v>
      </c>
      <c r="Z490" s="218">
        <v>14</v>
      </c>
      <c r="AA490" s="218">
        <v>12.71</v>
      </c>
    </row>
    <row r="491" spans="1:27">
      <c r="A491" s="218" t="s">
        <v>2592</v>
      </c>
      <c r="F491" s="219" t="str">
        <f>"""IntAlert Live"",""ALERT UK"",""17"",""1"",""555838"""</f>
        <v>"IntAlert Live","ALERT UK","17","1","555838"</v>
      </c>
      <c r="G491" s="223">
        <v>43901</v>
      </c>
      <c r="H491" s="223"/>
      <c r="I491" s="218" t="str">
        <f t="shared" si="165"/>
        <v>DRCPARTNER/PSOL/AP21QR/2020/01</v>
      </c>
      <c r="K491" s="218" t="str">
        <f t="shared" si="169"/>
        <v>CNSS</v>
      </c>
      <c r="L491" s="218" t="str">
        <f>"Pyt Cotisation CP&amp;ME   février 2020"</f>
        <v>Pyt Cotisation CP&amp;ME   février 2020</v>
      </c>
      <c r="M491" s="218" t="str">
        <f t="shared" si="167"/>
        <v>6410</v>
      </c>
      <c r="N491" s="218" t="str">
        <f t="shared" si="168"/>
        <v>PARTNER - EMPLOYMENT COST</v>
      </c>
      <c r="O491" s="218" t="str">
        <f t="shared" si="162"/>
        <v>DRCBUK</v>
      </c>
      <c r="P491" s="218" t="str">
        <f t="shared" si="158"/>
        <v>AP21QR</v>
      </c>
      <c r="Q491" s="218" t="str">
        <f>""</f>
        <v/>
      </c>
      <c r="R491" s="218" t="str">
        <f t="shared" si="166"/>
        <v>PSOL</v>
      </c>
      <c r="S491" s="218" t="str">
        <f t="shared" si="163"/>
        <v>076</v>
      </c>
      <c r="T491" s="218" t="str">
        <f t="shared" si="153"/>
        <v>D</v>
      </c>
      <c r="U491" s="218" t="str">
        <f t="shared" si="159"/>
        <v>AFR000</v>
      </c>
      <c r="V491" s="218" t="str">
        <f t="shared" si="160"/>
        <v>###</v>
      </c>
      <c r="W491" s="218">
        <v>8</v>
      </c>
      <c r="X491" s="218" t="str">
        <f t="shared" si="161"/>
        <v>USD</v>
      </c>
      <c r="Y491" s="218">
        <v>6.35</v>
      </c>
      <c r="Z491" s="218">
        <v>8</v>
      </c>
      <c r="AA491" s="218">
        <v>7.27</v>
      </c>
    </row>
    <row r="492" spans="1:27">
      <c r="A492" s="218" t="s">
        <v>2592</v>
      </c>
      <c r="F492" s="219" t="str">
        <f>"""IntAlert Live"",""ALERT UK"",""17"",""1"",""555839"""</f>
        <v>"IntAlert Live","ALERT UK","17","1","555839"</v>
      </c>
      <c r="G492" s="223">
        <v>43901</v>
      </c>
      <c r="H492" s="223"/>
      <c r="I492" s="218" t="str">
        <f t="shared" si="165"/>
        <v>DRCPARTNER/PSOL/AP21QR/2020/01</v>
      </c>
      <c r="K492" s="218" t="str">
        <f t="shared" si="169"/>
        <v>CNSS</v>
      </c>
      <c r="L492" s="218" t="str">
        <f>"Pyt Cotisation Animateur  février 2020"</f>
        <v>Pyt Cotisation Animateur  février 2020</v>
      </c>
      <c r="M492" s="218" t="str">
        <f t="shared" si="167"/>
        <v>6410</v>
      </c>
      <c r="N492" s="218" t="str">
        <f t="shared" si="168"/>
        <v>PARTNER - EMPLOYMENT COST</v>
      </c>
      <c r="O492" s="218" t="str">
        <f t="shared" si="162"/>
        <v>DRCBUK</v>
      </c>
      <c r="P492" s="218" t="str">
        <f t="shared" si="158"/>
        <v>AP21QR</v>
      </c>
      <c r="Q492" s="218" t="str">
        <f>""</f>
        <v/>
      </c>
      <c r="R492" s="218" t="str">
        <f t="shared" si="166"/>
        <v>PSOL</v>
      </c>
      <c r="S492" s="218" t="str">
        <f t="shared" si="163"/>
        <v>076</v>
      </c>
      <c r="T492" s="218" t="str">
        <f t="shared" si="153"/>
        <v>D</v>
      </c>
      <c r="U492" s="218" t="str">
        <f t="shared" si="159"/>
        <v>AFR000</v>
      </c>
      <c r="V492" s="218" t="str">
        <f t="shared" si="160"/>
        <v>###</v>
      </c>
      <c r="W492" s="218">
        <v>6</v>
      </c>
      <c r="X492" s="218" t="str">
        <f t="shared" si="161"/>
        <v>USD</v>
      </c>
      <c r="Y492" s="218">
        <v>4.76</v>
      </c>
      <c r="Z492" s="218">
        <v>6</v>
      </c>
      <c r="AA492" s="218">
        <v>5.45</v>
      </c>
    </row>
    <row r="493" spans="1:27">
      <c r="A493" s="218" t="s">
        <v>2592</v>
      </c>
      <c r="F493" s="219" t="str">
        <f>"""IntAlert Live"",""ALERT UK"",""17"",""1"",""555840"""</f>
        <v>"IntAlert Live","ALERT UK","17","1","555840"</v>
      </c>
      <c r="G493" s="223">
        <v>43901</v>
      </c>
      <c r="H493" s="223"/>
      <c r="I493" s="218" t="str">
        <f t="shared" si="165"/>
        <v>DRCPARTNER/PSOL/AP21QR/2020/01</v>
      </c>
      <c r="K493" s="218" t="str">
        <f t="shared" si="169"/>
        <v>CNSS</v>
      </c>
      <c r="L493" s="218" t="str">
        <f>"Pyt Cotisation  Gardien   février 2020"</f>
        <v>Pyt Cotisation  Gardien   février 2020</v>
      </c>
      <c r="M493" s="218" t="str">
        <f t="shared" si="167"/>
        <v>6410</v>
      </c>
      <c r="N493" s="218" t="str">
        <f t="shared" si="168"/>
        <v>PARTNER - EMPLOYMENT COST</v>
      </c>
      <c r="O493" s="218" t="str">
        <f t="shared" si="162"/>
        <v>DRCBUK</v>
      </c>
      <c r="P493" s="218" t="str">
        <f t="shared" si="158"/>
        <v>AP21QR</v>
      </c>
      <c r="Q493" s="218" t="str">
        <f>""</f>
        <v/>
      </c>
      <c r="R493" s="218" t="str">
        <f t="shared" si="166"/>
        <v>PSOL</v>
      </c>
      <c r="S493" s="218" t="str">
        <f t="shared" si="163"/>
        <v>076</v>
      </c>
      <c r="T493" s="218" t="str">
        <f t="shared" si="153"/>
        <v>D</v>
      </c>
      <c r="U493" s="218" t="str">
        <f t="shared" si="159"/>
        <v>AFR000</v>
      </c>
      <c r="V493" s="218" t="str">
        <f t="shared" si="160"/>
        <v>###</v>
      </c>
      <c r="W493" s="218">
        <v>2</v>
      </c>
      <c r="X493" s="218" t="str">
        <f t="shared" si="161"/>
        <v>USD</v>
      </c>
      <c r="Y493" s="218">
        <v>1.59</v>
      </c>
      <c r="Z493" s="218">
        <v>2</v>
      </c>
      <c r="AA493" s="218">
        <v>1.82</v>
      </c>
    </row>
    <row r="494" spans="1:27">
      <c r="A494" s="218" t="s">
        <v>2592</v>
      </c>
      <c r="F494" s="219" t="str">
        <f>"""IntAlert Live"",""ALERT UK"",""17"",""1"",""555841"""</f>
        <v>"IntAlert Live","ALERT UK","17","1","555841"</v>
      </c>
      <c r="G494" s="223">
        <v>43901</v>
      </c>
      <c r="H494" s="223"/>
      <c r="I494" s="218" t="str">
        <f t="shared" si="165"/>
        <v>DRCPARTNER/PSOL/AP21QR/2020/01</v>
      </c>
      <c r="K494" s="218" t="str">
        <f t="shared" si="169"/>
        <v>CNSS</v>
      </c>
      <c r="L494" s="218" t="str">
        <f>"Pyt Cotisation  Financière  février 2020"</f>
        <v>Pyt Cotisation  Financière  février 2020</v>
      </c>
      <c r="M494" s="218" t="str">
        <f t="shared" si="167"/>
        <v>6410</v>
      </c>
      <c r="N494" s="218" t="str">
        <f t="shared" si="168"/>
        <v>PARTNER - EMPLOYMENT COST</v>
      </c>
      <c r="O494" s="218" t="str">
        <f t="shared" si="162"/>
        <v>DRCBUK</v>
      </c>
      <c r="P494" s="218" t="str">
        <f t="shared" si="158"/>
        <v>AP21QR</v>
      </c>
      <c r="Q494" s="218" t="str">
        <f>""</f>
        <v/>
      </c>
      <c r="R494" s="218" t="str">
        <f t="shared" si="166"/>
        <v>PSOL</v>
      </c>
      <c r="S494" s="218" t="str">
        <f t="shared" si="163"/>
        <v>076</v>
      </c>
      <c r="T494" s="218" t="str">
        <f t="shared" si="153"/>
        <v>D</v>
      </c>
      <c r="U494" s="218" t="str">
        <f t="shared" si="159"/>
        <v>AFR000</v>
      </c>
      <c r="V494" s="218" t="str">
        <f t="shared" si="160"/>
        <v>###</v>
      </c>
      <c r="W494" s="218">
        <v>3</v>
      </c>
      <c r="X494" s="218" t="str">
        <f t="shared" si="161"/>
        <v>USD</v>
      </c>
      <c r="Y494" s="218">
        <v>2.38</v>
      </c>
      <c r="Z494" s="218">
        <v>3</v>
      </c>
      <c r="AA494" s="218">
        <v>2.72</v>
      </c>
    </row>
    <row r="495" spans="1:27">
      <c r="A495" s="218" t="s">
        <v>2592</v>
      </c>
      <c r="F495" s="219" t="str">
        <f>"""IntAlert Live"",""ALERT UK"",""17"",""1"",""555999"""</f>
        <v>"IntAlert Live","ALERT UK","17","1","555999"</v>
      </c>
      <c r="G495" s="223">
        <v>43901</v>
      </c>
      <c r="H495" s="223"/>
      <c r="I495" s="218" t="str">
        <f>"DRCPARTNER/PBVE/AP21QR/2020/01"</f>
        <v>DRCPARTNER/PBVE/AP21QR/2020/01</v>
      </c>
      <c r="K495" s="218" t="str">
        <f>"FBN BANK"</f>
        <v>FBN BANK</v>
      </c>
      <c r="L495" s="218" t="str">
        <f>"CION TRANSFERT ENTRANT"</f>
        <v>CION TRANSFERT ENTRANT</v>
      </c>
      <c r="M495" s="218" t="str">
        <f t="shared" si="167"/>
        <v>6410</v>
      </c>
      <c r="N495" s="218" t="str">
        <f t="shared" si="168"/>
        <v>PARTNER - EMPLOYMENT COST</v>
      </c>
      <c r="O495" s="218" t="str">
        <f t="shared" si="162"/>
        <v>DRCBUK</v>
      </c>
      <c r="P495" s="218" t="str">
        <f t="shared" si="158"/>
        <v>AP21QR</v>
      </c>
      <c r="Q495" s="218" t="str">
        <f>""</f>
        <v/>
      </c>
      <c r="R495" s="218" t="str">
        <f>"PBVE"</f>
        <v>PBVE</v>
      </c>
      <c r="S495" s="218" t="str">
        <f t="shared" si="163"/>
        <v>076</v>
      </c>
      <c r="T495" s="218" t="str">
        <f t="shared" si="153"/>
        <v>D</v>
      </c>
      <c r="U495" s="218" t="str">
        <f t="shared" si="159"/>
        <v>AFR000</v>
      </c>
      <c r="V495" s="218" t="str">
        <f t="shared" si="160"/>
        <v>###</v>
      </c>
      <c r="W495" s="218">
        <v>298.91000000000003</v>
      </c>
      <c r="X495" s="218" t="str">
        <f t="shared" si="161"/>
        <v>USD</v>
      </c>
      <c r="Y495" s="218">
        <v>237.15</v>
      </c>
      <c r="Z495" s="218">
        <v>298.91000000000003</v>
      </c>
      <c r="AA495" s="218">
        <v>271.41000000000003</v>
      </c>
    </row>
    <row r="496" spans="1:27">
      <c r="A496" s="218" t="s">
        <v>2592</v>
      </c>
      <c r="F496" s="219" t="str">
        <f>"""IntAlert Live"",""ALERT UK"",""17"",""1"",""556000"""</f>
        <v>"IntAlert Live","ALERT UK","17","1","556000"</v>
      </c>
      <c r="G496" s="223">
        <v>43901</v>
      </c>
      <c r="H496" s="223"/>
      <c r="I496" s="218" t="str">
        <f>"DRCPARTNER/PBVE/AP21QR/2020/01"</f>
        <v>DRCPARTNER/PBVE/AP21QR/2020/01</v>
      </c>
      <c r="K496" s="218" t="str">
        <f>"FBN BANK"</f>
        <v>FBN BANK</v>
      </c>
      <c r="L496" s="218" t="str">
        <f>"TVA -VAT"</f>
        <v>TVA -VAT</v>
      </c>
      <c r="M496" s="218" t="str">
        <f t="shared" si="167"/>
        <v>6410</v>
      </c>
      <c r="N496" s="218" t="str">
        <f t="shared" si="168"/>
        <v>PARTNER - EMPLOYMENT COST</v>
      </c>
      <c r="O496" s="218" t="str">
        <f t="shared" si="162"/>
        <v>DRCBUK</v>
      </c>
      <c r="P496" s="218" t="str">
        <f t="shared" si="158"/>
        <v>AP21QR</v>
      </c>
      <c r="Q496" s="218" t="str">
        <f>""</f>
        <v/>
      </c>
      <c r="R496" s="218" t="str">
        <f>"PBVE"</f>
        <v>PBVE</v>
      </c>
      <c r="S496" s="218" t="str">
        <f t="shared" si="163"/>
        <v>076</v>
      </c>
      <c r="T496" s="218" t="str">
        <f t="shared" si="153"/>
        <v>D</v>
      </c>
      <c r="U496" s="218" t="str">
        <f t="shared" si="159"/>
        <v>AFR000</v>
      </c>
      <c r="V496" s="218" t="str">
        <f t="shared" si="160"/>
        <v>###</v>
      </c>
      <c r="W496" s="218">
        <v>47.83</v>
      </c>
      <c r="X496" s="218" t="str">
        <f t="shared" si="161"/>
        <v>USD</v>
      </c>
      <c r="Y496" s="218">
        <v>37.950000000000003</v>
      </c>
      <c r="Z496" s="218">
        <v>47.83</v>
      </c>
      <c r="AA496" s="218">
        <v>43.43</v>
      </c>
    </row>
    <row r="497" spans="1:27">
      <c r="A497" s="218" t="s">
        <v>2592</v>
      </c>
      <c r="F497" s="219" t="str">
        <f>"""IntAlert Live"",""ALERT UK"",""17"",""1"",""556009"""</f>
        <v>"IntAlert Live","ALERT UK","17","1","556009"</v>
      </c>
      <c r="G497" s="223">
        <v>43904</v>
      </c>
      <c r="H497" s="223"/>
      <c r="I497" s="218" t="str">
        <f>"DRCPARTNER/PBVE/AP21QR/2020/01"</f>
        <v>DRCPARTNER/PBVE/AP21QR/2020/01</v>
      </c>
      <c r="K497" s="218" t="str">
        <f>"EST CIMS"</f>
        <v>EST CIMS</v>
      </c>
      <c r="L497" s="218" t="str">
        <f>"Achat matériel de bureau"</f>
        <v>Achat matériel de bureau</v>
      </c>
      <c r="M497" s="218" t="str">
        <f t="shared" si="167"/>
        <v>6410</v>
      </c>
      <c r="N497" s="218" t="str">
        <f t="shared" si="168"/>
        <v>PARTNER - EMPLOYMENT COST</v>
      </c>
      <c r="O497" s="218" t="str">
        <f t="shared" si="162"/>
        <v>DRCBUK</v>
      </c>
      <c r="P497" s="218" t="str">
        <f t="shared" si="158"/>
        <v>AP21QR</v>
      </c>
      <c r="Q497" s="218" t="str">
        <f>""</f>
        <v/>
      </c>
      <c r="R497" s="218" t="str">
        <f>"PBVE"</f>
        <v>PBVE</v>
      </c>
      <c r="S497" s="218" t="str">
        <f t="shared" si="163"/>
        <v>076</v>
      </c>
      <c r="T497" s="218" t="str">
        <f t="shared" si="153"/>
        <v>D</v>
      </c>
      <c r="U497" s="218" t="str">
        <f t="shared" si="159"/>
        <v>AFR000</v>
      </c>
      <c r="V497" s="218" t="str">
        <f t="shared" si="160"/>
        <v>###</v>
      </c>
      <c r="W497" s="218">
        <v>120</v>
      </c>
      <c r="X497" s="218" t="str">
        <f t="shared" si="161"/>
        <v>USD</v>
      </c>
      <c r="Y497" s="218">
        <v>95.21</v>
      </c>
      <c r="Z497" s="218">
        <v>120</v>
      </c>
      <c r="AA497" s="218">
        <v>108.96</v>
      </c>
    </row>
    <row r="498" spans="1:27">
      <c r="A498" s="218" t="s">
        <v>2592</v>
      </c>
      <c r="F498" s="219" t="str">
        <f>"""IntAlert Live"",""ALERT UK"",""17"",""1"",""555694"""</f>
        <v>"IntAlert Live","ALERT UK","17","1","555694"</v>
      </c>
      <c r="G498" s="223">
        <v>43907</v>
      </c>
      <c r="H498" s="223"/>
      <c r="I498" s="218" t="str">
        <f t="shared" ref="I498:I506" si="170">"DRCPARTNER/PAPU/AP21QR/2020/01"</f>
        <v>DRCPARTNER/PAPU/AP21QR/2020/01</v>
      </c>
      <c r="K498" s="218" t="str">
        <f>"INPP"</f>
        <v>INPP</v>
      </c>
      <c r="L498" s="218" t="str">
        <f>"Paiement cotisations du mois de Fevrier 2020"</f>
        <v>Paiement cotisations du mois de Fevrier 2020</v>
      </c>
      <c r="M498" s="218" t="str">
        <f t="shared" si="167"/>
        <v>6410</v>
      </c>
      <c r="N498" s="218" t="str">
        <f t="shared" si="168"/>
        <v>PARTNER - EMPLOYMENT COST</v>
      </c>
      <c r="O498" s="218" t="str">
        <f t="shared" si="162"/>
        <v>DRCBUK</v>
      </c>
      <c r="P498" s="218" t="str">
        <f t="shared" si="158"/>
        <v>AP21QR</v>
      </c>
      <c r="Q498" s="218" t="str">
        <f>""</f>
        <v/>
      </c>
      <c r="R498" s="218" t="str">
        <f t="shared" ref="R498:R506" si="171">"PAPU"</f>
        <v>PAPU</v>
      </c>
      <c r="S498" s="218" t="str">
        <f t="shared" si="163"/>
        <v>076</v>
      </c>
      <c r="T498" s="218" t="str">
        <f t="shared" si="153"/>
        <v>D</v>
      </c>
      <c r="U498" s="218" t="str">
        <f t="shared" si="159"/>
        <v>AFR000</v>
      </c>
      <c r="V498" s="218" t="str">
        <f t="shared" si="160"/>
        <v>###</v>
      </c>
      <c r="W498" s="218">
        <v>39</v>
      </c>
      <c r="X498" s="218" t="str">
        <f t="shared" si="161"/>
        <v>USD</v>
      </c>
      <c r="Y498" s="218">
        <v>30.94</v>
      </c>
      <c r="Z498" s="218">
        <v>39</v>
      </c>
      <c r="AA498" s="218">
        <v>35.409999999999997</v>
      </c>
    </row>
    <row r="499" spans="1:27">
      <c r="A499" s="218" t="s">
        <v>2592</v>
      </c>
      <c r="F499" s="219" t="str">
        <f>"""IntAlert Live"",""ALERT UK"",""17"",""1"",""555695"""</f>
        <v>"IntAlert Live","ALERT UK","17","1","555695"</v>
      </c>
      <c r="G499" s="223">
        <v>43907</v>
      </c>
      <c r="H499" s="223"/>
      <c r="I499" s="218" t="str">
        <f t="shared" si="170"/>
        <v>DRCPARTNER/PAPU/AP21QR/2020/01</v>
      </c>
      <c r="K499" s="218" t="str">
        <f>"DGI"</f>
        <v>DGI</v>
      </c>
      <c r="L499" s="218" t="str">
        <f>"Paiement IPR mois de Fevrier 2020"</f>
        <v>Paiement IPR mois de Fevrier 2020</v>
      </c>
      <c r="M499" s="218" t="str">
        <f t="shared" si="167"/>
        <v>6410</v>
      </c>
      <c r="N499" s="218" t="str">
        <f t="shared" si="168"/>
        <v>PARTNER - EMPLOYMENT COST</v>
      </c>
      <c r="O499" s="218" t="str">
        <f t="shared" si="162"/>
        <v>DRCBUK</v>
      </c>
      <c r="P499" s="218" t="str">
        <f t="shared" si="158"/>
        <v>AP21QR</v>
      </c>
      <c r="Q499" s="218" t="str">
        <f>""</f>
        <v/>
      </c>
      <c r="R499" s="218" t="str">
        <f t="shared" si="171"/>
        <v>PAPU</v>
      </c>
      <c r="S499" s="218" t="str">
        <f t="shared" si="163"/>
        <v>076</v>
      </c>
      <c r="T499" s="218" t="str">
        <f t="shared" si="153"/>
        <v>D</v>
      </c>
      <c r="U499" s="218" t="str">
        <f t="shared" si="159"/>
        <v>AFR000</v>
      </c>
      <c r="V499" s="218" t="str">
        <f t="shared" si="160"/>
        <v>###</v>
      </c>
      <c r="W499" s="218">
        <v>177</v>
      </c>
      <c r="X499" s="218" t="str">
        <f t="shared" si="161"/>
        <v>USD</v>
      </c>
      <c r="Y499" s="218">
        <v>140.43</v>
      </c>
      <c r="Z499" s="218">
        <v>177</v>
      </c>
      <c r="AA499" s="218">
        <v>160.72</v>
      </c>
    </row>
    <row r="500" spans="1:27">
      <c r="A500" s="218" t="s">
        <v>2592</v>
      </c>
      <c r="F500" s="219" t="str">
        <f>"""IntAlert Live"",""ALERT UK"",""17"",""1"",""555696"""</f>
        <v>"IntAlert Live","ALERT UK","17","1","555696"</v>
      </c>
      <c r="G500" s="223">
        <v>43907</v>
      </c>
      <c r="H500" s="223"/>
      <c r="I500" s="218" t="str">
        <f t="shared" si="170"/>
        <v>DRCPARTNER/PAPU/AP21QR/2020/01</v>
      </c>
      <c r="K500" s="218" t="str">
        <f>"CNSS"</f>
        <v>CNSS</v>
      </c>
      <c r="L500" s="218" t="str">
        <f>"Paiement cotisations sociales mois de Fevrier 2020"</f>
        <v>Paiement cotisations sociales mois de Fevrier 2020</v>
      </c>
      <c r="M500" s="218" t="str">
        <f t="shared" si="167"/>
        <v>6410</v>
      </c>
      <c r="N500" s="218" t="str">
        <f t="shared" si="168"/>
        <v>PARTNER - EMPLOYMENT COST</v>
      </c>
      <c r="O500" s="218" t="str">
        <f t="shared" si="162"/>
        <v>DRCBUK</v>
      </c>
      <c r="P500" s="218" t="str">
        <f t="shared" si="158"/>
        <v>AP21QR</v>
      </c>
      <c r="Q500" s="218" t="str">
        <f>""</f>
        <v/>
      </c>
      <c r="R500" s="218" t="str">
        <f t="shared" si="171"/>
        <v>PAPU</v>
      </c>
      <c r="S500" s="218" t="str">
        <f t="shared" si="163"/>
        <v>076</v>
      </c>
      <c r="T500" s="218" t="str">
        <f t="shared" si="153"/>
        <v>D</v>
      </c>
      <c r="U500" s="218" t="str">
        <f t="shared" si="159"/>
        <v>AFR000</v>
      </c>
      <c r="V500" s="218" t="str">
        <f t="shared" si="160"/>
        <v>###</v>
      </c>
      <c r="W500" s="218">
        <v>237</v>
      </c>
      <c r="X500" s="218" t="str">
        <f t="shared" si="161"/>
        <v>USD</v>
      </c>
      <c r="Y500" s="218">
        <v>188.03</v>
      </c>
      <c r="Z500" s="218">
        <v>237</v>
      </c>
      <c r="AA500" s="218">
        <v>215.19</v>
      </c>
    </row>
    <row r="501" spans="1:27">
      <c r="A501" s="218" t="s">
        <v>2592</v>
      </c>
      <c r="F501" s="219" t="str">
        <f>"""IntAlert Live"",""ALERT UK"",""17"",""1"",""555714"""</f>
        <v>"IntAlert Live","ALERT UK","17","1","555714"</v>
      </c>
      <c r="G501" s="223">
        <v>43920</v>
      </c>
      <c r="H501" s="223"/>
      <c r="I501" s="218" t="str">
        <f t="shared" si="170"/>
        <v>DRCPARTNER/PAPU/AP21QR/2020/01</v>
      </c>
      <c r="K501" s="218" t="str">
        <f>"GILBERT"</f>
        <v>GILBERT</v>
      </c>
      <c r="L501" s="218" t="str">
        <f>"Pmnt salaire Gilbert Mars 20 Coordinateur"</f>
        <v>Pmnt salaire Gilbert Mars 20 Coordinateur</v>
      </c>
      <c r="M501" s="218" t="str">
        <f t="shared" si="167"/>
        <v>6410</v>
      </c>
      <c r="N501" s="218" t="str">
        <f t="shared" si="168"/>
        <v>PARTNER - EMPLOYMENT COST</v>
      </c>
      <c r="O501" s="218" t="str">
        <f t="shared" si="162"/>
        <v>DRCBUK</v>
      </c>
      <c r="P501" s="218" t="str">
        <f t="shared" si="158"/>
        <v>AP21QR</v>
      </c>
      <c r="Q501" s="218" t="str">
        <f>""</f>
        <v/>
      </c>
      <c r="R501" s="218" t="str">
        <f t="shared" si="171"/>
        <v>PAPU</v>
      </c>
      <c r="S501" s="218" t="str">
        <f t="shared" ref="S501:S532" si="172">"076"</f>
        <v>076</v>
      </c>
      <c r="T501" s="218" t="str">
        <f t="shared" si="153"/>
        <v>D</v>
      </c>
      <c r="U501" s="218" t="str">
        <f t="shared" si="159"/>
        <v>AFR000</v>
      </c>
      <c r="V501" s="218" t="str">
        <f t="shared" si="160"/>
        <v>###</v>
      </c>
      <c r="W501" s="218">
        <v>230</v>
      </c>
      <c r="X501" s="218" t="str">
        <f t="shared" si="161"/>
        <v>USD</v>
      </c>
      <c r="Y501" s="218">
        <v>182.48</v>
      </c>
      <c r="Z501" s="218">
        <v>230</v>
      </c>
      <c r="AA501" s="218">
        <v>208.84</v>
      </c>
    </row>
    <row r="502" spans="1:27">
      <c r="A502" s="218" t="s">
        <v>2592</v>
      </c>
      <c r="F502" s="219" t="str">
        <f>"""IntAlert Live"",""ALERT UK"",""17"",""1"",""555715"""</f>
        <v>"IntAlert Live","ALERT UK","17","1","555715"</v>
      </c>
      <c r="G502" s="223">
        <v>43920</v>
      </c>
      <c r="H502" s="223"/>
      <c r="I502" s="218" t="str">
        <f t="shared" si="170"/>
        <v>DRCPARTNER/PAPU/AP21QR/2020/01</v>
      </c>
      <c r="K502" s="218" t="str">
        <f>"MARTIN"</f>
        <v>MARTIN</v>
      </c>
      <c r="L502" s="218" t="str">
        <f>"Pmnt salaire Martin Mars 20 Chef de Projet"</f>
        <v>Pmnt salaire Martin Mars 20 Chef de Projet</v>
      </c>
      <c r="M502" s="218" t="str">
        <f t="shared" si="167"/>
        <v>6410</v>
      </c>
      <c r="N502" s="218" t="str">
        <f t="shared" si="168"/>
        <v>PARTNER - EMPLOYMENT COST</v>
      </c>
      <c r="O502" s="218" t="str">
        <f t="shared" si="162"/>
        <v>DRCBUK</v>
      </c>
      <c r="P502" s="218" t="str">
        <f t="shared" si="158"/>
        <v>AP21QR</v>
      </c>
      <c r="Q502" s="218" t="str">
        <f>""</f>
        <v/>
      </c>
      <c r="R502" s="218" t="str">
        <f t="shared" si="171"/>
        <v>PAPU</v>
      </c>
      <c r="S502" s="218" t="str">
        <f t="shared" si="172"/>
        <v>076</v>
      </c>
      <c r="T502" s="218" t="str">
        <f t="shared" si="153"/>
        <v>D</v>
      </c>
      <c r="U502" s="218" t="str">
        <f t="shared" si="159"/>
        <v>AFR000</v>
      </c>
      <c r="V502" s="218" t="str">
        <f t="shared" si="160"/>
        <v>###</v>
      </c>
      <c r="W502" s="218">
        <v>680</v>
      </c>
      <c r="X502" s="218" t="str">
        <f t="shared" si="161"/>
        <v>USD</v>
      </c>
      <c r="Y502" s="218">
        <v>539.5</v>
      </c>
      <c r="Z502" s="218">
        <v>680</v>
      </c>
      <c r="AA502" s="218">
        <v>617.42999999999995</v>
      </c>
    </row>
    <row r="503" spans="1:27">
      <c r="A503" s="218" t="s">
        <v>2592</v>
      </c>
      <c r="F503" s="219" t="str">
        <f>"""IntAlert Live"",""ALERT UK"",""17"",""1"",""555716"""</f>
        <v>"IntAlert Live","ALERT UK","17","1","555716"</v>
      </c>
      <c r="G503" s="223">
        <v>43920</v>
      </c>
      <c r="H503" s="223"/>
      <c r="I503" s="218" t="str">
        <f t="shared" si="170"/>
        <v>DRCPARTNER/PAPU/AP21QR/2020/01</v>
      </c>
      <c r="K503" s="218" t="str">
        <f>"BIKINO"</f>
        <v>BIKINO</v>
      </c>
      <c r="L503" s="218" t="str">
        <f>"Pmnt salaire BIKINO Mars 20 Superviseur"</f>
        <v>Pmnt salaire BIKINO Mars 20 Superviseur</v>
      </c>
      <c r="M503" s="218" t="str">
        <f t="shared" si="167"/>
        <v>6410</v>
      </c>
      <c r="N503" s="218" t="str">
        <f t="shared" si="168"/>
        <v>PARTNER - EMPLOYMENT COST</v>
      </c>
      <c r="O503" s="218" t="str">
        <f t="shared" si="162"/>
        <v>DRCBUK</v>
      </c>
      <c r="P503" s="218" t="str">
        <f t="shared" si="158"/>
        <v>AP21QR</v>
      </c>
      <c r="Q503" s="218" t="str">
        <f>""</f>
        <v/>
      </c>
      <c r="R503" s="218" t="str">
        <f t="shared" si="171"/>
        <v>PAPU</v>
      </c>
      <c r="S503" s="218" t="str">
        <f t="shared" si="172"/>
        <v>076</v>
      </c>
      <c r="T503" s="218" t="str">
        <f t="shared" si="153"/>
        <v>D</v>
      </c>
      <c r="U503" s="218" t="str">
        <f t="shared" si="159"/>
        <v>AFR000</v>
      </c>
      <c r="V503" s="218" t="str">
        <f t="shared" si="160"/>
        <v>###</v>
      </c>
      <c r="W503" s="218">
        <v>500</v>
      </c>
      <c r="X503" s="218" t="str">
        <f t="shared" si="161"/>
        <v>USD</v>
      </c>
      <c r="Y503" s="218">
        <v>396.69</v>
      </c>
      <c r="Z503" s="218">
        <v>500</v>
      </c>
      <c r="AA503" s="218">
        <v>453.99</v>
      </c>
    </row>
    <row r="504" spans="1:27">
      <c r="A504" s="218" t="s">
        <v>2592</v>
      </c>
      <c r="F504" s="219" t="str">
        <f>"""IntAlert Live"",""ALERT UK"",""17"",""1"",""555717"""</f>
        <v>"IntAlert Live","ALERT UK","17","1","555717"</v>
      </c>
      <c r="G504" s="223">
        <v>43920</v>
      </c>
      <c r="H504" s="223"/>
      <c r="I504" s="218" t="str">
        <f t="shared" si="170"/>
        <v>DRCPARTNER/PAPU/AP21QR/2020/01</v>
      </c>
      <c r="K504" s="218" t="str">
        <f>"WILONDJA"</f>
        <v>WILONDJA</v>
      </c>
      <c r="L504" s="218" t="str">
        <f>"Pmnt salaire WILONDJA Mars 20 Chargé de suivi"</f>
        <v>Pmnt salaire WILONDJA Mars 20 Chargé de suivi</v>
      </c>
      <c r="M504" s="218" t="str">
        <f t="shared" si="167"/>
        <v>6410</v>
      </c>
      <c r="N504" s="218" t="str">
        <f t="shared" si="168"/>
        <v>PARTNER - EMPLOYMENT COST</v>
      </c>
      <c r="O504" s="218" t="str">
        <f t="shared" si="162"/>
        <v>DRCBUK</v>
      </c>
      <c r="P504" s="218" t="str">
        <f t="shared" si="158"/>
        <v>AP21QR</v>
      </c>
      <c r="Q504" s="218" t="str">
        <f>""</f>
        <v/>
      </c>
      <c r="R504" s="218" t="str">
        <f t="shared" si="171"/>
        <v>PAPU</v>
      </c>
      <c r="S504" s="218" t="str">
        <f t="shared" si="172"/>
        <v>076</v>
      </c>
      <c r="T504" s="218" t="str">
        <f t="shared" ref="T504:T567" si="173">"D"</f>
        <v>D</v>
      </c>
      <c r="U504" s="218" t="str">
        <f t="shared" si="159"/>
        <v>AFR000</v>
      </c>
      <c r="V504" s="218" t="str">
        <f t="shared" si="160"/>
        <v>###</v>
      </c>
      <c r="W504" s="218">
        <v>181</v>
      </c>
      <c r="X504" s="218" t="str">
        <f t="shared" si="161"/>
        <v>USD</v>
      </c>
      <c r="Y504" s="218">
        <v>143.66</v>
      </c>
      <c r="Z504" s="218">
        <v>181</v>
      </c>
      <c r="AA504" s="218">
        <v>164.41</v>
      </c>
    </row>
    <row r="505" spans="1:27">
      <c r="A505" s="218" t="s">
        <v>2592</v>
      </c>
      <c r="F505" s="219" t="str">
        <f>"""IntAlert Live"",""ALERT UK"",""17"",""1"",""555718"""</f>
        <v>"IntAlert Live","ALERT UK","17","1","555718"</v>
      </c>
      <c r="G505" s="223">
        <v>43920</v>
      </c>
      <c r="H505" s="223"/>
      <c r="I505" s="218" t="str">
        <f t="shared" si="170"/>
        <v>DRCPARTNER/PAPU/AP21QR/2020/01</v>
      </c>
      <c r="K505" s="218" t="str">
        <f>"MUSOLE"</f>
        <v>MUSOLE</v>
      </c>
      <c r="L505" s="218" t="str">
        <f>"Pmnt salaire MUSOLE Mars 20 Comptable"</f>
        <v>Pmnt salaire MUSOLE Mars 20 Comptable</v>
      </c>
      <c r="M505" s="218" t="str">
        <f t="shared" si="167"/>
        <v>6410</v>
      </c>
      <c r="N505" s="218" t="str">
        <f t="shared" si="168"/>
        <v>PARTNER - EMPLOYMENT COST</v>
      </c>
      <c r="O505" s="218" t="str">
        <f t="shared" si="162"/>
        <v>DRCBUK</v>
      </c>
      <c r="P505" s="218" t="str">
        <f t="shared" si="158"/>
        <v>AP21QR</v>
      </c>
      <c r="Q505" s="218" t="str">
        <f>""</f>
        <v/>
      </c>
      <c r="R505" s="218" t="str">
        <f t="shared" si="171"/>
        <v>PAPU</v>
      </c>
      <c r="S505" s="218" t="str">
        <f t="shared" si="172"/>
        <v>076</v>
      </c>
      <c r="T505" s="218" t="str">
        <f t="shared" si="173"/>
        <v>D</v>
      </c>
      <c r="U505" s="218" t="str">
        <f t="shared" si="159"/>
        <v>AFR000</v>
      </c>
      <c r="V505" s="218" t="str">
        <f t="shared" si="160"/>
        <v>###</v>
      </c>
      <c r="W505" s="218">
        <v>211</v>
      </c>
      <c r="X505" s="218" t="str">
        <f t="shared" si="161"/>
        <v>USD</v>
      </c>
      <c r="Y505" s="218">
        <v>167.4</v>
      </c>
      <c r="Z505" s="218">
        <v>211</v>
      </c>
      <c r="AA505" s="218">
        <v>191.58</v>
      </c>
    </row>
    <row r="506" spans="1:27">
      <c r="A506" s="218" t="s">
        <v>2592</v>
      </c>
      <c r="F506" s="219" t="str">
        <f>"""IntAlert Live"",""ALERT UK"",""17"",""1"",""555719"""</f>
        <v>"IntAlert Live","ALERT UK","17","1","555719"</v>
      </c>
      <c r="G506" s="223">
        <v>43920</v>
      </c>
      <c r="H506" s="223"/>
      <c r="I506" s="218" t="str">
        <f t="shared" si="170"/>
        <v>DRCPARTNER/PAPU/AP21QR/2020/01</v>
      </c>
      <c r="K506" s="218" t="str">
        <f>"BYIRINGIRO"</f>
        <v>BYIRINGIRO</v>
      </c>
      <c r="L506" s="218" t="str">
        <f>"Pmnt salaire BYIRINGIRO Mars 20 Caissier"</f>
        <v>Pmnt salaire BYIRINGIRO Mars 20 Caissier</v>
      </c>
      <c r="M506" s="218" t="str">
        <f t="shared" si="167"/>
        <v>6410</v>
      </c>
      <c r="N506" s="218" t="str">
        <f t="shared" si="168"/>
        <v>PARTNER - EMPLOYMENT COST</v>
      </c>
      <c r="O506" s="218" t="str">
        <f t="shared" si="162"/>
        <v>DRCBUK</v>
      </c>
      <c r="P506" s="218" t="str">
        <f t="shared" si="158"/>
        <v>AP21QR</v>
      </c>
      <c r="Q506" s="218" t="str">
        <f>""</f>
        <v/>
      </c>
      <c r="R506" s="218" t="str">
        <f t="shared" si="171"/>
        <v>PAPU</v>
      </c>
      <c r="S506" s="218" t="str">
        <f t="shared" si="172"/>
        <v>076</v>
      </c>
      <c r="T506" s="218" t="str">
        <f t="shared" si="173"/>
        <v>D</v>
      </c>
      <c r="U506" s="218" t="str">
        <f t="shared" si="159"/>
        <v>AFR000</v>
      </c>
      <c r="V506" s="218" t="str">
        <f t="shared" si="160"/>
        <v>###</v>
      </c>
      <c r="W506" s="218">
        <v>179</v>
      </c>
      <c r="X506" s="218" t="str">
        <f t="shared" si="161"/>
        <v>USD</v>
      </c>
      <c r="Y506" s="218">
        <v>142.02000000000001</v>
      </c>
      <c r="Z506" s="218">
        <v>179</v>
      </c>
      <c r="AA506" s="218">
        <v>162.53</v>
      </c>
    </row>
    <row r="507" spans="1:27">
      <c r="A507" s="218" t="s">
        <v>2592</v>
      </c>
      <c r="F507" s="219" t="str">
        <f>"""IntAlert Live"",""ALERT UK"",""17"",""1"",""555863"""</f>
        <v>"IntAlert Live","ALERT UK","17","1","555863"</v>
      </c>
      <c r="G507" s="223">
        <v>43920</v>
      </c>
      <c r="H507" s="223"/>
      <c r="I507" s="218" t="str">
        <f>"DRCPARTNER/PSOL/AP21QR/2020/01"</f>
        <v>DRCPARTNER/PSOL/AP21QR/2020/01</v>
      </c>
      <c r="K507" s="218" t="str">
        <f>"JANVIER"</f>
        <v>JANVIER</v>
      </c>
      <c r="L507" s="218" t="str">
        <f>"Pyt salaire CP&amp;ME   mars 2020"</f>
        <v>Pyt salaire CP&amp;ME   mars 2020</v>
      </c>
      <c r="M507" s="218" t="str">
        <f t="shared" si="167"/>
        <v>6410</v>
      </c>
      <c r="N507" s="218" t="str">
        <f t="shared" si="168"/>
        <v>PARTNER - EMPLOYMENT COST</v>
      </c>
      <c r="O507" s="218" t="str">
        <f t="shared" si="162"/>
        <v>DRCBUK</v>
      </c>
      <c r="P507" s="218" t="str">
        <f t="shared" si="158"/>
        <v>AP21QR</v>
      </c>
      <c r="Q507" s="218" t="str">
        <f>""</f>
        <v/>
      </c>
      <c r="R507" s="218" t="str">
        <f>"PSOL"</f>
        <v>PSOL</v>
      </c>
      <c r="S507" s="218" t="str">
        <f t="shared" si="172"/>
        <v>076</v>
      </c>
      <c r="T507" s="218" t="str">
        <f t="shared" si="173"/>
        <v>D</v>
      </c>
      <c r="U507" s="218" t="str">
        <f t="shared" si="159"/>
        <v>AFR000</v>
      </c>
      <c r="V507" s="218" t="str">
        <f t="shared" si="160"/>
        <v>###</v>
      </c>
      <c r="W507" s="218">
        <v>397.6</v>
      </c>
      <c r="X507" s="218" t="str">
        <f t="shared" si="161"/>
        <v>USD</v>
      </c>
      <c r="Y507" s="218">
        <v>315.45</v>
      </c>
      <c r="Z507" s="218">
        <v>397.6</v>
      </c>
      <c r="AA507" s="218">
        <v>361.02</v>
      </c>
    </row>
    <row r="508" spans="1:27">
      <c r="A508" s="218" t="s">
        <v>2592</v>
      </c>
      <c r="F508" s="219" t="str">
        <f>"""IntAlert Live"",""ALERT UK"",""17"",""1"",""555864"""</f>
        <v>"IntAlert Live","ALERT UK","17","1","555864"</v>
      </c>
      <c r="G508" s="223">
        <v>43920</v>
      </c>
      <c r="H508" s="223"/>
      <c r="I508" s="218" t="str">
        <f>"DRCPARTNER/PSOL/AP21QR/2020/01"</f>
        <v>DRCPARTNER/PSOL/AP21QR/2020/01</v>
      </c>
      <c r="K508" s="218" t="str">
        <f>"MALIPO"</f>
        <v>MALIPO</v>
      </c>
      <c r="L508" s="218" t="str">
        <f>"Pyt salaire Animateur  mars 2020"</f>
        <v>Pyt salaire Animateur  mars 2020</v>
      </c>
      <c r="M508" s="218" t="str">
        <f t="shared" ref="M508:M521" si="174">"6410"</f>
        <v>6410</v>
      </c>
      <c r="N508" s="218" t="str">
        <f t="shared" ref="N508:N521" si="175">"PARTNER - EMPLOYMENT COST"</f>
        <v>PARTNER - EMPLOYMENT COST</v>
      </c>
      <c r="O508" s="218" t="str">
        <f t="shared" si="162"/>
        <v>DRCBUK</v>
      </c>
      <c r="P508" s="218" t="str">
        <f t="shared" si="158"/>
        <v>AP21QR</v>
      </c>
      <c r="Q508" s="218" t="str">
        <f>""</f>
        <v/>
      </c>
      <c r="R508" s="218" t="str">
        <f>"PSOL"</f>
        <v>PSOL</v>
      </c>
      <c r="S508" s="218" t="str">
        <f t="shared" si="172"/>
        <v>076</v>
      </c>
      <c r="T508" s="218" t="str">
        <f t="shared" si="173"/>
        <v>D</v>
      </c>
      <c r="U508" s="218" t="str">
        <f t="shared" si="159"/>
        <v>AFR000</v>
      </c>
      <c r="V508" s="218" t="str">
        <f t="shared" si="160"/>
        <v>###</v>
      </c>
      <c r="W508" s="218">
        <v>259.57</v>
      </c>
      <c r="X508" s="218" t="str">
        <f t="shared" si="161"/>
        <v>USD</v>
      </c>
      <c r="Y508" s="218">
        <v>205.94</v>
      </c>
      <c r="Z508" s="218">
        <v>259.57</v>
      </c>
      <c r="AA508" s="218">
        <v>235.69</v>
      </c>
    </row>
    <row r="509" spans="1:27">
      <c r="A509" s="218" t="s">
        <v>2592</v>
      </c>
      <c r="F509" s="219" t="str">
        <f>"""IntAlert Live"",""ALERT UK"",""17"",""1"",""555865"""</f>
        <v>"IntAlert Live","ALERT UK","17","1","555865"</v>
      </c>
      <c r="G509" s="223">
        <v>43920</v>
      </c>
      <c r="H509" s="223"/>
      <c r="I509" s="218" t="str">
        <f>"DRCPARTNER/PSOL/AP21QR/2020/01"</f>
        <v>DRCPARTNER/PSOL/AP21QR/2020/01</v>
      </c>
      <c r="K509" s="218" t="str">
        <f>"MUGAZA"</f>
        <v>MUGAZA</v>
      </c>
      <c r="L509" s="218" t="str">
        <f>"Pyt salaire Gardien   mars 2020"</f>
        <v>Pyt salaire Gardien   mars 2020</v>
      </c>
      <c r="M509" s="218" t="str">
        <f t="shared" si="174"/>
        <v>6410</v>
      </c>
      <c r="N509" s="218" t="str">
        <f t="shared" si="175"/>
        <v>PARTNER - EMPLOYMENT COST</v>
      </c>
      <c r="O509" s="218" t="str">
        <f t="shared" si="162"/>
        <v>DRCBUK</v>
      </c>
      <c r="P509" s="218" t="str">
        <f t="shared" si="158"/>
        <v>AP21QR</v>
      </c>
      <c r="Q509" s="218" t="str">
        <f>""</f>
        <v/>
      </c>
      <c r="R509" s="218" t="str">
        <f>"PSOL"</f>
        <v>PSOL</v>
      </c>
      <c r="S509" s="218" t="str">
        <f t="shared" si="172"/>
        <v>076</v>
      </c>
      <c r="T509" s="218" t="str">
        <f t="shared" si="173"/>
        <v>D</v>
      </c>
      <c r="U509" s="218" t="str">
        <f t="shared" si="159"/>
        <v>AFR000</v>
      </c>
      <c r="V509" s="218" t="str">
        <f t="shared" si="160"/>
        <v>###</v>
      </c>
      <c r="W509" s="218">
        <v>123.75</v>
      </c>
      <c r="X509" s="218" t="str">
        <f t="shared" si="161"/>
        <v>USD</v>
      </c>
      <c r="Y509" s="218">
        <v>98.18</v>
      </c>
      <c r="Z509" s="218">
        <v>123.75</v>
      </c>
      <c r="AA509" s="218">
        <v>112.36</v>
      </c>
    </row>
    <row r="510" spans="1:27">
      <c r="A510" s="218" t="s">
        <v>2592</v>
      </c>
      <c r="F510" s="219" t="str">
        <f>"""IntAlert Live"",""ALERT UK"",""17"",""1"",""555866"""</f>
        <v>"IntAlert Live","ALERT UK","17","1","555866"</v>
      </c>
      <c r="G510" s="223">
        <v>43920</v>
      </c>
      <c r="H510" s="223"/>
      <c r="I510" s="218" t="str">
        <f>"DRCPARTNER/PSOL/AP21QR/2020/01"</f>
        <v>DRCPARTNER/PSOL/AP21QR/2020/01</v>
      </c>
      <c r="K510" s="218" t="str">
        <f>"OLIVE"</f>
        <v>OLIVE</v>
      </c>
      <c r="L510" s="218" t="str">
        <f>"Pyt salaire Financière   mars 2020"</f>
        <v>Pyt salaire Financière   mars 2020</v>
      </c>
      <c r="M510" s="218" t="str">
        <f t="shared" si="174"/>
        <v>6410</v>
      </c>
      <c r="N510" s="218" t="str">
        <f t="shared" si="175"/>
        <v>PARTNER - EMPLOYMENT COST</v>
      </c>
      <c r="O510" s="218" t="str">
        <f t="shared" si="162"/>
        <v>DRCBUK</v>
      </c>
      <c r="P510" s="218" t="str">
        <f t="shared" si="158"/>
        <v>AP21QR</v>
      </c>
      <c r="Q510" s="218" t="str">
        <f>""</f>
        <v/>
      </c>
      <c r="R510" s="218" t="str">
        <f>"PSOL"</f>
        <v>PSOL</v>
      </c>
      <c r="S510" s="218" t="str">
        <f t="shared" si="172"/>
        <v>076</v>
      </c>
      <c r="T510" s="218" t="str">
        <f t="shared" si="173"/>
        <v>D</v>
      </c>
      <c r="U510" s="218" t="str">
        <f t="shared" si="159"/>
        <v>AFR000</v>
      </c>
      <c r="V510" s="218" t="str">
        <f t="shared" si="160"/>
        <v>###</v>
      </c>
      <c r="W510" s="218">
        <v>183.85</v>
      </c>
      <c r="X510" s="218" t="str">
        <f t="shared" si="161"/>
        <v>USD</v>
      </c>
      <c r="Y510" s="218">
        <v>145.86000000000001</v>
      </c>
      <c r="Z510" s="218">
        <v>183.85</v>
      </c>
      <c r="AA510" s="218">
        <v>166.93</v>
      </c>
    </row>
    <row r="511" spans="1:27">
      <c r="A511" s="218" t="s">
        <v>2592</v>
      </c>
      <c r="F511" s="219" t="str">
        <f>"""IntAlert Live"",""ALERT UK"",""17"",""1"",""555664"""</f>
        <v>"IntAlert Live","ALERT UK","17","1","555664"</v>
      </c>
      <c r="G511" s="223">
        <v>43921</v>
      </c>
      <c r="H511" s="223"/>
      <c r="I511" s="218" t="str">
        <f>"DRCPARTNER/PAPU/AP21QR/2020/01"</f>
        <v>DRCPARTNER/PAPU/AP21QR/2020/01</v>
      </c>
      <c r="K511" s="218" t="str">
        <f>"TMB"</f>
        <v>TMB</v>
      </c>
      <c r="L511" s="218" t="str">
        <f>"Frais de tenue de compte"</f>
        <v>Frais de tenue de compte</v>
      </c>
      <c r="M511" s="218" t="str">
        <f t="shared" si="174"/>
        <v>6410</v>
      </c>
      <c r="N511" s="218" t="str">
        <f t="shared" si="175"/>
        <v>PARTNER - EMPLOYMENT COST</v>
      </c>
      <c r="O511" s="218" t="str">
        <f t="shared" si="162"/>
        <v>DRCBUK</v>
      </c>
      <c r="P511" s="218" t="str">
        <f t="shared" si="158"/>
        <v>AP21QR</v>
      </c>
      <c r="Q511" s="218" t="str">
        <f>""</f>
        <v/>
      </c>
      <c r="R511" s="218" t="str">
        <f>"PAPU"</f>
        <v>PAPU</v>
      </c>
      <c r="S511" s="218" t="str">
        <f t="shared" si="172"/>
        <v>076</v>
      </c>
      <c r="T511" s="218" t="str">
        <f t="shared" si="173"/>
        <v>D</v>
      </c>
      <c r="U511" s="218" t="str">
        <f t="shared" si="159"/>
        <v>AFR000</v>
      </c>
      <c r="V511" s="218" t="str">
        <f t="shared" si="160"/>
        <v>###</v>
      </c>
      <c r="W511" s="218">
        <v>5</v>
      </c>
      <c r="X511" s="218" t="str">
        <f t="shared" si="161"/>
        <v>USD</v>
      </c>
      <c r="Y511" s="218">
        <v>3.97</v>
      </c>
      <c r="Z511" s="218">
        <v>5</v>
      </c>
      <c r="AA511" s="218">
        <v>4.54</v>
      </c>
    </row>
    <row r="512" spans="1:27">
      <c r="A512" s="218" t="s">
        <v>2592</v>
      </c>
      <c r="F512" s="219" t="str">
        <f>"""IntAlert Live"",""ALERT UK"",""17"",""1"",""555665"""</f>
        <v>"IntAlert Live","ALERT UK","17","1","555665"</v>
      </c>
      <c r="G512" s="223">
        <v>43921</v>
      </c>
      <c r="H512" s="223"/>
      <c r="I512" s="218" t="str">
        <f>"DRCPARTNER/PAPU/AP21QR/2020/01"</f>
        <v>DRCPARTNER/PAPU/AP21QR/2020/01</v>
      </c>
      <c r="K512" s="218" t="str">
        <f>"TMB"</f>
        <v>TMB</v>
      </c>
      <c r="L512" s="218" t="str">
        <f>"TVA collectée"</f>
        <v>TVA collectée</v>
      </c>
      <c r="M512" s="218" t="str">
        <f t="shared" si="174"/>
        <v>6410</v>
      </c>
      <c r="N512" s="218" t="str">
        <f t="shared" si="175"/>
        <v>PARTNER - EMPLOYMENT COST</v>
      </c>
      <c r="O512" s="218" t="str">
        <f t="shared" si="162"/>
        <v>DRCBUK</v>
      </c>
      <c r="P512" s="218" t="str">
        <f t="shared" si="158"/>
        <v>AP21QR</v>
      </c>
      <c r="Q512" s="218" t="str">
        <f>""</f>
        <v/>
      </c>
      <c r="R512" s="218" t="str">
        <f>"PAPU"</f>
        <v>PAPU</v>
      </c>
      <c r="S512" s="218" t="str">
        <f t="shared" si="172"/>
        <v>076</v>
      </c>
      <c r="T512" s="218" t="str">
        <f t="shared" si="173"/>
        <v>D</v>
      </c>
      <c r="U512" s="218" t="str">
        <f t="shared" si="159"/>
        <v>AFR000</v>
      </c>
      <c r="V512" s="218" t="str">
        <f t="shared" si="160"/>
        <v>###</v>
      </c>
      <c r="W512" s="218">
        <v>0.8</v>
      </c>
      <c r="X512" s="218" t="str">
        <f t="shared" si="161"/>
        <v>USD</v>
      </c>
      <c r="Y512" s="218">
        <v>0.63</v>
      </c>
      <c r="Z512" s="218">
        <v>0.8</v>
      </c>
      <c r="AA512" s="218">
        <v>0.72</v>
      </c>
    </row>
    <row r="513" spans="1:27">
      <c r="A513" s="218" t="s">
        <v>2592</v>
      </c>
      <c r="F513" s="219" t="str">
        <f>"""IntAlert Live"",""ALERT UK"",""17"",""1"",""555720"""</f>
        <v>"IntAlert Live","ALERT UK","17","1","555720"</v>
      </c>
      <c r="G513" s="223">
        <v>43921</v>
      </c>
      <c r="H513" s="223"/>
      <c r="I513" s="218" t="str">
        <f>"DRCPARTNER/PAPU/AP21QR/2020/01"</f>
        <v>DRCPARTNER/PAPU/AP21QR/2020/01</v>
      </c>
      <c r="K513" s="218" t="str">
        <f>"GARAGE MOTO"</f>
        <v>GARAGE MOTO</v>
      </c>
      <c r="L513" s="218" t="str">
        <f>"Frais entretien Groupe électrogène"</f>
        <v>Frais entretien Groupe électrogène</v>
      </c>
      <c r="M513" s="218" t="str">
        <f t="shared" si="174"/>
        <v>6410</v>
      </c>
      <c r="N513" s="218" t="str">
        <f t="shared" si="175"/>
        <v>PARTNER - EMPLOYMENT COST</v>
      </c>
      <c r="O513" s="218" t="str">
        <f t="shared" si="162"/>
        <v>DRCBUK</v>
      </c>
      <c r="P513" s="218" t="str">
        <f t="shared" si="158"/>
        <v>AP21QR</v>
      </c>
      <c r="Q513" s="218" t="str">
        <f>""</f>
        <v/>
      </c>
      <c r="R513" s="218" t="str">
        <f>"PAPU"</f>
        <v>PAPU</v>
      </c>
      <c r="S513" s="218" t="str">
        <f t="shared" si="172"/>
        <v>076</v>
      </c>
      <c r="T513" s="218" t="str">
        <f t="shared" si="173"/>
        <v>D</v>
      </c>
      <c r="U513" s="218" t="str">
        <f t="shared" si="159"/>
        <v>AFR000</v>
      </c>
      <c r="V513" s="218" t="str">
        <f t="shared" si="160"/>
        <v>###</v>
      </c>
      <c r="W513" s="218">
        <v>25</v>
      </c>
      <c r="X513" s="218" t="str">
        <f t="shared" si="161"/>
        <v>USD</v>
      </c>
      <c r="Y513" s="218">
        <v>19.829999999999998</v>
      </c>
      <c r="Z513" s="218">
        <v>25</v>
      </c>
      <c r="AA513" s="218">
        <v>22.69</v>
      </c>
    </row>
    <row r="514" spans="1:27">
      <c r="A514" s="218" t="s">
        <v>2592</v>
      </c>
      <c r="F514" s="219" t="str">
        <f>"""IntAlert Live"",""ALERT UK"",""17"",""1"",""555818"""</f>
        <v>"IntAlert Live","ALERT UK","17","1","555818"</v>
      </c>
      <c r="G514" s="223">
        <v>43921</v>
      </c>
      <c r="H514" s="223"/>
      <c r="I514" s="218" t="str">
        <f>"DRCPARTNER/PSOL/AP21QR/2020/01"</f>
        <v>DRCPARTNER/PSOL/AP21QR/2020/01</v>
      </c>
      <c r="K514" s="218" t="str">
        <f>"TMB"</f>
        <v>TMB</v>
      </c>
      <c r="L514" s="218" t="str">
        <f>"Frais de tenu de compte"</f>
        <v>Frais de tenu de compte</v>
      </c>
      <c r="M514" s="218" t="str">
        <f t="shared" si="174"/>
        <v>6410</v>
      </c>
      <c r="N514" s="218" t="str">
        <f t="shared" si="175"/>
        <v>PARTNER - EMPLOYMENT COST</v>
      </c>
      <c r="O514" s="218" t="str">
        <f t="shared" si="162"/>
        <v>DRCBUK</v>
      </c>
      <c r="P514" s="218" t="str">
        <f t="shared" si="158"/>
        <v>AP21QR</v>
      </c>
      <c r="Q514" s="218" t="str">
        <f>""</f>
        <v/>
      </c>
      <c r="R514" s="218" t="str">
        <f>"PSOL"</f>
        <v>PSOL</v>
      </c>
      <c r="S514" s="218" t="str">
        <f t="shared" si="172"/>
        <v>076</v>
      </c>
      <c r="T514" s="218" t="str">
        <f t="shared" si="173"/>
        <v>D</v>
      </c>
      <c r="U514" s="218" t="str">
        <f t="shared" si="159"/>
        <v>AFR000</v>
      </c>
      <c r="V514" s="218" t="str">
        <f t="shared" si="160"/>
        <v>###</v>
      </c>
      <c r="W514" s="218">
        <v>5</v>
      </c>
      <c r="X514" s="218" t="str">
        <f t="shared" si="161"/>
        <v>USD</v>
      </c>
      <c r="Y514" s="218">
        <v>3.97</v>
      </c>
      <c r="Z514" s="218">
        <v>5</v>
      </c>
      <c r="AA514" s="218">
        <v>4.54</v>
      </c>
    </row>
    <row r="515" spans="1:27">
      <c r="A515" s="218" t="s">
        <v>2592</v>
      </c>
      <c r="F515" s="219" t="str">
        <f>"""IntAlert Live"",""ALERT UK"",""17"",""1"",""555819"""</f>
        <v>"IntAlert Live","ALERT UK","17","1","555819"</v>
      </c>
      <c r="G515" s="223">
        <v>43921</v>
      </c>
      <c r="H515" s="223"/>
      <c r="I515" s="218" t="str">
        <f>"DRCPARTNER/PSOL/AP21QR/2020/01"</f>
        <v>DRCPARTNER/PSOL/AP21QR/2020/01</v>
      </c>
      <c r="K515" s="218" t="str">
        <f>"TMB"</f>
        <v>TMB</v>
      </c>
      <c r="L515" s="218" t="str">
        <f>"TVA-Frais tenu de compte"</f>
        <v>TVA-Frais tenu de compte</v>
      </c>
      <c r="M515" s="218" t="str">
        <f t="shared" si="174"/>
        <v>6410</v>
      </c>
      <c r="N515" s="218" t="str">
        <f t="shared" si="175"/>
        <v>PARTNER - EMPLOYMENT COST</v>
      </c>
      <c r="O515" s="218" t="str">
        <f t="shared" si="162"/>
        <v>DRCBUK</v>
      </c>
      <c r="P515" s="218" t="str">
        <f t="shared" si="158"/>
        <v>AP21QR</v>
      </c>
      <c r="Q515" s="218" t="str">
        <f>""</f>
        <v/>
      </c>
      <c r="R515" s="218" t="str">
        <f>"PSOL"</f>
        <v>PSOL</v>
      </c>
      <c r="S515" s="218" t="str">
        <f t="shared" si="172"/>
        <v>076</v>
      </c>
      <c r="T515" s="218" t="str">
        <f t="shared" si="173"/>
        <v>D</v>
      </c>
      <c r="U515" s="218" t="str">
        <f t="shared" si="159"/>
        <v>AFR000</v>
      </c>
      <c r="V515" s="218" t="str">
        <f t="shared" si="160"/>
        <v>###</v>
      </c>
      <c r="W515" s="218">
        <v>0.8</v>
      </c>
      <c r="X515" s="218" t="str">
        <f t="shared" si="161"/>
        <v>USD</v>
      </c>
      <c r="Y515" s="218">
        <v>0.63</v>
      </c>
      <c r="Z515" s="218">
        <v>0.8</v>
      </c>
      <c r="AA515" s="218">
        <v>0.72</v>
      </c>
    </row>
    <row r="516" spans="1:27">
      <c r="A516" s="218" t="s">
        <v>2592</v>
      </c>
      <c r="F516" s="219" t="str">
        <f>"""IntAlert Live"",""ALERT UK"",""17"",""1"",""556001"""</f>
        <v>"IntAlert Live","ALERT UK","17","1","556001"</v>
      </c>
      <c r="G516" s="223">
        <v>43921</v>
      </c>
      <c r="H516" s="223"/>
      <c r="I516" s="218" t="str">
        <f>"DRCPARTNER/PBVE/AP21QR/2020/01"</f>
        <v>DRCPARTNER/PBVE/AP21QR/2020/01</v>
      </c>
      <c r="K516" s="218" t="str">
        <f>"MURHABAZI"</f>
        <v>MURHABAZI</v>
      </c>
      <c r="L516" s="218" t="str">
        <f>"Salaire Murhabazi Mars2020"</f>
        <v>Salaire Murhabazi Mars2020</v>
      </c>
      <c r="M516" s="218" t="str">
        <f t="shared" si="174"/>
        <v>6410</v>
      </c>
      <c r="N516" s="218" t="str">
        <f t="shared" si="175"/>
        <v>PARTNER - EMPLOYMENT COST</v>
      </c>
      <c r="O516" s="218" t="str">
        <f t="shared" si="162"/>
        <v>DRCBUK</v>
      </c>
      <c r="P516" s="218" t="str">
        <f t="shared" si="158"/>
        <v>AP21QR</v>
      </c>
      <c r="Q516" s="218" t="str">
        <f>""</f>
        <v/>
      </c>
      <c r="R516" s="218" t="str">
        <f>"PBVE"</f>
        <v>PBVE</v>
      </c>
      <c r="S516" s="218" t="str">
        <f t="shared" si="172"/>
        <v>076</v>
      </c>
      <c r="T516" s="218" t="str">
        <f t="shared" si="173"/>
        <v>D</v>
      </c>
      <c r="U516" s="218" t="str">
        <f t="shared" si="159"/>
        <v>AFR000</v>
      </c>
      <c r="V516" s="218" t="str">
        <f t="shared" si="160"/>
        <v>###</v>
      </c>
      <c r="W516" s="218">
        <v>600</v>
      </c>
      <c r="X516" s="218" t="str">
        <f t="shared" si="161"/>
        <v>USD</v>
      </c>
      <c r="Y516" s="218">
        <v>476.03</v>
      </c>
      <c r="Z516" s="218">
        <v>600</v>
      </c>
      <c r="AA516" s="218">
        <v>544.79</v>
      </c>
    </row>
    <row r="517" spans="1:27">
      <c r="A517" s="218" t="s">
        <v>2592</v>
      </c>
      <c r="F517" s="219" t="str">
        <f>"""IntAlert Live"",""ALERT UK"",""17"",""1"",""556042"""</f>
        <v>"IntAlert Live","ALERT UK","17","1","556042"</v>
      </c>
      <c r="G517" s="223">
        <v>43921</v>
      </c>
      <c r="H517" s="223"/>
      <c r="I517" s="218" t="str">
        <f>"DRCPARTNER/PBVE/AP21QR/2020/01"</f>
        <v>DRCPARTNER/PBVE/AP21QR/2020/01</v>
      </c>
      <c r="K517" s="218" t="str">
        <f>"BYADUNIYA"</f>
        <v>BYADUNIYA</v>
      </c>
      <c r="L517" s="218" t="str">
        <f>"Salaire Byaduniya chargé de suivi Mars 2020"</f>
        <v>Salaire Byaduniya chargé de suivi Mars 2020</v>
      </c>
      <c r="M517" s="218" t="str">
        <f t="shared" si="174"/>
        <v>6410</v>
      </c>
      <c r="N517" s="218" t="str">
        <f t="shared" si="175"/>
        <v>PARTNER - EMPLOYMENT COST</v>
      </c>
      <c r="O517" s="218" t="str">
        <f t="shared" si="162"/>
        <v>DRCBUK</v>
      </c>
      <c r="P517" s="218" t="str">
        <f t="shared" si="158"/>
        <v>AP21QR</v>
      </c>
      <c r="Q517" s="218" t="str">
        <f>""</f>
        <v/>
      </c>
      <c r="R517" s="218" t="str">
        <f>"PBVE"</f>
        <v>PBVE</v>
      </c>
      <c r="S517" s="218" t="str">
        <f t="shared" si="172"/>
        <v>076</v>
      </c>
      <c r="T517" s="218" t="str">
        <f t="shared" si="173"/>
        <v>D</v>
      </c>
      <c r="U517" s="218" t="str">
        <f t="shared" si="159"/>
        <v>AFR000</v>
      </c>
      <c r="V517" s="218" t="str">
        <f t="shared" si="160"/>
        <v>###</v>
      </c>
      <c r="W517" s="218">
        <v>450</v>
      </c>
      <c r="X517" s="218" t="str">
        <f t="shared" si="161"/>
        <v>USD</v>
      </c>
      <c r="Y517" s="218">
        <v>357.02</v>
      </c>
      <c r="Z517" s="218">
        <v>450</v>
      </c>
      <c r="AA517" s="218">
        <v>408.59</v>
      </c>
    </row>
    <row r="518" spans="1:27">
      <c r="A518" s="218" t="s">
        <v>2592</v>
      </c>
      <c r="F518" s="219" t="str">
        <f>"""IntAlert Live"",""ALERT UK"",""17"",""1"",""556043"""</f>
        <v>"IntAlert Live","ALERT UK","17","1","556043"</v>
      </c>
      <c r="G518" s="223">
        <v>43921</v>
      </c>
      <c r="H518" s="223"/>
      <c r="I518" s="218" t="str">
        <f>"DRCPARTNER/PBVE/AP21QR/2020/01"</f>
        <v>DRCPARTNER/PBVE/AP21QR/2020/01</v>
      </c>
      <c r="K518" s="218" t="str">
        <f>"BYARUREMA SAMSO"</f>
        <v>BYARUREMA SAMSO</v>
      </c>
      <c r="L518" s="218" t="str">
        <f>"Salaire Byarurema Animateurs de terrain Mars (Bijombo)"</f>
        <v>Salaire Byarurema Animateurs de terrain Mars (Bijombo)</v>
      </c>
      <c r="M518" s="218" t="str">
        <f t="shared" si="174"/>
        <v>6410</v>
      </c>
      <c r="N518" s="218" t="str">
        <f t="shared" si="175"/>
        <v>PARTNER - EMPLOYMENT COST</v>
      </c>
      <c r="O518" s="218" t="str">
        <f t="shared" si="162"/>
        <v>DRCBUK</v>
      </c>
      <c r="P518" s="218" t="str">
        <f t="shared" si="158"/>
        <v>AP21QR</v>
      </c>
      <c r="Q518" s="218" t="str">
        <f>""</f>
        <v/>
      </c>
      <c r="R518" s="218" t="str">
        <f>"PBVE"</f>
        <v>PBVE</v>
      </c>
      <c r="S518" s="218" t="str">
        <f t="shared" si="172"/>
        <v>076</v>
      </c>
      <c r="T518" s="218" t="str">
        <f t="shared" si="173"/>
        <v>D</v>
      </c>
      <c r="U518" s="218" t="str">
        <f t="shared" si="159"/>
        <v>AFR000</v>
      </c>
      <c r="V518" s="218" t="str">
        <f t="shared" si="160"/>
        <v>###</v>
      </c>
      <c r="W518" s="218">
        <v>250</v>
      </c>
      <c r="X518" s="218" t="str">
        <f t="shared" si="161"/>
        <v>USD</v>
      </c>
      <c r="Y518" s="218">
        <v>198.35</v>
      </c>
      <c r="Z518" s="218">
        <v>250</v>
      </c>
      <c r="AA518" s="218">
        <v>227</v>
      </c>
    </row>
    <row r="519" spans="1:27">
      <c r="A519" s="218" t="s">
        <v>2592</v>
      </c>
      <c r="F519" s="219" t="str">
        <f>"""IntAlert Live"",""ALERT UK"",""17"",""1"",""556044"""</f>
        <v>"IntAlert Live","ALERT UK","17","1","556044"</v>
      </c>
      <c r="G519" s="223">
        <v>43921</v>
      </c>
      <c r="H519" s="223"/>
      <c r="I519" s="218" t="str">
        <f>"DRCPARTNER/PBVE/AP21QR/2020/01"</f>
        <v>DRCPARTNER/PBVE/AP21QR/2020/01</v>
      </c>
      <c r="K519" s="218" t="str">
        <f>"BUKURU RUHESHA"</f>
        <v>BUKURU RUHESHA</v>
      </c>
      <c r="L519" s="218" t="str">
        <f>"Salaire Bukuru Animateurs de terrain Mars2020 (Bijombo)"</f>
        <v>Salaire Bukuru Animateurs de terrain Mars2020 (Bijombo)</v>
      </c>
      <c r="M519" s="218" t="str">
        <f t="shared" si="174"/>
        <v>6410</v>
      </c>
      <c r="N519" s="218" t="str">
        <f t="shared" si="175"/>
        <v>PARTNER - EMPLOYMENT COST</v>
      </c>
      <c r="O519" s="218" t="str">
        <f t="shared" si="162"/>
        <v>DRCBUK</v>
      </c>
      <c r="P519" s="218" t="str">
        <f t="shared" ref="P519:P582" si="176">"AP21QR"</f>
        <v>AP21QR</v>
      </c>
      <c r="Q519" s="218" t="str">
        <f>""</f>
        <v/>
      </c>
      <c r="R519" s="218" t="str">
        <f>"PBVE"</f>
        <v>PBVE</v>
      </c>
      <c r="S519" s="218" t="str">
        <f t="shared" si="172"/>
        <v>076</v>
      </c>
      <c r="T519" s="218" t="str">
        <f t="shared" si="173"/>
        <v>D</v>
      </c>
      <c r="U519" s="218" t="str">
        <f t="shared" ref="U519:U582" si="177">"AFR000"</f>
        <v>AFR000</v>
      </c>
      <c r="V519" s="218" t="str">
        <f t="shared" ref="V519:V582" si="178">"###"</f>
        <v>###</v>
      </c>
      <c r="W519" s="218">
        <v>250</v>
      </c>
      <c r="X519" s="218" t="str">
        <f t="shared" si="161"/>
        <v>USD</v>
      </c>
      <c r="Y519" s="218">
        <v>198.35</v>
      </c>
      <c r="Z519" s="218">
        <v>250</v>
      </c>
      <c r="AA519" s="218">
        <v>227</v>
      </c>
    </row>
    <row r="520" spans="1:27">
      <c r="A520" s="218" t="s">
        <v>2592</v>
      </c>
      <c r="F520" s="219" t="str">
        <f>"""IntAlert Live"",""ALERT UK"",""17"",""1"",""556047"""</f>
        <v>"IntAlert Live","ALERT UK","17","1","556047"</v>
      </c>
      <c r="G520" s="223">
        <v>43921</v>
      </c>
      <c r="H520" s="223"/>
      <c r="I520" s="218" t="str">
        <f>"DRCPARTNER/PBVE/AP21QR/2020/01"</f>
        <v>DRCPARTNER/PBVE/AP21QR/2020/01</v>
      </c>
      <c r="K520" s="218" t="str">
        <f>"WEMA MYRIAM"</f>
        <v>WEMA MYRIAM</v>
      </c>
      <c r="L520" s="218" t="str">
        <f>"Salaire Wema comptable Mars 20202"</f>
        <v>Salaire Wema comptable Mars 20202</v>
      </c>
      <c r="M520" s="218" t="str">
        <f t="shared" si="174"/>
        <v>6410</v>
      </c>
      <c r="N520" s="218" t="str">
        <f t="shared" si="175"/>
        <v>PARTNER - EMPLOYMENT COST</v>
      </c>
      <c r="O520" s="218" t="str">
        <f t="shared" si="162"/>
        <v>DRCBUK</v>
      </c>
      <c r="P520" s="218" t="str">
        <f t="shared" si="176"/>
        <v>AP21QR</v>
      </c>
      <c r="Q520" s="218" t="str">
        <f>""</f>
        <v/>
      </c>
      <c r="R520" s="218" t="str">
        <f>"PBVE"</f>
        <v>PBVE</v>
      </c>
      <c r="S520" s="218" t="str">
        <f t="shared" si="172"/>
        <v>076</v>
      </c>
      <c r="T520" s="218" t="str">
        <f t="shared" si="173"/>
        <v>D</v>
      </c>
      <c r="U520" s="218" t="str">
        <f t="shared" si="177"/>
        <v>AFR000</v>
      </c>
      <c r="V520" s="218" t="str">
        <f t="shared" si="178"/>
        <v>###</v>
      </c>
      <c r="W520" s="218">
        <v>200</v>
      </c>
      <c r="X520" s="218" t="str">
        <f t="shared" ref="X520:X583" si="179">"USD"</f>
        <v>USD</v>
      </c>
      <c r="Y520" s="218">
        <v>158.68</v>
      </c>
      <c r="Z520" s="218">
        <v>200</v>
      </c>
      <c r="AA520" s="218">
        <v>181.6</v>
      </c>
    </row>
    <row r="521" spans="1:27">
      <c r="A521" s="218" t="s">
        <v>2592</v>
      </c>
      <c r="F521" s="219" t="str">
        <f>"""IntAlert Live"",""ALERT UK"",""17"",""1"",""555869"""</f>
        <v>"IntAlert Live","ALERT UK","17","1","555869"</v>
      </c>
      <c r="G521" s="223">
        <v>43924</v>
      </c>
      <c r="H521" s="223"/>
      <c r="I521" s="218" t="str">
        <f t="shared" ref="I521:I562" si="180">"DRCPARTNER/PSOL/AP21QR/2020/01"</f>
        <v>DRCPARTNER/PSOL/AP21QR/2020/01</v>
      </c>
      <c r="K521" s="218" t="str">
        <f>"OLIVE"</f>
        <v>OLIVE</v>
      </c>
      <c r="L521" s="218" t="str">
        <f>"Achat cartes d'appel pour la communication"</f>
        <v>Achat cartes d'appel pour la communication</v>
      </c>
      <c r="M521" s="218" t="str">
        <f t="shared" si="174"/>
        <v>6410</v>
      </c>
      <c r="N521" s="218" t="str">
        <f t="shared" si="175"/>
        <v>PARTNER - EMPLOYMENT COST</v>
      </c>
      <c r="O521" s="218" t="str">
        <f t="shared" si="162"/>
        <v>DRCBUK</v>
      </c>
      <c r="P521" s="218" t="str">
        <f t="shared" si="176"/>
        <v>AP21QR</v>
      </c>
      <c r="Q521" s="218" t="str">
        <f>""</f>
        <v/>
      </c>
      <c r="R521" s="218" t="str">
        <f t="shared" ref="R521:R562" si="181">"PSOL"</f>
        <v>PSOL</v>
      </c>
      <c r="S521" s="218" t="str">
        <f t="shared" si="172"/>
        <v>076</v>
      </c>
      <c r="T521" s="218" t="str">
        <f t="shared" si="173"/>
        <v>D</v>
      </c>
      <c r="U521" s="218" t="str">
        <f t="shared" si="177"/>
        <v>AFR000</v>
      </c>
      <c r="V521" s="218" t="str">
        <f t="shared" si="178"/>
        <v>###</v>
      </c>
      <c r="W521" s="218">
        <v>60</v>
      </c>
      <c r="X521" s="218" t="str">
        <f t="shared" si="179"/>
        <v>USD</v>
      </c>
      <c r="Y521" s="218">
        <v>47.6</v>
      </c>
      <c r="Z521" s="218">
        <v>60</v>
      </c>
      <c r="AA521" s="218">
        <v>54.48</v>
      </c>
    </row>
    <row r="522" spans="1:27">
      <c r="A522" s="218" t="s">
        <v>2592</v>
      </c>
      <c r="F522" s="219" t="str">
        <f>"""IntAlert Live"",""ALERT UK"",""17"",""1"",""555870"""</f>
        <v>"IntAlert Live","ALERT UK","17","1","555870"</v>
      </c>
      <c r="G522" s="223">
        <v>43924</v>
      </c>
      <c r="H522" s="223"/>
      <c r="I522" s="218" t="str">
        <f t="shared" si="180"/>
        <v>DRCPARTNER/PSOL/AP21QR/2020/01</v>
      </c>
      <c r="K522" s="218" t="str">
        <f>"OLIVE"</f>
        <v>OLIVE</v>
      </c>
      <c r="L522" s="218" t="str">
        <f>"Achat Fournitures de bureau"</f>
        <v>Achat Fournitures de bureau</v>
      </c>
      <c r="M522" s="218" t="str">
        <f>"6430"</f>
        <v>6430</v>
      </c>
      <c r="N522" s="218" t="str">
        <f>"PARTNER - OFFICE COST"</f>
        <v>PARTNER - OFFICE COST</v>
      </c>
      <c r="O522" s="218" t="str">
        <f t="shared" ref="O522:O585" si="182">"DRCBUK"</f>
        <v>DRCBUK</v>
      </c>
      <c r="P522" s="218" t="str">
        <f t="shared" si="176"/>
        <v>AP21QR</v>
      </c>
      <c r="Q522" s="218" t="str">
        <f>""</f>
        <v/>
      </c>
      <c r="R522" s="218" t="str">
        <f t="shared" si="181"/>
        <v>PSOL</v>
      </c>
      <c r="S522" s="218" t="str">
        <f t="shared" si="172"/>
        <v>076</v>
      </c>
      <c r="T522" s="218" t="str">
        <f t="shared" si="173"/>
        <v>D</v>
      </c>
      <c r="U522" s="218" t="str">
        <f t="shared" si="177"/>
        <v>AFR000</v>
      </c>
      <c r="V522" s="218" t="str">
        <f t="shared" si="178"/>
        <v>###</v>
      </c>
      <c r="W522" s="218">
        <v>30</v>
      </c>
      <c r="X522" s="218" t="str">
        <f t="shared" si="179"/>
        <v>USD</v>
      </c>
      <c r="Y522" s="218">
        <v>23.8</v>
      </c>
      <c r="Z522" s="218">
        <v>30</v>
      </c>
      <c r="AA522" s="218">
        <v>27.24</v>
      </c>
    </row>
    <row r="523" spans="1:27">
      <c r="A523" s="218" t="s">
        <v>2592</v>
      </c>
      <c r="F523" s="219" t="str">
        <f>"""IntAlert Live"",""ALERT UK"",""17"",""1"",""555871"""</f>
        <v>"IntAlert Live","ALERT UK","17","1","555871"</v>
      </c>
      <c r="G523" s="223">
        <v>43927</v>
      </c>
      <c r="H523" s="223"/>
      <c r="I523" s="218" t="str">
        <f t="shared" si="180"/>
        <v>DRCPARTNER/PSOL/AP21QR/2020/01</v>
      </c>
      <c r="K523" s="218" t="str">
        <f>"OLIVE"</f>
        <v>OLIVE</v>
      </c>
      <c r="L523" s="218" t="str">
        <f>"Pyt bureau de minembwe Fév et mars 2020"</f>
        <v>Pyt bureau de minembwe Fév et mars 2020</v>
      </c>
      <c r="M523" s="218" t="str">
        <f>"6430"</f>
        <v>6430</v>
      </c>
      <c r="N523" s="218" t="str">
        <f>"PARTNER - OFFICE COST"</f>
        <v>PARTNER - OFFICE COST</v>
      </c>
      <c r="O523" s="218" t="str">
        <f t="shared" si="182"/>
        <v>DRCBUK</v>
      </c>
      <c r="P523" s="218" t="str">
        <f t="shared" si="176"/>
        <v>AP21QR</v>
      </c>
      <c r="Q523" s="218" t="str">
        <f>""</f>
        <v/>
      </c>
      <c r="R523" s="218" t="str">
        <f t="shared" si="181"/>
        <v>PSOL</v>
      </c>
      <c r="S523" s="218" t="str">
        <f t="shared" si="172"/>
        <v>076</v>
      </c>
      <c r="T523" s="218" t="str">
        <f t="shared" si="173"/>
        <v>D</v>
      </c>
      <c r="U523" s="218" t="str">
        <f t="shared" si="177"/>
        <v>AFR000</v>
      </c>
      <c r="V523" s="218" t="str">
        <f t="shared" si="178"/>
        <v>###</v>
      </c>
      <c r="W523" s="218">
        <v>200</v>
      </c>
      <c r="X523" s="218" t="str">
        <f t="shared" si="179"/>
        <v>USD</v>
      </c>
      <c r="Y523" s="218">
        <v>158.68</v>
      </c>
      <c r="Z523" s="218">
        <v>200</v>
      </c>
      <c r="AA523" s="218">
        <v>181.6</v>
      </c>
    </row>
    <row r="524" spans="1:27">
      <c r="A524" s="218" t="s">
        <v>2592</v>
      </c>
      <c r="F524" s="219" t="str">
        <f>"""IntAlert Live"",""ALERT UK"",""17"",""1"",""555872"""</f>
        <v>"IntAlert Live","ALERT UK","17","1","555872"</v>
      </c>
      <c r="G524" s="223">
        <v>43934</v>
      </c>
      <c r="H524" s="223"/>
      <c r="I524" s="218" t="str">
        <f t="shared" si="180"/>
        <v>DRCPARTNER/PSOL/AP21QR/2020/01</v>
      </c>
      <c r="K524" s="218" t="str">
        <f>"DGI"</f>
        <v>DGI</v>
      </c>
      <c r="L524" s="218" t="str">
        <f>"Pyt IPR  CP&amp;ME  mars 2020"</f>
        <v>Pyt IPR  CP&amp;ME  mars 2020</v>
      </c>
      <c r="M524" s="218" t="str">
        <f t="shared" ref="M524:M561" si="183">"6410"</f>
        <v>6410</v>
      </c>
      <c r="N524" s="218" t="str">
        <f t="shared" ref="N524:N561" si="184">"PARTNER - EMPLOYMENT COST"</f>
        <v>PARTNER - EMPLOYMENT COST</v>
      </c>
      <c r="O524" s="218" t="str">
        <f t="shared" si="182"/>
        <v>DRCBUK</v>
      </c>
      <c r="P524" s="218" t="str">
        <f t="shared" si="176"/>
        <v>AP21QR</v>
      </c>
      <c r="Q524" s="218" t="str">
        <f>""</f>
        <v/>
      </c>
      <c r="R524" s="218" t="str">
        <f t="shared" si="181"/>
        <v>PSOL</v>
      </c>
      <c r="S524" s="218" t="str">
        <f t="shared" si="172"/>
        <v>076</v>
      </c>
      <c r="T524" s="218" t="str">
        <f t="shared" si="173"/>
        <v>D</v>
      </c>
      <c r="U524" s="218" t="str">
        <f t="shared" si="177"/>
        <v>AFR000</v>
      </c>
      <c r="V524" s="218" t="str">
        <f t="shared" si="178"/>
        <v>###</v>
      </c>
      <c r="W524" s="218">
        <v>38</v>
      </c>
      <c r="X524" s="218" t="str">
        <f t="shared" si="179"/>
        <v>USD</v>
      </c>
      <c r="Y524" s="218">
        <v>30.15</v>
      </c>
      <c r="Z524" s="218">
        <v>38</v>
      </c>
      <c r="AA524" s="218">
        <v>34.51</v>
      </c>
    </row>
    <row r="525" spans="1:27">
      <c r="A525" s="218" t="s">
        <v>2592</v>
      </c>
      <c r="F525" s="219" t="str">
        <f>"""IntAlert Live"",""ALERT UK"",""17"",""1"",""555873"""</f>
        <v>"IntAlert Live","ALERT UK","17","1","555873"</v>
      </c>
      <c r="G525" s="223">
        <v>43934</v>
      </c>
      <c r="H525" s="223"/>
      <c r="I525" s="218" t="str">
        <f t="shared" si="180"/>
        <v>DRCPARTNER/PSOL/AP21QR/2020/01</v>
      </c>
      <c r="K525" s="218" t="str">
        <f>"DGI"</f>
        <v>DGI</v>
      </c>
      <c r="L525" s="218" t="str">
        <f>"Pyt IPR  Animateur  mars 2020"</f>
        <v>Pyt IPR  Animateur  mars 2020</v>
      </c>
      <c r="M525" s="218" t="str">
        <f t="shared" si="183"/>
        <v>6410</v>
      </c>
      <c r="N525" s="218" t="str">
        <f t="shared" si="184"/>
        <v>PARTNER - EMPLOYMENT COST</v>
      </c>
      <c r="O525" s="218" t="str">
        <f t="shared" si="182"/>
        <v>DRCBUK</v>
      </c>
      <c r="P525" s="218" t="str">
        <f t="shared" si="176"/>
        <v>AP21QR</v>
      </c>
      <c r="Q525" s="218" t="str">
        <f>""</f>
        <v/>
      </c>
      <c r="R525" s="218" t="str">
        <f t="shared" si="181"/>
        <v>PSOL</v>
      </c>
      <c r="S525" s="218" t="str">
        <f t="shared" si="172"/>
        <v>076</v>
      </c>
      <c r="T525" s="218" t="str">
        <f t="shared" si="173"/>
        <v>D</v>
      </c>
      <c r="U525" s="218" t="str">
        <f t="shared" si="177"/>
        <v>AFR000</v>
      </c>
      <c r="V525" s="218" t="str">
        <f t="shared" si="178"/>
        <v>###</v>
      </c>
      <c r="W525" s="218">
        <v>30.5</v>
      </c>
      <c r="X525" s="218" t="str">
        <f t="shared" si="179"/>
        <v>USD</v>
      </c>
      <c r="Y525" s="218">
        <v>24.2</v>
      </c>
      <c r="Z525" s="218">
        <v>30.5</v>
      </c>
      <c r="AA525" s="218">
        <v>27.7</v>
      </c>
    </row>
    <row r="526" spans="1:27">
      <c r="A526" s="218" t="s">
        <v>2592</v>
      </c>
      <c r="F526" s="219" t="str">
        <f>"""IntAlert Live"",""ALERT UK"",""17"",""1"",""555874"""</f>
        <v>"IntAlert Live","ALERT UK","17","1","555874"</v>
      </c>
      <c r="G526" s="223">
        <v>43934</v>
      </c>
      <c r="H526" s="223"/>
      <c r="I526" s="218" t="str">
        <f t="shared" si="180"/>
        <v>DRCPARTNER/PSOL/AP21QR/2020/01</v>
      </c>
      <c r="K526" s="218" t="str">
        <f>"DGI"</f>
        <v>DGI</v>
      </c>
      <c r="L526" s="218" t="str">
        <f>"Pyt IPR  Gardien  mars 2020"</f>
        <v>Pyt IPR  Gardien  mars 2020</v>
      </c>
      <c r="M526" s="218" t="str">
        <f t="shared" si="183"/>
        <v>6410</v>
      </c>
      <c r="N526" s="218" t="str">
        <f t="shared" si="184"/>
        <v>PARTNER - EMPLOYMENT COST</v>
      </c>
      <c r="O526" s="218" t="str">
        <f t="shared" si="182"/>
        <v>DRCBUK</v>
      </c>
      <c r="P526" s="218" t="str">
        <f t="shared" si="176"/>
        <v>AP21QR</v>
      </c>
      <c r="Q526" s="218" t="str">
        <f>""</f>
        <v/>
      </c>
      <c r="R526" s="218" t="str">
        <f t="shared" si="181"/>
        <v>PSOL</v>
      </c>
      <c r="S526" s="218" t="str">
        <f t="shared" si="172"/>
        <v>076</v>
      </c>
      <c r="T526" s="218" t="str">
        <f t="shared" si="173"/>
        <v>D</v>
      </c>
      <c r="U526" s="218" t="str">
        <f t="shared" si="177"/>
        <v>AFR000</v>
      </c>
      <c r="V526" s="218" t="str">
        <f t="shared" si="178"/>
        <v>###</v>
      </c>
      <c r="W526" s="218">
        <v>3.5</v>
      </c>
      <c r="X526" s="218" t="str">
        <f t="shared" si="179"/>
        <v>USD</v>
      </c>
      <c r="Y526" s="218">
        <v>2.78</v>
      </c>
      <c r="Z526" s="218">
        <v>3.5</v>
      </c>
      <c r="AA526" s="218">
        <v>3.18</v>
      </c>
    </row>
    <row r="527" spans="1:27">
      <c r="A527" s="218" t="s">
        <v>2592</v>
      </c>
      <c r="F527" s="219" t="str">
        <f>"""IntAlert Live"",""ALERT UK"",""17"",""1"",""555875"""</f>
        <v>"IntAlert Live","ALERT UK","17","1","555875"</v>
      </c>
      <c r="G527" s="223">
        <v>43934</v>
      </c>
      <c r="H527" s="223"/>
      <c r="I527" s="218" t="str">
        <f t="shared" si="180"/>
        <v>DRCPARTNER/PSOL/AP21QR/2020/01</v>
      </c>
      <c r="K527" s="218" t="str">
        <f t="shared" ref="K527:K551" si="185">"CNSS"</f>
        <v>CNSS</v>
      </c>
      <c r="L527" s="218" t="str">
        <f>"Pyt IPR  Gardien   mars 2020"</f>
        <v>Pyt IPR  Gardien   mars 2020</v>
      </c>
      <c r="M527" s="218" t="str">
        <f t="shared" si="183"/>
        <v>6410</v>
      </c>
      <c r="N527" s="218" t="str">
        <f t="shared" si="184"/>
        <v>PARTNER - EMPLOYMENT COST</v>
      </c>
      <c r="O527" s="218" t="str">
        <f t="shared" si="182"/>
        <v>DRCBUK</v>
      </c>
      <c r="P527" s="218" t="str">
        <f t="shared" si="176"/>
        <v>AP21QR</v>
      </c>
      <c r="Q527" s="218" t="str">
        <f>""</f>
        <v/>
      </c>
      <c r="R527" s="218" t="str">
        <f t="shared" si="181"/>
        <v>PSOL</v>
      </c>
      <c r="S527" s="218" t="str">
        <f t="shared" si="172"/>
        <v>076</v>
      </c>
      <c r="T527" s="218" t="str">
        <f t="shared" si="173"/>
        <v>D</v>
      </c>
      <c r="U527" s="218" t="str">
        <f t="shared" si="177"/>
        <v>AFR000</v>
      </c>
      <c r="V527" s="218" t="str">
        <f t="shared" si="178"/>
        <v>###</v>
      </c>
      <c r="W527" s="218">
        <v>11.78</v>
      </c>
      <c r="X527" s="218" t="str">
        <f t="shared" si="179"/>
        <v>USD</v>
      </c>
      <c r="Y527" s="218">
        <v>9.35</v>
      </c>
      <c r="Z527" s="218">
        <v>11.78</v>
      </c>
      <c r="AA527" s="218">
        <v>10.7</v>
      </c>
    </row>
    <row r="528" spans="1:27">
      <c r="A528" s="218" t="s">
        <v>2592</v>
      </c>
      <c r="F528" s="219" t="str">
        <f>"""IntAlert Live"",""ALERT UK"",""17"",""1"",""555876"""</f>
        <v>"IntAlert Live","ALERT UK","17","1","555876"</v>
      </c>
      <c r="G528" s="223">
        <v>43934</v>
      </c>
      <c r="H528" s="223"/>
      <c r="I528" s="218" t="str">
        <f t="shared" si="180"/>
        <v>DRCPARTNER/PSOL/AP21QR/2020/01</v>
      </c>
      <c r="K528" s="218" t="str">
        <f t="shared" si="185"/>
        <v>CNSS</v>
      </c>
      <c r="L528" s="218" t="str">
        <f>"Pyt Cotisation sociale CP&amp;ME mars 2020"</f>
        <v>Pyt Cotisation sociale CP&amp;ME mars 2020</v>
      </c>
      <c r="M528" s="218" t="str">
        <f t="shared" si="183"/>
        <v>6410</v>
      </c>
      <c r="N528" s="218" t="str">
        <f t="shared" si="184"/>
        <v>PARTNER - EMPLOYMENT COST</v>
      </c>
      <c r="O528" s="218" t="str">
        <f t="shared" si="182"/>
        <v>DRCBUK</v>
      </c>
      <c r="P528" s="218" t="str">
        <f t="shared" si="176"/>
        <v>AP21QR</v>
      </c>
      <c r="Q528" s="218" t="str">
        <f>""</f>
        <v/>
      </c>
      <c r="R528" s="218" t="str">
        <f t="shared" si="181"/>
        <v>PSOL</v>
      </c>
      <c r="S528" s="218" t="str">
        <f t="shared" si="172"/>
        <v>076</v>
      </c>
      <c r="T528" s="218" t="str">
        <f t="shared" si="173"/>
        <v>D</v>
      </c>
      <c r="U528" s="218" t="str">
        <f t="shared" si="177"/>
        <v>AFR000</v>
      </c>
      <c r="V528" s="218" t="str">
        <f t="shared" si="178"/>
        <v>###</v>
      </c>
      <c r="W528" s="218">
        <v>14</v>
      </c>
      <c r="X528" s="218" t="str">
        <f t="shared" si="179"/>
        <v>USD</v>
      </c>
      <c r="Y528" s="218">
        <v>11.11</v>
      </c>
      <c r="Z528" s="218">
        <v>14</v>
      </c>
      <c r="AA528" s="218">
        <v>12.71</v>
      </c>
    </row>
    <row r="529" spans="1:27">
      <c r="A529" s="218" t="s">
        <v>2592</v>
      </c>
      <c r="F529" s="219" t="str">
        <f>"""IntAlert Live"",""ALERT UK"",""17"",""1"",""555877"""</f>
        <v>"IntAlert Live","ALERT UK","17","1","555877"</v>
      </c>
      <c r="G529" s="223">
        <v>43934</v>
      </c>
      <c r="H529" s="223"/>
      <c r="I529" s="218" t="str">
        <f t="shared" si="180"/>
        <v>DRCPARTNER/PSOL/AP21QR/2020/01</v>
      </c>
      <c r="K529" s="218" t="str">
        <f t="shared" si="185"/>
        <v>CNSS</v>
      </c>
      <c r="L529" s="218" t="str">
        <f>"Pyt Cotisation sociale Animateur  mars 2020"</f>
        <v>Pyt Cotisation sociale Animateur  mars 2020</v>
      </c>
      <c r="M529" s="218" t="str">
        <f t="shared" si="183"/>
        <v>6410</v>
      </c>
      <c r="N529" s="218" t="str">
        <f t="shared" si="184"/>
        <v>PARTNER - EMPLOYMENT COST</v>
      </c>
      <c r="O529" s="218" t="str">
        <f t="shared" si="182"/>
        <v>DRCBUK</v>
      </c>
      <c r="P529" s="218" t="str">
        <f t="shared" si="176"/>
        <v>AP21QR</v>
      </c>
      <c r="Q529" s="218" t="str">
        <f>""</f>
        <v/>
      </c>
      <c r="R529" s="218" t="str">
        <f t="shared" si="181"/>
        <v>PSOL</v>
      </c>
      <c r="S529" s="218" t="str">
        <f t="shared" si="172"/>
        <v>076</v>
      </c>
      <c r="T529" s="218" t="str">
        <f t="shared" si="173"/>
        <v>D</v>
      </c>
      <c r="U529" s="218" t="str">
        <f t="shared" si="177"/>
        <v>AFR000</v>
      </c>
      <c r="V529" s="218" t="str">
        <f t="shared" si="178"/>
        <v>###</v>
      </c>
      <c r="W529" s="218">
        <v>10</v>
      </c>
      <c r="X529" s="218" t="str">
        <f t="shared" si="179"/>
        <v>USD</v>
      </c>
      <c r="Y529" s="218">
        <v>7.93</v>
      </c>
      <c r="Z529" s="218">
        <v>10</v>
      </c>
      <c r="AA529" s="218">
        <v>9.08</v>
      </c>
    </row>
    <row r="530" spans="1:27">
      <c r="A530" s="218" t="s">
        <v>2592</v>
      </c>
      <c r="F530" s="219" t="str">
        <f>"""IntAlert Live"",""ALERT UK"",""17"",""1"",""555878"""</f>
        <v>"IntAlert Live","ALERT UK","17","1","555878"</v>
      </c>
      <c r="G530" s="223">
        <v>43934</v>
      </c>
      <c r="H530" s="223"/>
      <c r="I530" s="218" t="str">
        <f t="shared" si="180"/>
        <v>DRCPARTNER/PSOL/AP21QR/2020/01</v>
      </c>
      <c r="K530" s="218" t="str">
        <f t="shared" si="185"/>
        <v>CNSS</v>
      </c>
      <c r="L530" s="218" t="str">
        <f>"Pyt Cotisation sociale Gardien  mars 2020"</f>
        <v>Pyt Cotisation sociale Gardien  mars 2020</v>
      </c>
      <c r="M530" s="218" t="str">
        <f t="shared" si="183"/>
        <v>6410</v>
      </c>
      <c r="N530" s="218" t="str">
        <f t="shared" si="184"/>
        <v>PARTNER - EMPLOYMENT COST</v>
      </c>
      <c r="O530" s="218" t="str">
        <f t="shared" si="182"/>
        <v>DRCBUK</v>
      </c>
      <c r="P530" s="218" t="str">
        <f t="shared" si="176"/>
        <v>AP21QR</v>
      </c>
      <c r="Q530" s="218" t="str">
        <f>""</f>
        <v/>
      </c>
      <c r="R530" s="218" t="str">
        <f t="shared" si="181"/>
        <v>PSOL</v>
      </c>
      <c r="S530" s="218" t="str">
        <f t="shared" si="172"/>
        <v>076</v>
      </c>
      <c r="T530" s="218" t="str">
        <f t="shared" si="173"/>
        <v>D</v>
      </c>
      <c r="U530" s="218" t="str">
        <f t="shared" si="177"/>
        <v>AFR000</v>
      </c>
      <c r="V530" s="218" t="str">
        <f t="shared" si="178"/>
        <v>###</v>
      </c>
      <c r="W530" s="218">
        <v>3</v>
      </c>
      <c r="X530" s="218" t="str">
        <f t="shared" si="179"/>
        <v>USD</v>
      </c>
      <c r="Y530" s="218">
        <v>2.38</v>
      </c>
      <c r="Z530" s="218">
        <v>3</v>
      </c>
      <c r="AA530" s="218">
        <v>2.72</v>
      </c>
    </row>
    <row r="531" spans="1:27">
      <c r="A531" s="218" t="s">
        <v>2592</v>
      </c>
      <c r="F531" s="219" t="str">
        <f>"""IntAlert Live"",""ALERT UK"",""17"",""1"",""555879"""</f>
        <v>"IntAlert Live","ALERT UK","17","1","555879"</v>
      </c>
      <c r="G531" s="223">
        <v>43934</v>
      </c>
      <c r="H531" s="223"/>
      <c r="I531" s="218" t="str">
        <f t="shared" si="180"/>
        <v>DRCPARTNER/PSOL/AP21QR/2020/01</v>
      </c>
      <c r="K531" s="218" t="str">
        <f t="shared" si="185"/>
        <v>CNSS</v>
      </c>
      <c r="L531" s="218" t="str">
        <f>"Pyt Cotisation sociale Financière  mars 2020"</f>
        <v>Pyt Cotisation sociale Financière  mars 2020</v>
      </c>
      <c r="M531" s="218" t="str">
        <f t="shared" si="183"/>
        <v>6410</v>
      </c>
      <c r="N531" s="218" t="str">
        <f t="shared" si="184"/>
        <v>PARTNER - EMPLOYMENT COST</v>
      </c>
      <c r="O531" s="218" t="str">
        <f t="shared" si="182"/>
        <v>DRCBUK</v>
      </c>
      <c r="P531" s="218" t="str">
        <f t="shared" si="176"/>
        <v>AP21QR</v>
      </c>
      <c r="Q531" s="218" t="str">
        <f>""</f>
        <v/>
      </c>
      <c r="R531" s="218" t="str">
        <f t="shared" si="181"/>
        <v>PSOL</v>
      </c>
      <c r="S531" s="218" t="str">
        <f t="shared" si="172"/>
        <v>076</v>
      </c>
      <c r="T531" s="218" t="str">
        <f t="shared" si="173"/>
        <v>D</v>
      </c>
      <c r="U531" s="218" t="str">
        <f t="shared" si="177"/>
        <v>AFR000</v>
      </c>
      <c r="V531" s="218" t="str">
        <f t="shared" si="178"/>
        <v>###</v>
      </c>
      <c r="W531" s="218">
        <v>4</v>
      </c>
      <c r="X531" s="218" t="str">
        <f t="shared" si="179"/>
        <v>USD</v>
      </c>
      <c r="Y531" s="218">
        <v>3.17</v>
      </c>
      <c r="Z531" s="218">
        <v>4</v>
      </c>
      <c r="AA531" s="218">
        <v>3.63</v>
      </c>
    </row>
    <row r="532" spans="1:27">
      <c r="A532" s="218" t="s">
        <v>2592</v>
      </c>
      <c r="F532" s="219" t="str">
        <f>"""IntAlert Live"",""ALERT UK"",""17"",""1"",""555880"""</f>
        <v>"IntAlert Live","ALERT UK","17","1","555880"</v>
      </c>
      <c r="G532" s="223">
        <v>43934</v>
      </c>
      <c r="H532" s="223"/>
      <c r="I532" s="218" t="str">
        <f t="shared" si="180"/>
        <v>DRCPARTNER/PSOL/AP21QR/2020/01</v>
      </c>
      <c r="K532" s="218" t="str">
        <f t="shared" si="185"/>
        <v>CNSS</v>
      </c>
      <c r="L532" s="218" t="str">
        <f>"Pyt Cotisation sociale CP&amp;ME   mars 2020"</f>
        <v>Pyt Cotisation sociale CP&amp;ME   mars 2020</v>
      </c>
      <c r="M532" s="218" t="str">
        <f t="shared" si="183"/>
        <v>6410</v>
      </c>
      <c r="N532" s="218" t="str">
        <f t="shared" si="184"/>
        <v>PARTNER - EMPLOYMENT COST</v>
      </c>
      <c r="O532" s="218" t="str">
        <f t="shared" si="182"/>
        <v>DRCBUK</v>
      </c>
      <c r="P532" s="218" t="str">
        <f t="shared" si="176"/>
        <v>AP21QR</v>
      </c>
      <c r="Q532" s="218" t="str">
        <f>""</f>
        <v/>
      </c>
      <c r="R532" s="218" t="str">
        <f t="shared" si="181"/>
        <v>PSOL</v>
      </c>
      <c r="S532" s="218" t="str">
        <f t="shared" si="172"/>
        <v>076</v>
      </c>
      <c r="T532" s="218" t="str">
        <f t="shared" si="173"/>
        <v>D</v>
      </c>
      <c r="U532" s="218" t="str">
        <f t="shared" si="177"/>
        <v>AFR000</v>
      </c>
      <c r="V532" s="218" t="str">
        <f t="shared" si="178"/>
        <v>###</v>
      </c>
      <c r="W532" s="218">
        <v>36</v>
      </c>
      <c r="X532" s="218" t="str">
        <f t="shared" si="179"/>
        <v>USD</v>
      </c>
      <c r="Y532" s="218">
        <v>28.56</v>
      </c>
      <c r="Z532" s="218">
        <v>36</v>
      </c>
      <c r="AA532" s="218">
        <v>32.69</v>
      </c>
    </row>
    <row r="533" spans="1:27">
      <c r="A533" s="218" t="s">
        <v>2592</v>
      </c>
      <c r="F533" s="219" t="str">
        <f>"""IntAlert Live"",""ALERT UK"",""17"",""1"",""555881"""</f>
        <v>"IntAlert Live","ALERT UK","17","1","555881"</v>
      </c>
      <c r="G533" s="223">
        <v>43934</v>
      </c>
      <c r="H533" s="223"/>
      <c r="I533" s="218" t="str">
        <f t="shared" si="180"/>
        <v>DRCPARTNER/PSOL/AP21QR/2020/01</v>
      </c>
      <c r="K533" s="218" t="str">
        <f t="shared" si="185"/>
        <v>CNSS</v>
      </c>
      <c r="L533" s="218" t="str">
        <f>"PytCotisation sociale Animateur  mars 2020"</f>
        <v>PytCotisation sociale Animateur  mars 2020</v>
      </c>
      <c r="M533" s="218" t="str">
        <f t="shared" si="183"/>
        <v>6410</v>
      </c>
      <c r="N533" s="218" t="str">
        <f t="shared" si="184"/>
        <v>PARTNER - EMPLOYMENT COST</v>
      </c>
      <c r="O533" s="218" t="str">
        <f t="shared" si="182"/>
        <v>DRCBUK</v>
      </c>
      <c r="P533" s="218" t="str">
        <f t="shared" si="176"/>
        <v>AP21QR</v>
      </c>
      <c r="Q533" s="218" t="str">
        <f>""</f>
        <v/>
      </c>
      <c r="R533" s="218" t="str">
        <f t="shared" si="181"/>
        <v>PSOL</v>
      </c>
      <c r="S533" s="218" t="str">
        <f t="shared" ref="S533:S564" si="186">"076"</f>
        <v>076</v>
      </c>
      <c r="T533" s="218" t="str">
        <f t="shared" si="173"/>
        <v>D</v>
      </c>
      <c r="U533" s="218" t="str">
        <f t="shared" si="177"/>
        <v>AFR000</v>
      </c>
      <c r="V533" s="218" t="str">
        <f t="shared" si="178"/>
        <v>###</v>
      </c>
      <c r="W533" s="218">
        <v>26</v>
      </c>
      <c r="X533" s="218" t="str">
        <f t="shared" si="179"/>
        <v>USD</v>
      </c>
      <c r="Y533" s="218">
        <v>20.63</v>
      </c>
      <c r="Z533" s="218">
        <v>26</v>
      </c>
      <c r="AA533" s="218">
        <v>23.61</v>
      </c>
    </row>
    <row r="534" spans="1:27">
      <c r="A534" s="218" t="s">
        <v>2592</v>
      </c>
      <c r="F534" s="219" t="str">
        <f>"""IntAlert Live"",""ALERT UK"",""17"",""1"",""555882"""</f>
        <v>"IntAlert Live","ALERT UK","17","1","555882"</v>
      </c>
      <c r="G534" s="223">
        <v>43934</v>
      </c>
      <c r="H534" s="223"/>
      <c r="I534" s="218" t="str">
        <f t="shared" si="180"/>
        <v>DRCPARTNER/PSOL/AP21QR/2020/01</v>
      </c>
      <c r="K534" s="218" t="str">
        <f t="shared" si="185"/>
        <v>CNSS</v>
      </c>
      <c r="L534" s="218" t="str">
        <f>"Pyt Cotisation sociale Gardien  mars 2020"</f>
        <v>Pyt Cotisation sociale Gardien  mars 2020</v>
      </c>
      <c r="M534" s="218" t="str">
        <f t="shared" si="183"/>
        <v>6410</v>
      </c>
      <c r="N534" s="218" t="str">
        <f t="shared" si="184"/>
        <v>PARTNER - EMPLOYMENT COST</v>
      </c>
      <c r="O534" s="218" t="str">
        <f t="shared" si="182"/>
        <v>DRCBUK</v>
      </c>
      <c r="P534" s="218" t="str">
        <f t="shared" si="176"/>
        <v>AP21QR</v>
      </c>
      <c r="Q534" s="218" t="str">
        <f>""</f>
        <v/>
      </c>
      <c r="R534" s="218" t="str">
        <f t="shared" si="181"/>
        <v>PSOL</v>
      </c>
      <c r="S534" s="218" t="str">
        <f t="shared" si="186"/>
        <v>076</v>
      </c>
      <c r="T534" s="218" t="str">
        <f t="shared" si="173"/>
        <v>D</v>
      </c>
      <c r="U534" s="218" t="str">
        <f t="shared" si="177"/>
        <v>AFR000</v>
      </c>
      <c r="V534" s="218" t="str">
        <f t="shared" si="178"/>
        <v>###</v>
      </c>
      <c r="W534" s="218">
        <v>7</v>
      </c>
      <c r="X534" s="218" t="str">
        <f t="shared" si="179"/>
        <v>USD</v>
      </c>
      <c r="Y534" s="218">
        <v>5.55</v>
      </c>
      <c r="Z534" s="218">
        <v>7</v>
      </c>
      <c r="AA534" s="218">
        <v>6.35</v>
      </c>
    </row>
    <row r="535" spans="1:27">
      <c r="A535" s="218" t="s">
        <v>2592</v>
      </c>
      <c r="F535" s="219" t="str">
        <f>"""IntAlert Live"",""ALERT UK"",""17"",""1"",""555883"""</f>
        <v>"IntAlert Live","ALERT UK","17","1","555883"</v>
      </c>
      <c r="G535" s="223">
        <v>43934</v>
      </c>
      <c r="H535" s="223"/>
      <c r="I535" s="218" t="str">
        <f t="shared" si="180"/>
        <v>DRCPARTNER/PSOL/AP21QR/2020/01</v>
      </c>
      <c r="K535" s="218" t="str">
        <f t="shared" si="185"/>
        <v>CNSS</v>
      </c>
      <c r="L535" s="218" t="str">
        <f>"Pyt Cotisation sociale Financière mars 2020"</f>
        <v>Pyt Cotisation sociale Financière mars 2020</v>
      </c>
      <c r="M535" s="218" t="str">
        <f t="shared" si="183"/>
        <v>6410</v>
      </c>
      <c r="N535" s="218" t="str">
        <f t="shared" si="184"/>
        <v>PARTNER - EMPLOYMENT COST</v>
      </c>
      <c r="O535" s="218" t="str">
        <f t="shared" si="182"/>
        <v>DRCBUK</v>
      </c>
      <c r="P535" s="218" t="str">
        <f t="shared" si="176"/>
        <v>AP21QR</v>
      </c>
      <c r="Q535" s="218" t="str">
        <f>""</f>
        <v/>
      </c>
      <c r="R535" s="218" t="str">
        <f t="shared" si="181"/>
        <v>PSOL</v>
      </c>
      <c r="S535" s="218" t="str">
        <f t="shared" si="186"/>
        <v>076</v>
      </c>
      <c r="T535" s="218" t="str">
        <f t="shared" si="173"/>
        <v>D</v>
      </c>
      <c r="U535" s="218" t="str">
        <f t="shared" si="177"/>
        <v>AFR000</v>
      </c>
      <c r="V535" s="218" t="str">
        <f t="shared" si="178"/>
        <v>###</v>
      </c>
      <c r="W535" s="218">
        <v>14</v>
      </c>
      <c r="X535" s="218" t="str">
        <f t="shared" si="179"/>
        <v>USD</v>
      </c>
      <c r="Y535" s="218">
        <v>11.11</v>
      </c>
      <c r="Z535" s="218">
        <v>14</v>
      </c>
      <c r="AA535" s="218">
        <v>12.71</v>
      </c>
    </row>
    <row r="536" spans="1:27">
      <c r="A536" s="218" t="s">
        <v>2592</v>
      </c>
      <c r="F536" s="219" t="str">
        <f>"""IntAlert Live"",""ALERT UK"",""17"",""1"",""555884"""</f>
        <v>"IntAlert Live","ALERT UK","17","1","555884"</v>
      </c>
      <c r="G536" s="223">
        <v>43934</v>
      </c>
      <c r="H536" s="223"/>
      <c r="I536" s="218" t="str">
        <f t="shared" si="180"/>
        <v>DRCPARTNER/PSOL/AP21QR/2020/01</v>
      </c>
      <c r="K536" s="218" t="str">
        <f t="shared" si="185"/>
        <v>CNSS</v>
      </c>
      <c r="L536" s="218" t="str">
        <f>"Pyt Cotisation CP&amp;ME   mars 2020"</f>
        <v>Pyt Cotisation CP&amp;ME   mars 2020</v>
      </c>
      <c r="M536" s="218" t="str">
        <f t="shared" si="183"/>
        <v>6410</v>
      </c>
      <c r="N536" s="218" t="str">
        <f t="shared" si="184"/>
        <v>PARTNER - EMPLOYMENT COST</v>
      </c>
      <c r="O536" s="218" t="str">
        <f t="shared" si="182"/>
        <v>DRCBUK</v>
      </c>
      <c r="P536" s="218" t="str">
        <f t="shared" si="176"/>
        <v>AP21QR</v>
      </c>
      <c r="Q536" s="218" t="str">
        <f>""</f>
        <v/>
      </c>
      <c r="R536" s="218" t="str">
        <f t="shared" si="181"/>
        <v>PSOL</v>
      </c>
      <c r="S536" s="218" t="str">
        <f t="shared" si="186"/>
        <v>076</v>
      </c>
      <c r="T536" s="218" t="str">
        <f t="shared" si="173"/>
        <v>D</v>
      </c>
      <c r="U536" s="218" t="str">
        <f t="shared" si="177"/>
        <v>AFR000</v>
      </c>
      <c r="V536" s="218" t="str">
        <f t="shared" si="178"/>
        <v>###</v>
      </c>
      <c r="W536" s="218">
        <v>8</v>
      </c>
      <c r="X536" s="218" t="str">
        <f t="shared" si="179"/>
        <v>USD</v>
      </c>
      <c r="Y536" s="218">
        <v>6.35</v>
      </c>
      <c r="Z536" s="218">
        <v>8</v>
      </c>
      <c r="AA536" s="218">
        <v>7.27</v>
      </c>
    </row>
    <row r="537" spans="1:27">
      <c r="A537" s="218" t="s">
        <v>2592</v>
      </c>
      <c r="F537" s="219" t="str">
        <f>"""IntAlert Live"",""ALERT UK"",""17"",""1"",""555885"""</f>
        <v>"IntAlert Live","ALERT UK","17","1","555885"</v>
      </c>
      <c r="G537" s="223">
        <v>43934</v>
      </c>
      <c r="H537" s="223"/>
      <c r="I537" s="218" t="str">
        <f t="shared" si="180"/>
        <v>DRCPARTNER/PSOL/AP21QR/2020/01</v>
      </c>
      <c r="K537" s="218" t="str">
        <f t="shared" si="185"/>
        <v>CNSS</v>
      </c>
      <c r="L537" s="218" t="str">
        <f>"Pyt Cotisation Animateur  mars 2020"</f>
        <v>Pyt Cotisation Animateur  mars 2020</v>
      </c>
      <c r="M537" s="218" t="str">
        <f t="shared" si="183"/>
        <v>6410</v>
      </c>
      <c r="N537" s="218" t="str">
        <f t="shared" si="184"/>
        <v>PARTNER - EMPLOYMENT COST</v>
      </c>
      <c r="O537" s="218" t="str">
        <f t="shared" si="182"/>
        <v>DRCBUK</v>
      </c>
      <c r="P537" s="218" t="str">
        <f t="shared" si="176"/>
        <v>AP21QR</v>
      </c>
      <c r="Q537" s="218" t="str">
        <f>""</f>
        <v/>
      </c>
      <c r="R537" s="218" t="str">
        <f t="shared" si="181"/>
        <v>PSOL</v>
      </c>
      <c r="S537" s="218" t="str">
        <f t="shared" si="186"/>
        <v>076</v>
      </c>
      <c r="T537" s="218" t="str">
        <f t="shared" si="173"/>
        <v>D</v>
      </c>
      <c r="U537" s="218" t="str">
        <f t="shared" si="177"/>
        <v>AFR000</v>
      </c>
      <c r="V537" s="218" t="str">
        <f t="shared" si="178"/>
        <v>###</v>
      </c>
      <c r="W537" s="218">
        <v>6</v>
      </c>
      <c r="X537" s="218" t="str">
        <f t="shared" si="179"/>
        <v>USD</v>
      </c>
      <c r="Y537" s="218">
        <v>4.76</v>
      </c>
      <c r="Z537" s="218">
        <v>6</v>
      </c>
      <c r="AA537" s="218">
        <v>5.45</v>
      </c>
    </row>
    <row r="538" spans="1:27">
      <c r="A538" s="218" t="s">
        <v>2592</v>
      </c>
      <c r="F538" s="219" t="str">
        <f>"""IntAlert Live"",""ALERT UK"",""17"",""1"",""555886"""</f>
        <v>"IntAlert Live","ALERT UK","17","1","555886"</v>
      </c>
      <c r="G538" s="223">
        <v>43934</v>
      </c>
      <c r="H538" s="223"/>
      <c r="I538" s="218" t="str">
        <f t="shared" si="180"/>
        <v>DRCPARTNER/PSOL/AP21QR/2020/01</v>
      </c>
      <c r="K538" s="218" t="str">
        <f t="shared" si="185"/>
        <v>CNSS</v>
      </c>
      <c r="L538" s="218" t="str">
        <f>"Pyt Cotisation  Gardien   mars 2020"</f>
        <v>Pyt Cotisation  Gardien   mars 2020</v>
      </c>
      <c r="M538" s="218" t="str">
        <f t="shared" si="183"/>
        <v>6410</v>
      </c>
      <c r="N538" s="218" t="str">
        <f t="shared" si="184"/>
        <v>PARTNER - EMPLOYMENT COST</v>
      </c>
      <c r="O538" s="218" t="str">
        <f t="shared" si="182"/>
        <v>DRCBUK</v>
      </c>
      <c r="P538" s="218" t="str">
        <f t="shared" si="176"/>
        <v>AP21QR</v>
      </c>
      <c r="Q538" s="218" t="str">
        <f>""</f>
        <v/>
      </c>
      <c r="R538" s="218" t="str">
        <f t="shared" si="181"/>
        <v>PSOL</v>
      </c>
      <c r="S538" s="218" t="str">
        <f t="shared" si="186"/>
        <v>076</v>
      </c>
      <c r="T538" s="218" t="str">
        <f t="shared" si="173"/>
        <v>D</v>
      </c>
      <c r="U538" s="218" t="str">
        <f t="shared" si="177"/>
        <v>AFR000</v>
      </c>
      <c r="V538" s="218" t="str">
        <f t="shared" si="178"/>
        <v>###</v>
      </c>
      <c r="W538" s="218">
        <v>2</v>
      </c>
      <c r="X538" s="218" t="str">
        <f t="shared" si="179"/>
        <v>USD</v>
      </c>
      <c r="Y538" s="218">
        <v>1.59</v>
      </c>
      <c r="Z538" s="218">
        <v>2</v>
      </c>
      <c r="AA538" s="218">
        <v>1.82</v>
      </c>
    </row>
    <row r="539" spans="1:27">
      <c r="A539" s="218" t="s">
        <v>2592</v>
      </c>
      <c r="F539" s="219" t="str">
        <f>"""IntAlert Live"",""ALERT UK"",""17"",""1"",""555887"""</f>
        <v>"IntAlert Live","ALERT UK","17","1","555887"</v>
      </c>
      <c r="G539" s="223">
        <v>43934</v>
      </c>
      <c r="H539" s="223"/>
      <c r="I539" s="218" t="str">
        <f t="shared" si="180"/>
        <v>DRCPARTNER/PSOL/AP21QR/2020/01</v>
      </c>
      <c r="K539" s="218" t="str">
        <f t="shared" si="185"/>
        <v>CNSS</v>
      </c>
      <c r="L539" s="218" t="str">
        <f>"Pyt Cotisation  Financière  mars 2020"</f>
        <v>Pyt Cotisation  Financière  mars 2020</v>
      </c>
      <c r="M539" s="218" t="str">
        <f t="shared" si="183"/>
        <v>6410</v>
      </c>
      <c r="N539" s="218" t="str">
        <f t="shared" si="184"/>
        <v>PARTNER - EMPLOYMENT COST</v>
      </c>
      <c r="O539" s="218" t="str">
        <f t="shared" si="182"/>
        <v>DRCBUK</v>
      </c>
      <c r="P539" s="218" t="str">
        <f t="shared" si="176"/>
        <v>AP21QR</v>
      </c>
      <c r="Q539" s="218" t="str">
        <f>""</f>
        <v/>
      </c>
      <c r="R539" s="218" t="str">
        <f t="shared" si="181"/>
        <v>PSOL</v>
      </c>
      <c r="S539" s="218" t="str">
        <f t="shared" si="186"/>
        <v>076</v>
      </c>
      <c r="T539" s="218" t="str">
        <f t="shared" si="173"/>
        <v>D</v>
      </c>
      <c r="U539" s="218" t="str">
        <f t="shared" si="177"/>
        <v>AFR000</v>
      </c>
      <c r="V539" s="218" t="str">
        <f t="shared" si="178"/>
        <v>###</v>
      </c>
      <c r="W539" s="218">
        <v>3</v>
      </c>
      <c r="X539" s="218" t="str">
        <f t="shared" si="179"/>
        <v>USD</v>
      </c>
      <c r="Y539" s="218">
        <v>2.38</v>
      </c>
      <c r="Z539" s="218">
        <v>3</v>
      </c>
      <c r="AA539" s="218">
        <v>2.72</v>
      </c>
    </row>
    <row r="540" spans="1:27">
      <c r="A540" s="218" t="s">
        <v>2592</v>
      </c>
      <c r="F540" s="219" t="str">
        <f>"""IntAlert Live"",""ALERT UK"",""17"",""1"",""555888"""</f>
        <v>"IntAlert Live","ALERT UK","17","1","555888"</v>
      </c>
      <c r="G540" s="223">
        <v>43948</v>
      </c>
      <c r="H540" s="223"/>
      <c r="I540" s="218" t="str">
        <f t="shared" si="180"/>
        <v>DRCPARTNER/PSOL/AP21QR/2020/01</v>
      </c>
      <c r="K540" s="218" t="str">
        <f t="shared" si="185"/>
        <v>CNSS</v>
      </c>
      <c r="L540" s="218" t="str">
        <f>"Pyt Cotisation sociale CP&amp;ME d'Avril 2020"</f>
        <v>Pyt Cotisation sociale CP&amp;ME d'Avril 2020</v>
      </c>
      <c r="M540" s="218" t="str">
        <f t="shared" si="183"/>
        <v>6410</v>
      </c>
      <c r="N540" s="218" t="str">
        <f t="shared" si="184"/>
        <v>PARTNER - EMPLOYMENT COST</v>
      </c>
      <c r="O540" s="218" t="str">
        <f t="shared" si="182"/>
        <v>DRCBUK</v>
      </c>
      <c r="P540" s="218" t="str">
        <f t="shared" si="176"/>
        <v>AP21QR</v>
      </c>
      <c r="Q540" s="218" t="str">
        <f>""</f>
        <v/>
      </c>
      <c r="R540" s="218" t="str">
        <f t="shared" si="181"/>
        <v>PSOL</v>
      </c>
      <c r="S540" s="218" t="str">
        <f t="shared" si="186"/>
        <v>076</v>
      </c>
      <c r="T540" s="218" t="str">
        <f t="shared" si="173"/>
        <v>D</v>
      </c>
      <c r="U540" s="218" t="str">
        <f t="shared" si="177"/>
        <v>AFR000</v>
      </c>
      <c r="V540" s="218" t="str">
        <f t="shared" si="178"/>
        <v>###</v>
      </c>
      <c r="W540" s="218">
        <v>14</v>
      </c>
      <c r="X540" s="218" t="str">
        <f t="shared" si="179"/>
        <v>USD</v>
      </c>
      <c r="Y540" s="218">
        <v>11.11</v>
      </c>
      <c r="Z540" s="218">
        <v>14</v>
      </c>
      <c r="AA540" s="218">
        <v>12.71</v>
      </c>
    </row>
    <row r="541" spans="1:27">
      <c r="A541" s="218" t="s">
        <v>2592</v>
      </c>
      <c r="F541" s="219" t="str">
        <f>"""IntAlert Live"",""ALERT UK"",""17"",""1"",""555889"""</f>
        <v>"IntAlert Live","ALERT UK","17","1","555889"</v>
      </c>
      <c r="G541" s="223">
        <v>43948</v>
      </c>
      <c r="H541" s="223"/>
      <c r="I541" s="218" t="str">
        <f t="shared" si="180"/>
        <v>DRCPARTNER/PSOL/AP21QR/2020/01</v>
      </c>
      <c r="K541" s="218" t="str">
        <f t="shared" si="185"/>
        <v>CNSS</v>
      </c>
      <c r="L541" s="218" t="str">
        <f>"Pyt Cotisation sociale Animateur  d'Avril 2020"</f>
        <v>Pyt Cotisation sociale Animateur  d'Avril 2020</v>
      </c>
      <c r="M541" s="218" t="str">
        <f t="shared" si="183"/>
        <v>6410</v>
      </c>
      <c r="N541" s="218" t="str">
        <f t="shared" si="184"/>
        <v>PARTNER - EMPLOYMENT COST</v>
      </c>
      <c r="O541" s="218" t="str">
        <f t="shared" si="182"/>
        <v>DRCBUK</v>
      </c>
      <c r="P541" s="218" t="str">
        <f t="shared" si="176"/>
        <v>AP21QR</v>
      </c>
      <c r="Q541" s="218" t="str">
        <f>""</f>
        <v/>
      </c>
      <c r="R541" s="218" t="str">
        <f t="shared" si="181"/>
        <v>PSOL</v>
      </c>
      <c r="S541" s="218" t="str">
        <f t="shared" si="186"/>
        <v>076</v>
      </c>
      <c r="T541" s="218" t="str">
        <f t="shared" si="173"/>
        <v>D</v>
      </c>
      <c r="U541" s="218" t="str">
        <f t="shared" si="177"/>
        <v>AFR000</v>
      </c>
      <c r="V541" s="218" t="str">
        <f t="shared" si="178"/>
        <v>###</v>
      </c>
      <c r="W541" s="218">
        <v>10</v>
      </c>
      <c r="X541" s="218" t="str">
        <f t="shared" si="179"/>
        <v>USD</v>
      </c>
      <c r="Y541" s="218">
        <v>7.93</v>
      </c>
      <c r="Z541" s="218">
        <v>10</v>
      </c>
      <c r="AA541" s="218">
        <v>9.08</v>
      </c>
    </row>
    <row r="542" spans="1:27">
      <c r="A542" s="218" t="s">
        <v>2592</v>
      </c>
      <c r="F542" s="219" t="str">
        <f>"""IntAlert Live"",""ALERT UK"",""17"",""1"",""555890"""</f>
        <v>"IntAlert Live","ALERT UK","17","1","555890"</v>
      </c>
      <c r="G542" s="223">
        <v>43948</v>
      </c>
      <c r="H542" s="223"/>
      <c r="I542" s="218" t="str">
        <f t="shared" si="180"/>
        <v>DRCPARTNER/PSOL/AP21QR/2020/01</v>
      </c>
      <c r="K542" s="218" t="str">
        <f t="shared" si="185"/>
        <v>CNSS</v>
      </c>
      <c r="L542" s="218" t="str">
        <f>"Pyt Cotisation sociale Gardien  d'Avril 2020"</f>
        <v>Pyt Cotisation sociale Gardien  d'Avril 2020</v>
      </c>
      <c r="M542" s="218" t="str">
        <f t="shared" si="183"/>
        <v>6410</v>
      </c>
      <c r="N542" s="218" t="str">
        <f t="shared" si="184"/>
        <v>PARTNER - EMPLOYMENT COST</v>
      </c>
      <c r="O542" s="218" t="str">
        <f t="shared" si="182"/>
        <v>DRCBUK</v>
      </c>
      <c r="P542" s="218" t="str">
        <f t="shared" si="176"/>
        <v>AP21QR</v>
      </c>
      <c r="Q542" s="218" t="str">
        <f>""</f>
        <v/>
      </c>
      <c r="R542" s="218" t="str">
        <f t="shared" si="181"/>
        <v>PSOL</v>
      </c>
      <c r="S542" s="218" t="str">
        <f t="shared" si="186"/>
        <v>076</v>
      </c>
      <c r="T542" s="218" t="str">
        <f t="shared" si="173"/>
        <v>D</v>
      </c>
      <c r="U542" s="218" t="str">
        <f t="shared" si="177"/>
        <v>AFR000</v>
      </c>
      <c r="V542" s="218" t="str">
        <f t="shared" si="178"/>
        <v>###</v>
      </c>
      <c r="W542" s="218">
        <v>3</v>
      </c>
      <c r="X542" s="218" t="str">
        <f t="shared" si="179"/>
        <v>USD</v>
      </c>
      <c r="Y542" s="218">
        <v>2.38</v>
      </c>
      <c r="Z542" s="218">
        <v>3</v>
      </c>
      <c r="AA542" s="218">
        <v>2.72</v>
      </c>
    </row>
    <row r="543" spans="1:27">
      <c r="A543" s="218" t="s">
        <v>2592</v>
      </c>
      <c r="F543" s="219" t="str">
        <f>"""IntAlert Live"",""ALERT UK"",""17"",""1"",""555891"""</f>
        <v>"IntAlert Live","ALERT UK","17","1","555891"</v>
      </c>
      <c r="G543" s="223">
        <v>43948</v>
      </c>
      <c r="H543" s="223"/>
      <c r="I543" s="218" t="str">
        <f t="shared" si="180"/>
        <v>DRCPARTNER/PSOL/AP21QR/2020/01</v>
      </c>
      <c r="K543" s="218" t="str">
        <f t="shared" si="185"/>
        <v>CNSS</v>
      </c>
      <c r="L543" s="218" t="str">
        <f>"Pyt Cotisation sociale Financière  d'Avril 2020"</f>
        <v>Pyt Cotisation sociale Financière  d'Avril 2020</v>
      </c>
      <c r="M543" s="218" t="str">
        <f t="shared" si="183"/>
        <v>6410</v>
      </c>
      <c r="N543" s="218" t="str">
        <f t="shared" si="184"/>
        <v>PARTNER - EMPLOYMENT COST</v>
      </c>
      <c r="O543" s="218" t="str">
        <f t="shared" si="182"/>
        <v>DRCBUK</v>
      </c>
      <c r="P543" s="218" t="str">
        <f t="shared" si="176"/>
        <v>AP21QR</v>
      </c>
      <c r="Q543" s="218" t="str">
        <f>""</f>
        <v/>
      </c>
      <c r="R543" s="218" t="str">
        <f t="shared" si="181"/>
        <v>PSOL</v>
      </c>
      <c r="S543" s="218" t="str">
        <f t="shared" si="186"/>
        <v>076</v>
      </c>
      <c r="T543" s="218" t="str">
        <f t="shared" si="173"/>
        <v>D</v>
      </c>
      <c r="U543" s="218" t="str">
        <f t="shared" si="177"/>
        <v>AFR000</v>
      </c>
      <c r="V543" s="218" t="str">
        <f t="shared" si="178"/>
        <v>###</v>
      </c>
      <c r="W543" s="218">
        <v>4</v>
      </c>
      <c r="X543" s="218" t="str">
        <f t="shared" si="179"/>
        <v>USD</v>
      </c>
      <c r="Y543" s="218">
        <v>3.17</v>
      </c>
      <c r="Z543" s="218">
        <v>4</v>
      </c>
      <c r="AA543" s="218">
        <v>3.63</v>
      </c>
    </row>
    <row r="544" spans="1:27">
      <c r="A544" s="218" t="s">
        <v>2592</v>
      </c>
      <c r="F544" s="219" t="str">
        <f>"""IntAlert Live"",""ALERT UK"",""17"",""1"",""555892"""</f>
        <v>"IntAlert Live","ALERT UK","17","1","555892"</v>
      </c>
      <c r="G544" s="223">
        <v>43948</v>
      </c>
      <c r="H544" s="223"/>
      <c r="I544" s="218" t="str">
        <f t="shared" si="180"/>
        <v>DRCPARTNER/PSOL/AP21QR/2020/01</v>
      </c>
      <c r="K544" s="218" t="str">
        <f t="shared" si="185"/>
        <v>CNSS</v>
      </c>
      <c r="L544" s="218" t="str">
        <f>"Pyt Cotisation sociale CP&amp;ME  d'Avril 2020"</f>
        <v>Pyt Cotisation sociale CP&amp;ME  d'Avril 2020</v>
      </c>
      <c r="M544" s="218" t="str">
        <f t="shared" si="183"/>
        <v>6410</v>
      </c>
      <c r="N544" s="218" t="str">
        <f t="shared" si="184"/>
        <v>PARTNER - EMPLOYMENT COST</v>
      </c>
      <c r="O544" s="218" t="str">
        <f t="shared" si="182"/>
        <v>DRCBUK</v>
      </c>
      <c r="P544" s="218" t="str">
        <f t="shared" si="176"/>
        <v>AP21QR</v>
      </c>
      <c r="Q544" s="218" t="str">
        <f>""</f>
        <v/>
      </c>
      <c r="R544" s="218" t="str">
        <f t="shared" si="181"/>
        <v>PSOL</v>
      </c>
      <c r="S544" s="218" t="str">
        <f t="shared" si="186"/>
        <v>076</v>
      </c>
      <c r="T544" s="218" t="str">
        <f t="shared" si="173"/>
        <v>D</v>
      </c>
      <c r="U544" s="218" t="str">
        <f t="shared" si="177"/>
        <v>AFR000</v>
      </c>
      <c r="V544" s="218" t="str">
        <f t="shared" si="178"/>
        <v>###</v>
      </c>
      <c r="W544" s="218">
        <v>36</v>
      </c>
      <c r="X544" s="218" t="str">
        <f t="shared" si="179"/>
        <v>USD</v>
      </c>
      <c r="Y544" s="218">
        <v>28.56</v>
      </c>
      <c r="Z544" s="218">
        <v>36</v>
      </c>
      <c r="AA544" s="218">
        <v>32.69</v>
      </c>
    </row>
    <row r="545" spans="1:27">
      <c r="A545" s="218" t="s">
        <v>2592</v>
      </c>
      <c r="F545" s="219" t="str">
        <f>"""IntAlert Live"",""ALERT UK"",""17"",""1"",""555893"""</f>
        <v>"IntAlert Live","ALERT UK","17","1","555893"</v>
      </c>
      <c r="G545" s="223">
        <v>43948</v>
      </c>
      <c r="H545" s="223"/>
      <c r="I545" s="218" t="str">
        <f t="shared" si="180"/>
        <v>DRCPARTNER/PSOL/AP21QR/2020/01</v>
      </c>
      <c r="K545" s="218" t="str">
        <f t="shared" si="185"/>
        <v>CNSS</v>
      </c>
      <c r="L545" s="218" t="str">
        <f>"PytCotisation sociale Animateur d'Avril 2020"</f>
        <v>PytCotisation sociale Animateur d'Avril 2020</v>
      </c>
      <c r="M545" s="218" t="str">
        <f t="shared" si="183"/>
        <v>6410</v>
      </c>
      <c r="N545" s="218" t="str">
        <f t="shared" si="184"/>
        <v>PARTNER - EMPLOYMENT COST</v>
      </c>
      <c r="O545" s="218" t="str">
        <f t="shared" si="182"/>
        <v>DRCBUK</v>
      </c>
      <c r="P545" s="218" t="str">
        <f t="shared" si="176"/>
        <v>AP21QR</v>
      </c>
      <c r="Q545" s="218" t="str">
        <f>""</f>
        <v/>
      </c>
      <c r="R545" s="218" t="str">
        <f t="shared" si="181"/>
        <v>PSOL</v>
      </c>
      <c r="S545" s="218" t="str">
        <f t="shared" si="186"/>
        <v>076</v>
      </c>
      <c r="T545" s="218" t="str">
        <f t="shared" si="173"/>
        <v>D</v>
      </c>
      <c r="U545" s="218" t="str">
        <f t="shared" si="177"/>
        <v>AFR000</v>
      </c>
      <c r="V545" s="218" t="str">
        <f t="shared" si="178"/>
        <v>###</v>
      </c>
      <c r="W545" s="218">
        <v>26</v>
      </c>
      <c r="X545" s="218" t="str">
        <f t="shared" si="179"/>
        <v>USD</v>
      </c>
      <c r="Y545" s="218">
        <v>20.63</v>
      </c>
      <c r="Z545" s="218">
        <v>26</v>
      </c>
      <c r="AA545" s="218">
        <v>23.61</v>
      </c>
    </row>
    <row r="546" spans="1:27">
      <c r="A546" s="218" t="s">
        <v>2592</v>
      </c>
      <c r="F546" s="219" t="str">
        <f>"""IntAlert Live"",""ALERT UK"",""17"",""1"",""555894"""</f>
        <v>"IntAlert Live","ALERT UK","17","1","555894"</v>
      </c>
      <c r="G546" s="223">
        <v>43948</v>
      </c>
      <c r="H546" s="223"/>
      <c r="I546" s="218" t="str">
        <f t="shared" si="180"/>
        <v>DRCPARTNER/PSOL/AP21QR/2020/01</v>
      </c>
      <c r="K546" s="218" t="str">
        <f t="shared" si="185"/>
        <v>CNSS</v>
      </c>
      <c r="L546" s="218" t="str">
        <f>"Pyt Cotisation sociale Gardien  d'Avril 2020"</f>
        <v>Pyt Cotisation sociale Gardien  d'Avril 2020</v>
      </c>
      <c r="M546" s="218" t="str">
        <f t="shared" si="183"/>
        <v>6410</v>
      </c>
      <c r="N546" s="218" t="str">
        <f t="shared" si="184"/>
        <v>PARTNER - EMPLOYMENT COST</v>
      </c>
      <c r="O546" s="218" t="str">
        <f t="shared" si="182"/>
        <v>DRCBUK</v>
      </c>
      <c r="P546" s="218" t="str">
        <f t="shared" si="176"/>
        <v>AP21QR</v>
      </c>
      <c r="Q546" s="218" t="str">
        <f>""</f>
        <v/>
      </c>
      <c r="R546" s="218" t="str">
        <f t="shared" si="181"/>
        <v>PSOL</v>
      </c>
      <c r="S546" s="218" t="str">
        <f t="shared" si="186"/>
        <v>076</v>
      </c>
      <c r="T546" s="218" t="str">
        <f t="shared" si="173"/>
        <v>D</v>
      </c>
      <c r="U546" s="218" t="str">
        <f t="shared" si="177"/>
        <v>AFR000</v>
      </c>
      <c r="V546" s="218" t="str">
        <f t="shared" si="178"/>
        <v>###</v>
      </c>
      <c r="W546" s="218">
        <v>7</v>
      </c>
      <c r="X546" s="218" t="str">
        <f t="shared" si="179"/>
        <v>USD</v>
      </c>
      <c r="Y546" s="218">
        <v>5.55</v>
      </c>
      <c r="Z546" s="218">
        <v>7</v>
      </c>
      <c r="AA546" s="218">
        <v>6.35</v>
      </c>
    </row>
    <row r="547" spans="1:27">
      <c r="A547" s="218" t="s">
        <v>2592</v>
      </c>
      <c r="F547" s="219" t="str">
        <f>"""IntAlert Live"",""ALERT UK"",""17"",""1"",""555895"""</f>
        <v>"IntAlert Live","ALERT UK","17","1","555895"</v>
      </c>
      <c r="G547" s="223">
        <v>43948</v>
      </c>
      <c r="H547" s="223"/>
      <c r="I547" s="218" t="str">
        <f t="shared" si="180"/>
        <v>DRCPARTNER/PSOL/AP21QR/2020/01</v>
      </c>
      <c r="K547" s="218" t="str">
        <f t="shared" si="185"/>
        <v>CNSS</v>
      </c>
      <c r="L547" s="218" t="str">
        <f>"Pyt Cotisation sociale Financière d'Avril 2020"</f>
        <v>Pyt Cotisation sociale Financière d'Avril 2020</v>
      </c>
      <c r="M547" s="218" t="str">
        <f t="shared" si="183"/>
        <v>6410</v>
      </c>
      <c r="N547" s="218" t="str">
        <f t="shared" si="184"/>
        <v>PARTNER - EMPLOYMENT COST</v>
      </c>
      <c r="O547" s="218" t="str">
        <f t="shared" si="182"/>
        <v>DRCBUK</v>
      </c>
      <c r="P547" s="218" t="str">
        <f t="shared" si="176"/>
        <v>AP21QR</v>
      </c>
      <c r="Q547" s="218" t="str">
        <f>""</f>
        <v/>
      </c>
      <c r="R547" s="218" t="str">
        <f t="shared" si="181"/>
        <v>PSOL</v>
      </c>
      <c r="S547" s="218" t="str">
        <f t="shared" si="186"/>
        <v>076</v>
      </c>
      <c r="T547" s="218" t="str">
        <f t="shared" si="173"/>
        <v>D</v>
      </c>
      <c r="U547" s="218" t="str">
        <f t="shared" si="177"/>
        <v>AFR000</v>
      </c>
      <c r="V547" s="218" t="str">
        <f t="shared" si="178"/>
        <v>###</v>
      </c>
      <c r="W547" s="218">
        <v>14</v>
      </c>
      <c r="X547" s="218" t="str">
        <f t="shared" si="179"/>
        <v>USD</v>
      </c>
      <c r="Y547" s="218">
        <v>11.11</v>
      </c>
      <c r="Z547" s="218">
        <v>14</v>
      </c>
      <c r="AA547" s="218">
        <v>12.71</v>
      </c>
    </row>
    <row r="548" spans="1:27">
      <c r="A548" s="218" t="s">
        <v>2592</v>
      </c>
      <c r="F548" s="219" t="str">
        <f>"""IntAlert Live"",""ALERT UK"",""17"",""1"",""555896"""</f>
        <v>"IntAlert Live","ALERT UK","17","1","555896"</v>
      </c>
      <c r="G548" s="223">
        <v>43948</v>
      </c>
      <c r="H548" s="223"/>
      <c r="I548" s="218" t="str">
        <f t="shared" si="180"/>
        <v>DRCPARTNER/PSOL/AP21QR/2020/01</v>
      </c>
      <c r="K548" s="218" t="str">
        <f t="shared" si="185"/>
        <v>CNSS</v>
      </c>
      <c r="L548" s="218" t="str">
        <f>"Pyt Cotisation INPP CP&amp;ME   d'Avril 2020"</f>
        <v>Pyt Cotisation INPP CP&amp;ME   d'Avril 2020</v>
      </c>
      <c r="M548" s="218" t="str">
        <f t="shared" si="183"/>
        <v>6410</v>
      </c>
      <c r="N548" s="218" t="str">
        <f t="shared" si="184"/>
        <v>PARTNER - EMPLOYMENT COST</v>
      </c>
      <c r="O548" s="218" t="str">
        <f t="shared" si="182"/>
        <v>DRCBUK</v>
      </c>
      <c r="P548" s="218" t="str">
        <f t="shared" si="176"/>
        <v>AP21QR</v>
      </c>
      <c r="Q548" s="218" t="str">
        <f>""</f>
        <v/>
      </c>
      <c r="R548" s="218" t="str">
        <f t="shared" si="181"/>
        <v>PSOL</v>
      </c>
      <c r="S548" s="218" t="str">
        <f t="shared" si="186"/>
        <v>076</v>
      </c>
      <c r="T548" s="218" t="str">
        <f t="shared" si="173"/>
        <v>D</v>
      </c>
      <c r="U548" s="218" t="str">
        <f t="shared" si="177"/>
        <v>AFR000</v>
      </c>
      <c r="V548" s="218" t="str">
        <f t="shared" si="178"/>
        <v>###</v>
      </c>
      <c r="W548" s="218">
        <v>8</v>
      </c>
      <c r="X548" s="218" t="str">
        <f t="shared" si="179"/>
        <v>USD</v>
      </c>
      <c r="Y548" s="218">
        <v>6.35</v>
      </c>
      <c r="Z548" s="218">
        <v>8</v>
      </c>
      <c r="AA548" s="218">
        <v>7.27</v>
      </c>
    </row>
    <row r="549" spans="1:27">
      <c r="A549" s="218" t="s">
        <v>2592</v>
      </c>
      <c r="F549" s="219" t="str">
        <f>"""IntAlert Live"",""ALERT UK"",""17"",""1"",""555897"""</f>
        <v>"IntAlert Live","ALERT UK","17","1","555897"</v>
      </c>
      <c r="G549" s="223">
        <v>43948</v>
      </c>
      <c r="H549" s="223"/>
      <c r="I549" s="218" t="str">
        <f t="shared" si="180"/>
        <v>DRCPARTNER/PSOL/AP21QR/2020/01</v>
      </c>
      <c r="K549" s="218" t="str">
        <f t="shared" si="185"/>
        <v>CNSS</v>
      </c>
      <c r="L549" s="218" t="str">
        <f>"Pyt Cotisation INPP Animateur  d'Avril 2020"</f>
        <v>Pyt Cotisation INPP Animateur  d'Avril 2020</v>
      </c>
      <c r="M549" s="218" t="str">
        <f t="shared" si="183"/>
        <v>6410</v>
      </c>
      <c r="N549" s="218" t="str">
        <f t="shared" si="184"/>
        <v>PARTNER - EMPLOYMENT COST</v>
      </c>
      <c r="O549" s="218" t="str">
        <f t="shared" si="182"/>
        <v>DRCBUK</v>
      </c>
      <c r="P549" s="218" t="str">
        <f t="shared" si="176"/>
        <v>AP21QR</v>
      </c>
      <c r="Q549" s="218" t="str">
        <f>""</f>
        <v/>
      </c>
      <c r="R549" s="218" t="str">
        <f t="shared" si="181"/>
        <v>PSOL</v>
      </c>
      <c r="S549" s="218" t="str">
        <f t="shared" si="186"/>
        <v>076</v>
      </c>
      <c r="T549" s="218" t="str">
        <f t="shared" si="173"/>
        <v>D</v>
      </c>
      <c r="U549" s="218" t="str">
        <f t="shared" si="177"/>
        <v>AFR000</v>
      </c>
      <c r="V549" s="218" t="str">
        <f t="shared" si="178"/>
        <v>###</v>
      </c>
      <c r="W549" s="218">
        <v>6</v>
      </c>
      <c r="X549" s="218" t="str">
        <f t="shared" si="179"/>
        <v>USD</v>
      </c>
      <c r="Y549" s="218">
        <v>4.76</v>
      </c>
      <c r="Z549" s="218">
        <v>6</v>
      </c>
      <c r="AA549" s="218">
        <v>5.45</v>
      </c>
    </row>
    <row r="550" spans="1:27">
      <c r="A550" s="218" t="s">
        <v>2592</v>
      </c>
      <c r="F550" s="219" t="str">
        <f>"""IntAlert Live"",""ALERT UK"",""17"",""1"",""555898"""</f>
        <v>"IntAlert Live","ALERT UK","17","1","555898"</v>
      </c>
      <c r="G550" s="223">
        <v>43948</v>
      </c>
      <c r="H550" s="223"/>
      <c r="I550" s="218" t="str">
        <f t="shared" si="180"/>
        <v>DRCPARTNER/PSOL/AP21QR/2020/01</v>
      </c>
      <c r="K550" s="218" t="str">
        <f t="shared" si="185"/>
        <v>CNSS</v>
      </c>
      <c r="L550" s="218" t="str">
        <f>"Pyt Cotisation  INPP Gardien  d'Avril 2020"</f>
        <v>Pyt Cotisation  INPP Gardien  d'Avril 2020</v>
      </c>
      <c r="M550" s="218" t="str">
        <f t="shared" si="183"/>
        <v>6410</v>
      </c>
      <c r="N550" s="218" t="str">
        <f t="shared" si="184"/>
        <v>PARTNER - EMPLOYMENT COST</v>
      </c>
      <c r="O550" s="218" t="str">
        <f t="shared" si="182"/>
        <v>DRCBUK</v>
      </c>
      <c r="P550" s="218" t="str">
        <f t="shared" si="176"/>
        <v>AP21QR</v>
      </c>
      <c r="Q550" s="218" t="str">
        <f>""</f>
        <v/>
      </c>
      <c r="R550" s="218" t="str">
        <f t="shared" si="181"/>
        <v>PSOL</v>
      </c>
      <c r="S550" s="218" t="str">
        <f t="shared" si="186"/>
        <v>076</v>
      </c>
      <c r="T550" s="218" t="str">
        <f t="shared" si="173"/>
        <v>D</v>
      </c>
      <c r="U550" s="218" t="str">
        <f t="shared" si="177"/>
        <v>AFR000</v>
      </c>
      <c r="V550" s="218" t="str">
        <f t="shared" si="178"/>
        <v>###</v>
      </c>
      <c r="W550" s="218">
        <v>2</v>
      </c>
      <c r="X550" s="218" t="str">
        <f t="shared" si="179"/>
        <v>USD</v>
      </c>
      <c r="Y550" s="218">
        <v>1.59</v>
      </c>
      <c r="Z550" s="218">
        <v>2</v>
      </c>
      <c r="AA550" s="218">
        <v>1.82</v>
      </c>
    </row>
    <row r="551" spans="1:27">
      <c r="A551" s="218" t="s">
        <v>2592</v>
      </c>
      <c r="F551" s="219" t="str">
        <f>"""IntAlert Live"",""ALERT UK"",""17"",""1"",""555899"""</f>
        <v>"IntAlert Live","ALERT UK","17","1","555899"</v>
      </c>
      <c r="G551" s="223">
        <v>43948</v>
      </c>
      <c r="H551" s="223"/>
      <c r="I551" s="218" t="str">
        <f t="shared" si="180"/>
        <v>DRCPARTNER/PSOL/AP21QR/2020/01</v>
      </c>
      <c r="K551" s="218" t="str">
        <f t="shared" si="185"/>
        <v>CNSS</v>
      </c>
      <c r="L551" s="218" t="str">
        <f>"Pyt Cotisation INPP Financière  d'Avril 2020"</f>
        <v>Pyt Cotisation INPP Financière  d'Avril 2020</v>
      </c>
      <c r="M551" s="218" t="str">
        <f t="shared" si="183"/>
        <v>6410</v>
      </c>
      <c r="N551" s="218" t="str">
        <f t="shared" si="184"/>
        <v>PARTNER - EMPLOYMENT COST</v>
      </c>
      <c r="O551" s="218" t="str">
        <f t="shared" si="182"/>
        <v>DRCBUK</v>
      </c>
      <c r="P551" s="218" t="str">
        <f t="shared" si="176"/>
        <v>AP21QR</v>
      </c>
      <c r="Q551" s="218" t="str">
        <f>""</f>
        <v/>
      </c>
      <c r="R551" s="218" t="str">
        <f t="shared" si="181"/>
        <v>PSOL</v>
      </c>
      <c r="S551" s="218" t="str">
        <f t="shared" si="186"/>
        <v>076</v>
      </c>
      <c r="T551" s="218" t="str">
        <f t="shared" si="173"/>
        <v>D</v>
      </c>
      <c r="U551" s="218" t="str">
        <f t="shared" si="177"/>
        <v>AFR000</v>
      </c>
      <c r="V551" s="218" t="str">
        <f t="shared" si="178"/>
        <v>###</v>
      </c>
      <c r="W551" s="218">
        <v>3</v>
      </c>
      <c r="X551" s="218" t="str">
        <f t="shared" si="179"/>
        <v>USD</v>
      </c>
      <c r="Y551" s="218">
        <v>2.38</v>
      </c>
      <c r="Z551" s="218">
        <v>3</v>
      </c>
      <c r="AA551" s="218">
        <v>2.72</v>
      </c>
    </row>
    <row r="552" spans="1:27">
      <c r="A552" s="218" t="s">
        <v>2592</v>
      </c>
      <c r="F552" s="219" t="str">
        <f>"""IntAlert Live"",""ALERT UK"",""17"",""1"",""555867"""</f>
        <v>"IntAlert Live","ALERT UK","17","1","555867"</v>
      </c>
      <c r="G552" s="223">
        <v>43951</v>
      </c>
      <c r="H552" s="223"/>
      <c r="I552" s="218" t="str">
        <f t="shared" si="180"/>
        <v>DRCPARTNER/PSOL/AP21QR/2020/01</v>
      </c>
      <c r="K552" s="218" t="str">
        <f>"TMB"</f>
        <v>TMB</v>
      </c>
      <c r="L552" s="218" t="str">
        <f>"Frais de tenu de compte"</f>
        <v>Frais de tenu de compte</v>
      </c>
      <c r="M552" s="218" t="str">
        <f t="shared" si="183"/>
        <v>6410</v>
      </c>
      <c r="N552" s="218" t="str">
        <f t="shared" si="184"/>
        <v>PARTNER - EMPLOYMENT COST</v>
      </c>
      <c r="O552" s="218" t="str">
        <f t="shared" si="182"/>
        <v>DRCBUK</v>
      </c>
      <c r="P552" s="218" t="str">
        <f t="shared" si="176"/>
        <v>AP21QR</v>
      </c>
      <c r="Q552" s="218" t="str">
        <f>""</f>
        <v/>
      </c>
      <c r="R552" s="218" t="str">
        <f t="shared" si="181"/>
        <v>PSOL</v>
      </c>
      <c r="S552" s="218" t="str">
        <f t="shared" si="186"/>
        <v>076</v>
      </c>
      <c r="T552" s="218" t="str">
        <f t="shared" si="173"/>
        <v>D</v>
      </c>
      <c r="U552" s="218" t="str">
        <f t="shared" si="177"/>
        <v>AFR000</v>
      </c>
      <c r="V552" s="218" t="str">
        <f t="shared" si="178"/>
        <v>###</v>
      </c>
      <c r="W552" s="218">
        <v>5</v>
      </c>
      <c r="X552" s="218" t="str">
        <f t="shared" si="179"/>
        <v>USD</v>
      </c>
      <c r="Y552" s="218">
        <v>3.97</v>
      </c>
      <c r="Z552" s="218">
        <v>5</v>
      </c>
      <c r="AA552" s="218">
        <v>4.54</v>
      </c>
    </row>
    <row r="553" spans="1:27">
      <c r="A553" s="218" t="s">
        <v>2592</v>
      </c>
      <c r="F553" s="219" t="str">
        <f>"""IntAlert Live"",""ALERT UK"",""17"",""1"",""555868"""</f>
        <v>"IntAlert Live","ALERT UK","17","1","555868"</v>
      </c>
      <c r="G553" s="223">
        <v>43951</v>
      </c>
      <c r="H553" s="223"/>
      <c r="I553" s="218" t="str">
        <f t="shared" si="180"/>
        <v>DRCPARTNER/PSOL/AP21QR/2020/01</v>
      </c>
      <c r="K553" s="218" t="str">
        <f>"TMB"</f>
        <v>TMB</v>
      </c>
      <c r="L553" s="218" t="str">
        <f>"TVA-Frais tenu de compte"</f>
        <v>TVA-Frais tenu de compte</v>
      </c>
      <c r="M553" s="218" t="str">
        <f t="shared" si="183"/>
        <v>6410</v>
      </c>
      <c r="N553" s="218" t="str">
        <f t="shared" si="184"/>
        <v>PARTNER - EMPLOYMENT COST</v>
      </c>
      <c r="O553" s="218" t="str">
        <f t="shared" si="182"/>
        <v>DRCBUK</v>
      </c>
      <c r="P553" s="218" t="str">
        <f t="shared" si="176"/>
        <v>AP21QR</v>
      </c>
      <c r="Q553" s="218" t="str">
        <f>""</f>
        <v/>
      </c>
      <c r="R553" s="218" t="str">
        <f t="shared" si="181"/>
        <v>PSOL</v>
      </c>
      <c r="S553" s="218" t="str">
        <f t="shared" si="186"/>
        <v>076</v>
      </c>
      <c r="T553" s="218" t="str">
        <f t="shared" si="173"/>
        <v>D</v>
      </c>
      <c r="U553" s="218" t="str">
        <f t="shared" si="177"/>
        <v>AFR000</v>
      </c>
      <c r="V553" s="218" t="str">
        <f t="shared" si="178"/>
        <v>###</v>
      </c>
      <c r="W553" s="218">
        <v>0.8</v>
      </c>
      <c r="X553" s="218" t="str">
        <f t="shared" si="179"/>
        <v>USD</v>
      </c>
      <c r="Y553" s="218">
        <v>0.63</v>
      </c>
      <c r="Z553" s="218">
        <v>0.8</v>
      </c>
      <c r="AA553" s="218">
        <v>0.72</v>
      </c>
    </row>
    <row r="554" spans="1:27">
      <c r="A554" s="218" t="s">
        <v>2592</v>
      </c>
      <c r="F554" s="219" t="str">
        <f>"""IntAlert Live"",""ALERT UK"",""17"",""1"",""555900"""</f>
        <v>"IntAlert Live","ALERT UK","17","1","555900"</v>
      </c>
      <c r="G554" s="223">
        <v>43951</v>
      </c>
      <c r="H554" s="223"/>
      <c r="I554" s="218" t="str">
        <f t="shared" si="180"/>
        <v>DRCPARTNER/PSOL/AP21QR/2020/01</v>
      </c>
      <c r="K554" s="218" t="str">
        <f>"DGI"</f>
        <v>DGI</v>
      </c>
      <c r="L554" s="218" t="str">
        <f>"Pyt IPR  CP&amp;ME  d'Avril 2020"</f>
        <v>Pyt IPR  CP&amp;ME  d'Avril 2020</v>
      </c>
      <c r="M554" s="218" t="str">
        <f t="shared" si="183"/>
        <v>6410</v>
      </c>
      <c r="N554" s="218" t="str">
        <f t="shared" si="184"/>
        <v>PARTNER - EMPLOYMENT COST</v>
      </c>
      <c r="O554" s="218" t="str">
        <f t="shared" si="182"/>
        <v>DRCBUK</v>
      </c>
      <c r="P554" s="218" t="str">
        <f t="shared" si="176"/>
        <v>AP21QR</v>
      </c>
      <c r="Q554" s="218" t="str">
        <f>""</f>
        <v/>
      </c>
      <c r="R554" s="218" t="str">
        <f t="shared" si="181"/>
        <v>PSOL</v>
      </c>
      <c r="S554" s="218" t="str">
        <f t="shared" si="186"/>
        <v>076</v>
      </c>
      <c r="T554" s="218" t="str">
        <f t="shared" si="173"/>
        <v>D</v>
      </c>
      <c r="U554" s="218" t="str">
        <f t="shared" si="177"/>
        <v>AFR000</v>
      </c>
      <c r="V554" s="218" t="str">
        <f t="shared" si="178"/>
        <v>###</v>
      </c>
      <c r="W554" s="218">
        <v>38</v>
      </c>
      <c r="X554" s="218" t="str">
        <f t="shared" si="179"/>
        <v>USD</v>
      </c>
      <c r="Y554" s="218">
        <v>30.15</v>
      </c>
      <c r="Z554" s="218">
        <v>38</v>
      </c>
      <c r="AA554" s="218">
        <v>34.51</v>
      </c>
    </row>
    <row r="555" spans="1:27">
      <c r="A555" s="218" t="s">
        <v>2592</v>
      </c>
      <c r="F555" s="219" t="str">
        <f>"""IntAlert Live"",""ALERT UK"",""17"",""1"",""555901"""</f>
        <v>"IntAlert Live","ALERT UK","17","1","555901"</v>
      </c>
      <c r="G555" s="223">
        <v>43951</v>
      </c>
      <c r="H555" s="223"/>
      <c r="I555" s="218" t="str">
        <f t="shared" si="180"/>
        <v>DRCPARTNER/PSOL/AP21QR/2020/01</v>
      </c>
      <c r="K555" s="218" t="str">
        <f>"DGI"</f>
        <v>DGI</v>
      </c>
      <c r="L555" s="218" t="str">
        <f>"Pyt IPR  Animateur  d'Avril 2020"</f>
        <v>Pyt IPR  Animateur  d'Avril 2020</v>
      </c>
      <c r="M555" s="218" t="str">
        <f t="shared" si="183"/>
        <v>6410</v>
      </c>
      <c r="N555" s="218" t="str">
        <f t="shared" si="184"/>
        <v>PARTNER - EMPLOYMENT COST</v>
      </c>
      <c r="O555" s="218" t="str">
        <f t="shared" si="182"/>
        <v>DRCBUK</v>
      </c>
      <c r="P555" s="218" t="str">
        <f t="shared" si="176"/>
        <v>AP21QR</v>
      </c>
      <c r="Q555" s="218" t="str">
        <f>""</f>
        <v/>
      </c>
      <c r="R555" s="218" t="str">
        <f t="shared" si="181"/>
        <v>PSOL</v>
      </c>
      <c r="S555" s="218" t="str">
        <f t="shared" si="186"/>
        <v>076</v>
      </c>
      <c r="T555" s="218" t="str">
        <f t="shared" si="173"/>
        <v>D</v>
      </c>
      <c r="U555" s="218" t="str">
        <f t="shared" si="177"/>
        <v>AFR000</v>
      </c>
      <c r="V555" s="218" t="str">
        <f t="shared" si="178"/>
        <v>###</v>
      </c>
      <c r="W555" s="218">
        <v>30.5</v>
      </c>
      <c r="X555" s="218" t="str">
        <f t="shared" si="179"/>
        <v>USD</v>
      </c>
      <c r="Y555" s="218">
        <v>24.2</v>
      </c>
      <c r="Z555" s="218">
        <v>30.5</v>
      </c>
      <c r="AA555" s="218">
        <v>27.7</v>
      </c>
    </row>
    <row r="556" spans="1:27">
      <c r="A556" s="218" t="s">
        <v>2592</v>
      </c>
      <c r="F556" s="219" t="str">
        <f>"""IntAlert Live"",""ALERT UK"",""17"",""1"",""555902"""</f>
        <v>"IntAlert Live","ALERT UK","17","1","555902"</v>
      </c>
      <c r="G556" s="223">
        <v>43951</v>
      </c>
      <c r="H556" s="223"/>
      <c r="I556" s="218" t="str">
        <f t="shared" si="180"/>
        <v>DRCPARTNER/PSOL/AP21QR/2020/01</v>
      </c>
      <c r="K556" s="218" t="str">
        <f>"DGI"</f>
        <v>DGI</v>
      </c>
      <c r="L556" s="218" t="str">
        <f>"Pyt IPR  Gardien  d'Avril 2020"</f>
        <v>Pyt IPR  Gardien  d'Avril 2020</v>
      </c>
      <c r="M556" s="218" t="str">
        <f t="shared" si="183"/>
        <v>6410</v>
      </c>
      <c r="N556" s="218" t="str">
        <f t="shared" si="184"/>
        <v>PARTNER - EMPLOYMENT COST</v>
      </c>
      <c r="O556" s="218" t="str">
        <f t="shared" si="182"/>
        <v>DRCBUK</v>
      </c>
      <c r="P556" s="218" t="str">
        <f t="shared" si="176"/>
        <v>AP21QR</v>
      </c>
      <c r="Q556" s="218" t="str">
        <f>""</f>
        <v/>
      </c>
      <c r="R556" s="218" t="str">
        <f t="shared" si="181"/>
        <v>PSOL</v>
      </c>
      <c r="S556" s="218" t="str">
        <f t="shared" si="186"/>
        <v>076</v>
      </c>
      <c r="T556" s="218" t="str">
        <f t="shared" si="173"/>
        <v>D</v>
      </c>
      <c r="U556" s="218" t="str">
        <f t="shared" si="177"/>
        <v>AFR000</v>
      </c>
      <c r="V556" s="218" t="str">
        <f t="shared" si="178"/>
        <v>###</v>
      </c>
      <c r="W556" s="218">
        <v>3.5</v>
      </c>
      <c r="X556" s="218" t="str">
        <f t="shared" si="179"/>
        <v>USD</v>
      </c>
      <c r="Y556" s="218">
        <v>2.78</v>
      </c>
      <c r="Z556" s="218">
        <v>3.5</v>
      </c>
      <c r="AA556" s="218">
        <v>3.18</v>
      </c>
    </row>
    <row r="557" spans="1:27">
      <c r="A557" s="218" t="s">
        <v>2592</v>
      </c>
      <c r="F557" s="219" t="str">
        <f>"""IntAlert Live"",""ALERT UK"",""17"",""1"",""555903"""</f>
        <v>"IntAlert Live","ALERT UK","17","1","555903"</v>
      </c>
      <c r="G557" s="223">
        <v>43951</v>
      </c>
      <c r="H557" s="223"/>
      <c r="I557" s="218" t="str">
        <f t="shared" si="180"/>
        <v>DRCPARTNER/PSOL/AP21QR/2020/01</v>
      </c>
      <c r="K557" s="218" t="str">
        <f>"DGI"</f>
        <v>DGI</v>
      </c>
      <c r="L557" s="218" t="str">
        <f>"Pyt IPR  Gardien   d'Avril 2020"</f>
        <v>Pyt IPR  Gardien   d'Avril 2020</v>
      </c>
      <c r="M557" s="218" t="str">
        <f t="shared" si="183"/>
        <v>6410</v>
      </c>
      <c r="N557" s="218" t="str">
        <f t="shared" si="184"/>
        <v>PARTNER - EMPLOYMENT COST</v>
      </c>
      <c r="O557" s="218" t="str">
        <f t="shared" si="182"/>
        <v>DRCBUK</v>
      </c>
      <c r="P557" s="218" t="str">
        <f t="shared" si="176"/>
        <v>AP21QR</v>
      </c>
      <c r="Q557" s="218" t="str">
        <f>""</f>
        <v/>
      </c>
      <c r="R557" s="218" t="str">
        <f t="shared" si="181"/>
        <v>PSOL</v>
      </c>
      <c r="S557" s="218" t="str">
        <f t="shared" si="186"/>
        <v>076</v>
      </c>
      <c r="T557" s="218" t="str">
        <f t="shared" si="173"/>
        <v>D</v>
      </c>
      <c r="U557" s="218" t="str">
        <f t="shared" si="177"/>
        <v>AFR000</v>
      </c>
      <c r="V557" s="218" t="str">
        <f t="shared" si="178"/>
        <v>###</v>
      </c>
      <c r="W557" s="218">
        <v>11.78</v>
      </c>
      <c r="X557" s="218" t="str">
        <f t="shared" si="179"/>
        <v>USD</v>
      </c>
      <c r="Y557" s="218">
        <v>9.35</v>
      </c>
      <c r="Z557" s="218">
        <v>11.78</v>
      </c>
      <c r="AA557" s="218">
        <v>10.7</v>
      </c>
    </row>
    <row r="558" spans="1:27">
      <c r="A558" s="218" t="s">
        <v>2592</v>
      </c>
      <c r="F558" s="219" t="str">
        <f>"""IntAlert Live"",""ALERT UK"",""17"",""1"",""555904"""</f>
        <v>"IntAlert Live","ALERT UK","17","1","555904"</v>
      </c>
      <c r="G558" s="223">
        <v>43951</v>
      </c>
      <c r="H558" s="223"/>
      <c r="I558" s="218" t="str">
        <f t="shared" si="180"/>
        <v>DRCPARTNER/PSOL/AP21QR/2020/01</v>
      </c>
      <c r="K558" s="218" t="str">
        <f>"JANVIER"</f>
        <v>JANVIER</v>
      </c>
      <c r="L558" s="218" t="str">
        <f>"Pyt salaire CP&amp;ME  d'Avril 2020"</f>
        <v>Pyt salaire CP&amp;ME  d'Avril 2020</v>
      </c>
      <c r="M558" s="218" t="str">
        <f t="shared" si="183"/>
        <v>6410</v>
      </c>
      <c r="N558" s="218" t="str">
        <f t="shared" si="184"/>
        <v>PARTNER - EMPLOYMENT COST</v>
      </c>
      <c r="O558" s="218" t="str">
        <f t="shared" si="182"/>
        <v>DRCBUK</v>
      </c>
      <c r="P558" s="218" t="str">
        <f t="shared" si="176"/>
        <v>AP21QR</v>
      </c>
      <c r="Q558" s="218" t="str">
        <f>""</f>
        <v/>
      </c>
      <c r="R558" s="218" t="str">
        <f t="shared" si="181"/>
        <v>PSOL</v>
      </c>
      <c r="S558" s="218" t="str">
        <f t="shared" si="186"/>
        <v>076</v>
      </c>
      <c r="T558" s="218" t="str">
        <f t="shared" si="173"/>
        <v>D</v>
      </c>
      <c r="U558" s="218" t="str">
        <f t="shared" si="177"/>
        <v>AFR000</v>
      </c>
      <c r="V558" s="218" t="str">
        <f t="shared" si="178"/>
        <v>###</v>
      </c>
      <c r="W558" s="218">
        <v>397.6</v>
      </c>
      <c r="X558" s="218" t="str">
        <f t="shared" si="179"/>
        <v>USD</v>
      </c>
      <c r="Y558" s="218">
        <v>315.45</v>
      </c>
      <c r="Z558" s="218">
        <v>397.6</v>
      </c>
      <c r="AA558" s="218">
        <v>361.02</v>
      </c>
    </row>
    <row r="559" spans="1:27">
      <c r="A559" s="218" t="s">
        <v>2592</v>
      </c>
      <c r="F559" s="219" t="str">
        <f>"""IntAlert Live"",""ALERT UK"",""17"",""1"",""555905"""</f>
        <v>"IntAlert Live","ALERT UK","17","1","555905"</v>
      </c>
      <c r="G559" s="223">
        <v>43951</v>
      </c>
      <c r="H559" s="223"/>
      <c r="I559" s="218" t="str">
        <f t="shared" si="180"/>
        <v>DRCPARTNER/PSOL/AP21QR/2020/01</v>
      </c>
      <c r="K559" s="218" t="str">
        <f>"MALIPO"</f>
        <v>MALIPO</v>
      </c>
      <c r="L559" s="218" t="str">
        <f>"Pyt salaire Animateur  d'Avril 2020"</f>
        <v>Pyt salaire Animateur  d'Avril 2020</v>
      </c>
      <c r="M559" s="218" t="str">
        <f t="shared" si="183"/>
        <v>6410</v>
      </c>
      <c r="N559" s="218" t="str">
        <f t="shared" si="184"/>
        <v>PARTNER - EMPLOYMENT COST</v>
      </c>
      <c r="O559" s="218" t="str">
        <f t="shared" si="182"/>
        <v>DRCBUK</v>
      </c>
      <c r="P559" s="218" t="str">
        <f t="shared" si="176"/>
        <v>AP21QR</v>
      </c>
      <c r="Q559" s="218" t="str">
        <f>""</f>
        <v/>
      </c>
      <c r="R559" s="218" t="str">
        <f t="shared" si="181"/>
        <v>PSOL</v>
      </c>
      <c r="S559" s="218" t="str">
        <f t="shared" si="186"/>
        <v>076</v>
      </c>
      <c r="T559" s="218" t="str">
        <f t="shared" si="173"/>
        <v>D</v>
      </c>
      <c r="U559" s="218" t="str">
        <f t="shared" si="177"/>
        <v>AFR000</v>
      </c>
      <c r="V559" s="218" t="str">
        <f t="shared" si="178"/>
        <v>###</v>
      </c>
      <c r="W559" s="218">
        <v>259.57</v>
      </c>
      <c r="X559" s="218" t="str">
        <f t="shared" si="179"/>
        <v>USD</v>
      </c>
      <c r="Y559" s="218">
        <v>205.94</v>
      </c>
      <c r="Z559" s="218">
        <v>259.57</v>
      </c>
      <c r="AA559" s="218">
        <v>235.69</v>
      </c>
    </row>
    <row r="560" spans="1:27">
      <c r="A560" s="218" t="s">
        <v>2592</v>
      </c>
      <c r="F560" s="219" t="str">
        <f>"""IntAlert Live"",""ALERT UK"",""17"",""1"",""555906"""</f>
        <v>"IntAlert Live","ALERT UK","17","1","555906"</v>
      </c>
      <c r="G560" s="223">
        <v>43951</v>
      </c>
      <c r="H560" s="223"/>
      <c r="I560" s="218" t="str">
        <f t="shared" si="180"/>
        <v>DRCPARTNER/PSOL/AP21QR/2020/01</v>
      </c>
      <c r="K560" s="218" t="str">
        <f>"AMANI"</f>
        <v>AMANI</v>
      </c>
      <c r="L560" s="218" t="str">
        <f>"Pyt salaire Gardien   d'Avril 2020"</f>
        <v>Pyt salaire Gardien   d'Avril 2020</v>
      </c>
      <c r="M560" s="218" t="str">
        <f t="shared" si="183"/>
        <v>6410</v>
      </c>
      <c r="N560" s="218" t="str">
        <f t="shared" si="184"/>
        <v>PARTNER - EMPLOYMENT COST</v>
      </c>
      <c r="O560" s="218" t="str">
        <f t="shared" si="182"/>
        <v>DRCBUK</v>
      </c>
      <c r="P560" s="218" t="str">
        <f t="shared" si="176"/>
        <v>AP21QR</v>
      </c>
      <c r="Q560" s="218" t="str">
        <f>""</f>
        <v/>
      </c>
      <c r="R560" s="218" t="str">
        <f t="shared" si="181"/>
        <v>PSOL</v>
      </c>
      <c r="S560" s="218" t="str">
        <f t="shared" si="186"/>
        <v>076</v>
      </c>
      <c r="T560" s="218" t="str">
        <f t="shared" si="173"/>
        <v>D</v>
      </c>
      <c r="U560" s="218" t="str">
        <f t="shared" si="177"/>
        <v>AFR000</v>
      </c>
      <c r="V560" s="218" t="str">
        <f t="shared" si="178"/>
        <v>###</v>
      </c>
      <c r="W560" s="218">
        <v>123.75</v>
      </c>
      <c r="X560" s="218" t="str">
        <f t="shared" si="179"/>
        <v>USD</v>
      </c>
      <c r="Y560" s="218">
        <v>98.18</v>
      </c>
      <c r="Z560" s="218">
        <v>123.75</v>
      </c>
      <c r="AA560" s="218">
        <v>112.36</v>
      </c>
    </row>
    <row r="561" spans="1:27">
      <c r="A561" s="218" t="s">
        <v>2592</v>
      </c>
      <c r="F561" s="219" t="str">
        <f>"""IntAlert Live"",""ALERT UK"",""17"",""1"",""555907"""</f>
        <v>"IntAlert Live","ALERT UK","17","1","555907"</v>
      </c>
      <c r="G561" s="223">
        <v>43951</v>
      </c>
      <c r="H561" s="223"/>
      <c r="I561" s="218" t="str">
        <f t="shared" si="180"/>
        <v>DRCPARTNER/PSOL/AP21QR/2020/01</v>
      </c>
      <c r="K561" s="218" t="str">
        <f>"OLIVE"</f>
        <v>OLIVE</v>
      </c>
      <c r="L561" s="218" t="str">
        <f>"Pyt salaire Financière   d'Avril 2020"</f>
        <v>Pyt salaire Financière   d'Avril 2020</v>
      </c>
      <c r="M561" s="218" t="str">
        <f t="shared" si="183"/>
        <v>6410</v>
      </c>
      <c r="N561" s="218" t="str">
        <f t="shared" si="184"/>
        <v>PARTNER - EMPLOYMENT COST</v>
      </c>
      <c r="O561" s="218" t="str">
        <f t="shared" si="182"/>
        <v>DRCBUK</v>
      </c>
      <c r="P561" s="218" t="str">
        <f t="shared" si="176"/>
        <v>AP21QR</v>
      </c>
      <c r="Q561" s="218" t="str">
        <f>""</f>
        <v/>
      </c>
      <c r="R561" s="218" t="str">
        <f t="shared" si="181"/>
        <v>PSOL</v>
      </c>
      <c r="S561" s="218" t="str">
        <f t="shared" si="186"/>
        <v>076</v>
      </c>
      <c r="T561" s="218" t="str">
        <f t="shared" si="173"/>
        <v>D</v>
      </c>
      <c r="U561" s="218" t="str">
        <f t="shared" si="177"/>
        <v>AFR000</v>
      </c>
      <c r="V561" s="218" t="str">
        <f t="shared" si="178"/>
        <v>###</v>
      </c>
      <c r="W561" s="218">
        <v>183.85</v>
      </c>
      <c r="X561" s="218" t="str">
        <f t="shared" si="179"/>
        <v>USD</v>
      </c>
      <c r="Y561" s="218">
        <v>145.86000000000001</v>
      </c>
      <c r="Z561" s="218">
        <v>183.85</v>
      </c>
      <c r="AA561" s="218">
        <v>166.93</v>
      </c>
    </row>
    <row r="562" spans="1:27">
      <c r="A562" s="218" t="s">
        <v>2592</v>
      </c>
      <c r="F562" s="219" t="str">
        <f>"""IntAlert Live"",""ALERT UK"",""17"",""1"",""555920"""</f>
        <v>"IntAlert Live","ALERT UK","17","1","555920"</v>
      </c>
      <c r="G562" s="223">
        <v>43951</v>
      </c>
      <c r="H562" s="223"/>
      <c r="I562" s="218" t="str">
        <f t="shared" si="180"/>
        <v>DRCPARTNER/PSOL/AP21QR/2020/01</v>
      </c>
      <c r="K562" s="218" t="str">
        <f>"OLIVE"</f>
        <v>OLIVE</v>
      </c>
      <c r="L562" s="218" t="str">
        <f>"Pyt bureau de minembwe Avril 2020"</f>
        <v>Pyt bureau de minembwe Avril 2020</v>
      </c>
      <c r="M562" s="218" t="str">
        <f>"6430"</f>
        <v>6430</v>
      </c>
      <c r="N562" s="218" t="str">
        <f>"PARTNER - OFFICE COST"</f>
        <v>PARTNER - OFFICE COST</v>
      </c>
      <c r="O562" s="218" t="str">
        <f t="shared" si="182"/>
        <v>DRCBUK</v>
      </c>
      <c r="P562" s="218" t="str">
        <f t="shared" si="176"/>
        <v>AP21QR</v>
      </c>
      <c r="Q562" s="218" t="str">
        <f>""</f>
        <v/>
      </c>
      <c r="R562" s="218" t="str">
        <f t="shared" si="181"/>
        <v>PSOL</v>
      </c>
      <c r="S562" s="218" t="str">
        <f t="shared" si="186"/>
        <v>076</v>
      </c>
      <c r="T562" s="218" t="str">
        <f t="shared" si="173"/>
        <v>D</v>
      </c>
      <c r="U562" s="218" t="str">
        <f t="shared" si="177"/>
        <v>AFR000</v>
      </c>
      <c r="V562" s="218" t="str">
        <f t="shared" si="178"/>
        <v>###</v>
      </c>
      <c r="W562" s="218">
        <v>100</v>
      </c>
      <c r="X562" s="218" t="str">
        <f t="shared" si="179"/>
        <v>USD</v>
      </c>
      <c r="Y562" s="218">
        <v>79.34</v>
      </c>
      <c r="Z562" s="218">
        <v>100</v>
      </c>
      <c r="AA562" s="218">
        <v>90.8</v>
      </c>
    </row>
    <row r="563" spans="1:27">
      <c r="A563" s="218" t="s">
        <v>2592</v>
      </c>
      <c r="F563" s="219" t="str">
        <f>"""IntAlert Live"",""ALERT UK"",""17"",""1"",""556096"""</f>
        <v>"IntAlert Live","ALERT UK","17","1","556096"</v>
      </c>
      <c r="G563" s="223">
        <v>43951</v>
      </c>
      <c r="H563" s="223"/>
      <c r="I563" s="218" t="str">
        <f>"DRCPARTNER/PBVE/AP21QR/2020/01"</f>
        <v>DRCPARTNER/PBVE/AP21QR/2020/01</v>
      </c>
      <c r="K563" s="218" t="str">
        <f>"BYADUNIA GILBERT"</f>
        <v>BYADUNIA GILBERT</v>
      </c>
      <c r="L563" s="218" t="str">
        <f>"Salaire Byaduniya charge de suivi et evaluation Avril2020"</f>
        <v>Salaire Byaduniya charge de suivi et evaluation Avril2020</v>
      </c>
      <c r="M563" s="218" t="str">
        <f>"6410"</f>
        <v>6410</v>
      </c>
      <c r="N563" s="218" t="str">
        <f>"PARTNER - EMPLOYMENT COST"</f>
        <v>PARTNER - EMPLOYMENT COST</v>
      </c>
      <c r="O563" s="218" t="str">
        <f t="shared" si="182"/>
        <v>DRCBUK</v>
      </c>
      <c r="P563" s="218" t="str">
        <f t="shared" si="176"/>
        <v>AP21QR</v>
      </c>
      <c r="Q563" s="218" t="str">
        <f>""</f>
        <v/>
      </c>
      <c r="R563" s="218" t="str">
        <f>"PBVE"</f>
        <v>PBVE</v>
      </c>
      <c r="S563" s="218" t="str">
        <f t="shared" si="186"/>
        <v>076</v>
      </c>
      <c r="T563" s="218" t="str">
        <f t="shared" si="173"/>
        <v>D</v>
      </c>
      <c r="U563" s="218" t="str">
        <f t="shared" si="177"/>
        <v>AFR000</v>
      </c>
      <c r="V563" s="218" t="str">
        <f t="shared" si="178"/>
        <v>###</v>
      </c>
      <c r="W563" s="218">
        <v>450</v>
      </c>
      <c r="X563" s="218" t="str">
        <f t="shared" si="179"/>
        <v>USD</v>
      </c>
      <c r="Y563" s="218">
        <v>357.08</v>
      </c>
      <c r="Z563" s="218">
        <v>450</v>
      </c>
      <c r="AA563" s="218">
        <v>408.66</v>
      </c>
    </row>
    <row r="564" spans="1:27">
      <c r="A564" s="218" t="s">
        <v>2592</v>
      </c>
      <c r="F564" s="219" t="str">
        <f>"""IntAlert Live"",""ALERT UK"",""17"",""1"",""556101"""</f>
        <v>"IntAlert Live","ALERT UK","17","1","556101"</v>
      </c>
      <c r="G564" s="223">
        <v>43951</v>
      </c>
      <c r="H564" s="223"/>
      <c r="I564" s="218" t="str">
        <f>"DRCPARTNER/PBVE/AP21QR/2020/01"</f>
        <v>DRCPARTNER/PBVE/AP21QR/2020/01</v>
      </c>
      <c r="K564" s="218" t="str">
        <f>"WEMA MYRIAM"</f>
        <v>WEMA MYRIAM</v>
      </c>
      <c r="L564" s="218" t="str">
        <f>"Salaire Wema comptable Avril 20202"</f>
        <v>Salaire Wema comptable Avril 20202</v>
      </c>
      <c r="M564" s="218" t="str">
        <f>"6410"</f>
        <v>6410</v>
      </c>
      <c r="N564" s="218" t="str">
        <f>"PARTNER - EMPLOYMENT COST"</f>
        <v>PARTNER - EMPLOYMENT COST</v>
      </c>
      <c r="O564" s="218" t="str">
        <f t="shared" si="182"/>
        <v>DRCBUK</v>
      </c>
      <c r="P564" s="218" t="str">
        <f t="shared" si="176"/>
        <v>AP21QR</v>
      </c>
      <c r="Q564" s="218" t="str">
        <f>""</f>
        <v/>
      </c>
      <c r="R564" s="218" t="str">
        <f>"PBVE"</f>
        <v>PBVE</v>
      </c>
      <c r="S564" s="218" t="str">
        <f t="shared" si="186"/>
        <v>076</v>
      </c>
      <c r="T564" s="218" t="str">
        <f t="shared" si="173"/>
        <v>D</v>
      </c>
      <c r="U564" s="218" t="str">
        <f t="shared" si="177"/>
        <v>AFR000</v>
      </c>
      <c r="V564" s="218" t="str">
        <f t="shared" si="178"/>
        <v>###</v>
      </c>
      <c r="W564" s="218">
        <v>200</v>
      </c>
      <c r="X564" s="218" t="str">
        <f t="shared" si="179"/>
        <v>USD</v>
      </c>
      <c r="Y564" s="218">
        <v>158.68</v>
      </c>
      <c r="Z564" s="218">
        <v>200</v>
      </c>
      <c r="AA564" s="218">
        <v>181.6</v>
      </c>
    </row>
    <row r="565" spans="1:27">
      <c r="A565" s="218" t="s">
        <v>2592</v>
      </c>
      <c r="F565" s="219" t="str">
        <f>"""IntAlert Live"",""ALERT UK"",""17"",""1"",""555923"""</f>
        <v>"IntAlert Live","ALERT UK","17","1","555923"</v>
      </c>
      <c r="G565" s="223">
        <v>43957</v>
      </c>
      <c r="H565" s="223"/>
      <c r="I565" s="218" t="str">
        <f t="shared" ref="I565:I589" si="187">"DRCPARTNER/PSOL/AP21QR/2020/01"</f>
        <v>DRCPARTNER/PSOL/AP21QR/2020/01</v>
      </c>
      <c r="K565" s="218" t="str">
        <f>"OLIVE"</f>
        <v>OLIVE</v>
      </c>
      <c r="L565" s="218" t="str">
        <f>"Achat Fournitures de bureau"</f>
        <v>Achat Fournitures de bureau</v>
      </c>
      <c r="M565" s="218" t="str">
        <f>"6430"</f>
        <v>6430</v>
      </c>
      <c r="N565" s="218" t="str">
        <f>"PARTNER - OFFICE COST"</f>
        <v>PARTNER - OFFICE COST</v>
      </c>
      <c r="O565" s="218" t="str">
        <f t="shared" si="182"/>
        <v>DRCBUK</v>
      </c>
      <c r="P565" s="218" t="str">
        <f t="shared" si="176"/>
        <v>AP21QR</v>
      </c>
      <c r="Q565" s="218" t="str">
        <f>""</f>
        <v/>
      </c>
      <c r="R565" s="218" t="str">
        <f t="shared" ref="R565:R589" si="188">"PSOL"</f>
        <v>PSOL</v>
      </c>
      <c r="S565" s="218" t="str">
        <f t="shared" ref="S565:S589" si="189">"076"</f>
        <v>076</v>
      </c>
      <c r="T565" s="218" t="str">
        <f t="shared" si="173"/>
        <v>D</v>
      </c>
      <c r="U565" s="218" t="str">
        <f t="shared" si="177"/>
        <v>AFR000</v>
      </c>
      <c r="V565" s="218" t="str">
        <f t="shared" si="178"/>
        <v>###</v>
      </c>
      <c r="W565" s="218">
        <v>30</v>
      </c>
      <c r="X565" s="218" t="str">
        <f t="shared" si="179"/>
        <v>USD</v>
      </c>
      <c r="Y565" s="218">
        <v>23.8</v>
      </c>
      <c r="Z565" s="218">
        <v>30</v>
      </c>
      <c r="AA565" s="218">
        <v>27.24</v>
      </c>
    </row>
    <row r="566" spans="1:27">
      <c r="A566" s="218" t="s">
        <v>2592</v>
      </c>
      <c r="F566" s="219" t="str">
        <f>"""IntAlert Live"",""ALERT UK"",""17"",""1"",""555924"""</f>
        <v>"IntAlert Live","ALERT UK","17","1","555924"</v>
      </c>
      <c r="G566" s="223">
        <v>43957</v>
      </c>
      <c r="H566" s="223"/>
      <c r="I566" s="218" t="str">
        <f t="shared" si="187"/>
        <v>DRCPARTNER/PSOL/AP21QR/2020/01</v>
      </c>
      <c r="K566" s="218" t="str">
        <f>"OLIVE"</f>
        <v>OLIVE</v>
      </c>
      <c r="L566" s="218" t="str">
        <f>"Achat cartes d'appel pour la communication"</f>
        <v>Achat cartes d'appel pour la communication</v>
      </c>
      <c r="M566" s="218" t="str">
        <f t="shared" ref="M566:M589" si="190">"6410"</f>
        <v>6410</v>
      </c>
      <c r="N566" s="218" t="str">
        <f t="shared" ref="N566:N589" si="191">"PARTNER - EMPLOYMENT COST"</f>
        <v>PARTNER - EMPLOYMENT COST</v>
      </c>
      <c r="O566" s="218" t="str">
        <f t="shared" si="182"/>
        <v>DRCBUK</v>
      </c>
      <c r="P566" s="218" t="str">
        <f t="shared" si="176"/>
        <v>AP21QR</v>
      </c>
      <c r="Q566" s="218" t="str">
        <f>""</f>
        <v/>
      </c>
      <c r="R566" s="218" t="str">
        <f t="shared" si="188"/>
        <v>PSOL</v>
      </c>
      <c r="S566" s="218" t="str">
        <f t="shared" si="189"/>
        <v>076</v>
      </c>
      <c r="T566" s="218" t="str">
        <f t="shared" si="173"/>
        <v>D</v>
      </c>
      <c r="U566" s="218" t="str">
        <f t="shared" si="177"/>
        <v>AFR000</v>
      </c>
      <c r="V566" s="218" t="str">
        <f t="shared" si="178"/>
        <v>###</v>
      </c>
      <c r="W566" s="218">
        <v>60</v>
      </c>
      <c r="X566" s="218" t="str">
        <f t="shared" si="179"/>
        <v>USD</v>
      </c>
      <c r="Y566" s="218">
        <v>47.6</v>
      </c>
      <c r="Z566" s="218">
        <v>60</v>
      </c>
      <c r="AA566" s="218">
        <v>54.48</v>
      </c>
    </row>
    <row r="567" spans="1:27">
      <c r="A567" s="218" t="s">
        <v>2592</v>
      </c>
      <c r="F567" s="219" t="str">
        <f>"""IntAlert Live"",""ALERT UK"",""17"",""1"",""555925"""</f>
        <v>"IntAlert Live","ALERT UK","17","1","555925"</v>
      </c>
      <c r="G567" s="223">
        <v>43971</v>
      </c>
      <c r="H567" s="223"/>
      <c r="I567" s="218" t="str">
        <f t="shared" si="187"/>
        <v>DRCPARTNER/PSOL/AP21QR/2020/01</v>
      </c>
      <c r="K567" s="218" t="str">
        <f>"CNSS  QPO"</f>
        <v>CNSS  QPO</v>
      </c>
      <c r="L567" s="218" t="str">
        <f>"Pyt Cotisation sociale CP&amp;ME  mai 2020"</f>
        <v>Pyt Cotisation sociale CP&amp;ME  mai 2020</v>
      </c>
      <c r="M567" s="218" t="str">
        <f t="shared" si="190"/>
        <v>6410</v>
      </c>
      <c r="N567" s="218" t="str">
        <f t="shared" si="191"/>
        <v>PARTNER - EMPLOYMENT COST</v>
      </c>
      <c r="O567" s="218" t="str">
        <f t="shared" si="182"/>
        <v>DRCBUK</v>
      </c>
      <c r="P567" s="218" t="str">
        <f t="shared" si="176"/>
        <v>AP21QR</v>
      </c>
      <c r="Q567" s="218" t="str">
        <f>""</f>
        <v/>
      </c>
      <c r="R567" s="218" t="str">
        <f t="shared" si="188"/>
        <v>PSOL</v>
      </c>
      <c r="S567" s="218" t="str">
        <f t="shared" si="189"/>
        <v>076</v>
      </c>
      <c r="T567" s="218" t="str">
        <f t="shared" si="173"/>
        <v>D</v>
      </c>
      <c r="U567" s="218" t="str">
        <f t="shared" si="177"/>
        <v>AFR000</v>
      </c>
      <c r="V567" s="218" t="str">
        <f t="shared" si="178"/>
        <v>###</v>
      </c>
      <c r="W567" s="218">
        <v>14</v>
      </c>
      <c r="X567" s="218" t="str">
        <f t="shared" si="179"/>
        <v>USD</v>
      </c>
      <c r="Y567" s="218">
        <v>11.11</v>
      </c>
      <c r="Z567" s="218">
        <v>14</v>
      </c>
      <c r="AA567" s="218">
        <v>12.71</v>
      </c>
    </row>
    <row r="568" spans="1:27">
      <c r="A568" s="218" t="s">
        <v>2592</v>
      </c>
      <c r="F568" s="219" t="str">
        <f>"""IntAlert Live"",""ALERT UK"",""17"",""1"",""555926"""</f>
        <v>"IntAlert Live","ALERT UK","17","1","555926"</v>
      </c>
      <c r="G568" s="223">
        <v>43971</v>
      </c>
      <c r="H568" s="223"/>
      <c r="I568" s="218" t="str">
        <f t="shared" si="187"/>
        <v>DRCPARTNER/PSOL/AP21QR/2020/01</v>
      </c>
      <c r="K568" s="218" t="str">
        <f>"CNSS  QPO"</f>
        <v>CNSS  QPO</v>
      </c>
      <c r="L568" s="218" t="str">
        <f>"Pyt Cotisation sociale Animateur   mai 2020"</f>
        <v>Pyt Cotisation sociale Animateur   mai 2020</v>
      </c>
      <c r="M568" s="218" t="str">
        <f t="shared" si="190"/>
        <v>6410</v>
      </c>
      <c r="N568" s="218" t="str">
        <f t="shared" si="191"/>
        <v>PARTNER - EMPLOYMENT COST</v>
      </c>
      <c r="O568" s="218" t="str">
        <f t="shared" si="182"/>
        <v>DRCBUK</v>
      </c>
      <c r="P568" s="218" t="str">
        <f t="shared" si="176"/>
        <v>AP21QR</v>
      </c>
      <c r="Q568" s="218" t="str">
        <f>""</f>
        <v/>
      </c>
      <c r="R568" s="218" t="str">
        <f t="shared" si="188"/>
        <v>PSOL</v>
      </c>
      <c r="S568" s="218" t="str">
        <f t="shared" si="189"/>
        <v>076</v>
      </c>
      <c r="T568" s="218" t="str">
        <f t="shared" ref="T568:T635" si="192">"D"</f>
        <v>D</v>
      </c>
      <c r="U568" s="218" t="str">
        <f t="shared" si="177"/>
        <v>AFR000</v>
      </c>
      <c r="V568" s="218" t="str">
        <f t="shared" si="178"/>
        <v>###</v>
      </c>
      <c r="W568" s="218">
        <v>10</v>
      </c>
      <c r="X568" s="218" t="str">
        <f t="shared" si="179"/>
        <v>USD</v>
      </c>
      <c r="Y568" s="218">
        <v>7.93</v>
      </c>
      <c r="Z568" s="218">
        <v>10</v>
      </c>
      <c r="AA568" s="218">
        <v>9.08</v>
      </c>
    </row>
    <row r="569" spans="1:27">
      <c r="A569" s="218" t="s">
        <v>2592</v>
      </c>
      <c r="F569" s="219" t="str">
        <f>"""IntAlert Live"",""ALERT UK"",""17"",""1"",""555927"""</f>
        <v>"IntAlert Live","ALERT UK","17","1","555927"</v>
      </c>
      <c r="G569" s="223">
        <v>43971</v>
      </c>
      <c r="H569" s="223"/>
      <c r="I569" s="218" t="str">
        <f t="shared" si="187"/>
        <v>DRCPARTNER/PSOL/AP21QR/2020/01</v>
      </c>
      <c r="K569" s="218" t="str">
        <f>"CNSS  QPO"</f>
        <v>CNSS  QPO</v>
      </c>
      <c r="L569" s="218" t="str">
        <f>"Pyt Cotisation sociale Gardien   mai 2020"</f>
        <v>Pyt Cotisation sociale Gardien   mai 2020</v>
      </c>
      <c r="M569" s="218" t="str">
        <f t="shared" si="190"/>
        <v>6410</v>
      </c>
      <c r="N569" s="218" t="str">
        <f t="shared" si="191"/>
        <v>PARTNER - EMPLOYMENT COST</v>
      </c>
      <c r="O569" s="218" t="str">
        <f t="shared" si="182"/>
        <v>DRCBUK</v>
      </c>
      <c r="P569" s="218" t="str">
        <f t="shared" si="176"/>
        <v>AP21QR</v>
      </c>
      <c r="Q569" s="218" t="str">
        <f>""</f>
        <v/>
      </c>
      <c r="R569" s="218" t="str">
        <f t="shared" si="188"/>
        <v>PSOL</v>
      </c>
      <c r="S569" s="218" t="str">
        <f t="shared" si="189"/>
        <v>076</v>
      </c>
      <c r="T569" s="218" t="str">
        <f t="shared" si="192"/>
        <v>D</v>
      </c>
      <c r="U569" s="218" t="str">
        <f t="shared" si="177"/>
        <v>AFR000</v>
      </c>
      <c r="V569" s="218" t="str">
        <f t="shared" si="178"/>
        <v>###</v>
      </c>
      <c r="W569" s="218">
        <v>3</v>
      </c>
      <c r="X569" s="218" t="str">
        <f t="shared" si="179"/>
        <v>USD</v>
      </c>
      <c r="Y569" s="218">
        <v>2.38</v>
      </c>
      <c r="Z569" s="218">
        <v>3</v>
      </c>
      <c r="AA569" s="218">
        <v>2.72</v>
      </c>
    </row>
    <row r="570" spans="1:27">
      <c r="A570" s="218" t="s">
        <v>2592</v>
      </c>
      <c r="F570" s="219" t="str">
        <f>"""IntAlert Live"",""ALERT UK"",""17"",""1"",""555928"""</f>
        <v>"IntAlert Live","ALERT UK","17","1","555928"</v>
      </c>
      <c r="G570" s="223">
        <v>43971</v>
      </c>
      <c r="H570" s="223"/>
      <c r="I570" s="218" t="str">
        <f t="shared" si="187"/>
        <v>DRCPARTNER/PSOL/AP21QR/2020/01</v>
      </c>
      <c r="K570" s="218" t="str">
        <f>"CNSS  QPO"</f>
        <v>CNSS  QPO</v>
      </c>
      <c r="L570" s="218" t="str">
        <f>"Pyt Cotisation sociale Financière  mai 2020"</f>
        <v>Pyt Cotisation sociale Financière  mai 2020</v>
      </c>
      <c r="M570" s="218" t="str">
        <f t="shared" si="190"/>
        <v>6410</v>
      </c>
      <c r="N570" s="218" t="str">
        <f t="shared" si="191"/>
        <v>PARTNER - EMPLOYMENT COST</v>
      </c>
      <c r="O570" s="218" t="str">
        <f t="shared" si="182"/>
        <v>DRCBUK</v>
      </c>
      <c r="P570" s="218" t="str">
        <f t="shared" si="176"/>
        <v>AP21QR</v>
      </c>
      <c r="Q570" s="218" t="str">
        <f>""</f>
        <v/>
      </c>
      <c r="R570" s="218" t="str">
        <f t="shared" si="188"/>
        <v>PSOL</v>
      </c>
      <c r="S570" s="218" t="str">
        <f t="shared" si="189"/>
        <v>076</v>
      </c>
      <c r="T570" s="218" t="str">
        <f t="shared" si="192"/>
        <v>D</v>
      </c>
      <c r="U570" s="218" t="str">
        <f t="shared" si="177"/>
        <v>AFR000</v>
      </c>
      <c r="V570" s="218" t="str">
        <f t="shared" si="178"/>
        <v>###</v>
      </c>
      <c r="W570" s="218">
        <v>4</v>
      </c>
      <c r="X570" s="218" t="str">
        <f t="shared" si="179"/>
        <v>USD</v>
      </c>
      <c r="Y570" s="218">
        <v>3.17</v>
      </c>
      <c r="Z570" s="218">
        <v>4</v>
      </c>
      <c r="AA570" s="218">
        <v>3.63</v>
      </c>
    </row>
    <row r="571" spans="1:27">
      <c r="A571" s="218" t="s">
        <v>2592</v>
      </c>
      <c r="F571" s="219" t="str">
        <f>"""IntAlert Live"",""ALERT UK"",""17"",""1"",""555929"""</f>
        <v>"IntAlert Live","ALERT UK","17","1","555929"</v>
      </c>
      <c r="G571" s="223">
        <v>43971</v>
      </c>
      <c r="H571" s="223"/>
      <c r="I571" s="218" t="str">
        <f t="shared" si="187"/>
        <v>DRCPARTNER/PSOL/AP21QR/2020/01</v>
      </c>
      <c r="K571" s="218" t="str">
        <f>"CNSS  QPP"</f>
        <v>CNSS  QPP</v>
      </c>
      <c r="L571" s="218" t="str">
        <f>"Pyt Cotisation sociale CP&amp;ME mai 2020"</f>
        <v>Pyt Cotisation sociale CP&amp;ME mai 2020</v>
      </c>
      <c r="M571" s="218" t="str">
        <f t="shared" si="190"/>
        <v>6410</v>
      </c>
      <c r="N571" s="218" t="str">
        <f t="shared" si="191"/>
        <v>PARTNER - EMPLOYMENT COST</v>
      </c>
      <c r="O571" s="218" t="str">
        <f t="shared" si="182"/>
        <v>DRCBUK</v>
      </c>
      <c r="P571" s="218" t="str">
        <f t="shared" si="176"/>
        <v>AP21QR</v>
      </c>
      <c r="Q571" s="218" t="str">
        <f>""</f>
        <v/>
      </c>
      <c r="R571" s="218" t="str">
        <f t="shared" si="188"/>
        <v>PSOL</v>
      </c>
      <c r="S571" s="218" t="str">
        <f t="shared" si="189"/>
        <v>076</v>
      </c>
      <c r="T571" s="218" t="str">
        <f t="shared" si="192"/>
        <v>D</v>
      </c>
      <c r="U571" s="218" t="str">
        <f t="shared" si="177"/>
        <v>AFR000</v>
      </c>
      <c r="V571" s="218" t="str">
        <f t="shared" si="178"/>
        <v>###</v>
      </c>
      <c r="W571" s="218">
        <v>36</v>
      </c>
      <c r="X571" s="218" t="str">
        <f t="shared" si="179"/>
        <v>USD</v>
      </c>
      <c r="Y571" s="218">
        <v>28.56</v>
      </c>
      <c r="Z571" s="218">
        <v>36</v>
      </c>
      <c r="AA571" s="218">
        <v>32.69</v>
      </c>
    </row>
    <row r="572" spans="1:27">
      <c r="A572" s="218" t="s">
        <v>2592</v>
      </c>
      <c r="F572" s="219" t="str">
        <f>"""IntAlert Live"",""ALERT UK"",""17"",""1"",""555930"""</f>
        <v>"IntAlert Live","ALERT UK","17","1","555930"</v>
      </c>
      <c r="G572" s="223">
        <v>43971</v>
      </c>
      <c r="H572" s="223"/>
      <c r="I572" s="218" t="str">
        <f t="shared" si="187"/>
        <v>DRCPARTNER/PSOL/AP21QR/2020/01</v>
      </c>
      <c r="K572" s="218" t="str">
        <f>"CNSS  QPP"</f>
        <v>CNSS  QPP</v>
      </c>
      <c r="L572" s="218" t="str">
        <f>"PytCotisation sociale Animateur mai 2020"</f>
        <v>PytCotisation sociale Animateur mai 2020</v>
      </c>
      <c r="M572" s="218" t="str">
        <f t="shared" si="190"/>
        <v>6410</v>
      </c>
      <c r="N572" s="218" t="str">
        <f t="shared" si="191"/>
        <v>PARTNER - EMPLOYMENT COST</v>
      </c>
      <c r="O572" s="218" t="str">
        <f t="shared" si="182"/>
        <v>DRCBUK</v>
      </c>
      <c r="P572" s="218" t="str">
        <f t="shared" si="176"/>
        <v>AP21QR</v>
      </c>
      <c r="Q572" s="218" t="str">
        <f>""</f>
        <v/>
      </c>
      <c r="R572" s="218" t="str">
        <f t="shared" si="188"/>
        <v>PSOL</v>
      </c>
      <c r="S572" s="218" t="str">
        <f t="shared" si="189"/>
        <v>076</v>
      </c>
      <c r="T572" s="218" t="str">
        <f t="shared" si="192"/>
        <v>D</v>
      </c>
      <c r="U572" s="218" t="str">
        <f t="shared" si="177"/>
        <v>AFR000</v>
      </c>
      <c r="V572" s="218" t="str">
        <f t="shared" si="178"/>
        <v>###</v>
      </c>
      <c r="W572" s="218">
        <v>26</v>
      </c>
      <c r="X572" s="218" t="str">
        <f t="shared" si="179"/>
        <v>USD</v>
      </c>
      <c r="Y572" s="218">
        <v>20.63</v>
      </c>
      <c r="Z572" s="218">
        <v>26</v>
      </c>
      <c r="AA572" s="218">
        <v>23.61</v>
      </c>
    </row>
    <row r="573" spans="1:27">
      <c r="A573" s="218" t="s">
        <v>2592</v>
      </c>
      <c r="F573" s="219" t="str">
        <f>"""IntAlert Live"",""ALERT UK"",""17"",""1"",""555931"""</f>
        <v>"IntAlert Live","ALERT UK","17","1","555931"</v>
      </c>
      <c r="G573" s="223">
        <v>43971</v>
      </c>
      <c r="H573" s="223"/>
      <c r="I573" s="218" t="str">
        <f t="shared" si="187"/>
        <v>DRCPARTNER/PSOL/AP21QR/2020/01</v>
      </c>
      <c r="K573" s="218" t="str">
        <f>"CNSS  QPP"</f>
        <v>CNSS  QPP</v>
      </c>
      <c r="L573" s="218" t="str">
        <f>"Pyt Cotisation sociale Gardien  mai 2020"</f>
        <v>Pyt Cotisation sociale Gardien  mai 2020</v>
      </c>
      <c r="M573" s="218" t="str">
        <f t="shared" si="190"/>
        <v>6410</v>
      </c>
      <c r="N573" s="218" t="str">
        <f t="shared" si="191"/>
        <v>PARTNER - EMPLOYMENT COST</v>
      </c>
      <c r="O573" s="218" t="str">
        <f t="shared" si="182"/>
        <v>DRCBUK</v>
      </c>
      <c r="P573" s="218" t="str">
        <f t="shared" si="176"/>
        <v>AP21QR</v>
      </c>
      <c r="Q573" s="218" t="str">
        <f>""</f>
        <v/>
      </c>
      <c r="R573" s="218" t="str">
        <f t="shared" si="188"/>
        <v>PSOL</v>
      </c>
      <c r="S573" s="218" t="str">
        <f t="shared" si="189"/>
        <v>076</v>
      </c>
      <c r="T573" s="218" t="str">
        <f t="shared" si="192"/>
        <v>D</v>
      </c>
      <c r="U573" s="218" t="str">
        <f t="shared" si="177"/>
        <v>AFR000</v>
      </c>
      <c r="V573" s="218" t="str">
        <f t="shared" si="178"/>
        <v>###</v>
      </c>
      <c r="W573" s="218">
        <v>7</v>
      </c>
      <c r="X573" s="218" t="str">
        <f t="shared" si="179"/>
        <v>USD</v>
      </c>
      <c r="Y573" s="218">
        <v>5.55</v>
      </c>
      <c r="Z573" s="218">
        <v>7</v>
      </c>
      <c r="AA573" s="218">
        <v>6.35</v>
      </c>
    </row>
    <row r="574" spans="1:27">
      <c r="A574" s="218" t="s">
        <v>2592</v>
      </c>
      <c r="F574" s="219" t="str">
        <f>"""IntAlert Live"",""ALERT UK"",""17"",""1"",""555932"""</f>
        <v>"IntAlert Live","ALERT UK","17","1","555932"</v>
      </c>
      <c r="G574" s="223">
        <v>43971</v>
      </c>
      <c r="H574" s="223"/>
      <c r="I574" s="218" t="str">
        <f t="shared" si="187"/>
        <v>DRCPARTNER/PSOL/AP21QR/2020/01</v>
      </c>
      <c r="K574" s="218" t="str">
        <f>"CNSS  QPP"</f>
        <v>CNSS  QPP</v>
      </c>
      <c r="L574" s="218" t="str">
        <f>"Pyt Cotisation sociale Financière  mai 2020"</f>
        <v>Pyt Cotisation sociale Financière  mai 2020</v>
      </c>
      <c r="M574" s="218" t="str">
        <f t="shared" si="190"/>
        <v>6410</v>
      </c>
      <c r="N574" s="218" t="str">
        <f t="shared" si="191"/>
        <v>PARTNER - EMPLOYMENT COST</v>
      </c>
      <c r="O574" s="218" t="str">
        <f t="shared" si="182"/>
        <v>DRCBUK</v>
      </c>
      <c r="P574" s="218" t="str">
        <f t="shared" si="176"/>
        <v>AP21QR</v>
      </c>
      <c r="Q574" s="218" t="str">
        <f>""</f>
        <v/>
      </c>
      <c r="R574" s="218" t="str">
        <f t="shared" si="188"/>
        <v>PSOL</v>
      </c>
      <c r="S574" s="218" t="str">
        <f t="shared" si="189"/>
        <v>076</v>
      </c>
      <c r="T574" s="218" t="str">
        <f t="shared" si="192"/>
        <v>D</v>
      </c>
      <c r="U574" s="218" t="str">
        <f t="shared" si="177"/>
        <v>AFR000</v>
      </c>
      <c r="V574" s="218" t="str">
        <f t="shared" si="178"/>
        <v>###</v>
      </c>
      <c r="W574" s="218">
        <v>14</v>
      </c>
      <c r="X574" s="218" t="str">
        <f t="shared" si="179"/>
        <v>USD</v>
      </c>
      <c r="Y574" s="218">
        <v>11.11</v>
      </c>
      <c r="Z574" s="218">
        <v>14</v>
      </c>
      <c r="AA574" s="218">
        <v>12.71</v>
      </c>
    </row>
    <row r="575" spans="1:27">
      <c r="A575" s="218" t="s">
        <v>2592</v>
      </c>
      <c r="F575" s="219" t="str">
        <f>"""IntAlert Live"",""ALERT UK"",""17"",""1"",""555933"""</f>
        <v>"IntAlert Live","ALERT UK","17","1","555933"</v>
      </c>
      <c r="G575" s="223">
        <v>43971</v>
      </c>
      <c r="H575" s="223"/>
      <c r="I575" s="218" t="str">
        <f t="shared" si="187"/>
        <v>DRCPARTNER/PSOL/AP21QR/2020/01</v>
      </c>
      <c r="K575" s="218" t="str">
        <f>"INPP"</f>
        <v>INPP</v>
      </c>
      <c r="L575" s="218" t="str">
        <f>"Pyt Cotisation CP&amp;ME   d'Avril 2020"</f>
        <v>Pyt Cotisation CP&amp;ME   d'Avril 2020</v>
      </c>
      <c r="M575" s="218" t="str">
        <f t="shared" si="190"/>
        <v>6410</v>
      </c>
      <c r="N575" s="218" t="str">
        <f t="shared" si="191"/>
        <v>PARTNER - EMPLOYMENT COST</v>
      </c>
      <c r="O575" s="218" t="str">
        <f t="shared" si="182"/>
        <v>DRCBUK</v>
      </c>
      <c r="P575" s="218" t="str">
        <f t="shared" si="176"/>
        <v>AP21QR</v>
      </c>
      <c r="Q575" s="218" t="str">
        <f>""</f>
        <v/>
      </c>
      <c r="R575" s="218" t="str">
        <f t="shared" si="188"/>
        <v>PSOL</v>
      </c>
      <c r="S575" s="218" t="str">
        <f t="shared" si="189"/>
        <v>076</v>
      </c>
      <c r="T575" s="218" t="str">
        <f t="shared" si="192"/>
        <v>D</v>
      </c>
      <c r="U575" s="218" t="str">
        <f t="shared" si="177"/>
        <v>AFR000</v>
      </c>
      <c r="V575" s="218" t="str">
        <f t="shared" si="178"/>
        <v>###</v>
      </c>
      <c r="W575" s="218">
        <v>8</v>
      </c>
      <c r="X575" s="218" t="str">
        <f t="shared" si="179"/>
        <v>USD</v>
      </c>
      <c r="Y575" s="218">
        <v>6.35</v>
      </c>
      <c r="Z575" s="218">
        <v>8</v>
      </c>
      <c r="AA575" s="218">
        <v>7.27</v>
      </c>
    </row>
    <row r="576" spans="1:27">
      <c r="A576" s="218" t="s">
        <v>2592</v>
      </c>
      <c r="F576" s="219" t="str">
        <f>"""IntAlert Live"",""ALERT UK"",""17"",""1"",""555934"""</f>
        <v>"IntAlert Live","ALERT UK","17","1","555934"</v>
      </c>
      <c r="G576" s="223">
        <v>43971</v>
      </c>
      <c r="H576" s="223"/>
      <c r="I576" s="218" t="str">
        <f t="shared" si="187"/>
        <v>DRCPARTNER/PSOL/AP21QR/2020/01</v>
      </c>
      <c r="K576" s="218" t="str">
        <f>"INPP"</f>
        <v>INPP</v>
      </c>
      <c r="L576" s="218" t="str">
        <f>"Pyt Cotisation Animateur  mai 2020"</f>
        <v>Pyt Cotisation Animateur  mai 2020</v>
      </c>
      <c r="M576" s="218" t="str">
        <f t="shared" si="190"/>
        <v>6410</v>
      </c>
      <c r="N576" s="218" t="str">
        <f t="shared" si="191"/>
        <v>PARTNER - EMPLOYMENT COST</v>
      </c>
      <c r="O576" s="218" t="str">
        <f t="shared" si="182"/>
        <v>DRCBUK</v>
      </c>
      <c r="P576" s="218" t="str">
        <f t="shared" si="176"/>
        <v>AP21QR</v>
      </c>
      <c r="Q576" s="218" t="str">
        <f>""</f>
        <v/>
      </c>
      <c r="R576" s="218" t="str">
        <f t="shared" si="188"/>
        <v>PSOL</v>
      </c>
      <c r="S576" s="218" t="str">
        <f t="shared" si="189"/>
        <v>076</v>
      </c>
      <c r="T576" s="218" t="str">
        <f t="shared" si="192"/>
        <v>D</v>
      </c>
      <c r="U576" s="218" t="str">
        <f t="shared" si="177"/>
        <v>AFR000</v>
      </c>
      <c r="V576" s="218" t="str">
        <f t="shared" si="178"/>
        <v>###</v>
      </c>
      <c r="W576" s="218">
        <v>6</v>
      </c>
      <c r="X576" s="218" t="str">
        <f t="shared" si="179"/>
        <v>USD</v>
      </c>
      <c r="Y576" s="218">
        <v>4.76</v>
      </c>
      <c r="Z576" s="218">
        <v>6</v>
      </c>
      <c r="AA576" s="218">
        <v>5.45</v>
      </c>
    </row>
    <row r="577" spans="1:27">
      <c r="A577" s="218" t="s">
        <v>2592</v>
      </c>
      <c r="F577" s="219" t="str">
        <f>"""IntAlert Live"",""ALERT UK"",""17"",""1"",""555935"""</f>
        <v>"IntAlert Live","ALERT UK","17","1","555935"</v>
      </c>
      <c r="G577" s="223">
        <v>43971</v>
      </c>
      <c r="H577" s="223"/>
      <c r="I577" s="218" t="str">
        <f t="shared" si="187"/>
        <v>DRCPARTNER/PSOL/AP21QR/2020/01</v>
      </c>
      <c r="K577" s="218" t="str">
        <f>"INPP"</f>
        <v>INPP</v>
      </c>
      <c r="L577" s="218" t="str">
        <f>"Pyt Cotisation  Gardien   mai 2020"</f>
        <v>Pyt Cotisation  Gardien   mai 2020</v>
      </c>
      <c r="M577" s="218" t="str">
        <f t="shared" si="190"/>
        <v>6410</v>
      </c>
      <c r="N577" s="218" t="str">
        <f t="shared" si="191"/>
        <v>PARTNER - EMPLOYMENT COST</v>
      </c>
      <c r="O577" s="218" t="str">
        <f t="shared" si="182"/>
        <v>DRCBUK</v>
      </c>
      <c r="P577" s="218" t="str">
        <f t="shared" si="176"/>
        <v>AP21QR</v>
      </c>
      <c r="Q577" s="218" t="str">
        <f>""</f>
        <v/>
      </c>
      <c r="R577" s="218" t="str">
        <f t="shared" si="188"/>
        <v>PSOL</v>
      </c>
      <c r="S577" s="218" t="str">
        <f t="shared" si="189"/>
        <v>076</v>
      </c>
      <c r="T577" s="218" t="str">
        <f t="shared" si="192"/>
        <v>D</v>
      </c>
      <c r="U577" s="218" t="str">
        <f t="shared" si="177"/>
        <v>AFR000</v>
      </c>
      <c r="V577" s="218" t="str">
        <f t="shared" si="178"/>
        <v>###</v>
      </c>
      <c r="W577" s="218">
        <v>2</v>
      </c>
      <c r="X577" s="218" t="str">
        <f t="shared" si="179"/>
        <v>USD</v>
      </c>
      <c r="Y577" s="218">
        <v>1.59</v>
      </c>
      <c r="Z577" s="218">
        <v>2</v>
      </c>
      <c r="AA577" s="218">
        <v>1.82</v>
      </c>
    </row>
    <row r="578" spans="1:27">
      <c r="A578" s="218" t="s">
        <v>2592</v>
      </c>
      <c r="F578" s="219" t="str">
        <f>"""IntAlert Live"",""ALERT UK"",""17"",""1"",""555936"""</f>
        <v>"IntAlert Live","ALERT UK","17","1","555936"</v>
      </c>
      <c r="G578" s="223">
        <v>43971</v>
      </c>
      <c r="H578" s="223"/>
      <c r="I578" s="218" t="str">
        <f t="shared" si="187"/>
        <v>DRCPARTNER/PSOL/AP21QR/2020/01</v>
      </c>
      <c r="K578" s="218" t="str">
        <f>"INPP"</f>
        <v>INPP</v>
      </c>
      <c r="L578" s="218" t="str">
        <f>"Pyt Cotisation  Financière  mai 2020"</f>
        <v>Pyt Cotisation  Financière  mai 2020</v>
      </c>
      <c r="M578" s="218" t="str">
        <f t="shared" si="190"/>
        <v>6410</v>
      </c>
      <c r="N578" s="218" t="str">
        <f t="shared" si="191"/>
        <v>PARTNER - EMPLOYMENT COST</v>
      </c>
      <c r="O578" s="218" t="str">
        <f t="shared" si="182"/>
        <v>DRCBUK</v>
      </c>
      <c r="P578" s="218" t="str">
        <f t="shared" si="176"/>
        <v>AP21QR</v>
      </c>
      <c r="Q578" s="218" t="str">
        <f>""</f>
        <v/>
      </c>
      <c r="R578" s="218" t="str">
        <f t="shared" si="188"/>
        <v>PSOL</v>
      </c>
      <c r="S578" s="218" t="str">
        <f t="shared" si="189"/>
        <v>076</v>
      </c>
      <c r="T578" s="218" t="str">
        <f t="shared" si="192"/>
        <v>D</v>
      </c>
      <c r="U578" s="218" t="str">
        <f t="shared" si="177"/>
        <v>AFR000</v>
      </c>
      <c r="V578" s="218" t="str">
        <f t="shared" si="178"/>
        <v>###</v>
      </c>
      <c r="W578" s="218">
        <v>3</v>
      </c>
      <c r="X578" s="218" t="str">
        <f t="shared" si="179"/>
        <v>USD</v>
      </c>
      <c r="Y578" s="218">
        <v>2.38</v>
      </c>
      <c r="Z578" s="218">
        <v>3</v>
      </c>
      <c r="AA578" s="218">
        <v>2.72</v>
      </c>
    </row>
    <row r="579" spans="1:27">
      <c r="A579" s="218" t="s">
        <v>2592</v>
      </c>
      <c r="F579" s="219" t="str">
        <f>"""IntAlert Live"",""ALERT UK"",""17"",""1"",""555941"""</f>
        <v>"IntAlert Live","ALERT UK","17","1","555941"</v>
      </c>
      <c r="G579" s="223">
        <v>43973</v>
      </c>
      <c r="H579" s="223"/>
      <c r="I579" s="218" t="str">
        <f t="shared" si="187"/>
        <v>DRCPARTNER/PSOL/AP21QR/2020/01</v>
      </c>
      <c r="K579" s="218" t="str">
        <f>"DGI"</f>
        <v>DGI</v>
      </c>
      <c r="L579" s="218" t="str">
        <f>"Pyt IPR  CP&amp;ME   mai 2020"</f>
        <v>Pyt IPR  CP&amp;ME   mai 2020</v>
      </c>
      <c r="M579" s="218" t="str">
        <f t="shared" si="190"/>
        <v>6410</v>
      </c>
      <c r="N579" s="218" t="str">
        <f t="shared" si="191"/>
        <v>PARTNER - EMPLOYMENT COST</v>
      </c>
      <c r="O579" s="218" t="str">
        <f t="shared" si="182"/>
        <v>DRCBUK</v>
      </c>
      <c r="P579" s="218" t="str">
        <f t="shared" si="176"/>
        <v>AP21QR</v>
      </c>
      <c r="Q579" s="218" t="str">
        <f>""</f>
        <v/>
      </c>
      <c r="R579" s="218" t="str">
        <f t="shared" si="188"/>
        <v>PSOL</v>
      </c>
      <c r="S579" s="218" t="str">
        <f t="shared" si="189"/>
        <v>076</v>
      </c>
      <c r="T579" s="218" t="str">
        <f t="shared" si="192"/>
        <v>D</v>
      </c>
      <c r="U579" s="218" t="str">
        <f t="shared" si="177"/>
        <v>AFR000</v>
      </c>
      <c r="V579" s="218" t="str">
        <f t="shared" si="178"/>
        <v>###</v>
      </c>
      <c r="W579" s="218">
        <v>38</v>
      </c>
      <c r="X579" s="218" t="str">
        <f t="shared" si="179"/>
        <v>USD</v>
      </c>
      <c r="Y579" s="218">
        <v>30.15</v>
      </c>
      <c r="Z579" s="218">
        <v>38</v>
      </c>
      <c r="AA579" s="218">
        <v>34.51</v>
      </c>
    </row>
    <row r="580" spans="1:27">
      <c r="A580" s="218" t="s">
        <v>2592</v>
      </c>
      <c r="F580" s="219" t="str">
        <f>"""IntAlert Live"",""ALERT UK"",""17"",""1"",""555942"""</f>
        <v>"IntAlert Live","ALERT UK","17","1","555942"</v>
      </c>
      <c r="G580" s="223">
        <v>43973</v>
      </c>
      <c r="H580" s="223"/>
      <c r="I580" s="218" t="str">
        <f t="shared" si="187"/>
        <v>DRCPARTNER/PSOL/AP21QR/2020/01</v>
      </c>
      <c r="K580" s="218" t="str">
        <f>"DGI"</f>
        <v>DGI</v>
      </c>
      <c r="L580" s="218" t="str">
        <f>"Pyt IPR  Animateur   mai 2020"</f>
        <v>Pyt IPR  Animateur   mai 2020</v>
      </c>
      <c r="M580" s="218" t="str">
        <f t="shared" si="190"/>
        <v>6410</v>
      </c>
      <c r="N580" s="218" t="str">
        <f t="shared" si="191"/>
        <v>PARTNER - EMPLOYMENT COST</v>
      </c>
      <c r="O580" s="218" t="str">
        <f t="shared" si="182"/>
        <v>DRCBUK</v>
      </c>
      <c r="P580" s="218" t="str">
        <f t="shared" si="176"/>
        <v>AP21QR</v>
      </c>
      <c r="Q580" s="218" t="str">
        <f>""</f>
        <v/>
      </c>
      <c r="R580" s="218" t="str">
        <f t="shared" si="188"/>
        <v>PSOL</v>
      </c>
      <c r="S580" s="218" t="str">
        <f t="shared" si="189"/>
        <v>076</v>
      </c>
      <c r="T580" s="218" t="str">
        <f t="shared" si="192"/>
        <v>D</v>
      </c>
      <c r="U580" s="218" t="str">
        <f t="shared" si="177"/>
        <v>AFR000</v>
      </c>
      <c r="V580" s="218" t="str">
        <f t="shared" si="178"/>
        <v>###</v>
      </c>
      <c r="W580" s="218">
        <v>30.5</v>
      </c>
      <c r="X580" s="218" t="str">
        <f t="shared" si="179"/>
        <v>USD</v>
      </c>
      <c r="Y580" s="218">
        <v>24.2</v>
      </c>
      <c r="Z580" s="218">
        <v>30.5</v>
      </c>
      <c r="AA580" s="218">
        <v>27.7</v>
      </c>
    </row>
    <row r="581" spans="1:27">
      <c r="A581" s="218" t="s">
        <v>2592</v>
      </c>
      <c r="F581" s="219" t="str">
        <f>"""IntAlert Live"",""ALERT UK"",""17"",""1"",""555943"""</f>
        <v>"IntAlert Live","ALERT UK","17","1","555943"</v>
      </c>
      <c r="G581" s="223">
        <v>43973</v>
      </c>
      <c r="H581" s="223"/>
      <c r="I581" s="218" t="str">
        <f t="shared" si="187"/>
        <v>DRCPARTNER/PSOL/AP21QR/2020/01</v>
      </c>
      <c r="K581" s="218" t="str">
        <f>"DGI"</f>
        <v>DGI</v>
      </c>
      <c r="L581" s="218" t="str">
        <f>"Pyt IPR  Gardien  mai 2020"</f>
        <v>Pyt IPR  Gardien  mai 2020</v>
      </c>
      <c r="M581" s="218" t="str">
        <f t="shared" si="190"/>
        <v>6410</v>
      </c>
      <c r="N581" s="218" t="str">
        <f t="shared" si="191"/>
        <v>PARTNER - EMPLOYMENT COST</v>
      </c>
      <c r="O581" s="218" t="str">
        <f t="shared" si="182"/>
        <v>DRCBUK</v>
      </c>
      <c r="P581" s="218" t="str">
        <f t="shared" si="176"/>
        <v>AP21QR</v>
      </c>
      <c r="Q581" s="218" t="str">
        <f>""</f>
        <v/>
      </c>
      <c r="R581" s="218" t="str">
        <f t="shared" si="188"/>
        <v>PSOL</v>
      </c>
      <c r="S581" s="218" t="str">
        <f t="shared" si="189"/>
        <v>076</v>
      </c>
      <c r="T581" s="218" t="str">
        <f t="shared" si="192"/>
        <v>D</v>
      </c>
      <c r="U581" s="218" t="str">
        <f t="shared" si="177"/>
        <v>AFR000</v>
      </c>
      <c r="V581" s="218" t="str">
        <f t="shared" si="178"/>
        <v>###</v>
      </c>
      <c r="W581" s="218">
        <v>3.5</v>
      </c>
      <c r="X581" s="218" t="str">
        <f t="shared" si="179"/>
        <v>USD</v>
      </c>
      <c r="Y581" s="218">
        <v>2.78</v>
      </c>
      <c r="Z581" s="218">
        <v>3.5</v>
      </c>
      <c r="AA581" s="218">
        <v>3.18</v>
      </c>
    </row>
    <row r="582" spans="1:27">
      <c r="A582" s="218" t="s">
        <v>2592</v>
      </c>
      <c r="F582" s="219" t="str">
        <f>"""IntAlert Live"",""ALERT UK"",""17"",""1"",""555944"""</f>
        <v>"IntAlert Live","ALERT UK","17","1","555944"</v>
      </c>
      <c r="G582" s="223">
        <v>43973</v>
      </c>
      <c r="H582" s="223"/>
      <c r="I582" s="218" t="str">
        <f t="shared" si="187"/>
        <v>DRCPARTNER/PSOL/AP21QR/2020/01</v>
      </c>
      <c r="K582" s="218" t="str">
        <f>"DGI"</f>
        <v>DGI</v>
      </c>
      <c r="L582" s="218" t="str">
        <f>"Pyt IPR  Financière  mai 2020"</f>
        <v>Pyt IPR  Financière  mai 2020</v>
      </c>
      <c r="M582" s="218" t="str">
        <f t="shared" si="190"/>
        <v>6410</v>
      </c>
      <c r="N582" s="218" t="str">
        <f t="shared" si="191"/>
        <v>PARTNER - EMPLOYMENT COST</v>
      </c>
      <c r="O582" s="218" t="str">
        <f t="shared" si="182"/>
        <v>DRCBUK</v>
      </c>
      <c r="P582" s="218" t="str">
        <f t="shared" si="176"/>
        <v>AP21QR</v>
      </c>
      <c r="Q582" s="218" t="str">
        <f>""</f>
        <v/>
      </c>
      <c r="R582" s="218" t="str">
        <f t="shared" si="188"/>
        <v>PSOL</v>
      </c>
      <c r="S582" s="218" t="str">
        <f t="shared" si="189"/>
        <v>076</v>
      </c>
      <c r="T582" s="218" t="str">
        <f t="shared" si="192"/>
        <v>D</v>
      </c>
      <c r="U582" s="218" t="str">
        <f t="shared" si="177"/>
        <v>AFR000</v>
      </c>
      <c r="V582" s="218" t="str">
        <f t="shared" si="178"/>
        <v>###</v>
      </c>
      <c r="W582" s="218">
        <v>11.78</v>
      </c>
      <c r="X582" s="218" t="str">
        <f t="shared" si="179"/>
        <v>USD</v>
      </c>
      <c r="Y582" s="218">
        <v>9.35</v>
      </c>
      <c r="Z582" s="218">
        <v>11.78</v>
      </c>
      <c r="AA582" s="218">
        <v>10.7</v>
      </c>
    </row>
    <row r="583" spans="1:27">
      <c r="A583" s="218" t="s">
        <v>2592</v>
      </c>
      <c r="F583" s="219" t="str">
        <f>"""IntAlert Live"",""ALERT UK"",""17"",""1"",""555945"""</f>
        <v>"IntAlert Live","ALERT UK","17","1","555945"</v>
      </c>
      <c r="G583" s="223">
        <v>43976</v>
      </c>
      <c r="H583" s="223"/>
      <c r="I583" s="218" t="str">
        <f t="shared" si="187"/>
        <v>DRCPARTNER/PSOL/AP21QR/2020/01</v>
      </c>
      <c r="K583" s="218" t="str">
        <f>"JANVIER"</f>
        <v>JANVIER</v>
      </c>
      <c r="L583" s="218" t="str">
        <f>"Pyt salaire CP&amp;ME  mai 2020"</f>
        <v>Pyt salaire CP&amp;ME  mai 2020</v>
      </c>
      <c r="M583" s="218" t="str">
        <f t="shared" si="190"/>
        <v>6410</v>
      </c>
      <c r="N583" s="218" t="str">
        <f t="shared" si="191"/>
        <v>PARTNER - EMPLOYMENT COST</v>
      </c>
      <c r="O583" s="218" t="str">
        <f t="shared" si="182"/>
        <v>DRCBUK</v>
      </c>
      <c r="P583" s="218" t="str">
        <f t="shared" ref="P583:P646" si="193">"AP21QR"</f>
        <v>AP21QR</v>
      </c>
      <c r="Q583" s="218" t="str">
        <f>""</f>
        <v/>
      </c>
      <c r="R583" s="218" t="str">
        <f t="shared" si="188"/>
        <v>PSOL</v>
      </c>
      <c r="S583" s="218" t="str">
        <f t="shared" si="189"/>
        <v>076</v>
      </c>
      <c r="T583" s="218" t="str">
        <f t="shared" si="192"/>
        <v>D</v>
      </c>
      <c r="U583" s="218" t="str">
        <f t="shared" ref="U583:U620" si="194">"AFR000"</f>
        <v>AFR000</v>
      </c>
      <c r="V583" s="218" t="str">
        <f t="shared" ref="V583:V646" si="195">"###"</f>
        <v>###</v>
      </c>
      <c r="W583" s="218">
        <v>397.6</v>
      </c>
      <c r="X583" s="218" t="str">
        <f t="shared" si="179"/>
        <v>USD</v>
      </c>
      <c r="Y583" s="218">
        <v>315.45</v>
      </c>
      <c r="Z583" s="218">
        <v>397.6</v>
      </c>
      <c r="AA583" s="218">
        <v>361.02</v>
      </c>
    </row>
    <row r="584" spans="1:27">
      <c r="A584" s="218" t="s">
        <v>2592</v>
      </c>
      <c r="F584" s="219" t="str">
        <f>"""IntAlert Live"",""ALERT UK"",""17"",""1"",""555946"""</f>
        <v>"IntAlert Live","ALERT UK","17","1","555946"</v>
      </c>
      <c r="G584" s="223">
        <v>43976</v>
      </c>
      <c r="H584" s="223"/>
      <c r="I584" s="218" t="str">
        <f t="shared" si="187"/>
        <v>DRCPARTNER/PSOL/AP21QR/2020/01</v>
      </c>
      <c r="K584" s="218" t="str">
        <f>"MALIPO"</f>
        <v>MALIPO</v>
      </c>
      <c r="L584" s="218" t="str">
        <f>"Pyt salaire Animateur  mai 2020"</f>
        <v>Pyt salaire Animateur  mai 2020</v>
      </c>
      <c r="M584" s="218" t="str">
        <f t="shared" si="190"/>
        <v>6410</v>
      </c>
      <c r="N584" s="218" t="str">
        <f t="shared" si="191"/>
        <v>PARTNER - EMPLOYMENT COST</v>
      </c>
      <c r="O584" s="218" t="str">
        <f t="shared" si="182"/>
        <v>DRCBUK</v>
      </c>
      <c r="P584" s="218" t="str">
        <f t="shared" si="193"/>
        <v>AP21QR</v>
      </c>
      <c r="Q584" s="218" t="str">
        <f>""</f>
        <v/>
      </c>
      <c r="R584" s="218" t="str">
        <f t="shared" si="188"/>
        <v>PSOL</v>
      </c>
      <c r="S584" s="218" t="str">
        <f t="shared" si="189"/>
        <v>076</v>
      </c>
      <c r="T584" s="218" t="str">
        <f t="shared" si="192"/>
        <v>D</v>
      </c>
      <c r="U584" s="218" t="str">
        <f t="shared" si="194"/>
        <v>AFR000</v>
      </c>
      <c r="V584" s="218" t="str">
        <f t="shared" si="195"/>
        <v>###</v>
      </c>
      <c r="W584" s="218">
        <v>259.57</v>
      </c>
      <c r="X584" s="218" t="str">
        <f t="shared" ref="X584:X620" si="196">"USD"</f>
        <v>USD</v>
      </c>
      <c r="Y584" s="218">
        <v>205.94</v>
      </c>
      <c r="Z584" s="218">
        <v>259.57</v>
      </c>
      <c r="AA584" s="218">
        <v>235.69</v>
      </c>
    </row>
    <row r="585" spans="1:27">
      <c r="A585" s="218" t="s">
        <v>2592</v>
      </c>
      <c r="F585" s="219" t="str">
        <f>"""IntAlert Live"",""ALERT UK"",""17"",""1"",""555947"""</f>
        <v>"IntAlert Live","ALERT UK","17","1","555947"</v>
      </c>
      <c r="G585" s="223">
        <v>43976</v>
      </c>
      <c r="H585" s="223"/>
      <c r="I585" s="218" t="str">
        <f t="shared" si="187"/>
        <v>DRCPARTNER/PSOL/AP21QR/2020/01</v>
      </c>
      <c r="K585" s="218" t="str">
        <f>"AMANI"</f>
        <v>AMANI</v>
      </c>
      <c r="L585" s="218" t="str">
        <f>"Pyt salaire Gardien   mai 2020"</f>
        <v>Pyt salaire Gardien   mai 2020</v>
      </c>
      <c r="M585" s="218" t="str">
        <f t="shared" si="190"/>
        <v>6410</v>
      </c>
      <c r="N585" s="218" t="str">
        <f t="shared" si="191"/>
        <v>PARTNER - EMPLOYMENT COST</v>
      </c>
      <c r="O585" s="218" t="str">
        <f t="shared" si="182"/>
        <v>DRCBUK</v>
      </c>
      <c r="P585" s="218" t="str">
        <f t="shared" si="193"/>
        <v>AP21QR</v>
      </c>
      <c r="Q585" s="218" t="str">
        <f>""</f>
        <v/>
      </c>
      <c r="R585" s="218" t="str">
        <f t="shared" si="188"/>
        <v>PSOL</v>
      </c>
      <c r="S585" s="218" t="str">
        <f t="shared" si="189"/>
        <v>076</v>
      </c>
      <c r="T585" s="218" t="str">
        <f t="shared" si="192"/>
        <v>D</v>
      </c>
      <c r="U585" s="218" t="str">
        <f t="shared" si="194"/>
        <v>AFR000</v>
      </c>
      <c r="V585" s="218" t="str">
        <f t="shared" si="195"/>
        <v>###</v>
      </c>
      <c r="W585" s="218">
        <v>123.75</v>
      </c>
      <c r="X585" s="218" t="str">
        <f t="shared" si="196"/>
        <v>USD</v>
      </c>
      <c r="Y585" s="218">
        <v>98.18</v>
      </c>
      <c r="Z585" s="218">
        <v>123.75</v>
      </c>
      <c r="AA585" s="218">
        <v>112.36</v>
      </c>
    </row>
    <row r="586" spans="1:27">
      <c r="A586" s="218" t="s">
        <v>2592</v>
      </c>
      <c r="F586" s="219" t="str">
        <f>"""IntAlert Live"",""ALERT UK"",""17"",""1"",""555948"""</f>
        <v>"IntAlert Live","ALERT UK","17","1","555948"</v>
      </c>
      <c r="G586" s="223">
        <v>43976</v>
      </c>
      <c r="H586" s="223"/>
      <c r="I586" s="218" t="str">
        <f t="shared" si="187"/>
        <v>DRCPARTNER/PSOL/AP21QR/2020/01</v>
      </c>
      <c r="K586" s="218" t="str">
        <f>"OLIVE"</f>
        <v>OLIVE</v>
      </c>
      <c r="L586" s="218" t="str">
        <f>"Pyt salaire Financière mai 2020"</f>
        <v>Pyt salaire Financière mai 2020</v>
      </c>
      <c r="M586" s="218" t="str">
        <f t="shared" si="190"/>
        <v>6410</v>
      </c>
      <c r="N586" s="218" t="str">
        <f t="shared" si="191"/>
        <v>PARTNER - EMPLOYMENT COST</v>
      </c>
      <c r="O586" s="218" t="str">
        <f t="shared" ref="O586:O602" si="197">"DRCBUK"</f>
        <v>DRCBUK</v>
      </c>
      <c r="P586" s="218" t="str">
        <f t="shared" si="193"/>
        <v>AP21QR</v>
      </c>
      <c r="Q586" s="218" t="str">
        <f>""</f>
        <v/>
      </c>
      <c r="R586" s="218" t="str">
        <f t="shared" si="188"/>
        <v>PSOL</v>
      </c>
      <c r="S586" s="218" t="str">
        <f t="shared" si="189"/>
        <v>076</v>
      </c>
      <c r="T586" s="218" t="str">
        <f t="shared" si="192"/>
        <v>D</v>
      </c>
      <c r="U586" s="218" t="str">
        <f t="shared" si="194"/>
        <v>AFR000</v>
      </c>
      <c r="V586" s="218" t="str">
        <f t="shared" si="195"/>
        <v>###</v>
      </c>
      <c r="W586" s="218">
        <v>183.85</v>
      </c>
      <c r="X586" s="218" t="str">
        <f t="shared" si="196"/>
        <v>USD</v>
      </c>
      <c r="Y586" s="218">
        <v>145.86000000000001</v>
      </c>
      <c r="Z586" s="218">
        <v>183.85</v>
      </c>
      <c r="AA586" s="218">
        <v>166.93</v>
      </c>
    </row>
    <row r="587" spans="1:27">
      <c r="A587" s="218" t="s">
        <v>2592</v>
      </c>
      <c r="F587" s="219" t="str">
        <f>"""IntAlert Live"",""ALERT UK"",""17"",""1"",""555921"""</f>
        <v>"IntAlert Live","ALERT UK","17","1","555921"</v>
      </c>
      <c r="G587" s="223">
        <v>43981</v>
      </c>
      <c r="H587" s="223"/>
      <c r="I587" s="218" t="str">
        <f t="shared" si="187"/>
        <v>DRCPARTNER/PSOL/AP21QR/2020/01</v>
      </c>
      <c r="K587" s="218" t="str">
        <f>"TMB"</f>
        <v>TMB</v>
      </c>
      <c r="L587" s="218" t="str">
        <f>"Frais de tenu de compte"</f>
        <v>Frais de tenu de compte</v>
      </c>
      <c r="M587" s="218" t="str">
        <f t="shared" si="190"/>
        <v>6410</v>
      </c>
      <c r="N587" s="218" t="str">
        <f t="shared" si="191"/>
        <v>PARTNER - EMPLOYMENT COST</v>
      </c>
      <c r="O587" s="218" t="str">
        <f t="shared" si="197"/>
        <v>DRCBUK</v>
      </c>
      <c r="P587" s="218" t="str">
        <f t="shared" si="193"/>
        <v>AP21QR</v>
      </c>
      <c r="Q587" s="218" t="str">
        <f>""</f>
        <v/>
      </c>
      <c r="R587" s="218" t="str">
        <f t="shared" si="188"/>
        <v>PSOL</v>
      </c>
      <c r="S587" s="218" t="str">
        <f t="shared" si="189"/>
        <v>076</v>
      </c>
      <c r="T587" s="218" t="str">
        <f t="shared" si="192"/>
        <v>D</v>
      </c>
      <c r="U587" s="218" t="str">
        <f t="shared" si="194"/>
        <v>AFR000</v>
      </c>
      <c r="V587" s="218" t="str">
        <f t="shared" si="195"/>
        <v>###</v>
      </c>
      <c r="W587" s="218">
        <v>5</v>
      </c>
      <c r="X587" s="218" t="str">
        <f t="shared" si="196"/>
        <v>USD</v>
      </c>
      <c r="Y587" s="218">
        <v>3.97</v>
      </c>
      <c r="Z587" s="218">
        <v>5</v>
      </c>
      <c r="AA587" s="218">
        <v>4.54</v>
      </c>
    </row>
    <row r="588" spans="1:27">
      <c r="A588" s="218" t="s">
        <v>2592</v>
      </c>
      <c r="F588" s="219" t="str">
        <f>"""IntAlert Live"",""ALERT UK"",""17"",""1"",""555922"""</f>
        <v>"IntAlert Live","ALERT UK","17","1","555922"</v>
      </c>
      <c r="G588" s="223">
        <v>43981</v>
      </c>
      <c r="H588" s="223"/>
      <c r="I588" s="218" t="str">
        <f t="shared" si="187"/>
        <v>DRCPARTNER/PSOL/AP21QR/2020/01</v>
      </c>
      <c r="K588" s="218" t="str">
        <f>"TMB"</f>
        <v>TMB</v>
      </c>
      <c r="L588" s="218" t="str">
        <f>"TVA-Frais tenu de compte"</f>
        <v>TVA-Frais tenu de compte</v>
      </c>
      <c r="M588" s="218" t="str">
        <f t="shared" si="190"/>
        <v>6410</v>
      </c>
      <c r="N588" s="218" t="str">
        <f t="shared" si="191"/>
        <v>PARTNER - EMPLOYMENT COST</v>
      </c>
      <c r="O588" s="218" t="str">
        <f t="shared" si="197"/>
        <v>DRCBUK</v>
      </c>
      <c r="P588" s="218" t="str">
        <f t="shared" si="193"/>
        <v>AP21QR</v>
      </c>
      <c r="Q588" s="218" t="str">
        <f>""</f>
        <v/>
      </c>
      <c r="R588" s="218" t="str">
        <f t="shared" si="188"/>
        <v>PSOL</v>
      </c>
      <c r="S588" s="218" t="str">
        <f t="shared" si="189"/>
        <v>076</v>
      </c>
      <c r="T588" s="218" t="str">
        <f t="shared" si="192"/>
        <v>D</v>
      </c>
      <c r="U588" s="218" t="str">
        <f t="shared" si="194"/>
        <v>AFR000</v>
      </c>
      <c r="V588" s="218" t="str">
        <f t="shared" si="195"/>
        <v>###</v>
      </c>
      <c r="W588" s="218">
        <v>0.8</v>
      </c>
      <c r="X588" s="218" t="str">
        <f t="shared" si="196"/>
        <v>USD</v>
      </c>
      <c r="Y588" s="218">
        <v>0.63</v>
      </c>
      <c r="Z588" s="218">
        <v>0.8</v>
      </c>
      <c r="AA588" s="218">
        <v>0.72</v>
      </c>
    </row>
    <row r="589" spans="1:27">
      <c r="A589" s="218" t="s">
        <v>2592</v>
      </c>
      <c r="F589" s="219" t="str">
        <f>"""IntAlert Live"",""ALERT UK"",""17"",""1"",""555949"""</f>
        <v>"IntAlert Live","ALERT UK","17","1","555949"</v>
      </c>
      <c r="G589" s="223">
        <v>43981</v>
      </c>
      <c r="H589" s="223"/>
      <c r="I589" s="218" t="str">
        <f t="shared" si="187"/>
        <v>DRCPARTNER/PSOL/AP21QR/2020/01</v>
      </c>
      <c r="K589" s="218" t="str">
        <f>"OLIVE"</f>
        <v>OLIVE</v>
      </c>
      <c r="L589" s="218" t="str">
        <f>"Pyt bureau de minembwe mai 2020"</f>
        <v>Pyt bureau de minembwe mai 2020</v>
      </c>
      <c r="M589" s="218" t="str">
        <f t="shared" si="190"/>
        <v>6410</v>
      </c>
      <c r="N589" s="218" t="str">
        <f t="shared" si="191"/>
        <v>PARTNER - EMPLOYMENT COST</v>
      </c>
      <c r="O589" s="218" t="str">
        <f t="shared" si="197"/>
        <v>DRCBUK</v>
      </c>
      <c r="P589" s="218" t="str">
        <f t="shared" si="193"/>
        <v>AP21QR</v>
      </c>
      <c r="Q589" s="218" t="str">
        <f>""</f>
        <v/>
      </c>
      <c r="R589" s="218" t="str">
        <f t="shared" si="188"/>
        <v>PSOL</v>
      </c>
      <c r="S589" s="218" t="str">
        <f t="shared" si="189"/>
        <v>076</v>
      </c>
      <c r="T589" s="218" t="str">
        <f t="shared" si="192"/>
        <v>D</v>
      </c>
      <c r="U589" s="218" t="str">
        <f t="shared" si="194"/>
        <v>AFR000</v>
      </c>
      <c r="V589" s="218" t="str">
        <f t="shared" si="195"/>
        <v>###</v>
      </c>
      <c r="W589" s="218">
        <v>100</v>
      </c>
      <c r="X589" s="218" t="str">
        <f t="shared" si="196"/>
        <v>USD</v>
      </c>
      <c r="Y589" s="218">
        <v>79.34</v>
      </c>
      <c r="Z589" s="218">
        <v>100</v>
      </c>
      <c r="AA589" s="218">
        <v>90.8</v>
      </c>
    </row>
    <row r="590" spans="1:27">
      <c r="A590" s="218" t="s">
        <v>2592</v>
      </c>
      <c r="F590" s="219" t="str">
        <f>"""IntAlert Live"",""ALERT UK"",""17"",""1"",""555669"""</f>
        <v>"IntAlert Live","ALERT UK","17","1","555669"</v>
      </c>
      <c r="G590" s="223">
        <v>43881</v>
      </c>
      <c r="H590" s="223"/>
      <c r="I590" s="218" t="str">
        <f t="shared" ref="I590:I596" si="198">"DRCPARTNER/PAPU/AP21QR/2020/01"</f>
        <v>DRCPARTNER/PAPU/AP21QR/2020/01</v>
      </c>
      <c r="K590" s="218" t="str">
        <f>"MUDAGIRI"</f>
        <v>MUDAGIRI</v>
      </c>
      <c r="L590" s="218" t="str">
        <f>"Location moto pour 2 mois"</f>
        <v>Location moto pour 2 mois</v>
      </c>
      <c r="M590" s="218" t="str">
        <f t="shared" ref="M590:M601" si="199">"6470"</f>
        <v>6470</v>
      </c>
      <c r="N590" s="218" t="str">
        <f t="shared" ref="N590:N601" si="200">"PARTNER - PROJECT/ACTIVITY"</f>
        <v>PARTNER - PROJECT/ACTIVITY</v>
      </c>
      <c r="O590" s="218" t="str">
        <f t="shared" si="197"/>
        <v>DRCBUK</v>
      </c>
      <c r="P590" s="218" t="str">
        <f t="shared" si="193"/>
        <v>AP21QR</v>
      </c>
      <c r="Q590" s="218" t="str">
        <f>""</f>
        <v/>
      </c>
      <c r="R590" s="218" t="str">
        <f t="shared" ref="R590:R596" si="201">"PAPU"</f>
        <v>PAPU</v>
      </c>
      <c r="S590" s="218" t="str">
        <f t="shared" ref="S590:S601" si="202">"082"</f>
        <v>082</v>
      </c>
      <c r="T590" s="218" t="str">
        <f t="shared" si="192"/>
        <v>D</v>
      </c>
      <c r="U590" s="218" t="str">
        <f t="shared" si="194"/>
        <v>AFR000</v>
      </c>
      <c r="V590" s="218" t="str">
        <f t="shared" si="195"/>
        <v>###</v>
      </c>
      <c r="W590" s="218">
        <v>240</v>
      </c>
      <c r="X590" s="218" t="str">
        <f t="shared" si="196"/>
        <v>USD</v>
      </c>
      <c r="Y590" s="218">
        <v>190.41</v>
      </c>
      <c r="Z590" s="218">
        <v>240</v>
      </c>
      <c r="AA590" s="218">
        <v>217.91</v>
      </c>
    </row>
    <row r="591" spans="1:27">
      <c r="A591" s="218" t="s">
        <v>2592</v>
      </c>
      <c r="F591" s="219" t="str">
        <f>"""IntAlert Live"",""ALERT UK"",""17"",""1"",""555674"""</f>
        <v>"IntAlert Live","ALERT UK","17","1","555674"</v>
      </c>
      <c r="G591" s="223">
        <v>43892</v>
      </c>
      <c r="H591" s="223"/>
      <c r="I591" s="218" t="str">
        <f t="shared" si="198"/>
        <v>DRCPARTNER/PAPU/AP21QR/2020/01</v>
      </c>
      <c r="K591" s="218" t="str">
        <f>"JEUNES BENEFICIAIRES"</f>
        <v>JEUNES BENEFICIAIRES</v>
      </c>
      <c r="L591" s="218" t="str">
        <f>"Pmnt transport locaux à Uvira/réunion initiatives jeunes"</f>
        <v>Pmnt transport locaux à Uvira/réunion initiatives jeunes</v>
      </c>
      <c r="M591" s="218" t="str">
        <f t="shared" si="199"/>
        <v>6470</v>
      </c>
      <c r="N591" s="218" t="str">
        <f t="shared" si="200"/>
        <v>PARTNER - PROJECT/ACTIVITY</v>
      </c>
      <c r="O591" s="218" t="str">
        <f t="shared" si="197"/>
        <v>DRCBUK</v>
      </c>
      <c r="P591" s="218" t="str">
        <f t="shared" si="193"/>
        <v>AP21QR</v>
      </c>
      <c r="Q591" s="218" t="str">
        <f>""</f>
        <v/>
      </c>
      <c r="R591" s="218" t="str">
        <f t="shared" si="201"/>
        <v>PAPU</v>
      </c>
      <c r="S591" s="218" t="str">
        <f t="shared" si="202"/>
        <v>082</v>
      </c>
      <c r="T591" s="218" t="str">
        <f t="shared" si="192"/>
        <v>D</v>
      </c>
      <c r="U591" s="218" t="str">
        <f t="shared" si="194"/>
        <v>AFR000</v>
      </c>
      <c r="V591" s="218" t="str">
        <f t="shared" si="195"/>
        <v>###</v>
      </c>
      <c r="W591" s="218">
        <v>240</v>
      </c>
      <c r="X591" s="218" t="str">
        <f t="shared" si="196"/>
        <v>USD</v>
      </c>
      <c r="Y591" s="218">
        <v>190.41</v>
      </c>
      <c r="Z591" s="218">
        <v>240</v>
      </c>
      <c r="AA591" s="218">
        <v>217.91</v>
      </c>
    </row>
    <row r="592" spans="1:27">
      <c r="A592" s="218" t="s">
        <v>2592</v>
      </c>
      <c r="F592" s="219" t="str">
        <f>"""IntAlert Live"",""ALERT UK"",""17"",""1"",""555677"""</f>
        <v>"IntAlert Live","ALERT UK","17","1","555677"</v>
      </c>
      <c r="G592" s="223">
        <v>43899</v>
      </c>
      <c r="H592" s="223"/>
      <c r="I592" s="218" t="str">
        <f t="shared" si="198"/>
        <v>DRCPARTNER/PAPU/AP21QR/2020/01</v>
      </c>
      <c r="K592" s="218" t="str">
        <f>"PAPETERIE BYOSE"</f>
        <v>PAPETERIE BYOSE</v>
      </c>
      <c r="L592" s="218" t="str">
        <f>"Pmnt matériels et fournitures de formation"</f>
        <v>Pmnt matériels et fournitures de formation</v>
      </c>
      <c r="M592" s="218" t="str">
        <f t="shared" si="199"/>
        <v>6470</v>
      </c>
      <c r="N592" s="218" t="str">
        <f t="shared" si="200"/>
        <v>PARTNER - PROJECT/ACTIVITY</v>
      </c>
      <c r="O592" s="218" t="str">
        <f t="shared" si="197"/>
        <v>DRCBUK</v>
      </c>
      <c r="P592" s="218" t="str">
        <f t="shared" si="193"/>
        <v>AP21QR</v>
      </c>
      <c r="Q592" s="218" t="str">
        <f>""</f>
        <v/>
      </c>
      <c r="R592" s="218" t="str">
        <f t="shared" si="201"/>
        <v>PAPU</v>
      </c>
      <c r="S592" s="218" t="str">
        <f t="shared" si="202"/>
        <v>082</v>
      </c>
      <c r="T592" s="218" t="str">
        <f t="shared" si="192"/>
        <v>D</v>
      </c>
      <c r="U592" s="218" t="str">
        <f t="shared" si="194"/>
        <v>AFR000</v>
      </c>
      <c r="V592" s="218" t="str">
        <f t="shared" si="195"/>
        <v>###</v>
      </c>
      <c r="W592" s="218">
        <v>38</v>
      </c>
      <c r="X592" s="218" t="str">
        <f t="shared" si="196"/>
        <v>USD</v>
      </c>
      <c r="Y592" s="218">
        <v>30.15</v>
      </c>
      <c r="Z592" s="218">
        <v>38</v>
      </c>
      <c r="AA592" s="218">
        <v>34.51</v>
      </c>
    </row>
    <row r="593" spans="1:27">
      <c r="A593" s="218" t="s">
        <v>2592</v>
      </c>
      <c r="F593" s="219" t="str">
        <f>"""IntAlert Live"",""ALERT UK"",""17"",""1"",""555678"""</f>
        <v>"IntAlert Live","ALERT UK","17","1","555678"</v>
      </c>
      <c r="G593" s="223">
        <v>43899</v>
      </c>
      <c r="H593" s="223"/>
      <c r="I593" s="218" t="str">
        <f t="shared" si="198"/>
        <v>DRCPARTNER/PAPU/AP21QR/2020/01</v>
      </c>
      <c r="K593" s="218" t="str">
        <f>"RADIO RTM"</f>
        <v>RADIO RTM</v>
      </c>
      <c r="L593" s="218" t="str">
        <f>"Frais location projecteur"</f>
        <v>Frais location projecteur</v>
      </c>
      <c r="M593" s="218" t="str">
        <f t="shared" si="199"/>
        <v>6470</v>
      </c>
      <c r="N593" s="218" t="str">
        <f t="shared" si="200"/>
        <v>PARTNER - PROJECT/ACTIVITY</v>
      </c>
      <c r="O593" s="218" t="str">
        <f t="shared" si="197"/>
        <v>DRCBUK</v>
      </c>
      <c r="P593" s="218" t="str">
        <f t="shared" si="193"/>
        <v>AP21QR</v>
      </c>
      <c r="Q593" s="218" t="str">
        <f>""</f>
        <v/>
      </c>
      <c r="R593" s="218" t="str">
        <f t="shared" si="201"/>
        <v>PAPU</v>
      </c>
      <c r="S593" s="218" t="str">
        <f t="shared" si="202"/>
        <v>082</v>
      </c>
      <c r="T593" s="218" t="str">
        <f t="shared" si="192"/>
        <v>D</v>
      </c>
      <c r="U593" s="218" t="str">
        <f t="shared" si="194"/>
        <v>AFR000</v>
      </c>
      <c r="V593" s="218" t="str">
        <f t="shared" si="195"/>
        <v>###</v>
      </c>
      <c r="W593" s="218">
        <v>10</v>
      </c>
      <c r="X593" s="218" t="str">
        <f t="shared" si="196"/>
        <v>USD</v>
      </c>
      <c r="Y593" s="218">
        <v>7.93</v>
      </c>
      <c r="Z593" s="218">
        <v>10</v>
      </c>
      <c r="AA593" s="218">
        <v>9.08</v>
      </c>
    </row>
    <row r="594" spans="1:27">
      <c r="A594" s="218" t="s">
        <v>2592</v>
      </c>
      <c r="F594" s="219" t="str">
        <f>"""IntAlert Live"",""ALERT UK"",""17"",""1"",""555679"""</f>
        <v>"IntAlert Live","ALERT UK","17","1","555679"</v>
      </c>
      <c r="G594" s="223">
        <v>43900</v>
      </c>
      <c r="H594" s="223"/>
      <c r="I594" s="218" t="str">
        <f t="shared" si="198"/>
        <v>DRCPARTNER/PAPU/AP21QR/2020/01</v>
      </c>
      <c r="K594" s="218" t="str">
        <f>"JEUNES BENEFICIAIRES"</f>
        <v>JEUNES BENEFICIAIRES</v>
      </c>
      <c r="L594" s="218" t="str">
        <f>"Pmnt transport locaux Minembwe/réunion initiatives jeunes"</f>
        <v>Pmnt transport locaux Minembwe/réunion initiatives jeunes</v>
      </c>
      <c r="M594" s="218" t="str">
        <f t="shared" si="199"/>
        <v>6470</v>
      </c>
      <c r="N594" s="218" t="str">
        <f t="shared" si="200"/>
        <v>PARTNER - PROJECT/ACTIVITY</v>
      </c>
      <c r="O594" s="218" t="str">
        <f t="shared" si="197"/>
        <v>DRCBUK</v>
      </c>
      <c r="P594" s="218" t="str">
        <f t="shared" si="193"/>
        <v>AP21QR</v>
      </c>
      <c r="Q594" s="218" t="str">
        <f>""</f>
        <v/>
      </c>
      <c r="R594" s="218" t="str">
        <f t="shared" si="201"/>
        <v>PAPU</v>
      </c>
      <c r="S594" s="218" t="str">
        <f t="shared" si="202"/>
        <v>082</v>
      </c>
      <c r="T594" s="218" t="str">
        <f t="shared" si="192"/>
        <v>D</v>
      </c>
      <c r="U594" s="218" t="str">
        <f t="shared" si="194"/>
        <v>AFR000</v>
      </c>
      <c r="V594" s="218" t="str">
        <f t="shared" si="195"/>
        <v>###</v>
      </c>
      <c r="W594" s="218">
        <v>40</v>
      </c>
      <c r="X594" s="218" t="str">
        <f t="shared" si="196"/>
        <v>USD</v>
      </c>
      <c r="Y594" s="218">
        <v>31.74</v>
      </c>
      <c r="Z594" s="218">
        <v>40</v>
      </c>
      <c r="AA594" s="218">
        <v>36.32</v>
      </c>
    </row>
    <row r="595" spans="1:27">
      <c r="A595" s="218" t="s">
        <v>2592</v>
      </c>
      <c r="F595" s="219" t="str">
        <f>"""IntAlert Live"",""ALERT UK"",""17"",""1"",""555680"""</f>
        <v>"IntAlert Live","ALERT UK","17","1","555680"</v>
      </c>
      <c r="G595" s="223">
        <v>43900</v>
      </c>
      <c r="H595" s="223"/>
      <c r="I595" s="218" t="str">
        <f t="shared" si="198"/>
        <v>DRCPARTNER/PAPU/AP21QR/2020/01</v>
      </c>
      <c r="K595" s="218" t="str">
        <f>"NGANDA GL ET RESTAURANT LA GRACE MINEMBWE"</f>
        <v>NGANDA GL ET RESTAURANT LA GRACE MINEMBWE</v>
      </c>
      <c r="L595" s="218" t="str">
        <f>"Pmnt Pause repas Uvira et Minembwe/réunion initiatives jeunes"</f>
        <v>Pmnt Pause repas Uvira et Minembwe/réunion initiatives jeunes</v>
      </c>
      <c r="M595" s="218" t="str">
        <f t="shared" si="199"/>
        <v>6470</v>
      </c>
      <c r="N595" s="218" t="str">
        <f t="shared" si="200"/>
        <v>PARTNER - PROJECT/ACTIVITY</v>
      </c>
      <c r="O595" s="218" t="str">
        <f t="shared" si="197"/>
        <v>DRCBUK</v>
      </c>
      <c r="P595" s="218" t="str">
        <f t="shared" si="193"/>
        <v>AP21QR</v>
      </c>
      <c r="Q595" s="218" t="str">
        <f>""</f>
        <v/>
      </c>
      <c r="R595" s="218" t="str">
        <f t="shared" si="201"/>
        <v>PAPU</v>
      </c>
      <c r="S595" s="218" t="str">
        <f t="shared" si="202"/>
        <v>082</v>
      </c>
      <c r="T595" s="218" t="str">
        <f t="shared" si="192"/>
        <v>D</v>
      </c>
      <c r="U595" s="218" t="str">
        <f t="shared" si="194"/>
        <v>AFR000</v>
      </c>
      <c r="V595" s="218" t="str">
        <f t="shared" si="195"/>
        <v>###</v>
      </c>
      <c r="W595" s="218">
        <v>360</v>
      </c>
      <c r="X595" s="218" t="str">
        <f t="shared" si="196"/>
        <v>USD</v>
      </c>
      <c r="Y595" s="218">
        <v>285.62</v>
      </c>
      <c r="Z595" s="218">
        <v>360</v>
      </c>
      <c r="AA595" s="218">
        <v>326.88</v>
      </c>
    </row>
    <row r="596" spans="1:27">
      <c r="A596" s="218" t="s">
        <v>2592</v>
      </c>
      <c r="F596" s="219" t="str">
        <f>"""IntAlert Live"",""ALERT UK"",""17"",""1"",""555663"""</f>
        <v>"IntAlert Live","ALERT UK","17","1","555663"</v>
      </c>
      <c r="G596" s="223">
        <v>43908</v>
      </c>
      <c r="H596" s="223"/>
      <c r="I596" s="218" t="str">
        <f t="shared" si="198"/>
        <v>DRCPARTNER/PAPU/AP21QR/2020/01</v>
      </c>
      <c r="K596" s="218" t="str">
        <f>"BIGANIRO"</f>
        <v>BIGANIRO</v>
      </c>
      <c r="L596" s="218" t="str">
        <f>"Pmnt mission BIGANIRO Pacifique à MINEMBWE"</f>
        <v>Pmnt mission BIGANIRO Pacifique à MINEMBWE</v>
      </c>
      <c r="M596" s="218" t="str">
        <f t="shared" si="199"/>
        <v>6470</v>
      </c>
      <c r="N596" s="218" t="str">
        <f t="shared" si="200"/>
        <v>PARTNER - PROJECT/ACTIVITY</v>
      </c>
      <c r="O596" s="218" t="str">
        <f t="shared" si="197"/>
        <v>DRCBUK</v>
      </c>
      <c r="P596" s="218" t="str">
        <f t="shared" si="193"/>
        <v>AP21QR</v>
      </c>
      <c r="Q596" s="218" t="str">
        <f>""</f>
        <v/>
      </c>
      <c r="R596" s="218" t="str">
        <f t="shared" si="201"/>
        <v>PAPU</v>
      </c>
      <c r="S596" s="218" t="str">
        <f t="shared" si="202"/>
        <v>082</v>
      </c>
      <c r="T596" s="218" t="str">
        <f t="shared" si="192"/>
        <v>D</v>
      </c>
      <c r="U596" s="218" t="str">
        <f t="shared" si="194"/>
        <v>AFR000</v>
      </c>
      <c r="V596" s="218" t="str">
        <f t="shared" si="195"/>
        <v>###</v>
      </c>
      <c r="W596" s="218">
        <v>550</v>
      </c>
      <c r="X596" s="218" t="str">
        <f t="shared" si="196"/>
        <v>USD</v>
      </c>
      <c r="Y596" s="218">
        <v>436.36</v>
      </c>
      <c r="Z596" s="218">
        <v>550</v>
      </c>
      <c r="AA596" s="218">
        <v>499.39</v>
      </c>
    </row>
    <row r="597" spans="1:27">
      <c r="A597" s="218" t="s">
        <v>2592</v>
      </c>
      <c r="F597" s="219" t="str">
        <f>"""IntAlert Live"",""ALERT UK"",""17"",""1"",""555842"""</f>
        <v>"IntAlert Live","ALERT UK","17","1","555842"</v>
      </c>
      <c r="G597" s="223">
        <v>43918</v>
      </c>
      <c r="H597" s="223"/>
      <c r="I597" s="218" t="str">
        <f>"DRCPARTNER/PSOL/AP21QR/2020/01"</f>
        <v>DRCPARTNER/PSOL/AP21QR/2020/01</v>
      </c>
      <c r="K597" s="218" t="str">
        <f>"LUKELE"</f>
        <v>LUKELE</v>
      </c>
      <c r="L597" s="218" t="str">
        <f>"Matériels pédagogiques pdt aprofondissement des initiatives des jeunes"</f>
        <v>Matériels pédagogiques pdt aprofondissement des initiatives des jeunes</v>
      </c>
      <c r="M597" s="218" t="str">
        <f t="shared" si="199"/>
        <v>6470</v>
      </c>
      <c r="N597" s="218" t="str">
        <f t="shared" si="200"/>
        <v>PARTNER - PROJECT/ACTIVITY</v>
      </c>
      <c r="O597" s="218" t="str">
        <f t="shared" si="197"/>
        <v>DRCBUK</v>
      </c>
      <c r="P597" s="218" t="str">
        <f t="shared" si="193"/>
        <v>AP21QR</v>
      </c>
      <c r="Q597" s="218" t="str">
        <f>""</f>
        <v/>
      </c>
      <c r="R597" s="218" t="str">
        <f>"PSOL"</f>
        <v>PSOL</v>
      </c>
      <c r="S597" s="218" t="str">
        <f t="shared" si="202"/>
        <v>082</v>
      </c>
      <c r="T597" s="218" t="str">
        <f t="shared" si="192"/>
        <v>D</v>
      </c>
      <c r="U597" s="218" t="str">
        <f t="shared" si="194"/>
        <v>AFR000</v>
      </c>
      <c r="V597" s="218" t="str">
        <f t="shared" si="195"/>
        <v>###</v>
      </c>
      <c r="W597" s="218">
        <v>43</v>
      </c>
      <c r="X597" s="218" t="str">
        <f t="shared" si="196"/>
        <v>USD</v>
      </c>
      <c r="Y597" s="218">
        <v>34.119999999999997</v>
      </c>
      <c r="Z597" s="218">
        <v>43</v>
      </c>
      <c r="AA597" s="218">
        <v>39.049999999999997</v>
      </c>
    </row>
    <row r="598" spans="1:27">
      <c r="A598" s="218" t="s">
        <v>2592</v>
      </c>
      <c r="F598" s="219" t="str">
        <f>"""IntAlert Live"",""ALERT UK"",""17"",""1"",""555843"""</f>
        <v>"IntAlert Live","ALERT UK","17","1","555843"</v>
      </c>
      <c r="G598" s="223">
        <v>43918</v>
      </c>
      <c r="H598" s="223"/>
      <c r="I598" s="218" t="str">
        <f>"DRCPARTNER/PSOL/AP21QR/2020/01"</f>
        <v>DRCPARTNER/PSOL/AP21QR/2020/01</v>
      </c>
      <c r="K598" s="218" t="str">
        <f>"LUKELE"</f>
        <v>LUKELE</v>
      </c>
      <c r="L598" s="218" t="str">
        <f>"Restauration des invités pdt aprofondissement des initiatives des jeunes"</f>
        <v>Restauration des invités pdt aprofondissement des initiatives des jeunes</v>
      </c>
      <c r="M598" s="218" t="str">
        <f t="shared" si="199"/>
        <v>6470</v>
      </c>
      <c r="N598" s="218" t="str">
        <f t="shared" si="200"/>
        <v>PARTNER - PROJECT/ACTIVITY</v>
      </c>
      <c r="O598" s="218" t="str">
        <f t="shared" si="197"/>
        <v>DRCBUK</v>
      </c>
      <c r="P598" s="218" t="str">
        <f t="shared" si="193"/>
        <v>AP21QR</v>
      </c>
      <c r="Q598" s="218" t="str">
        <f>""</f>
        <v/>
      </c>
      <c r="R598" s="218" t="str">
        <f>"PSOL"</f>
        <v>PSOL</v>
      </c>
      <c r="S598" s="218" t="str">
        <f t="shared" si="202"/>
        <v>082</v>
      </c>
      <c r="T598" s="218" t="str">
        <f t="shared" si="192"/>
        <v>D</v>
      </c>
      <c r="U598" s="218" t="str">
        <f t="shared" si="194"/>
        <v>AFR000</v>
      </c>
      <c r="V598" s="218" t="str">
        <f t="shared" si="195"/>
        <v>###</v>
      </c>
      <c r="W598" s="218">
        <v>120</v>
      </c>
      <c r="X598" s="218" t="str">
        <f t="shared" si="196"/>
        <v>USD</v>
      </c>
      <c r="Y598" s="218">
        <v>95.21</v>
      </c>
      <c r="Z598" s="218">
        <v>120</v>
      </c>
      <c r="AA598" s="218">
        <v>108.96</v>
      </c>
    </row>
    <row r="599" spans="1:27">
      <c r="A599" s="218" t="s">
        <v>2592</v>
      </c>
      <c r="F599" s="219" t="str">
        <f>"""IntAlert Live"",""ALERT UK"",""17"",""1"",""555844"""</f>
        <v>"IntAlert Live","ALERT UK","17","1","555844"</v>
      </c>
      <c r="G599" s="223">
        <v>43918</v>
      </c>
      <c r="H599" s="223"/>
      <c r="I599" s="218" t="str">
        <f>"DRCPARTNER/PSOL/AP21QR/2020/01"</f>
        <v>DRCPARTNER/PSOL/AP21QR/2020/01</v>
      </c>
      <c r="K599" s="218" t="str">
        <f>"LUKELE"</f>
        <v>LUKELE</v>
      </c>
      <c r="L599" s="218" t="str">
        <f>"Transport des délégués pdt aprofondissement des initiatives des jeunes"</f>
        <v>Transport des délégués pdt aprofondissement des initiatives des jeunes</v>
      </c>
      <c r="M599" s="218" t="str">
        <f t="shared" si="199"/>
        <v>6470</v>
      </c>
      <c r="N599" s="218" t="str">
        <f t="shared" si="200"/>
        <v>PARTNER - PROJECT/ACTIVITY</v>
      </c>
      <c r="O599" s="218" t="str">
        <f t="shared" si="197"/>
        <v>DRCBUK</v>
      </c>
      <c r="P599" s="218" t="str">
        <f t="shared" si="193"/>
        <v>AP21QR</v>
      </c>
      <c r="Q599" s="218" t="str">
        <f>""</f>
        <v/>
      </c>
      <c r="R599" s="218" t="str">
        <f>"PSOL"</f>
        <v>PSOL</v>
      </c>
      <c r="S599" s="218" t="str">
        <f t="shared" si="202"/>
        <v>082</v>
      </c>
      <c r="T599" s="218" t="str">
        <f t="shared" si="192"/>
        <v>D</v>
      </c>
      <c r="U599" s="218" t="str">
        <f t="shared" si="194"/>
        <v>AFR000</v>
      </c>
      <c r="V599" s="218" t="str">
        <f t="shared" si="195"/>
        <v>###</v>
      </c>
      <c r="W599" s="218">
        <v>100</v>
      </c>
      <c r="X599" s="218" t="str">
        <f t="shared" si="196"/>
        <v>USD</v>
      </c>
      <c r="Y599" s="218">
        <v>79.34</v>
      </c>
      <c r="Z599" s="218">
        <v>100</v>
      </c>
      <c r="AA599" s="218">
        <v>90.8</v>
      </c>
    </row>
    <row r="600" spans="1:27">
      <c r="A600" s="218" t="s">
        <v>2592</v>
      </c>
      <c r="F600" s="219" t="str">
        <f>"""IntAlert Live"",""ALERT UK"",""17"",""1"",""555845"""</f>
        <v>"IntAlert Live","ALERT UK","17","1","555845"</v>
      </c>
      <c r="G600" s="223">
        <v>43918</v>
      </c>
      <c r="H600" s="223"/>
      <c r="I600" s="218" t="str">
        <f>"DRCPARTNER/PSOL/AP21QR/2020/01"</f>
        <v>DRCPARTNER/PSOL/AP21QR/2020/01</v>
      </c>
      <c r="K600" s="218" t="str">
        <f>"LUKELE"</f>
        <v>LUKELE</v>
      </c>
      <c r="L600" s="218" t="str">
        <f>"Perdiem des invités pdt aprofondissement des initiatives des jeunes"</f>
        <v>Perdiem des invités pdt aprofondissement des initiatives des jeunes</v>
      </c>
      <c r="M600" s="218" t="str">
        <f t="shared" si="199"/>
        <v>6470</v>
      </c>
      <c r="N600" s="218" t="str">
        <f t="shared" si="200"/>
        <v>PARTNER - PROJECT/ACTIVITY</v>
      </c>
      <c r="O600" s="218" t="str">
        <f t="shared" si="197"/>
        <v>DRCBUK</v>
      </c>
      <c r="P600" s="218" t="str">
        <f t="shared" si="193"/>
        <v>AP21QR</v>
      </c>
      <c r="Q600" s="218" t="str">
        <f>""</f>
        <v/>
      </c>
      <c r="R600" s="218" t="str">
        <f>"PSOL"</f>
        <v>PSOL</v>
      </c>
      <c r="S600" s="218" t="str">
        <f t="shared" si="202"/>
        <v>082</v>
      </c>
      <c r="T600" s="218" t="str">
        <f t="shared" si="192"/>
        <v>D</v>
      </c>
      <c r="U600" s="218" t="str">
        <f t="shared" si="194"/>
        <v>AFR000</v>
      </c>
      <c r="V600" s="218" t="str">
        <f t="shared" si="195"/>
        <v>###</v>
      </c>
      <c r="W600" s="218">
        <v>60</v>
      </c>
      <c r="X600" s="218" t="str">
        <f t="shared" si="196"/>
        <v>USD</v>
      </c>
      <c r="Y600" s="218">
        <v>47.6</v>
      </c>
      <c r="Z600" s="218">
        <v>60</v>
      </c>
      <c r="AA600" s="218">
        <v>54.48</v>
      </c>
    </row>
    <row r="601" spans="1:27">
      <c r="A601" s="218" t="s">
        <v>2592</v>
      </c>
      <c r="F601" s="219" t="str">
        <f>"""IntAlert Live"",""ALERT UK"",""17"",""1"",""555846"""</f>
        <v>"IntAlert Live","ALERT UK","17","1","555846"</v>
      </c>
      <c r="G601" s="223">
        <v>43918</v>
      </c>
      <c r="H601" s="223"/>
      <c r="I601" s="218" t="str">
        <f>"DRCPARTNER/PSOL/AP21QR/2020/01"</f>
        <v>DRCPARTNER/PSOL/AP21QR/2020/01</v>
      </c>
      <c r="K601" s="218" t="str">
        <f>"LUKELE"</f>
        <v>LUKELE</v>
      </c>
      <c r="L601" s="218" t="str">
        <f>"Logement des invités pdt aprofondissement des initiatives des jeunes"</f>
        <v>Logement des invités pdt aprofondissement des initiatives des jeunes</v>
      </c>
      <c r="M601" s="218" t="str">
        <f t="shared" si="199"/>
        <v>6470</v>
      </c>
      <c r="N601" s="218" t="str">
        <f t="shared" si="200"/>
        <v>PARTNER - PROJECT/ACTIVITY</v>
      </c>
      <c r="O601" s="218" t="str">
        <f t="shared" si="197"/>
        <v>DRCBUK</v>
      </c>
      <c r="P601" s="218" t="str">
        <f t="shared" si="193"/>
        <v>AP21QR</v>
      </c>
      <c r="Q601" s="218" t="str">
        <f>""</f>
        <v/>
      </c>
      <c r="R601" s="218" t="str">
        <f>"PSOL"</f>
        <v>PSOL</v>
      </c>
      <c r="S601" s="218" t="str">
        <f t="shared" si="202"/>
        <v>082</v>
      </c>
      <c r="T601" s="218" t="str">
        <f t="shared" si="192"/>
        <v>D</v>
      </c>
      <c r="U601" s="218" t="str">
        <f t="shared" si="194"/>
        <v>AFR000</v>
      </c>
      <c r="V601" s="218" t="str">
        <f t="shared" si="195"/>
        <v>###</v>
      </c>
      <c r="W601" s="218">
        <v>60</v>
      </c>
      <c r="X601" s="218" t="str">
        <f t="shared" si="196"/>
        <v>USD</v>
      </c>
      <c r="Y601" s="218">
        <v>47.6</v>
      </c>
      <c r="Z601" s="218">
        <v>60</v>
      </c>
      <c r="AA601" s="218">
        <v>54.48</v>
      </c>
    </row>
    <row r="602" spans="1:27">
      <c r="A602" s="218" t="s">
        <v>2592</v>
      </c>
      <c r="F602" s="219" t="str">
        <f>"""IntAlert Live"",""ALERT UK"",""17"",""1"",""546288"""</f>
        <v>"IntAlert Live","ALERT UK","17","1","546288"</v>
      </c>
      <c r="G602" s="223">
        <v>43941</v>
      </c>
      <c r="H602" s="223"/>
      <c r="I602" s="218" t="str">
        <f>"DRCBUK/CAISSE/2020/04/001"</f>
        <v>DRCBUK/CAISSE/2020/04/001</v>
      </c>
      <c r="K602" s="218" t="str">
        <f>"PAPETERIE HOSANA"</f>
        <v>PAPETERIE HOSANA</v>
      </c>
      <c r="L602" s="218" t="str">
        <f>"Fournitures pour réunion SMT"</f>
        <v>Fournitures pour réunion SMT</v>
      </c>
      <c r="M602" s="218" t="str">
        <f>"8100"</f>
        <v>8100</v>
      </c>
      <c r="N602" s="218" t="str">
        <f>"OFFICE SUPPLIES"</f>
        <v>OFFICE SUPPLIES</v>
      </c>
      <c r="O602" s="218" t="str">
        <f t="shared" si="197"/>
        <v>DRCBUK</v>
      </c>
      <c r="P602" s="218" t="str">
        <f t="shared" si="193"/>
        <v>AP21QR</v>
      </c>
      <c r="Q602" s="218" t="str">
        <f>""</f>
        <v/>
      </c>
      <c r="R602" s="218" t="str">
        <f>""</f>
        <v/>
      </c>
      <c r="S602" s="218" t="str">
        <f t="shared" ref="S602:S610" si="203">"086"</f>
        <v>086</v>
      </c>
      <c r="T602" s="218" t="str">
        <f t="shared" si="192"/>
        <v>D</v>
      </c>
      <c r="U602" s="218" t="str">
        <f t="shared" si="194"/>
        <v>AFR000</v>
      </c>
      <c r="V602" s="218" t="str">
        <f t="shared" si="195"/>
        <v>###</v>
      </c>
      <c r="W602" s="218">
        <v>13.95</v>
      </c>
      <c r="X602" s="218" t="str">
        <f t="shared" si="196"/>
        <v>USD</v>
      </c>
      <c r="Y602" s="218">
        <v>11.2</v>
      </c>
      <c r="Z602" s="218">
        <v>13.95</v>
      </c>
      <c r="AA602" s="218">
        <v>12.6</v>
      </c>
    </row>
    <row r="603" spans="1:27">
      <c r="A603" s="218" t="s">
        <v>2592</v>
      </c>
      <c r="F603" s="219" t="str">
        <f>"""IntAlert Live"",""ALERT UK"",""17"",""1"",""545626"""</f>
        <v>"IntAlert Live","ALERT UK","17","1","545626"</v>
      </c>
      <c r="G603" s="223">
        <v>43949</v>
      </c>
      <c r="H603" s="223"/>
      <c r="I603" s="218" t="str">
        <f>"DRCGOM/ BANQUE/2020/004/010"</f>
        <v>DRCGOM/ BANQUE/2020/004/010</v>
      </c>
      <c r="K603" s="218" t="str">
        <f>"SALAIRE-APR'20-KAMBALE LWANZO PASCAL"</f>
        <v>SALAIRE-APR'20-KAMBALE LWANZO PASCAL</v>
      </c>
      <c r="L603" s="218" t="str">
        <f>"Salaire-Apr'20-KAMBALE LWANZO Pascal 5%"</f>
        <v>Salaire-Apr'20-KAMBALE LWANZO Pascal 5%</v>
      </c>
      <c r="M603" s="218" t="str">
        <f>"5100"</f>
        <v>5100</v>
      </c>
      <c r="N603" s="218" t="str">
        <f>"BASIC EMPLOYMENT COSTS"</f>
        <v>BASIC EMPLOYMENT COSTS</v>
      </c>
      <c r="O603" s="218" t="str">
        <f t="shared" ref="O603:O610" si="204">"DRCGOM"</f>
        <v>DRCGOM</v>
      </c>
      <c r="P603" s="218" t="str">
        <f t="shared" si="193"/>
        <v>AP21QR</v>
      </c>
      <c r="Q603" s="218" t="str">
        <f t="shared" ref="Q603:Q610" si="205">"KZO"</f>
        <v>KZO</v>
      </c>
      <c r="R603" s="218" t="str">
        <f>""</f>
        <v/>
      </c>
      <c r="S603" s="218" t="str">
        <f t="shared" si="203"/>
        <v>086</v>
      </c>
      <c r="T603" s="218" t="str">
        <f t="shared" si="192"/>
        <v>D</v>
      </c>
      <c r="U603" s="218" t="str">
        <f t="shared" si="194"/>
        <v>AFR000</v>
      </c>
      <c r="V603" s="218" t="str">
        <f t="shared" si="195"/>
        <v>###</v>
      </c>
      <c r="W603" s="218">
        <v>159.94</v>
      </c>
      <c r="X603" s="218" t="str">
        <f t="shared" si="196"/>
        <v>USD</v>
      </c>
      <c r="Y603" s="218">
        <v>128.41999999999999</v>
      </c>
      <c r="Z603" s="218">
        <v>159.94</v>
      </c>
      <c r="AA603" s="218">
        <v>144.44999999999999</v>
      </c>
    </row>
    <row r="604" spans="1:27">
      <c r="A604" s="218" t="s">
        <v>2592</v>
      </c>
      <c r="F604" s="219" t="str">
        <f>"""IntAlert Live"",""ALERT UK"",""17"",""1"",""545960"""</f>
        <v>"IntAlert Live","ALERT UK","17","1","545960"</v>
      </c>
      <c r="G604" s="223">
        <v>43949</v>
      </c>
      <c r="H604" s="223"/>
      <c r="I604" s="218" t="str">
        <f>"DRCGOM/ CAISSE/2020/004/001"</f>
        <v>DRCGOM/ CAISSE/2020/004/001</v>
      </c>
      <c r="K604" s="218" t="str">
        <f>"ONEM APRIL 2020"</f>
        <v>ONEM APRIL 2020</v>
      </c>
      <c r="L604" s="218" t="str">
        <f>"ONEM-Apr'20-KAMBALE LWANZO Pascal 5%"</f>
        <v>ONEM-Apr'20-KAMBALE LWANZO Pascal 5%</v>
      </c>
      <c r="M604" s="218" t="str">
        <f>"5150"</f>
        <v>5150</v>
      </c>
      <c r="N604" s="218" t="str">
        <f>"EMPLOYMENT RELOCATION COSTS"</f>
        <v>EMPLOYMENT RELOCATION COSTS</v>
      </c>
      <c r="O604" s="218" t="str">
        <f t="shared" si="204"/>
        <v>DRCGOM</v>
      </c>
      <c r="P604" s="218" t="str">
        <f t="shared" si="193"/>
        <v>AP21QR</v>
      </c>
      <c r="Q604" s="218" t="str">
        <f t="shared" si="205"/>
        <v>KZO</v>
      </c>
      <c r="R604" s="218" t="str">
        <f>""</f>
        <v/>
      </c>
      <c r="S604" s="218" t="str">
        <f t="shared" si="203"/>
        <v>086</v>
      </c>
      <c r="T604" s="218" t="str">
        <f t="shared" si="192"/>
        <v>D</v>
      </c>
      <c r="U604" s="218" t="str">
        <f t="shared" si="194"/>
        <v>AFR000</v>
      </c>
      <c r="V604" s="218" t="str">
        <f t="shared" si="195"/>
        <v>###</v>
      </c>
      <c r="W604" s="218">
        <v>0.25</v>
      </c>
      <c r="X604" s="218" t="str">
        <f t="shared" si="196"/>
        <v>USD</v>
      </c>
      <c r="Y604" s="218">
        <v>0.2</v>
      </c>
      <c r="Z604" s="218">
        <v>0.25</v>
      </c>
      <c r="AA604" s="218">
        <v>0.22</v>
      </c>
    </row>
    <row r="605" spans="1:27">
      <c r="A605" s="218" t="s">
        <v>2592</v>
      </c>
      <c r="F605" s="219" t="str">
        <f>"""IntAlert Live"",""ALERT UK"",""17"",""1"",""545687"""</f>
        <v>"IntAlert Live","ALERT UK","17","1","545687"</v>
      </c>
      <c r="G605" s="223">
        <v>43950</v>
      </c>
      <c r="H605" s="223"/>
      <c r="I605" s="218" t="str">
        <f>"DRCGOM/ BANQUE/2020/004/011"</f>
        <v>DRCGOM/ BANQUE/2020/004/011</v>
      </c>
      <c r="K605" s="218" t="str">
        <f>"CNSS-APRIL 2020"</f>
        <v>CNSS-APRIL 2020</v>
      </c>
      <c r="L605" s="218" t="str">
        <f>"CNSS-Apr'20-KAMBALE LWANZO Pascal 5%"</f>
        <v>CNSS-Apr'20-KAMBALE LWANZO Pascal 5%</v>
      </c>
      <c r="M605" s="218" t="str">
        <f>"5110"</f>
        <v>5110</v>
      </c>
      <c r="N605" s="218" t="str">
        <f>"EMPLOYER'S PENSION COSTS"</f>
        <v>EMPLOYER'S PENSION COSTS</v>
      </c>
      <c r="O605" s="218" t="str">
        <f t="shared" si="204"/>
        <v>DRCGOM</v>
      </c>
      <c r="P605" s="218" t="str">
        <f t="shared" si="193"/>
        <v>AP21QR</v>
      </c>
      <c r="Q605" s="218" t="str">
        <f t="shared" si="205"/>
        <v>KZO</v>
      </c>
      <c r="R605" s="218" t="str">
        <f>""</f>
        <v/>
      </c>
      <c r="S605" s="218" t="str">
        <f t="shared" si="203"/>
        <v>086</v>
      </c>
      <c r="T605" s="218" t="str">
        <f t="shared" si="192"/>
        <v>D</v>
      </c>
      <c r="U605" s="218" t="str">
        <f t="shared" si="194"/>
        <v>AFR000</v>
      </c>
      <c r="V605" s="218" t="str">
        <f t="shared" si="195"/>
        <v>###</v>
      </c>
      <c r="W605" s="218">
        <v>22.45</v>
      </c>
      <c r="X605" s="218" t="str">
        <f t="shared" si="196"/>
        <v>USD</v>
      </c>
      <c r="Y605" s="218">
        <v>18.03</v>
      </c>
      <c r="Z605" s="218">
        <v>22.45</v>
      </c>
      <c r="AA605" s="218">
        <v>20.28</v>
      </c>
    </row>
    <row r="606" spans="1:27">
      <c r="A606" s="218" t="s">
        <v>2592</v>
      </c>
      <c r="F606" s="219" t="str">
        <f>"""IntAlert Live"",""ALERT UK"",""17"",""1"",""545747"""</f>
        <v>"IntAlert Live","ALERT UK","17","1","545747"</v>
      </c>
      <c r="G606" s="223">
        <v>43950</v>
      </c>
      <c r="H606" s="223"/>
      <c r="I606" s="218" t="str">
        <f>"DRCGOM/ BANQUE/2020/004/012"</f>
        <v>DRCGOM/ BANQUE/2020/004/012</v>
      </c>
      <c r="K606" s="218" t="str">
        <f>"INPP APRIL 2020"</f>
        <v>INPP APRIL 2020</v>
      </c>
      <c r="L606" s="218" t="str">
        <f>"INPP-Apr'20-KAMBALE LWANZO Pascal 5%"</f>
        <v>INPP-Apr'20-KAMBALE LWANZO Pascal 5%</v>
      </c>
      <c r="M606" s="218" t="str">
        <f>"5150"</f>
        <v>5150</v>
      </c>
      <c r="N606" s="218" t="str">
        <f>"EMPLOYMENT RELOCATION COSTS"</f>
        <v>EMPLOYMENT RELOCATION COSTS</v>
      </c>
      <c r="O606" s="218" t="str">
        <f t="shared" si="204"/>
        <v>DRCGOM</v>
      </c>
      <c r="P606" s="218" t="str">
        <f t="shared" si="193"/>
        <v>AP21QR</v>
      </c>
      <c r="Q606" s="218" t="str">
        <f t="shared" si="205"/>
        <v>KZO</v>
      </c>
      <c r="R606" s="218" t="str">
        <f>""</f>
        <v/>
      </c>
      <c r="S606" s="218" t="str">
        <f t="shared" si="203"/>
        <v>086</v>
      </c>
      <c r="T606" s="218" t="str">
        <f t="shared" si="192"/>
        <v>D</v>
      </c>
      <c r="U606" s="218" t="str">
        <f t="shared" si="194"/>
        <v>AFR000</v>
      </c>
      <c r="V606" s="218" t="str">
        <f t="shared" si="195"/>
        <v>###</v>
      </c>
      <c r="W606" s="218">
        <v>3.74</v>
      </c>
      <c r="X606" s="218" t="str">
        <f t="shared" si="196"/>
        <v>USD</v>
      </c>
      <c r="Y606" s="218">
        <v>3</v>
      </c>
      <c r="Z606" s="218">
        <v>3.74</v>
      </c>
      <c r="AA606" s="218">
        <v>3.37</v>
      </c>
    </row>
    <row r="607" spans="1:27">
      <c r="A607" s="218" t="s">
        <v>2592</v>
      </c>
      <c r="F607" s="219" t="str">
        <f>"""IntAlert Live"",""ALERT UK"",""17"",""1"",""554671"""</f>
        <v>"IntAlert Live","ALERT UK","17","1","554671"</v>
      </c>
      <c r="G607" s="223">
        <v>43977</v>
      </c>
      <c r="H607" s="223"/>
      <c r="I607" s="218" t="str">
        <f>"DRCGOM/ BANQUE/2020/005/010"</f>
        <v>DRCGOM/ BANQUE/2020/005/010</v>
      </c>
      <c r="K607" s="218" t="str">
        <f>"SALAIRE-KAMBALE LWANZO PASCAL"</f>
        <v>SALAIRE-KAMBALE LWANZO PASCAL</v>
      </c>
      <c r="L607" s="218" t="str">
        <f>"Salaire-May'20KAMBALE LWANZO Pascal 5%"</f>
        <v>Salaire-May'20KAMBALE LWANZO Pascal 5%</v>
      </c>
      <c r="M607" s="218" t="str">
        <f>"5100"</f>
        <v>5100</v>
      </c>
      <c r="N607" s="218" t="str">
        <f>"BASIC EMPLOYMENT COSTS"</f>
        <v>BASIC EMPLOYMENT COSTS</v>
      </c>
      <c r="O607" s="218" t="str">
        <f t="shared" si="204"/>
        <v>DRCGOM</v>
      </c>
      <c r="P607" s="218" t="str">
        <f t="shared" si="193"/>
        <v>AP21QR</v>
      </c>
      <c r="Q607" s="218" t="str">
        <f t="shared" si="205"/>
        <v>KZO</v>
      </c>
      <c r="R607" s="218" t="str">
        <f>""</f>
        <v/>
      </c>
      <c r="S607" s="218" t="str">
        <f t="shared" si="203"/>
        <v>086</v>
      </c>
      <c r="T607" s="218" t="str">
        <f t="shared" si="192"/>
        <v>D</v>
      </c>
      <c r="U607" s="218" t="str">
        <f t="shared" si="194"/>
        <v>AFR000</v>
      </c>
      <c r="V607" s="218" t="str">
        <f t="shared" si="195"/>
        <v>###</v>
      </c>
      <c r="W607" s="218">
        <v>157.94</v>
      </c>
      <c r="X607" s="218" t="str">
        <f t="shared" si="196"/>
        <v>USD</v>
      </c>
      <c r="Y607" s="218">
        <v>125.31</v>
      </c>
      <c r="Z607" s="218">
        <v>157.94</v>
      </c>
      <c r="AA607" s="218">
        <v>143.41</v>
      </c>
    </row>
    <row r="608" spans="1:27">
      <c r="A608" s="218" t="s">
        <v>2592</v>
      </c>
      <c r="F608" s="219" t="str">
        <f>"""IntAlert Live"",""ALERT UK"",""17"",""1"",""554732"""</f>
        <v>"IntAlert Live","ALERT UK","17","1","554732"</v>
      </c>
      <c r="G608" s="223">
        <v>43977</v>
      </c>
      <c r="H608" s="223"/>
      <c r="I608" s="218" t="str">
        <f>"DRCGOM/ BANQUE/2020/005/011"</f>
        <v>DRCGOM/ BANQUE/2020/005/011</v>
      </c>
      <c r="K608" s="218" t="str">
        <f>"CNSS-MAY 2020"</f>
        <v>CNSS-MAY 2020</v>
      </c>
      <c r="L608" s="218" t="str">
        <f>"CNSS-KAMBALE LWANZO Pascal 5%"</f>
        <v>CNSS-KAMBALE LWANZO Pascal 5%</v>
      </c>
      <c r="M608" s="218" t="str">
        <f>"5110"</f>
        <v>5110</v>
      </c>
      <c r="N608" s="218" t="str">
        <f>"EMPLOYER'S PENSION COSTS"</f>
        <v>EMPLOYER'S PENSION COSTS</v>
      </c>
      <c r="O608" s="218" t="str">
        <f t="shared" si="204"/>
        <v>DRCGOM</v>
      </c>
      <c r="P608" s="218" t="str">
        <f t="shared" si="193"/>
        <v>AP21QR</v>
      </c>
      <c r="Q608" s="218" t="str">
        <f t="shared" si="205"/>
        <v>KZO</v>
      </c>
      <c r="R608" s="218" t="str">
        <f>""</f>
        <v/>
      </c>
      <c r="S608" s="218" t="str">
        <f t="shared" si="203"/>
        <v>086</v>
      </c>
      <c r="T608" s="218" t="str">
        <f t="shared" si="192"/>
        <v>D</v>
      </c>
      <c r="U608" s="218" t="str">
        <f t="shared" si="194"/>
        <v>AFR000</v>
      </c>
      <c r="V608" s="218" t="str">
        <f t="shared" si="195"/>
        <v>###</v>
      </c>
      <c r="W608" s="218">
        <v>22.45</v>
      </c>
      <c r="X608" s="218" t="str">
        <f t="shared" si="196"/>
        <v>USD</v>
      </c>
      <c r="Y608" s="218">
        <v>17.809999999999999</v>
      </c>
      <c r="Z608" s="218">
        <v>22.45</v>
      </c>
      <c r="AA608" s="218">
        <v>20.38</v>
      </c>
    </row>
    <row r="609" spans="1:27">
      <c r="A609" s="218" t="s">
        <v>2592</v>
      </c>
      <c r="F609" s="219" t="str">
        <f>"""IntAlert Live"",""ALERT UK"",""17"",""1"",""554792"""</f>
        <v>"IntAlert Live","ALERT UK","17","1","554792"</v>
      </c>
      <c r="G609" s="223">
        <v>43977</v>
      </c>
      <c r="H609" s="223"/>
      <c r="I609" s="218" t="str">
        <f>"DRCGOM/ BANQUE/2020/005/012"</f>
        <v>DRCGOM/ BANQUE/2020/005/012</v>
      </c>
      <c r="K609" s="218" t="str">
        <f>"INPP-MAY 2020"</f>
        <v>INPP-MAY 2020</v>
      </c>
      <c r="L609" s="218" t="str">
        <f>"INPP-KAMBALE LWANZO Pascal 5%"</f>
        <v>INPP-KAMBALE LWANZO Pascal 5%</v>
      </c>
      <c r="M609" s="218" t="str">
        <f>"5150"</f>
        <v>5150</v>
      </c>
      <c r="N609" s="218" t="str">
        <f>"EMPLOYMENT RELOCATION COSTS"</f>
        <v>EMPLOYMENT RELOCATION COSTS</v>
      </c>
      <c r="O609" s="218" t="str">
        <f t="shared" si="204"/>
        <v>DRCGOM</v>
      </c>
      <c r="P609" s="218" t="str">
        <f t="shared" si="193"/>
        <v>AP21QR</v>
      </c>
      <c r="Q609" s="218" t="str">
        <f t="shared" si="205"/>
        <v>KZO</v>
      </c>
      <c r="R609" s="218" t="str">
        <f>""</f>
        <v/>
      </c>
      <c r="S609" s="218" t="str">
        <f t="shared" si="203"/>
        <v>086</v>
      </c>
      <c r="T609" s="218" t="str">
        <f t="shared" si="192"/>
        <v>D</v>
      </c>
      <c r="U609" s="218" t="str">
        <f t="shared" si="194"/>
        <v>AFR000</v>
      </c>
      <c r="V609" s="218" t="str">
        <f t="shared" si="195"/>
        <v>###</v>
      </c>
      <c r="W609" s="218">
        <v>3.74</v>
      </c>
      <c r="X609" s="218" t="str">
        <f t="shared" si="196"/>
        <v>USD</v>
      </c>
      <c r="Y609" s="218">
        <v>2.97</v>
      </c>
      <c r="Z609" s="218">
        <v>3.74</v>
      </c>
      <c r="AA609" s="218">
        <v>3.4</v>
      </c>
    </row>
    <row r="610" spans="1:27">
      <c r="A610" s="218" t="s">
        <v>2592</v>
      </c>
      <c r="F610" s="219" t="str">
        <f>"""IntAlert Live"",""ALERT UK"",""17"",""1"",""555023"""</f>
        <v>"IntAlert Live","ALERT UK","17","1","555023"</v>
      </c>
      <c r="G610" s="223">
        <v>43980</v>
      </c>
      <c r="H610" s="223"/>
      <c r="I610" s="218" t="str">
        <f>"DRCGOM/ CAISSE/2020/005/001"</f>
        <v>DRCGOM/ CAISSE/2020/005/001</v>
      </c>
      <c r="K610" s="218" t="str">
        <f>"ONEM MAI 2020"</f>
        <v>ONEM MAI 2020</v>
      </c>
      <c r="L610" s="218" t="str">
        <f>"ONEM-May'20KAMBALE LWANZO Pascal 5%"</f>
        <v>ONEM-May'20KAMBALE LWANZO Pascal 5%</v>
      </c>
      <c r="M610" s="218" t="str">
        <f>"5150"</f>
        <v>5150</v>
      </c>
      <c r="N610" s="218" t="str">
        <f>"EMPLOYMENT RELOCATION COSTS"</f>
        <v>EMPLOYMENT RELOCATION COSTS</v>
      </c>
      <c r="O610" s="218" t="str">
        <f t="shared" si="204"/>
        <v>DRCGOM</v>
      </c>
      <c r="P610" s="218" t="str">
        <f t="shared" si="193"/>
        <v>AP21QR</v>
      </c>
      <c r="Q610" s="218" t="str">
        <f t="shared" si="205"/>
        <v>KZO</v>
      </c>
      <c r="R610" s="218" t="str">
        <f>""</f>
        <v/>
      </c>
      <c r="S610" s="218" t="str">
        <f t="shared" si="203"/>
        <v>086</v>
      </c>
      <c r="T610" s="218" t="str">
        <f t="shared" si="192"/>
        <v>D</v>
      </c>
      <c r="U610" s="218" t="str">
        <f t="shared" si="194"/>
        <v>AFR000</v>
      </c>
      <c r="V610" s="218" t="str">
        <f t="shared" si="195"/>
        <v>###</v>
      </c>
      <c r="W610" s="218">
        <v>0.25</v>
      </c>
      <c r="X610" s="218" t="str">
        <f t="shared" si="196"/>
        <v>USD</v>
      </c>
      <c r="Y610" s="218">
        <v>0.2</v>
      </c>
      <c r="Z610" s="218">
        <v>0.25</v>
      </c>
      <c r="AA610" s="218">
        <v>0.23</v>
      </c>
    </row>
    <row r="611" spans="1:27">
      <c r="A611" s="218" t="s">
        <v>2592</v>
      </c>
      <c r="F611" s="219" t="str">
        <f>"""IntAlert Live"",""ALERT UK"",""17"",""1"",""546081"""</f>
        <v>"IntAlert Live","ALERT UK","17","1","546081"</v>
      </c>
      <c r="G611" s="223">
        <v>43948</v>
      </c>
      <c r="H611" s="223"/>
      <c r="I611" s="218" t="str">
        <f>"DRCBUK/BANK/2020/04/012"</f>
        <v>DRCBUK/BANK/2020/04/012</v>
      </c>
      <c r="K611" s="218" t="str">
        <f>"PASCAL BUHASHE"</f>
        <v>PASCAL BUHASHE</v>
      </c>
      <c r="L611" s="218" t="str">
        <f>"Salaire-Avril 2020  Pascal BUHASHE 35%"</f>
        <v>Salaire-Avril 2020  Pascal BUHASHE 35%</v>
      </c>
      <c r="M611" s="218" t="str">
        <f>"5100"</f>
        <v>5100</v>
      </c>
      <c r="N611" s="218" t="str">
        <f>"BASIC EMPLOYMENT COSTS"</f>
        <v>BASIC EMPLOYMENT COSTS</v>
      </c>
      <c r="O611" s="218" t="str">
        <f t="shared" ref="O611:O620" si="206">"DRCBUK"</f>
        <v>DRCBUK</v>
      </c>
      <c r="P611" s="218" t="str">
        <f t="shared" si="193"/>
        <v>AP21QR</v>
      </c>
      <c r="Q611" s="218" t="str">
        <f t="shared" ref="Q611:Q620" si="207">"CIB"</f>
        <v>CIB</v>
      </c>
      <c r="R611" s="218" t="str">
        <f>""</f>
        <v/>
      </c>
      <c r="S611" s="218" t="str">
        <f t="shared" ref="S611:S620" si="208">"087"</f>
        <v>087</v>
      </c>
      <c r="T611" s="218" t="str">
        <f t="shared" si="192"/>
        <v>D</v>
      </c>
      <c r="U611" s="218" t="str">
        <f t="shared" si="194"/>
        <v>AFR000</v>
      </c>
      <c r="V611" s="218" t="str">
        <f t="shared" si="195"/>
        <v>###</v>
      </c>
      <c r="W611" s="218">
        <v>503.69</v>
      </c>
      <c r="X611" s="218" t="str">
        <f t="shared" si="196"/>
        <v>USD</v>
      </c>
      <c r="Y611" s="218">
        <v>404.41</v>
      </c>
      <c r="Z611" s="218">
        <v>503.69</v>
      </c>
      <c r="AA611" s="218">
        <v>454.9</v>
      </c>
    </row>
    <row r="612" spans="1:27">
      <c r="A612" s="218" t="s">
        <v>2592</v>
      </c>
      <c r="F612" s="219" t="str">
        <f>"""IntAlert Live"",""ALERT UK"",""17"",""1"",""546116"""</f>
        <v>"IntAlert Live","ALERT UK","17","1","546116"</v>
      </c>
      <c r="G612" s="223">
        <v>43948</v>
      </c>
      <c r="H612" s="223"/>
      <c r="I612" s="218" t="str">
        <f>"DRCBUK/BANK/2020/04/013"</f>
        <v>DRCBUK/BANK/2020/04/013</v>
      </c>
      <c r="K612" s="218" t="str">
        <f>"DGI SUD KIVU"</f>
        <v>DGI SUD KIVU</v>
      </c>
      <c r="L612" s="218" t="str">
        <f>"IPR-Avril 2020  Pascal BUHASHE 35%"</f>
        <v>IPR-Avril 2020  Pascal BUHASHE 35%</v>
      </c>
      <c r="M612" s="218" t="str">
        <f>"5100"</f>
        <v>5100</v>
      </c>
      <c r="N612" s="218" t="str">
        <f>"BASIC EMPLOYMENT COSTS"</f>
        <v>BASIC EMPLOYMENT COSTS</v>
      </c>
      <c r="O612" s="218" t="str">
        <f t="shared" si="206"/>
        <v>DRCBUK</v>
      </c>
      <c r="P612" s="218" t="str">
        <f t="shared" si="193"/>
        <v>AP21QR</v>
      </c>
      <c r="Q612" s="218" t="str">
        <f t="shared" si="207"/>
        <v>CIB</v>
      </c>
      <c r="R612" s="218" t="str">
        <f>""</f>
        <v/>
      </c>
      <c r="S612" s="218" t="str">
        <f t="shared" si="208"/>
        <v>087</v>
      </c>
      <c r="T612" s="218" t="str">
        <f t="shared" si="192"/>
        <v>D</v>
      </c>
      <c r="U612" s="218" t="str">
        <f t="shared" si="194"/>
        <v>AFR000</v>
      </c>
      <c r="V612" s="218" t="str">
        <f t="shared" si="195"/>
        <v>###</v>
      </c>
      <c r="W612" s="218">
        <v>71.28</v>
      </c>
      <c r="X612" s="218" t="str">
        <f t="shared" si="196"/>
        <v>USD</v>
      </c>
      <c r="Y612" s="218">
        <v>57.23</v>
      </c>
      <c r="Z612" s="218">
        <v>71.28</v>
      </c>
      <c r="AA612" s="218">
        <v>64.38</v>
      </c>
    </row>
    <row r="613" spans="1:27">
      <c r="A613" s="218" t="s">
        <v>2592</v>
      </c>
      <c r="F613" s="219" t="str">
        <f>"""IntAlert Live"",""ALERT UK"",""17"",""1"",""546152"""</f>
        <v>"IntAlert Live","ALERT UK","17","1","546152"</v>
      </c>
      <c r="G613" s="223">
        <v>43948</v>
      </c>
      <c r="H613" s="223"/>
      <c r="I613" s="218" t="str">
        <f>"DRCBUK/BANK/2020/04/014"</f>
        <v>DRCBUK/BANK/2020/04/014</v>
      </c>
      <c r="K613" s="218" t="str">
        <f>"CNSS BUKAVU"</f>
        <v>CNSS BUKAVU</v>
      </c>
      <c r="L613" s="218" t="str">
        <f>"CNSS-Avril 2020  Pascal BUHASHE 35%"</f>
        <v>CNSS-Avril 2020  Pascal BUHASHE 35%</v>
      </c>
      <c r="M613" s="218" t="str">
        <f>"5110"</f>
        <v>5110</v>
      </c>
      <c r="N613" s="218" t="str">
        <f>"EMPLOYER'S PENSION COSTS"</f>
        <v>EMPLOYER'S PENSION COSTS</v>
      </c>
      <c r="O613" s="218" t="str">
        <f t="shared" si="206"/>
        <v>DRCBUK</v>
      </c>
      <c r="P613" s="218" t="str">
        <f t="shared" si="193"/>
        <v>AP21QR</v>
      </c>
      <c r="Q613" s="218" t="str">
        <f t="shared" si="207"/>
        <v>CIB</v>
      </c>
      <c r="R613" s="218" t="str">
        <f>""</f>
        <v/>
      </c>
      <c r="S613" s="218" t="str">
        <f t="shared" si="208"/>
        <v>087</v>
      </c>
      <c r="T613" s="218" t="str">
        <f t="shared" si="192"/>
        <v>D</v>
      </c>
      <c r="U613" s="218" t="str">
        <f t="shared" si="194"/>
        <v>AFR000</v>
      </c>
      <c r="V613" s="218" t="str">
        <f t="shared" si="195"/>
        <v>###</v>
      </c>
      <c r="W613" s="218">
        <v>78.56</v>
      </c>
      <c r="X613" s="218" t="str">
        <f t="shared" si="196"/>
        <v>USD</v>
      </c>
      <c r="Y613" s="218">
        <v>63.08</v>
      </c>
      <c r="Z613" s="218">
        <v>78.56</v>
      </c>
      <c r="AA613" s="218">
        <v>70.959999999999994</v>
      </c>
    </row>
    <row r="614" spans="1:27">
      <c r="A614" s="218" t="s">
        <v>2592</v>
      </c>
      <c r="F614" s="219" t="str">
        <f>"""IntAlert Live"",""ALERT UK"",""17"",""1"",""546187"""</f>
        <v>"IntAlert Live","ALERT UK","17","1","546187"</v>
      </c>
      <c r="G614" s="223">
        <v>43948</v>
      </c>
      <c r="H614" s="223"/>
      <c r="I614" s="218" t="str">
        <f>"DRCBUK/BANK/2020/04/015"</f>
        <v>DRCBUK/BANK/2020/04/015</v>
      </c>
      <c r="K614" s="218" t="str">
        <f>"INPP SUD-KIVU"</f>
        <v>INPP SUD-KIVU</v>
      </c>
      <c r="L614" s="218" t="str">
        <f>"INPP-Avril 2020  Pascal BUHASHE 35%"</f>
        <v>INPP-Avril 2020  Pascal BUHASHE 35%</v>
      </c>
      <c r="M614" s="218" t="str">
        <f>"5160"</f>
        <v>5160</v>
      </c>
      <c r="N614" s="218" t="str">
        <f>"EMPLOYMENT BENEFITS COSTS"</f>
        <v>EMPLOYMENT BENEFITS COSTS</v>
      </c>
      <c r="O614" s="218" t="str">
        <f t="shared" si="206"/>
        <v>DRCBUK</v>
      </c>
      <c r="P614" s="218" t="str">
        <f t="shared" si="193"/>
        <v>AP21QR</v>
      </c>
      <c r="Q614" s="218" t="str">
        <f t="shared" si="207"/>
        <v>CIB</v>
      </c>
      <c r="R614" s="218" t="str">
        <f>""</f>
        <v/>
      </c>
      <c r="S614" s="218" t="str">
        <f t="shared" si="208"/>
        <v>087</v>
      </c>
      <c r="T614" s="218" t="str">
        <f t="shared" si="192"/>
        <v>D</v>
      </c>
      <c r="U614" s="218" t="str">
        <f t="shared" si="194"/>
        <v>AFR000</v>
      </c>
      <c r="V614" s="218" t="str">
        <f t="shared" si="195"/>
        <v>###</v>
      </c>
      <c r="W614" s="218">
        <v>13.09</v>
      </c>
      <c r="X614" s="218" t="str">
        <f t="shared" si="196"/>
        <v>USD</v>
      </c>
      <c r="Y614" s="218">
        <v>10.51</v>
      </c>
      <c r="Z614" s="218">
        <v>13.09</v>
      </c>
      <c r="AA614" s="218">
        <v>11.82</v>
      </c>
    </row>
    <row r="615" spans="1:27">
      <c r="A615" s="218" t="s">
        <v>2592</v>
      </c>
      <c r="F615" s="219" t="str">
        <f>"""IntAlert Live"",""ALERT UK"",""17"",""1"",""546331"""</f>
        <v>"IntAlert Live","ALERT UK","17","1","546331"</v>
      </c>
      <c r="G615" s="223">
        <v>43951</v>
      </c>
      <c r="H615" s="223"/>
      <c r="I615" s="218" t="str">
        <f>"DRCBUK/CAISSE/2020/04/002"</f>
        <v>DRCBUK/CAISSE/2020/04/002</v>
      </c>
      <c r="K615" s="218" t="str">
        <f>"ONEM"</f>
        <v>ONEM</v>
      </c>
      <c r="L615" s="218" t="str">
        <f>"ONEM-Avril 2020  Pascal BUHASHE 35%"</f>
        <v>ONEM-Avril 2020  Pascal BUHASHE 35%</v>
      </c>
      <c r="M615" s="218" t="str">
        <f>"5160"</f>
        <v>5160</v>
      </c>
      <c r="N615" s="218" t="str">
        <f>"EMPLOYMENT BENEFITS COSTS"</f>
        <v>EMPLOYMENT BENEFITS COSTS</v>
      </c>
      <c r="O615" s="218" t="str">
        <f t="shared" si="206"/>
        <v>DRCBUK</v>
      </c>
      <c r="P615" s="218" t="str">
        <f t="shared" si="193"/>
        <v>AP21QR</v>
      </c>
      <c r="Q615" s="218" t="str">
        <f t="shared" si="207"/>
        <v>CIB</v>
      </c>
      <c r="R615" s="218" t="str">
        <f>""</f>
        <v/>
      </c>
      <c r="S615" s="218" t="str">
        <f t="shared" si="208"/>
        <v>087</v>
      </c>
      <c r="T615" s="218" t="str">
        <f t="shared" si="192"/>
        <v>D</v>
      </c>
      <c r="U615" s="218" t="str">
        <f t="shared" si="194"/>
        <v>AFR000</v>
      </c>
      <c r="V615" s="218" t="str">
        <f t="shared" si="195"/>
        <v>###</v>
      </c>
      <c r="W615" s="218">
        <v>0.87</v>
      </c>
      <c r="X615" s="218" t="str">
        <f t="shared" si="196"/>
        <v>USD</v>
      </c>
      <c r="Y615" s="218">
        <v>0.7</v>
      </c>
      <c r="Z615" s="218">
        <v>0.87</v>
      </c>
      <c r="AA615" s="218">
        <v>0.79</v>
      </c>
    </row>
    <row r="616" spans="1:27">
      <c r="A616" s="218" t="s">
        <v>2592</v>
      </c>
      <c r="F616" s="219" t="str">
        <f>"""IntAlert Live"",""ALERT UK"",""17"",""1"",""555205"""</f>
        <v>"IntAlert Live","ALERT UK","17","1","555205"</v>
      </c>
      <c r="G616" s="223">
        <v>43976</v>
      </c>
      <c r="H616" s="223"/>
      <c r="I616" s="218" t="str">
        <f>"DRCBUK/BANK/2020/05/015"</f>
        <v>DRCBUK/BANK/2020/05/015</v>
      </c>
      <c r="K616" s="218" t="str">
        <f>"PASCAL BUHASHE"</f>
        <v>PASCAL BUHASHE</v>
      </c>
      <c r="L616" s="218" t="str">
        <f>"Salaire-Mai 020 Pascal BUHASHE CIBANGALA 25%"</f>
        <v>Salaire-Mai 020 Pascal BUHASHE CIBANGALA 25%</v>
      </c>
      <c r="M616" s="218" t="str">
        <f>"5100"</f>
        <v>5100</v>
      </c>
      <c r="N616" s="218" t="str">
        <f>"BASIC EMPLOYMENT COSTS"</f>
        <v>BASIC EMPLOYMENT COSTS</v>
      </c>
      <c r="O616" s="218" t="str">
        <f t="shared" si="206"/>
        <v>DRCBUK</v>
      </c>
      <c r="P616" s="218" t="str">
        <f t="shared" si="193"/>
        <v>AP21QR</v>
      </c>
      <c r="Q616" s="218" t="str">
        <f t="shared" si="207"/>
        <v>CIB</v>
      </c>
      <c r="R616" s="218" t="str">
        <f>""</f>
        <v/>
      </c>
      <c r="S616" s="218" t="str">
        <f t="shared" si="208"/>
        <v>087</v>
      </c>
      <c r="T616" s="218" t="str">
        <f t="shared" si="192"/>
        <v>D</v>
      </c>
      <c r="U616" s="218" t="str">
        <f t="shared" si="194"/>
        <v>AFR000</v>
      </c>
      <c r="V616" s="218" t="str">
        <f t="shared" si="195"/>
        <v>###</v>
      </c>
      <c r="W616" s="218">
        <v>355.73</v>
      </c>
      <c r="X616" s="218" t="str">
        <f t="shared" si="196"/>
        <v>USD</v>
      </c>
      <c r="Y616" s="218">
        <v>282.23</v>
      </c>
      <c r="Z616" s="218">
        <v>355.73</v>
      </c>
      <c r="AA616" s="218">
        <v>323</v>
      </c>
    </row>
    <row r="617" spans="1:27">
      <c r="A617" s="218" t="s">
        <v>2592</v>
      </c>
      <c r="F617" s="219" t="str">
        <f>"""IntAlert Live"",""ALERT UK"",""17"",""1"",""555244"""</f>
        <v>"IntAlert Live","ALERT UK","17","1","555244"</v>
      </c>
      <c r="G617" s="223">
        <v>43976</v>
      </c>
      <c r="H617" s="223"/>
      <c r="I617" s="218" t="str">
        <f>"DRCBUK/BANK/2020/05/016"</f>
        <v>DRCBUK/BANK/2020/05/016</v>
      </c>
      <c r="K617" s="218" t="str">
        <f>"DGI/DPI SUD-KIVU"</f>
        <v>DGI/DPI SUD-KIVU</v>
      </c>
      <c r="L617" s="218" t="str">
        <f>"IPR-Mai 020 Pascal BUHASHE CIBANGALA 25%"</f>
        <v>IPR-Mai 020 Pascal BUHASHE CIBANGALA 25%</v>
      </c>
      <c r="M617" s="218" t="str">
        <f>"5100"</f>
        <v>5100</v>
      </c>
      <c r="N617" s="218" t="str">
        <f>"BASIC EMPLOYMENT COSTS"</f>
        <v>BASIC EMPLOYMENT COSTS</v>
      </c>
      <c r="O617" s="218" t="str">
        <f t="shared" si="206"/>
        <v>DRCBUK</v>
      </c>
      <c r="P617" s="218" t="str">
        <f t="shared" si="193"/>
        <v>AP21QR</v>
      </c>
      <c r="Q617" s="218" t="str">
        <f t="shared" si="207"/>
        <v>CIB</v>
      </c>
      <c r="R617" s="218" t="str">
        <f>""</f>
        <v/>
      </c>
      <c r="S617" s="218" t="str">
        <f t="shared" si="208"/>
        <v>087</v>
      </c>
      <c r="T617" s="218" t="str">
        <f t="shared" si="192"/>
        <v>D</v>
      </c>
      <c r="U617" s="218" t="str">
        <f t="shared" si="194"/>
        <v>AFR000</v>
      </c>
      <c r="V617" s="218" t="str">
        <f t="shared" si="195"/>
        <v>###</v>
      </c>
      <c r="W617" s="218">
        <v>51.96</v>
      </c>
      <c r="X617" s="218" t="str">
        <f t="shared" si="196"/>
        <v>USD</v>
      </c>
      <c r="Y617" s="218">
        <v>41.22</v>
      </c>
      <c r="Z617" s="218">
        <v>51.96</v>
      </c>
      <c r="AA617" s="218">
        <v>47.17</v>
      </c>
    </row>
    <row r="618" spans="1:27">
      <c r="A618" s="218" t="s">
        <v>2592</v>
      </c>
      <c r="F618" s="219" t="str">
        <f>"""IntAlert Live"",""ALERT UK"",""17"",""1"",""555284"""</f>
        <v>"IntAlert Live","ALERT UK","17","1","555284"</v>
      </c>
      <c r="G618" s="223">
        <v>43976</v>
      </c>
      <c r="H618" s="223"/>
      <c r="I618" s="218" t="str">
        <f>"DRCBUK/BANK/2020/05/017"</f>
        <v>DRCBUK/BANK/2020/05/017</v>
      </c>
      <c r="K618" s="218" t="str">
        <f>"CNSS SUD KIVU"</f>
        <v>CNSS SUD KIVU</v>
      </c>
      <c r="L618" s="218" t="str">
        <f>"CNSS-Mai 020 Pascal BUHASHE CIBANGALA 25%"</f>
        <v>CNSS-Mai 020 Pascal BUHASHE CIBANGALA 25%</v>
      </c>
      <c r="M618" s="218" t="str">
        <f>"5160"</f>
        <v>5160</v>
      </c>
      <c r="N618" s="218" t="str">
        <f>"EMPLOYMENT BENEFITS COSTS"</f>
        <v>EMPLOYMENT BENEFITS COSTS</v>
      </c>
      <c r="O618" s="218" t="str">
        <f t="shared" si="206"/>
        <v>DRCBUK</v>
      </c>
      <c r="P618" s="218" t="str">
        <f t="shared" si="193"/>
        <v>AP21QR</v>
      </c>
      <c r="Q618" s="218" t="str">
        <f t="shared" si="207"/>
        <v>CIB</v>
      </c>
      <c r="R618" s="218" t="str">
        <f>""</f>
        <v/>
      </c>
      <c r="S618" s="218" t="str">
        <f t="shared" si="208"/>
        <v>087</v>
      </c>
      <c r="T618" s="218" t="str">
        <f t="shared" si="192"/>
        <v>D</v>
      </c>
      <c r="U618" s="218" t="str">
        <f t="shared" si="194"/>
        <v>AFR000</v>
      </c>
      <c r="V618" s="218" t="str">
        <f t="shared" si="195"/>
        <v>###</v>
      </c>
      <c r="W618" s="218">
        <v>56.12</v>
      </c>
      <c r="X618" s="218" t="str">
        <f t="shared" si="196"/>
        <v>USD</v>
      </c>
      <c r="Y618" s="218">
        <v>44.52</v>
      </c>
      <c r="Z618" s="218">
        <v>56.12</v>
      </c>
      <c r="AA618" s="218">
        <v>50.95</v>
      </c>
    </row>
    <row r="619" spans="1:27">
      <c r="A619" s="218" t="s">
        <v>2592</v>
      </c>
      <c r="F619" s="219" t="str">
        <f>"""IntAlert Live"",""ALERT UK"",""17"",""1"",""555323"""</f>
        <v>"IntAlert Live","ALERT UK","17","1","555323"</v>
      </c>
      <c r="G619" s="223">
        <v>43976</v>
      </c>
      <c r="H619" s="223"/>
      <c r="I619" s="218" t="str">
        <f>"DRCBUK/BANK/2020/05/018"</f>
        <v>DRCBUK/BANK/2020/05/018</v>
      </c>
      <c r="K619" s="218" t="str">
        <f>"INPP SUD KIVU"</f>
        <v>INPP SUD KIVU</v>
      </c>
      <c r="L619" s="218" t="str">
        <f>"INPP-Mai 020 Pascal BUHASHE CIBANGALA 25%"</f>
        <v>INPP-Mai 020 Pascal BUHASHE CIBANGALA 25%</v>
      </c>
      <c r="M619" s="218" t="str">
        <f>"5160"</f>
        <v>5160</v>
      </c>
      <c r="N619" s="218" t="str">
        <f>"EMPLOYMENT BENEFITS COSTS"</f>
        <v>EMPLOYMENT BENEFITS COSTS</v>
      </c>
      <c r="O619" s="218" t="str">
        <f t="shared" si="206"/>
        <v>DRCBUK</v>
      </c>
      <c r="P619" s="218" t="str">
        <f t="shared" si="193"/>
        <v>AP21QR</v>
      </c>
      <c r="Q619" s="218" t="str">
        <f t="shared" si="207"/>
        <v>CIB</v>
      </c>
      <c r="R619" s="218" t="str">
        <f>""</f>
        <v/>
      </c>
      <c r="S619" s="218" t="str">
        <f t="shared" si="208"/>
        <v>087</v>
      </c>
      <c r="T619" s="218" t="str">
        <f t="shared" si="192"/>
        <v>D</v>
      </c>
      <c r="U619" s="218" t="str">
        <f t="shared" si="194"/>
        <v>AFR000</v>
      </c>
      <c r="V619" s="218" t="str">
        <f t="shared" si="195"/>
        <v>###</v>
      </c>
      <c r="W619" s="218">
        <v>9.35</v>
      </c>
      <c r="X619" s="218" t="str">
        <f t="shared" si="196"/>
        <v>USD</v>
      </c>
      <c r="Y619" s="218">
        <v>7.42</v>
      </c>
      <c r="Z619" s="218">
        <v>9.35</v>
      </c>
      <c r="AA619" s="218">
        <v>8.49</v>
      </c>
    </row>
    <row r="620" spans="1:27">
      <c r="A620" s="218" t="s">
        <v>2592</v>
      </c>
      <c r="F620" s="219" t="str">
        <f>"""IntAlert Live"",""ALERT UK"",""17"",""1"",""555505"""</f>
        <v>"IntAlert Live","ALERT UK","17","1","555505"</v>
      </c>
      <c r="G620" s="223">
        <v>43980</v>
      </c>
      <c r="H620" s="223"/>
      <c r="I620" s="218" t="str">
        <f>"DRCBUK/CAISSE/2020/05/002"</f>
        <v>DRCBUK/CAISSE/2020/05/002</v>
      </c>
      <c r="K620" s="218" t="str">
        <f>"ONEM"</f>
        <v>ONEM</v>
      </c>
      <c r="L620" s="218" t="str">
        <f>"ONEM-Mai 020 Pascal BUHASHE CIBANGALA 25%"</f>
        <v>ONEM-Mai 020 Pascal BUHASHE CIBANGALA 25%</v>
      </c>
      <c r="M620" s="218" t="str">
        <f>"5160"</f>
        <v>5160</v>
      </c>
      <c r="N620" s="218" t="str">
        <f>"EMPLOYMENT BENEFITS COSTS"</f>
        <v>EMPLOYMENT BENEFITS COSTS</v>
      </c>
      <c r="O620" s="218" t="str">
        <f t="shared" si="206"/>
        <v>DRCBUK</v>
      </c>
      <c r="P620" s="218" t="str">
        <f t="shared" si="193"/>
        <v>AP21QR</v>
      </c>
      <c r="Q620" s="218" t="str">
        <f t="shared" si="207"/>
        <v>CIB</v>
      </c>
      <c r="R620" s="218" t="str">
        <f>""</f>
        <v/>
      </c>
      <c r="S620" s="218" t="str">
        <f t="shared" si="208"/>
        <v>087</v>
      </c>
      <c r="T620" s="218" t="str">
        <f t="shared" si="192"/>
        <v>D</v>
      </c>
      <c r="U620" s="218" t="str">
        <f t="shared" si="194"/>
        <v>AFR000</v>
      </c>
      <c r="V620" s="218" t="str">
        <f t="shared" si="195"/>
        <v>###</v>
      </c>
      <c r="W620" s="218">
        <v>0.62</v>
      </c>
      <c r="X620" s="218" t="str">
        <f t="shared" si="196"/>
        <v>USD</v>
      </c>
      <c r="Y620" s="218">
        <v>0.49</v>
      </c>
      <c r="Z620" s="218">
        <v>0.62</v>
      </c>
      <c r="AA620" s="218">
        <v>0.56000000000000005</v>
      </c>
    </row>
    <row r="621" spans="1:27">
      <c r="A621" s="218" t="s">
        <v>2592</v>
      </c>
      <c r="F621" s="219" t="str">
        <f>"""IntAlert Live"",""ALERT UK"",""17"",""1"",""549622"""</f>
        <v>"IntAlert Live","ALERT UK","17","1","549622"</v>
      </c>
      <c r="G621" s="223">
        <v>43951</v>
      </c>
      <c r="H621" s="223"/>
      <c r="I621" s="218" t="str">
        <f>""</f>
        <v/>
      </c>
      <c r="K621" s="218" t="str">
        <f>"10057818"</f>
        <v>10057818</v>
      </c>
      <c r="L621" s="218" t="str">
        <f>"Salary _Apr 2020_Great Lakes Adv"</f>
        <v>Salary _Apr 2020_Great Lakes Adv</v>
      </c>
      <c r="M621" s="218" t="str">
        <f>"5100"</f>
        <v>5100</v>
      </c>
      <c r="N621" s="218" t="str">
        <f>"BASIC EMPLOYMENT COSTS"</f>
        <v>BASIC EMPLOYMENT COSTS</v>
      </c>
      <c r="O621" s="218" t="str">
        <f t="shared" ref="O621:O635" si="209">"RWAKIG"</f>
        <v>RWAKIG</v>
      </c>
      <c r="P621" s="218" t="str">
        <f t="shared" si="193"/>
        <v>AP21QR</v>
      </c>
      <c r="Q621" s="218" t="str">
        <f t="shared" ref="Q621:Q635" si="210">"BAZ"</f>
        <v>BAZ</v>
      </c>
      <c r="R621" s="218" t="str">
        <f>""</f>
        <v/>
      </c>
      <c r="S621" s="218" t="str">
        <f t="shared" ref="S621:S635" si="211">"088"</f>
        <v>088</v>
      </c>
      <c r="T621" s="218" t="str">
        <f t="shared" si="192"/>
        <v>D</v>
      </c>
      <c r="U621" s="218" t="str">
        <f>"AFR022"</f>
        <v>AFR022</v>
      </c>
      <c r="V621" s="218" t="str">
        <f t="shared" si="195"/>
        <v>###</v>
      </c>
      <c r="W621" s="218">
        <v>362818.38</v>
      </c>
      <c r="X621" s="218" t="str">
        <f t="shared" ref="X621:X635" si="212">"RWF"</f>
        <v>RWF</v>
      </c>
      <c r="Y621" s="218">
        <v>311.77</v>
      </c>
      <c r="Z621" s="218">
        <v>388.3</v>
      </c>
      <c r="AA621" s="218">
        <v>350.7</v>
      </c>
    </row>
    <row r="622" spans="1:27">
      <c r="A622" s="218" t="s">
        <v>2592</v>
      </c>
      <c r="F622" s="219" t="str">
        <f>"""IntAlert Live"",""ALERT UK"",""17"",""1"",""549655"""</f>
        <v>"IntAlert Live","ALERT UK","17","1","549655"</v>
      </c>
      <c r="G622" s="223">
        <v>43951</v>
      </c>
      <c r="H622" s="223"/>
      <c r="I622" s="218" t="str">
        <f>""</f>
        <v/>
      </c>
      <c r="K622" s="218" t="str">
        <f>"10057820"</f>
        <v>10057820</v>
      </c>
      <c r="L622" s="218" t="str">
        <f>"Staff saving-Apr 2020-Gloriose"</f>
        <v>Staff saving-Apr 2020-Gloriose</v>
      </c>
      <c r="M622" s="218" t="str">
        <f>"5100"</f>
        <v>5100</v>
      </c>
      <c r="N622" s="218" t="str">
        <f>"BASIC EMPLOYMENT COSTS"</f>
        <v>BASIC EMPLOYMENT COSTS</v>
      </c>
      <c r="O622" s="218" t="str">
        <f t="shared" si="209"/>
        <v>RWAKIG</v>
      </c>
      <c r="P622" s="218" t="str">
        <f t="shared" si="193"/>
        <v>AP21QR</v>
      </c>
      <c r="Q622" s="218" t="str">
        <f t="shared" si="210"/>
        <v>BAZ</v>
      </c>
      <c r="R622" s="218" t="str">
        <f>""</f>
        <v/>
      </c>
      <c r="S622" s="218" t="str">
        <f t="shared" si="211"/>
        <v>088</v>
      </c>
      <c r="T622" s="218" t="str">
        <f t="shared" si="192"/>
        <v>D</v>
      </c>
      <c r="U622" s="218" t="str">
        <f t="shared" ref="U622:U653" si="213">"AFR000"</f>
        <v>AFR000</v>
      </c>
      <c r="V622" s="218" t="str">
        <f t="shared" si="195"/>
        <v>###</v>
      </c>
      <c r="W622" s="218">
        <v>3068</v>
      </c>
      <c r="X622" s="218" t="str">
        <f t="shared" si="212"/>
        <v>RWF</v>
      </c>
      <c r="Y622" s="218">
        <v>2.64</v>
      </c>
      <c r="Z622" s="218">
        <v>3.29</v>
      </c>
      <c r="AA622" s="218">
        <v>2.97</v>
      </c>
    </row>
    <row r="623" spans="1:27">
      <c r="A623" s="218" t="s">
        <v>2592</v>
      </c>
      <c r="F623" s="219" t="str">
        <f>"""IntAlert Live"",""ALERT UK"",""17"",""1"",""549685"""</f>
        <v>"IntAlert Live","ALERT UK","17","1","549685"</v>
      </c>
      <c r="G623" s="223">
        <v>43951</v>
      </c>
      <c r="H623" s="223"/>
      <c r="I623" s="218" t="str">
        <f>""</f>
        <v/>
      </c>
      <c r="K623" s="218" t="str">
        <f>"10057834"</f>
        <v>10057834</v>
      </c>
      <c r="L623" s="218" t="str">
        <f>"PAYEE_Dec2019-Great lakes adv"</f>
        <v>PAYEE_Dec2019-Great lakes adv</v>
      </c>
      <c r="M623" s="218" t="str">
        <f>"5100"</f>
        <v>5100</v>
      </c>
      <c r="N623" s="218" t="str">
        <f>"BASIC EMPLOYMENT COSTS"</f>
        <v>BASIC EMPLOYMENT COSTS</v>
      </c>
      <c r="O623" s="218" t="str">
        <f t="shared" si="209"/>
        <v>RWAKIG</v>
      </c>
      <c r="P623" s="218" t="str">
        <f t="shared" si="193"/>
        <v>AP21QR</v>
      </c>
      <c r="Q623" s="218" t="str">
        <f t="shared" si="210"/>
        <v>BAZ</v>
      </c>
      <c r="R623" s="218" t="str">
        <f>""</f>
        <v/>
      </c>
      <c r="S623" s="218" t="str">
        <f t="shared" si="211"/>
        <v>088</v>
      </c>
      <c r="T623" s="218" t="str">
        <f t="shared" si="192"/>
        <v>D</v>
      </c>
      <c r="U623" s="218" t="str">
        <f t="shared" si="213"/>
        <v>AFR000</v>
      </c>
      <c r="V623" s="218" t="str">
        <f t="shared" si="195"/>
        <v>###</v>
      </c>
      <c r="W623" s="218">
        <v>161808</v>
      </c>
      <c r="X623" s="218" t="str">
        <f t="shared" si="212"/>
        <v>RWF</v>
      </c>
      <c r="Y623" s="218">
        <v>139.04</v>
      </c>
      <c r="Z623" s="218">
        <v>173.17</v>
      </c>
      <c r="AA623" s="218">
        <v>156.4</v>
      </c>
    </row>
    <row r="624" spans="1:27">
      <c r="A624" s="218" t="s">
        <v>2592</v>
      </c>
      <c r="F624" s="219" t="str">
        <f>"""IntAlert Live"",""ALERT UK"",""17"",""1"",""549734"""</f>
        <v>"IntAlert Live","ALERT UK","17","1","549734"</v>
      </c>
      <c r="G624" s="223">
        <v>43951</v>
      </c>
      <c r="H624" s="223"/>
      <c r="I624" s="218" t="str">
        <f>""</f>
        <v/>
      </c>
      <c r="K624" s="218" t="str">
        <f>"10057835"</f>
        <v>10057835</v>
      </c>
      <c r="L624" s="218" t="str">
        <f>"RSSB 5,3%_Apr 20_Great Lakes Adv"</f>
        <v>RSSB 5,3%_Apr 20_Great Lakes Adv</v>
      </c>
      <c r="M624" s="218" t="str">
        <f>"5120"</f>
        <v>5120</v>
      </c>
      <c r="N624" s="218" t="str">
        <f>"EMPLOYER'S NI"</f>
        <v>EMPLOYER'S NI</v>
      </c>
      <c r="O624" s="218" t="str">
        <f t="shared" si="209"/>
        <v>RWAKIG</v>
      </c>
      <c r="P624" s="218" t="str">
        <f t="shared" si="193"/>
        <v>AP21QR</v>
      </c>
      <c r="Q624" s="218" t="str">
        <f t="shared" si="210"/>
        <v>BAZ</v>
      </c>
      <c r="R624" s="218" t="str">
        <f>""</f>
        <v/>
      </c>
      <c r="S624" s="218" t="str">
        <f t="shared" si="211"/>
        <v>088</v>
      </c>
      <c r="T624" s="218" t="str">
        <f t="shared" si="192"/>
        <v>D</v>
      </c>
      <c r="U624" s="218" t="str">
        <f t="shared" si="213"/>
        <v>AFR000</v>
      </c>
      <c r="V624" s="218" t="str">
        <f t="shared" si="195"/>
        <v>###</v>
      </c>
      <c r="W624" s="218">
        <v>24544</v>
      </c>
      <c r="X624" s="218" t="str">
        <f t="shared" si="212"/>
        <v>RWF</v>
      </c>
      <c r="Y624" s="218">
        <v>21.09</v>
      </c>
      <c r="Z624" s="218">
        <v>26.27</v>
      </c>
      <c r="AA624" s="218">
        <v>23.72</v>
      </c>
    </row>
    <row r="625" spans="1:27">
      <c r="A625" s="218" t="s">
        <v>2592</v>
      </c>
      <c r="F625" s="219" t="str">
        <f>"""IntAlert Live"",""ALERT UK"",""17"",""1"",""549767"""</f>
        <v>"IntAlert Live","ALERT UK","17","1","549767"</v>
      </c>
      <c r="G625" s="223">
        <v>43951</v>
      </c>
      <c r="H625" s="223"/>
      <c r="I625" s="218" t="str">
        <f>""</f>
        <v/>
      </c>
      <c r="K625" s="218" t="str">
        <f>"10057836"</f>
        <v>10057836</v>
      </c>
      <c r="L625" s="218" t="str">
        <f>"RSSB 3,3%_Apr 20_Great lakes adv"</f>
        <v>RSSB 3,3%_Apr 20_Great lakes adv</v>
      </c>
      <c r="M625" s="218" t="str">
        <f>"5100"</f>
        <v>5100</v>
      </c>
      <c r="N625" s="218" t="str">
        <f>"BASIC EMPLOYMENT COSTS"</f>
        <v>BASIC EMPLOYMENT COSTS</v>
      </c>
      <c r="O625" s="218" t="str">
        <f t="shared" si="209"/>
        <v>RWAKIG</v>
      </c>
      <c r="P625" s="218" t="str">
        <f t="shared" si="193"/>
        <v>AP21QR</v>
      </c>
      <c r="Q625" s="218" t="str">
        <f t="shared" si="210"/>
        <v>BAZ</v>
      </c>
      <c r="R625" s="218" t="str">
        <f>""</f>
        <v/>
      </c>
      <c r="S625" s="218" t="str">
        <f t="shared" si="211"/>
        <v>088</v>
      </c>
      <c r="T625" s="218" t="str">
        <f t="shared" si="192"/>
        <v>D</v>
      </c>
      <c r="U625" s="218" t="str">
        <f t="shared" si="213"/>
        <v>AFR000</v>
      </c>
      <c r="V625" s="218" t="str">
        <f t="shared" si="195"/>
        <v>###</v>
      </c>
      <c r="W625" s="218">
        <v>15282</v>
      </c>
      <c r="X625" s="218" t="str">
        <f t="shared" si="212"/>
        <v>RWF</v>
      </c>
      <c r="Y625" s="218">
        <v>13.13</v>
      </c>
      <c r="Z625" s="218">
        <v>16.350000000000001</v>
      </c>
      <c r="AA625" s="218">
        <v>14.77</v>
      </c>
    </row>
    <row r="626" spans="1:27">
      <c r="A626" s="218" t="s">
        <v>2592</v>
      </c>
      <c r="F626" s="219" t="str">
        <f>"""IntAlert Live"",""ALERT UK"",""17"",""1"",""549800"""</f>
        <v>"IntAlert Live","ALERT UK","17","1","549800"</v>
      </c>
      <c r="G626" s="223">
        <v>43951</v>
      </c>
      <c r="H626" s="223"/>
      <c r="I626" s="218" t="str">
        <f>""</f>
        <v/>
      </c>
      <c r="K626" s="218" t="str">
        <f>"10057837"</f>
        <v>10057837</v>
      </c>
      <c r="L626" s="218" t="str">
        <f>"Pension Plan _Apr 20_Great lakes Adv"</f>
        <v>Pension Plan _Apr 20_Great lakes Adv</v>
      </c>
      <c r="M626" s="218" t="str">
        <f>"5100"</f>
        <v>5100</v>
      </c>
      <c r="N626" s="218" t="str">
        <f>"BASIC EMPLOYMENT COSTS"</f>
        <v>BASIC EMPLOYMENT COSTS</v>
      </c>
      <c r="O626" s="218" t="str">
        <f t="shared" si="209"/>
        <v>RWAKIG</v>
      </c>
      <c r="P626" s="218" t="str">
        <f t="shared" si="193"/>
        <v>AP21QR</v>
      </c>
      <c r="Q626" s="218" t="str">
        <f t="shared" si="210"/>
        <v>BAZ</v>
      </c>
      <c r="R626" s="218" t="str">
        <f>""</f>
        <v/>
      </c>
      <c r="S626" s="218" t="str">
        <f t="shared" si="211"/>
        <v>088</v>
      </c>
      <c r="T626" s="218" t="str">
        <f t="shared" si="192"/>
        <v>D</v>
      </c>
      <c r="U626" s="218" t="str">
        <f t="shared" si="213"/>
        <v>AFR000</v>
      </c>
      <c r="V626" s="218" t="str">
        <f t="shared" si="195"/>
        <v>###</v>
      </c>
      <c r="W626" s="218">
        <v>41205</v>
      </c>
      <c r="X626" s="218" t="str">
        <f t="shared" si="212"/>
        <v>RWF</v>
      </c>
      <c r="Y626" s="218">
        <v>35.409999999999997</v>
      </c>
      <c r="Z626" s="218">
        <v>44.1</v>
      </c>
      <c r="AA626" s="218">
        <v>39.83</v>
      </c>
    </row>
    <row r="627" spans="1:27">
      <c r="A627" s="218" t="s">
        <v>2592</v>
      </c>
      <c r="F627" s="219" t="str">
        <f>"""IntAlert Live"",""ALERT UK"",""17"",""1"",""549833"""</f>
        <v>"IntAlert Live","ALERT UK","17","1","549833"</v>
      </c>
      <c r="G627" s="223">
        <v>43951</v>
      </c>
      <c r="H627" s="223"/>
      <c r="I627" s="218" t="str">
        <f>""</f>
        <v/>
      </c>
      <c r="K627" s="218" t="str">
        <f>"10057838"</f>
        <v>10057838</v>
      </c>
      <c r="L627" s="218" t="str">
        <f>"Taxe pension plan_Apr 20_Grea lakes Adv"</f>
        <v>Taxe pension plan_Apr 20_Grea lakes Adv</v>
      </c>
      <c r="M627" s="218" t="str">
        <f>"5110"</f>
        <v>5110</v>
      </c>
      <c r="N627" s="218" t="str">
        <f>"EMPLOYER'S PENSION COSTS"</f>
        <v>EMPLOYER'S PENSION COSTS</v>
      </c>
      <c r="O627" s="218" t="str">
        <f t="shared" si="209"/>
        <v>RWAKIG</v>
      </c>
      <c r="P627" s="218" t="str">
        <f t="shared" si="193"/>
        <v>AP21QR</v>
      </c>
      <c r="Q627" s="218" t="str">
        <f t="shared" si="210"/>
        <v>BAZ</v>
      </c>
      <c r="R627" s="218" t="str">
        <f>""</f>
        <v/>
      </c>
      <c r="S627" s="218" t="str">
        <f t="shared" si="211"/>
        <v>088</v>
      </c>
      <c r="T627" s="218" t="str">
        <f t="shared" si="192"/>
        <v>D</v>
      </c>
      <c r="U627" s="218" t="str">
        <f t="shared" si="213"/>
        <v>AFR000</v>
      </c>
      <c r="V627" s="218" t="str">
        <f t="shared" si="195"/>
        <v>###</v>
      </c>
      <c r="W627" s="218">
        <v>13276</v>
      </c>
      <c r="X627" s="218" t="str">
        <f t="shared" si="212"/>
        <v>RWF</v>
      </c>
      <c r="Y627" s="218">
        <v>11.41</v>
      </c>
      <c r="Z627" s="218">
        <v>14.21</v>
      </c>
      <c r="AA627" s="218">
        <v>12.83</v>
      </c>
    </row>
    <row r="628" spans="1:27">
      <c r="A628" s="218" t="s">
        <v>2592</v>
      </c>
      <c r="F628" s="219" t="str">
        <f>"""IntAlert Live"",""ALERT UK"",""17"",""1"",""549858"""</f>
        <v>"IntAlert Live","ALERT UK","17","1","549858"</v>
      </c>
      <c r="G628" s="223">
        <v>43951</v>
      </c>
      <c r="H628" s="223"/>
      <c r="I628" s="218" t="str">
        <f>""</f>
        <v/>
      </c>
      <c r="K628" s="218" t="str">
        <f>"10057839"</f>
        <v>10057839</v>
      </c>
      <c r="L628" s="218" t="str">
        <f>"Mutual insur contr _Apr 20_Great Lakes Adv"</f>
        <v>Mutual insur contr _Apr 20_Great Lakes Adv</v>
      </c>
      <c r="M628" s="218" t="str">
        <f t="shared" ref="M628:M634" si="214">"5100"</f>
        <v>5100</v>
      </c>
      <c r="N628" s="218" t="str">
        <f t="shared" ref="N628:N634" si="215">"BASIC EMPLOYMENT COSTS"</f>
        <v>BASIC EMPLOYMENT COSTS</v>
      </c>
      <c r="O628" s="218" t="str">
        <f t="shared" si="209"/>
        <v>RWAKIG</v>
      </c>
      <c r="P628" s="218" t="str">
        <f t="shared" si="193"/>
        <v>AP21QR</v>
      </c>
      <c r="Q628" s="218" t="str">
        <f t="shared" si="210"/>
        <v>BAZ</v>
      </c>
      <c r="R628" s="218" t="str">
        <f>""</f>
        <v/>
      </c>
      <c r="S628" s="218" t="str">
        <f t="shared" si="211"/>
        <v>088</v>
      </c>
      <c r="T628" s="218" t="str">
        <f t="shared" si="192"/>
        <v>D</v>
      </c>
      <c r="U628" s="218" t="str">
        <f t="shared" si="213"/>
        <v>AFR000</v>
      </c>
      <c r="V628" s="218" t="str">
        <f t="shared" si="195"/>
        <v>###</v>
      </c>
      <c r="W628" s="218">
        <v>1838.63</v>
      </c>
      <c r="X628" s="218" t="str">
        <f t="shared" si="212"/>
        <v>RWF</v>
      </c>
      <c r="Y628" s="218">
        <v>1.58</v>
      </c>
      <c r="Z628" s="218">
        <v>1.97</v>
      </c>
      <c r="AA628" s="218">
        <v>1.78</v>
      </c>
    </row>
    <row r="629" spans="1:27">
      <c r="A629" s="218" t="s">
        <v>2592</v>
      </c>
      <c r="F629" s="219" t="str">
        <f>"""IntAlert Live"",""ALERT UK"",""17"",""1"",""556177"""</f>
        <v>"IntAlert Live","ALERT UK","17","1","556177"</v>
      </c>
      <c r="G629" s="223">
        <v>43982</v>
      </c>
      <c r="H629" s="223"/>
      <c r="I629" s="218" t="str">
        <f>""</f>
        <v/>
      </c>
      <c r="K629" s="218" t="str">
        <f>"10057880"</f>
        <v>10057880</v>
      </c>
      <c r="L629" s="218" t="str">
        <f>"Salary _May 20_Great Lakes Adv"</f>
        <v>Salary _May 20_Great Lakes Adv</v>
      </c>
      <c r="M629" s="218" t="str">
        <f t="shared" si="214"/>
        <v>5100</v>
      </c>
      <c r="N629" s="218" t="str">
        <f t="shared" si="215"/>
        <v>BASIC EMPLOYMENT COSTS</v>
      </c>
      <c r="O629" s="218" t="str">
        <f t="shared" si="209"/>
        <v>RWAKIG</v>
      </c>
      <c r="P629" s="218" t="str">
        <f t="shared" si="193"/>
        <v>AP21QR</v>
      </c>
      <c r="Q629" s="218" t="str">
        <f t="shared" si="210"/>
        <v>BAZ</v>
      </c>
      <c r="R629" s="218" t="str">
        <f>""</f>
        <v/>
      </c>
      <c r="S629" s="218" t="str">
        <f t="shared" si="211"/>
        <v>088</v>
      </c>
      <c r="T629" s="218" t="str">
        <f t="shared" si="192"/>
        <v>D</v>
      </c>
      <c r="U629" s="218" t="str">
        <f t="shared" si="213"/>
        <v>AFR000</v>
      </c>
      <c r="V629" s="218" t="str">
        <f t="shared" si="195"/>
        <v>###</v>
      </c>
      <c r="W629" s="218">
        <v>348421.34</v>
      </c>
      <c r="X629" s="218" t="str">
        <f t="shared" si="212"/>
        <v>RWF</v>
      </c>
      <c r="Y629" s="218">
        <v>294.95</v>
      </c>
      <c r="Z629" s="218">
        <v>371.76</v>
      </c>
      <c r="AA629" s="218">
        <v>337.56</v>
      </c>
    </row>
    <row r="630" spans="1:27">
      <c r="A630" s="218" t="s">
        <v>2592</v>
      </c>
      <c r="F630" s="219" t="str">
        <f>"""IntAlert Live"",""ALERT UK"",""17"",""1"",""556210"""</f>
        <v>"IntAlert Live","ALERT UK","17","1","556210"</v>
      </c>
      <c r="G630" s="223">
        <v>43982</v>
      </c>
      <c r="H630" s="223"/>
      <c r="I630" s="218" t="str">
        <f>""</f>
        <v/>
      </c>
      <c r="K630" s="218" t="str">
        <f>"10057882"</f>
        <v>10057882</v>
      </c>
      <c r="L630" s="218" t="str">
        <f>"Staff saving-May 20-Gloriose"</f>
        <v>Staff saving-May 20-Gloriose</v>
      </c>
      <c r="M630" s="218" t="str">
        <f t="shared" si="214"/>
        <v>5100</v>
      </c>
      <c r="N630" s="218" t="str">
        <f t="shared" si="215"/>
        <v>BASIC EMPLOYMENT COSTS</v>
      </c>
      <c r="O630" s="218" t="str">
        <f t="shared" si="209"/>
        <v>RWAKIG</v>
      </c>
      <c r="P630" s="218" t="str">
        <f t="shared" si="193"/>
        <v>AP21QR</v>
      </c>
      <c r="Q630" s="218" t="str">
        <f t="shared" si="210"/>
        <v>BAZ</v>
      </c>
      <c r="R630" s="218" t="str">
        <f>""</f>
        <v/>
      </c>
      <c r="S630" s="218" t="str">
        <f t="shared" si="211"/>
        <v>088</v>
      </c>
      <c r="T630" s="218" t="str">
        <f t="shared" si="192"/>
        <v>D</v>
      </c>
      <c r="U630" s="218" t="str">
        <f t="shared" si="213"/>
        <v>AFR000</v>
      </c>
      <c r="V630" s="218" t="str">
        <f t="shared" si="195"/>
        <v>###</v>
      </c>
      <c r="W630" s="218">
        <v>2946</v>
      </c>
      <c r="X630" s="218" t="str">
        <f t="shared" si="212"/>
        <v>RWF</v>
      </c>
      <c r="Y630" s="218">
        <v>2.4900000000000002</v>
      </c>
      <c r="Z630" s="218">
        <v>3.14</v>
      </c>
      <c r="AA630" s="218">
        <v>2.85</v>
      </c>
    </row>
    <row r="631" spans="1:27">
      <c r="A631" s="218" t="s">
        <v>2592</v>
      </c>
      <c r="F631" s="219" t="str">
        <f>"""IntAlert Live"",""ALERT UK"",""17"",""1"",""556240"""</f>
        <v>"IntAlert Live","ALERT UK","17","1","556240"</v>
      </c>
      <c r="G631" s="223">
        <v>43982</v>
      </c>
      <c r="H631" s="223"/>
      <c r="I631" s="218" t="str">
        <f>""</f>
        <v/>
      </c>
      <c r="K631" s="218" t="str">
        <f>"10057883"</f>
        <v>10057883</v>
      </c>
      <c r="L631" s="218" t="str">
        <f>"PAYEE_May 20_Great lakes adv"</f>
        <v>PAYEE_May 20_Great lakes adv</v>
      </c>
      <c r="M631" s="218" t="str">
        <f t="shared" si="214"/>
        <v>5100</v>
      </c>
      <c r="N631" s="218" t="str">
        <f t="shared" si="215"/>
        <v>BASIC EMPLOYMENT COSTS</v>
      </c>
      <c r="O631" s="218" t="str">
        <f t="shared" si="209"/>
        <v>RWAKIG</v>
      </c>
      <c r="P631" s="218" t="str">
        <f t="shared" si="193"/>
        <v>AP21QR</v>
      </c>
      <c r="Q631" s="218" t="str">
        <f t="shared" si="210"/>
        <v>BAZ</v>
      </c>
      <c r="R631" s="218" t="str">
        <f>""</f>
        <v/>
      </c>
      <c r="S631" s="218" t="str">
        <f t="shared" si="211"/>
        <v>088</v>
      </c>
      <c r="T631" s="218" t="str">
        <f t="shared" si="192"/>
        <v>D</v>
      </c>
      <c r="U631" s="218" t="str">
        <f t="shared" si="213"/>
        <v>AFR000</v>
      </c>
      <c r="V631" s="218" t="str">
        <f t="shared" si="195"/>
        <v>###</v>
      </c>
      <c r="W631" s="218">
        <v>155387</v>
      </c>
      <c r="X631" s="218" t="str">
        <f t="shared" si="212"/>
        <v>RWF</v>
      </c>
      <c r="Y631" s="218">
        <v>131.54</v>
      </c>
      <c r="Z631" s="218">
        <v>165.8</v>
      </c>
      <c r="AA631" s="218">
        <v>150.54</v>
      </c>
    </row>
    <row r="632" spans="1:27">
      <c r="A632" s="218" t="s">
        <v>2592</v>
      </c>
      <c r="F632" s="219" t="str">
        <f>"""IntAlert Live"",""ALERT UK"",""17"",""1"",""556322"""</f>
        <v>"IntAlert Live","ALERT UK","17","1","556322"</v>
      </c>
      <c r="G632" s="223">
        <v>43982</v>
      </c>
      <c r="H632" s="223"/>
      <c r="I632" s="218" t="str">
        <f>""</f>
        <v/>
      </c>
      <c r="K632" s="218" t="str">
        <f>"10057885"</f>
        <v>10057885</v>
      </c>
      <c r="L632" s="218" t="str">
        <f>"RSSB 3,3%_May 20_Great lakes adv"</f>
        <v>RSSB 3,3%_May 20_Great lakes adv</v>
      </c>
      <c r="M632" s="218" t="str">
        <f t="shared" si="214"/>
        <v>5100</v>
      </c>
      <c r="N632" s="218" t="str">
        <f t="shared" si="215"/>
        <v>BASIC EMPLOYMENT COSTS</v>
      </c>
      <c r="O632" s="218" t="str">
        <f t="shared" si="209"/>
        <v>RWAKIG</v>
      </c>
      <c r="P632" s="218" t="str">
        <f t="shared" si="193"/>
        <v>AP21QR</v>
      </c>
      <c r="Q632" s="218" t="str">
        <f t="shared" si="210"/>
        <v>BAZ</v>
      </c>
      <c r="R632" s="218" t="str">
        <f>""</f>
        <v/>
      </c>
      <c r="S632" s="218" t="str">
        <f t="shared" si="211"/>
        <v>088</v>
      </c>
      <c r="T632" s="218" t="str">
        <f t="shared" si="192"/>
        <v>D</v>
      </c>
      <c r="U632" s="218" t="str">
        <f t="shared" si="213"/>
        <v>AFR000</v>
      </c>
      <c r="V632" s="218" t="str">
        <f t="shared" si="195"/>
        <v>###</v>
      </c>
      <c r="W632" s="218">
        <v>14676</v>
      </c>
      <c r="X632" s="218" t="str">
        <f t="shared" si="212"/>
        <v>RWF</v>
      </c>
      <c r="Y632" s="218">
        <v>12.42</v>
      </c>
      <c r="Z632" s="218">
        <v>15.65</v>
      </c>
      <c r="AA632" s="218">
        <v>14.21</v>
      </c>
    </row>
    <row r="633" spans="1:27">
      <c r="A633" s="218" t="s">
        <v>2592</v>
      </c>
      <c r="F633" s="219" t="str">
        <f>"""IntAlert Live"",""ALERT UK"",""17"",""1"",""556355"""</f>
        <v>"IntAlert Live","ALERT UK","17","1","556355"</v>
      </c>
      <c r="G633" s="223">
        <v>43982</v>
      </c>
      <c r="H633" s="223"/>
      <c r="I633" s="218" t="str">
        <f>""</f>
        <v/>
      </c>
      <c r="K633" s="218" t="str">
        <f>"10057886"</f>
        <v>10057886</v>
      </c>
      <c r="L633" s="218" t="str">
        <f>"Pension Plan _May 20_Great lakes Adv"</f>
        <v>Pension Plan _May 20_Great lakes Adv</v>
      </c>
      <c r="M633" s="218" t="str">
        <f t="shared" si="214"/>
        <v>5100</v>
      </c>
      <c r="N633" s="218" t="str">
        <f t="shared" si="215"/>
        <v>BASIC EMPLOYMENT COSTS</v>
      </c>
      <c r="O633" s="218" t="str">
        <f t="shared" si="209"/>
        <v>RWAKIG</v>
      </c>
      <c r="P633" s="218" t="str">
        <f t="shared" si="193"/>
        <v>AP21QR</v>
      </c>
      <c r="Q633" s="218" t="str">
        <f t="shared" si="210"/>
        <v>BAZ</v>
      </c>
      <c r="R633" s="218" t="str">
        <f>""</f>
        <v/>
      </c>
      <c r="S633" s="218" t="str">
        <f t="shared" si="211"/>
        <v>088</v>
      </c>
      <c r="T633" s="218" t="str">
        <f t="shared" si="192"/>
        <v>D</v>
      </c>
      <c r="U633" s="218" t="str">
        <f t="shared" si="213"/>
        <v>AFR000</v>
      </c>
      <c r="V633" s="218" t="str">
        <f t="shared" si="195"/>
        <v>###</v>
      </c>
      <c r="W633" s="218">
        <v>39570</v>
      </c>
      <c r="X633" s="218" t="str">
        <f t="shared" si="212"/>
        <v>RWF</v>
      </c>
      <c r="Y633" s="218">
        <v>33.5</v>
      </c>
      <c r="Z633" s="218">
        <v>42.22</v>
      </c>
      <c r="AA633" s="218">
        <v>38.340000000000003</v>
      </c>
    </row>
    <row r="634" spans="1:27">
      <c r="A634" s="218" t="s">
        <v>2592</v>
      </c>
      <c r="F634" s="219" t="str">
        <f>"""IntAlert Live"",""ALERT UK"",""17"",""1"",""556388"""</f>
        <v>"IntAlert Live","ALERT UK","17","1","556388"</v>
      </c>
      <c r="G634" s="223">
        <v>43982</v>
      </c>
      <c r="H634" s="223"/>
      <c r="I634" s="218" t="str">
        <f>""</f>
        <v/>
      </c>
      <c r="K634" s="218" t="str">
        <f>"10057887"</f>
        <v>10057887</v>
      </c>
      <c r="L634" s="218" t="str">
        <f>"Mutual insur contr _May 20_Great Lakes Adv"</f>
        <v>Mutual insur contr _May 20_Great Lakes Adv</v>
      </c>
      <c r="M634" s="218" t="str">
        <f t="shared" si="214"/>
        <v>5100</v>
      </c>
      <c r="N634" s="218" t="str">
        <f t="shared" si="215"/>
        <v>BASIC EMPLOYMENT COSTS</v>
      </c>
      <c r="O634" s="218" t="str">
        <f t="shared" si="209"/>
        <v>RWAKIG</v>
      </c>
      <c r="P634" s="218" t="str">
        <f t="shared" si="193"/>
        <v>AP21QR</v>
      </c>
      <c r="Q634" s="218" t="str">
        <f t="shared" si="210"/>
        <v>BAZ</v>
      </c>
      <c r="R634" s="218" t="str">
        <f>""</f>
        <v/>
      </c>
      <c r="S634" s="218" t="str">
        <f t="shared" si="211"/>
        <v>088</v>
      </c>
      <c r="T634" s="218" t="str">
        <f t="shared" si="192"/>
        <v>D</v>
      </c>
      <c r="U634" s="218" t="str">
        <f t="shared" si="213"/>
        <v>AFR000</v>
      </c>
      <c r="V634" s="218" t="str">
        <f t="shared" si="195"/>
        <v>###</v>
      </c>
      <c r="W634" s="218">
        <v>1765.67</v>
      </c>
      <c r="X634" s="218" t="str">
        <f t="shared" si="212"/>
        <v>RWF</v>
      </c>
      <c r="Y634" s="218">
        <v>1.49</v>
      </c>
      <c r="Z634" s="218">
        <v>1.88</v>
      </c>
      <c r="AA634" s="218">
        <v>1.71</v>
      </c>
    </row>
    <row r="635" spans="1:27">
      <c r="A635" s="218" t="s">
        <v>2592</v>
      </c>
      <c r="F635" s="219" t="str">
        <f>"""IntAlert Live"",""ALERT UK"",""17"",""1"",""556421"""</f>
        <v>"IntAlert Live","ALERT UK","17","1","556421"</v>
      </c>
      <c r="G635" s="223">
        <v>43982</v>
      </c>
      <c r="H635" s="223"/>
      <c r="I635" s="218" t="str">
        <f>""</f>
        <v/>
      </c>
      <c r="K635" s="218" t="str">
        <f>"10057888"</f>
        <v>10057888</v>
      </c>
      <c r="L635" s="218" t="str">
        <f>"Taxe pension plan_May 20_Grea lakes Adv"</f>
        <v>Taxe pension plan_May 20_Grea lakes Adv</v>
      </c>
      <c r="M635" s="218" t="str">
        <f>"5110"</f>
        <v>5110</v>
      </c>
      <c r="N635" s="218" t="str">
        <f>"EMPLOYER'S PENSION COSTS"</f>
        <v>EMPLOYER'S PENSION COSTS</v>
      </c>
      <c r="O635" s="218" t="str">
        <f t="shared" si="209"/>
        <v>RWAKIG</v>
      </c>
      <c r="P635" s="218" t="str">
        <f t="shared" si="193"/>
        <v>AP21QR</v>
      </c>
      <c r="Q635" s="218" t="str">
        <f t="shared" si="210"/>
        <v>BAZ</v>
      </c>
      <c r="R635" s="218" t="str">
        <f>""</f>
        <v/>
      </c>
      <c r="S635" s="218" t="str">
        <f t="shared" si="211"/>
        <v>088</v>
      </c>
      <c r="T635" s="218" t="str">
        <f t="shared" si="192"/>
        <v>D</v>
      </c>
      <c r="U635" s="218" t="str">
        <f t="shared" si="213"/>
        <v>AFR000</v>
      </c>
      <c r="V635" s="218" t="str">
        <f t="shared" si="195"/>
        <v>###</v>
      </c>
      <c r="W635" s="218">
        <v>12749</v>
      </c>
      <c r="X635" s="218" t="str">
        <f t="shared" si="212"/>
        <v>RWF</v>
      </c>
      <c r="Y635" s="218">
        <v>10.79</v>
      </c>
      <c r="Z635" s="218">
        <v>13.6</v>
      </c>
      <c r="AA635" s="218">
        <v>12.35</v>
      </c>
    </row>
    <row r="636" spans="1:27">
      <c r="A636" s="218" t="s">
        <v>2592</v>
      </c>
      <c r="F636" s="219" t="str">
        <f>"""IntAlert Live"",""ALERT UK"",""17"",""1"",""550242"""</f>
        <v>"IntAlert Live","ALERT UK","17","1","550242"</v>
      </c>
      <c r="G636" s="223">
        <v>43951</v>
      </c>
      <c r="H636" s="223"/>
      <c r="I636" s="218" t="str">
        <f>""</f>
        <v/>
      </c>
      <c r="K636" s="218" t="str">
        <f>"APR OH '20"</f>
        <v>APR OH '20</v>
      </c>
      <c r="L636" s="218" t="str">
        <f>"OVERHEAD CHG APR'20"</f>
        <v>OVERHEAD CHG APR'20</v>
      </c>
      <c r="M636" s="218" t="str">
        <f>"9910"</f>
        <v>9910</v>
      </c>
      <c r="N636" s="218" t="str">
        <f>"GENERAL OVERHEAD ALLOCATION"</f>
        <v>GENERAL OVERHEAD ALLOCATION</v>
      </c>
      <c r="O636" s="218" t="str">
        <f>"UNILON"</f>
        <v>UNILON</v>
      </c>
      <c r="P636" s="218" t="str">
        <f t="shared" si="193"/>
        <v>AP21QR</v>
      </c>
      <c r="Q636" s="218" t="str">
        <f>""</f>
        <v/>
      </c>
      <c r="R636" s="218" t="str">
        <f>""</f>
        <v/>
      </c>
      <c r="S636" s="218" t="str">
        <f>"090"</f>
        <v>090</v>
      </c>
      <c r="T636" s="218" t="str">
        <f>"G"</f>
        <v>G</v>
      </c>
      <c r="U636" s="218" t="str">
        <f t="shared" si="213"/>
        <v>AFR000</v>
      </c>
      <c r="V636" s="218" t="str">
        <f t="shared" si="195"/>
        <v>###</v>
      </c>
      <c r="W636" s="218">
        <v>0</v>
      </c>
      <c r="X636" s="218" t="str">
        <f>""</f>
        <v/>
      </c>
      <c r="Y636" s="218">
        <v>937.47</v>
      </c>
      <c r="Z636" s="218">
        <v>1167.5999999999999</v>
      </c>
      <c r="AA636" s="218">
        <v>1054.52</v>
      </c>
    </row>
    <row r="637" spans="1:27">
      <c r="A637" s="218" t="s">
        <v>2592</v>
      </c>
      <c r="F637" s="219" t="str">
        <f>"""IntAlert Live"",""ALERT UK"",""17"",""1"",""550242"""</f>
        <v>"IntAlert Live","ALERT UK","17","1","550242"</v>
      </c>
      <c r="G637" s="223">
        <v>43951</v>
      </c>
      <c r="H637" s="223"/>
      <c r="I637" s="218" t="str">
        <f>""</f>
        <v/>
      </c>
      <c r="K637" s="218" t="str">
        <f>"MAY OH '20"</f>
        <v>MAY OH '20</v>
      </c>
      <c r="L637" s="218" t="str">
        <f>"OVERHEAD CHG MAY'20"</f>
        <v>OVERHEAD CHG MAY'20</v>
      </c>
      <c r="M637" s="218" t="str">
        <f>"9910"</f>
        <v>9910</v>
      </c>
      <c r="N637" s="218" t="str">
        <f>"GENERAL OVERHEAD ALLOCATION"</f>
        <v>GENERAL OVERHEAD ALLOCATION</v>
      </c>
      <c r="O637" s="218" t="str">
        <f>"UNILON"</f>
        <v>UNILON</v>
      </c>
      <c r="P637" s="218" t="str">
        <f t="shared" si="193"/>
        <v>AP21QR</v>
      </c>
      <c r="Q637" s="218" t="str">
        <f>""</f>
        <v/>
      </c>
      <c r="R637" s="218" t="str">
        <f>""</f>
        <v/>
      </c>
      <c r="S637" s="218" t="str">
        <f>"090"</f>
        <v>090</v>
      </c>
      <c r="T637" s="218" t="str">
        <f>"G"</f>
        <v>G</v>
      </c>
      <c r="U637" s="218" t="str">
        <f t="shared" si="213"/>
        <v>AFR000</v>
      </c>
      <c r="V637" s="218" t="str">
        <f t="shared" si="195"/>
        <v>###</v>
      </c>
      <c r="W637" s="218">
        <v>0</v>
      </c>
      <c r="X637" s="218" t="str">
        <f>""</f>
        <v/>
      </c>
      <c r="Y637" s="218">
        <v>3642.7937000000006</v>
      </c>
      <c r="Z637" s="218">
        <v>4591.4456994168258</v>
      </c>
      <c r="AA637" s="218">
        <v>4168.9956379464029</v>
      </c>
    </row>
    <row r="638" spans="1:27">
      <c r="A638" s="218" t="s">
        <v>2592</v>
      </c>
      <c r="F638" s="219" t="str">
        <f>"""IntAlert Live"",""ALERT UK"",""17"",""1"",""544299"""</f>
        <v>"IntAlert Live","ALERT UK","17","1","544299"</v>
      </c>
      <c r="G638" s="223">
        <v>43951</v>
      </c>
      <c r="H638" s="223"/>
      <c r="I638" s="218" t="str">
        <f>"JDRCBUK/BANK/2020/02/027"</f>
        <v>JDRCBUK/BANK/2020/02/027</v>
      </c>
      <c r="K638" s="218" t="str">
        <f>"JSOUZANA GUEST"</f>
        <v>JSOUZANA GUEST</v>
      </c>
      <c r="L638" s="218" t="str">
        <f>"Logemnt BUHASHE 19-21/02 Uvira close out Tujenge"</f>
        <v>Logemnt BUHASHE 19-21/02 Uvira close out Tujenge</v>
      </c>
      <c r="M638" s="218" t="str">
        <f>"6030"</f>
        <v>6030</v>
      </c>
      <c r="N638" s="218" t="str">
        <f>"STAFF ACCOMMODATION   HOTELS"</f>
        <v>STAFF ACCOMMODATION   HOTELS</v>
      </c>
      <c r="O638" s="218" t="str">
        <f t="shared" ref="O638:O644" si="216">"DRCBUK"</f>
        <v>DRCBUK</v>
      </c>
      <c r="P638" s="218" t="str">
        <f t="shared" si="193"/>
        <v>AP21QR</v>
      </c>
      <c r="Q638" s="218" t="str">
        <f>"CIB"</f>
        <v>CIB</v>
      </c>
      <c r="R638" s="218" t="str">
        <f>""</f>
        <v/>
      </c>
      <c r="S638" s="218" t="str">
        <f>"094"</f>
        <v>094</v>
      </c>
      <c r="T638" s="218" t="str">
        <f t="shared" ref="T638:T653" si="217">"D"</f>
        <v>D</v>
      </c>
      <c r="U638" s="218" t="str">
        <f t="shared" si="213"/>
        <v>AFR000</v>
      </c>
      <c r="V638" s="218" t="str">
        <f t="shared" si="195"/>
        <v>###</v>
      </c>
      <c r="W638" s="218">
        <v>-90</v>
      </c>
      <c r="X638" s="218" t="str">
        <f t="shared" ref="X638:X653" si="218">"USD"</f>
        <v>USD</v>
      </c>
      <c r="Y638" s="218">
        <v>-72.260000000000005</v>
      </c>
      <c r="Z638" s="218">
        <v>-90</v>
      </c>
      <c r="AA638" s="218">
        <v>-81.28</v>
      </c>
    </row>
    <row r="639" spans="1:27">
      <c r="A639" s="218" t="s">
        <v>2592</v>
      </c>
      <c r="F639" s="219" t="str">
        <f>"""IntAlert Live"",""ALERT UK"",""17"",""1"",""546076"""</f>
        <v>"IntAlert Live","ALERT UK","17","1","546076"</v>
      </c>
      <c r="G639" s="223">
        <v>43948</v>
      </c>
      <c r="H639" s="223"/>
      <c r="I639" s="218" t="str">
        <f>"DRCBUK/BANK/2020/04/012"</f>
        <v>DRCBUK/BANK/2020/04/012</v>
      </c>
      <c r="K639" s="218" t="str">
        <f>"LAURENT MIKALANO"</f>
        <v>LAURENT MIKALANO</v>
      </c>
      <c r="L639" s="218" t="str">
        <f>"Salaire-Avril 2020  Laurent MIKALANO MULOTWA"</f>
        <v>Salaire-Avril 2020  Laurent MIKALANO MULOTWA</v>
      </c>
      <c r="M639" s="218" t="str">
        <f>"5100"</f>
        <v>5100</v>
      </c>
      <c r="N639" s="218" t="str">
        <f>"BASIC EMPLOYMENT COSTS"</f>
        <v>BASIC EMPLOYMENT COSTS</v>
      </c>
      <c r="O639" s="218" t="str">
        <f t="shared" si="216"/>
        <v>DRCBUK</v>
      </c>
      <c r="P639" s="218" t="str">
        <f t="shared" si="193"/>
        <v>AP21QR</v>
      </c>
      <c r="Q639" s="218" t="str">
        <f>"MLO"</f>
        <v>MLO</v>
      </c>
      <c r="R639" s="218" t="str">
        <f>""</f>
        <v/>
      </c>
      <c r="S639" s="218" t="str">
        <f>"101"</f>
        <v>101</v>
      </c>
      <c r="T639" s="218" t="str">
        <f t="shared" si="217"/>
        <v>D</v>
      </c>
      <c r="U639" s="218" t="str">
        <f t="shared" si="213"/>
        <v>AFR000</v>
      </c>
      <c r="V639" s="218" t="str">
        <f t="shared" si="195"/>
        <v>###</v>
      </c>
      <c r="W639" s="218">
        <v>1044.17</v>
      </c>
      <c r="X639" s="218" t="str">
        <f t="shared" si="218"/>
        <v>USD</v>
      </c>
      <c r="Y639" s="218">
        <v>838.37</v>
      </c>
      <c r="Z639" s="218">
        <v>1044.17</v>
      </c>
      <c r="AA639" s="218">
        <v>943.05</v>
      </c>
    </row>
    <row r="640" spans="1:27">
      <c r="A640" s="218" t="s">
        <v>2592</v>
      </c>
      <c r="F640" s="219" t="str">
        <f>"""IntAlert Live"",""ALERT UK"",""17"",""1"",""546111"""</f>
        <v>"IntAlert Live","ALERT UK","17","1","546111"</v>
      </c>
      <c r="G640" s="223">
        <v>43948</v>
      </c>
      <c r="H640" s="223"/>
      <c r="I640" s="218" t="str">
        <f>"DRCBUK/BANK/2020/04/013"</f>
        <v>DRCBUK/BANK/2020/04/013</v>
      </c>
      <c r="K640" s="218" t="str">
        <f>"DGI SUD KIVU"</f>
        <v>DGI SUD KIVU</v>
      </c>
      <c r="L640" s="218" t="str">
        <f>"IPR-Avril 2020  Laurent MIKALANO MULOTWA"</f>
        <v>IPR-Avril 2020  Laurent MIKALANO MULOTWA</v>
      </c>
      <c r="M640" s="218" t="str">
        <f>"5100"</f>
        <v>5100</v>
      </c>
      <c r="N640" s="218" t="str">
        <f>"BASIC EMPLOYMENT COSTS"</f>
        <v>BASIC EMPLOYMENT COSTS</v>
      </c>
      <c r="O640" s="218" t="str">
        <f t="shared" si="216"/>
        <v>DRCBUK</v>
      </c>
      <c r="P640" s="218" t="str">
        <f t="shared" si="193"/>
        <v>AP21QR</v>
      </c>
      <c r="Q640" s="218" t="str">
        <f>"MLO"</f>
        <v>MLO</v>
      </c>
      <c r="R640" s="218" t="str">
        <f>""</f>
        <v/>
      </c>
      <c r="S640" s="218" t="str">
        <f>"101"</f>
        <v>101</v>
      </c>
      <c r="T640" s="218" t="str">
        <f t="shared" si="217"/>
        <v>D</v>
      </c>
      <c r="U640" s="218" t="str">
        <f t="shared" si="213"/>
        <v>AFR000</v>
      </c>
      <c r="V640" s="218" t="str">
        <f t="shared" si="195"/>
        <v>###</v>
      </c>
      <c r="W640" s="218">
        <v>197.19</v>
      </c>
      <c r="X640" s="218" t="str">
        <f t="shared" si="218"/>
        <v>USD</v>
      </c>
      <c r="Y640" s="218">
        <v>158.32</v>
      </c>
      <c r="Z640" s="218">
        <v>197.19</v>
      </c>
      <c r="AA640" s="218">
        <v>178.09</v>
      </c>
    </row>
    <row r="641" spans="1:28">
      <c r="A641" s="218" t="s">
        <v>2592</v>
      </c>
      <c r="F641" s="219" t="str">
        <f>"""IntAlert Live"",""ALERT UK"",""17"",""1"",""546147"""</f>
        <v>"IntAlert Live","ALERT UK","17","1","546147"</v>
      </c>
      <c r="G641" s="223">
        <v>43948</v>
      </c>
      <c r="H641" s="223"/>
      <c r="I641" s="218" t="str">
        <f>"DRCBUK/BANK/2020/04/014"</f>
        <v>DRCBUK/BANK/2020/04/014</v>
      </c>
      <c r="K641" s="218" t="str">
        <f>"CNSS BUKAVU"</f>
        <v>CNSS BUKAVU</v>
      </c>
      <c r="L641" s="218" t="str">
        <f>"CNSS-Avril 2020  Laurent MIKALANO MULOTWA"</f>
        <v>CNSS-Avril 2020  Laurent MIKALANO MULOTWA</v>
      </c>
      <c r="M641" s="218" t="str">
        <f>"5110"</f>
        <v>5110</v>
      </c>
      <c r="N641" s="218" t="str">
        <f>"EMPLOYER'S PENSION COSTS"</f>
        <v>EMPLOYER'S PENSION COSTS</v>
      </c>
      <c r="O641" s="218" t="str">
        <f t="shared" si="216"/>
        <v>DRCBUK</v>
      </c>
      <c r="P641" s="218" t="str">
        <f t="shared" si="193"/>
        <v>AP21QR</v>
      </c>
      <c r="Q641" s="218" t="str">
        <f>"MLO"</f>
        <v>MLO</v>
      </c>
      <c r="R641" s="218" t="str">
        <f>""</f>
        <v/>
      </c>
      <c r="S641" s="218" t="str">
        <f>"101"</f>
        <v>101</v>
      </c>
      <c r="T641" s="218" t="str">
        <f t="shared" si="217"/>
        <v>D</v>
      </c>
      <c r="U641" s="218" t="str">
        <f t="shared" si="213"/>
        <v>AFR000</v>
      </c>
      <c r="V641" s="218" t="str">
        <f t="shared" si="195"/>
        <v>###</v>
      </c>
      <c r="W641" s="218">
        <v>169.94</v>
      </c>
      <c r="X641" s="218" t="str">
        <f t="shared" si="218"/>
        <v>USD</v>
      </c>
      <c r="Y641" s="218">
        <v>136.44999999999999</v>
      </c>
      <c r="Z641" s="218">
        <v>169.94</v>
      </c>
      <c r="AA641" s="218">
        <v>153.49</v>
      </c>
    </row>
    <row r="642" spans="1:28">
      <c r="A642" s="218" t="s">
        <v>2592</v>
      </c>
      <c r="F642" s="219" t="str">
        <f>"""IntAlert Live"",""ALERT UK"",""17"",""1"",""546182"""</f>
        <v>"IntAlert Live","ALERT UK","17","1","546182"</v>
      </c>
      <c r="G642" s="223">
        <v>43948</v>
      </c>
      <c r="H642" s="223"/>
      <c r="I642" s="218" t="str">
        <f>"DRCBUK/BANK/2020/04/015"</f>
        <v>DRCBUK/BANK/2020/04/015</v>
      </c>
      <c r="K642" s="218" t="str">
        <f>"INPP SUD-KIVU"</f>
        <v>INPP SUD-KIVU</v>
      </c>
      <c r="L642" s="218" t="str">
        <f>"INPP-Avril 2020  Laurent MIKALANO MULOTWA"</f>
        <v>INPP-Avril 2020  Laurent MIKALANO MULOTWA</v>
      </c>
      <c r="M642" s="218" t="str">
        <f>"5160"</f>
        <v>5160</v>
      </c>
      <c r="N642" s="218" t="str">
        <f>"EMPLOYMENT BENEFITS COSTS"</f>
        <v>EMPLOYMENT BENEFITS COSTS</v>
      </c>
      <c r="O642" s="218" t="str">
        <f t="shared" si="216"/>
        <v>DRCBUK</v>
      </c>
      <c r="P642" s="218" t="str">
        <f t="shared" si="193"/>
        <v>AP21QR</v>
      </c>
      <c r="Q642" s="218" t="str">
        <f>"MLO"</f>
        <v>MLO</v>
      </c>
      <c r="R642" s="218" t="str">
        <f>""</f>
        <v/>
      </c>
      <c r="S642" s="218" t="str">
        <f>"101"</f>
        <v>101</v>
      </c>
      <c r="T642" s="218" t="str">
        <f t="shared" si="217"/>
        <v>D</v>
      </c>
      <c r="U642" s="218" t="str">
        <f t="shared" si="213"/>
        <v>AFR000</v>
      </c>
      <c r="V642" s="218" t="str">
        <f t="shared" si="195"/>
        <v>###</v>
      </c>
      <c r="W642" s="218">
        <v>28.32</v>
      </c>
      <c r="X642" s="218" t="str">
        <f t="shared" si="218"/>
        <v>USD</v>
      </c>
      <c r="Y642" s="218">
        <v>22.74</v>
      </c>
      <c r="Z642" s="218">
        <v>28.32</v>
      </c>
      <c r="AA642" s="218">
        <v>25.58</v>
      </c>
    </row>
    <row r="643" spans="1:28">
      <c r="A643" s="218" t="s">
        <v>2592</v>
      </c>
      <c r="F643" s="219" t="str">
        <f>"""IntAlert Live"",""ALERT UK"",""17"",""1"",""546326"""</f>
        <v>"IntAlert Live","ALERT UK","17","1","546326"</v>
      </c>
      <c r="G643" s="223">
        <v>43951</v>
      </c>
      <c r="H643" s="223"/>
      <c r="I643" s="218" t="str">
        <f>"DRCBUK/CAISSE/2020/04/002"</f>
        <v>DRCBUK/CAISSE/2020/04/002</v>
      </c>
      <c r="K643" s="218" t="str">
        <f>"ONEM"</f>
        <v>ONEM</v>
      </c>
      <c r="L643" s="218" t="str">
        <f>"ONEM-Avril 2020  Laurent MIKALANO MULOTWA"</f>
        <v>ONEM-Avril 2020  Laurent MIKALANO MULOTWA</v>
      </c>
      <c r="M643" s="218" t="str">
        <f>"5160"</f>
        <v>5160</v>
      </c>
      <c r="N643" s="218" t="str">
        <f>"EMPLOYMENT BENEFITS COSTS"</f>
        <v>EMPLOYMENT BENEFITS COSTS</v>
      </c>
      <c r="O643" s="218" t="str">
        <f t="shared" si="216"/>
        <v>DRCBUK</v>
      </c>
      <c r="P643" s="218" t="str">
        <f t="shared" si="193"/>
        <v>AP21QR</v>
      </c>
      <c r="Q643" s="218" t="str">
        <f>"MLO"</f>
        <v>MLO</v>
      </c>
      <c r="R643" s="218" t="str">
        <f>""</f>
        <v/>
      </c>
      <c r="S643" s="218" t="str">
        <f>"101"</f>
        <v>101</v>
      </c>
      <c r="T643" s="218" t="str">
        <f t="shared" si="217"/>
        <v>D</v>
      </c>
      <c r="U643" s="218" t="str">
        <f t="shared" si="213"/>
        <v>AFR000</v>
      </c>
      <c r="V643" s="218" t="str">
        <f t="shared" si="195"/>
        <v>###</v>
      </c>
      <c r="W643" s="218">
        <v>1.89</v>
      </c>
      <c r="X643" s="218" t="str">
        <f t="shared" si="218"/>
        <v>USD</v>
      </c>
      <c r="Y643" s="218">
        <v>1.52</v>
      </c>
      <c r="Z643" s="218">
        <v>1.89</v>
      </c>
      <c r="AA643" s="218">
        <v>1.71</v>
      </c>
    </row>
    <row r="644" spans="1:28">
      <c r="A644" s="218" t="s">
        <v>2592</v>
      </c>
      <c r="F644" s="219" t="str">
        <f>"""IntAlert Live"",""ALERT UK"",""17"",""1"",""544300"""</f>
        <v>"IntAlert Live","ALERT UK","17","1","544300"</v>
      </c>
      <c r="G644" s="223">
        <v>43951</v>
      </c>
      <c r="H644" s="223"/>
      <c r="I644" s="218" t="str">
        <f>"JDRCBUK/BANK/2019/07/027"</f>
        <v>JDRCBUK/BANK/2019/07/027</v>
      </c>
      <c r="K644" s="218" t="str">
        <f>"J76665"</f>
        <v>J76665</v>
      </c>
      <c r="L644" s="218" t="str">
        <f>"Rbsmt frais Gym George 11 mois - 30%"</f>
        <v>Rbsmt frais Gym George 11 mois - 30%</v>
      </c>
      <c r="M644" s="218" t="str">
        <f>"5240"</f>
        <v>5240</v>
      </c>
      <c r="N644" s="218" t="str">
        <f>"STAFF WELFARE"</f>
        <v>STAFF WELFARE</v>
      </c>
      <c r="O644" s="218" t="str">
        <f t="shared" si="216"/>
        <v>DRCBUK</v>
      </c>
      <c r="P644" s="218" t="str">
        <f t="shared" si="193"/>
        <v>AP21QR</v>
      </c>
      <c r="Q644" s="218" t="str">
        <f>"NDI"</f>
        <v>NDI</v>
      </c>
      <c r="R644" s="218" t="str">
        <f>""</f>
        <v/>
      </c>
      <c r="S644" s="218" t="str">
        <f>"114"</f>
        <v>114</v>
      </c>
      <c r="T644" s="218" t="str">
        <f t="shared" si="217"/>
        <v>D</v>
      </c>
      <c r="U644" s="218" t="str">
        <f t="shared" si="213"/>
        <v>AFR000</v>
      </c>
      <c r="V644" s="218" t="str">
        <f t="shared" si="195"/>
        <v>###</v>
      </c>
      <c r="W644" s="218">
        <v>-157.80000000000001</v>
      </c>
      <c r="X644" s="218" t="str">
        <f t="shared" si="218"/>
        <v>USD</v>
      </c>
      <c r="Y644" s="218">
        <v>-126.7</v>
      </c>
      <c r="Z644" s="218">
        <v>-157.80000000000001</v>
      </c>
      <c r="AA644" s="218">
        <v>-142.52000000000001</v>
      </c>
    </row>
    <row r="645" spans="1:28">
      <c r="A645" s="218" t="s">
        <v>2592</v>
      </c>
      <c r="F645" s="219" t="str">
        <f>"""IntAlert Live"",""ALERT UK"",""17"",""1"",""544301"""</f>
        <v>"IntAlert Live","ALERT UK","17","1","544301"</v>
      </c>
      <c r="G645" s="223">
        <v>43951</v>
      </c>
      <c r="H645" s="223"/>
      <c r="I645" s="218" t="str">
        <f>"J10057304"</f>
        <v>J10057304</v>
      </c>
      <c r="K645" s="218" t="str">
        <f>"J77499"</f>
        <v>J77499</v>
      </c>
      <c r="L645" s="218" t="str">
        <f>"Accommodation -Lucy William"</f>
        <v>Accommodation -Lucy William</v>
      </c>
      <c r="M645" s="218" t="str">
        <f>"6030"</f>
        <v>6030</v>
      </c>
      <c r="N645" s="218" t="str">
        <f>"STAFF ACCOMMODATION   HOTELS"</f>
        <v>STAFF ACCOMMODATION   HOTELS</v>
      </c>
      <c r="O645" s="218" t="str">
        <f>"RWAKIG"</f>
        <v>RWAKIG</v>
      </c>
      <c r="P645" s="218" t="str">
        <f t="shared" si="193"/>
        <v>AP21QR</v>
      </c>
      <c r="Q645" s="218" t="str">
        <f>"WIA"</f>
        <v>WIA</v>
      </c>
      <c r="R645" s="218" t="str">
        <f>""</f>
        <v/>
      </c>
      <c r="S645" s="218" t="str">
        <f>"125"</f>
        <v>125</v>
      </c>
      <c r="T645" s="218" t="str">
        <f t="shared" si="217"/>
        <v>D</v>
      </c>
      <c r="U645" s="218" t="str">
        <f t="shared" si="213"/>
        <v>AFR000</v>
      </c>
      <c r="V645" s="218" t="str">
        <f t="shared" si="195"/>
        <v>###</v>
      </c>
      <c r="W645" s="218">
        <v>-108.23</v>
      </c>
      <c r="X645" s="218" t="str">
        <f t="shared" si="218"/>
        <v>USD</v>
      </c>
      <c r="Y645" s="218">
        <v>-86.9</v>
      </c>
      <c r="Z645" s="218">
        <v>-108.23</v>
      </c>
      <c r="AA645" s="218">
        <v>-97.75</v>
      </c>
    </row>
    <row r="646" spans="1:28">
      <c r="A646" s="218" t="s">
        <v>2592</v>
      </c>
      <c r="F646" s="219" t="str">
        <f>"""IntAlert Live"",""ALERT UK"",""17"",""1"",""544302"""</f>
        <v>"IntAlert Live","ALERT UK","17","1","544302"</v>
      </c>
      <c r="G646" s="223">
        <v>43951</v>
      </c>
      <c r="H646" s="223"/>
      <c r="I646" s="218" t="str">
        <f>"JDRCBUK/BANK/2019/07/015"</f>
        <v>JDRCBUK/BANK/2019/07/015</v>
      </c>
      <c r="K646" s="218" t="str">
        <f>"J76665"</f>
        <v>J76665</v>
      </c>
      <c r="L646" s="218" t="str">
        <f>"Lgmt 3July'19 Jeampy Lukusa"</f>
        <v>Lgmt 3July'19 Jeampy Lukusa</v>
      </c>
      <c r="M646" s="218" t="str">
        <f>"6230"</f>
        <v>6230</v>
      </c>
      <c r="N646" s="218" t="str">
        <f>"PARTICIPANT ACCOMTN HOTEL"</f>
        <v>PARTICIPANT ACCOMTN HOTEL</v>
      </c>
      <c r="O646" s="218" t="str">
        <f t="shared" ref="O646:O653" si="219">"DRCBUK"</f>
        <v>DRCBUK</v>
      </c>
      <c r="P646" s="218" t="str">
        <f t="shared" si="193"/>
        <v>AP21QR</v>
      </c>
      <c r="Q646" s="218" t="str">
        <f>""</f>
        <v/>
      </c>
      <c r="R646" s="218" t="str">
        <f>""</f>
        <v/>
      </c>
      <c r="S646" s="218" t="str">
        <f>"127"</f>
        <v>127</v>
      </c>
      <c r="T646" s="218" t="str">
        <f t="shared" si="217"/>
        <v>D</v>
      </c>
      <c r="U646" s="218" t="str">
        <f t="shared" si="213"/>
        <v>AFR000</v>
      </c>
      <c r="V646" s="218" t="str">
        <f t="shared" si="195"/>
        <v>###</v>
      </c>
      <c r="W646" s="218">
        <v>-60</v>
      </c>
      <c r="X646" s="218" t="str">
        <f t="shared" si="218"/>
        <v>USD</v>
      </c>
      <c r="Y646" s="218">
        <v>-48.17</v>
      </c>
      <c r="Z646" s="218">
        <v>-60</v>
      </c>
      <c r="AA646" s="218">
        <v>-54.18</v>
      </c>
    </row>
    <row r="647" spans="1:28">
      <c r="A647" s="218" t="s">
        <v>2592</v>
      </c>
      <c r="F647" s="219" t="str">
        <f>"""IntAlert Live"",""ALERT UK"",""17"",""1"",""544303"""</f>
        <v>"IntAlert Live","ALERT UK","17","1","544303"</v>
      </c>
      <c r="G647" s="223">
        <v>43951</v>
      </c>
      <c r="H647" s="223"/>
      <c r="I647" s="218" t="str">
        <f>"JDRCBUK/BANK/2019/08/017"</f>
        <v>JDRCBUK/BANK/2019/08/017</v>
      </c>
      <c r="K647" s="218" t="str">
        <f>"J76932"</f>
        <v>J76932</v>
      </c>
      <c r="L647" s="218" t="str">
        <f>"Pmt sécurité Bureau-Aout'19"</f>
        <v>Pmt sécurité Bureau-Aout'19</v>
      </c>
      <c r="M647" s="218" t="str">
        <f>"8110"</f>
        <v>8110</v>
      </c>
      <c r="N647" s="218" t="str">
        <f>"HEALTH AND SAFETY"</f>
        <v>HEALTH AND SAFETY</v>
      </c>
      <c r="O647" s="218" t="str">
        <f t="shared" si="219"/>
        <v>DRCBUK</v>
      </c>
      <c r="P647" s="218" t="str">
        <f t="shared" ref="P647:P653" si="220">"AP21QR"</f>
        <v>AP21QR</v>
      </c>
      <c r="Q647" s="218" t="str">
        <f>""</f>
        <v/>
      </c>
      <c r="R647" s="218" t="str">
        <f>""</f>
        <v/>
      </c>
      <c r="S647" s="218" t="str">
        <f>"137"</f>
        <v>137</v>
      </c>
      <c r="T647" s="218" t="str">
        <f t="shared" si="217"/>
        <v>D</v>
      </c>
      <c r="U647" s="218" t="str">
        <f t="shared" si="213"/>
        <v>AFR000</v>
      </c>
      <c r="V647" s="218" t="str">
        <f t="shared" ref="V647:V653" si="221">"###"</f>
        <v>###</v>
      </c>
      <c r="W647" s="218">
        <v>-75</v>
      </c>
      <c r="X647" s="218" t="str">
        <f t="shared" si="218"/>
        <v>USD</v>
      </c>
      <c r="Y647" s="218">
        <v>-60.22</v>
      </c>
      <c r="Z647" s="218">
        <v>-75</v>
      </c>
      <c r="AA647" s="218">
        <v>-67.739999999999995</v>
      </c>
    </row>
    <row r="648" spans="1:28">
      <c r="A648" s="218" t="s">
        <v>2592</v>
      </c>
      <c r="F648" s="219" t="str">
        <f>"""IntAlert Live"",""ALERT UK"",""17"",""1"",""544304"""</f>
        <v>"IntAlert Live","ALERT UK","17","1","544304"</v>
      </c>
      <c r="G648" s="223">
        <v>43951</v>
      </c>
      <c r="H648" s="223"/>
      <c r="I648" s="218" t="str">
        <f>"JDRCBUK/BANK/2019/09/016"</f>
        <v>JDRCBUK/BANK/2019/09/016</v>
      </c>
      <c r="K648" s="218" t="str">
        <f>"J77221"</f>
        <v>J77221</v>
      </c>
      <c r="L648" s="218" t="str">
        <f>"Pmt sécurité Résidence George-Sept'19"</f>
        <v>Pmt sécurité Résidence George-Sept'19</v>
      </c>
      <c r="M648" s="218" t="str">
        <f>"5130"</f>
        <v>5130</v>
      </c>
      <c r="N648" s="218" t="str">
        <f>"EMPLOYMENT HOUSING  COSTS"</f>
        <v>EMPLOYMENT HOUSING  COSTS</v>
      </c>
      <c r="O648" s="218" t="str">
        <f t="shared" si="219"/>
        <v>DRCBUK</v>
      </c>
      <c r="P648" s="218" t="str">
        <f t="shared" si="220"/>
        <v>AP21QR</v>
      </c>
      <c r="Q648" s="218" t="str">
        <f>"NDI"</f>
        <v>NDI</v>
      </c>
      <c r="R648" s="218" t="str">
        <f>""</f>
        <v/>
      </c>
      <c r="S648" s="218" t="str">
        <f>"137"</f>
        <v>137</v>
      </c>
      <c r="T648" s="218" t="str">
        <f t="shared" si="217"/>
        <v>D</v>
      </c>
      <c r="U648" s="218" t="str">
        <f t="shared" si="213"/>
        <v>AFR000</v>
      </c>
      <c r="V648" s="218" t="str">
        <f t="shared" si="221"/>
        <v>###</v>
      </c>
      <c r="W648" s="218">
        <v>-127.5</v>
      </c>
      <c r="X648" s="218" t="str">
        <f t="shared" si="218"/>
        <v>USD</v>
      </c>
      <c r="Y648" s="218">
        <v>-102.37</v>
      </c>
      <c r="Z648" s="218">
        <v>-127.5</v>
      </c>
      <c r="AA648" s="218">
        <v>-115.15</v>
      </c>
    </row>
    <row r="649" spans="1:28">
      <c r="A649" s="218" t="s">
        <v>2592</v>
      </c>
      <c r="F649" s="219" t="str">
        <f>"""IntAlert Live"",""ALERT UK"",""17"",""1"",""544305"""</f>
        <v>"IntAlert Live","ALERT UK","17","1","544305"</v>
      </c>
      <c r="G649" s="223">
        <v>43951</v>
      </c>
      <c r="H649" s="223"/>
      <c r="I649" s="218" t="str">
        <f>"JDRCBUK/BANK/2019/09/016"</f>
        <v>JDRCBUK/BANK/2019/09/016</v>
      </c>
      <c r="K649" s="218" t="str">
        <f>"J77221"</f>
        <v>J77221</v>
      </c>
      <c r="L649" s="218" t="str">
        <f>"Pmt sécurité Bureau-Sept'19"</f>
        <v>Pmt sécurité Bureau-Sept'19</v>
      </c>
      <c r="M649" s="218" t="str">
        <f>"8110"</f>
        <v>8110</v>
      </c>
      <c r="N649" s="218" t="str">
        <f>"HEALTH AND SAFETY"</f>
        <v>HEALTH AND SAFETY</v>
      </c>
      <c r="O649" s="218" t="str">
        <f t="shared" si="219"/>
        <v>DRCBUK</v>
      </c>
      <c r="P649" s="218" t="str">
        <f t="shared" si="220"/>
        <v>AP21QR</v>
      </c>
      <c r="Q649" s="218" t="str">
        <f>""</f>
        <v/>
      </c>
      <c r="R649" s="218" t="str">
        <f>""</f>
        <v/>
      </c>
      <c r="S649" s="218" t="str">
        <f>"137"</f>
        <v>137</v>
      </c>
      <c r="T649" s="218" t="str">
        <f t="shared" si="217"/>
        <v>D</v>
      </c>
      <c r="U649" s="218" t="str">
        <f t="shared" si="213"/>
        <v>AFR000</v>
      </c>
      <c r="V649" s="218" t="str">
        <f t="shared" si="221"/>
        <v>###</v>
      </c>
      <c r="W649" s="218">
        <v>-75</v>
      </c>
      <c r="X649" s="218" t="str">
        <f t="shared" si="218"/>
        <v>USD</v>
      </c>
      <c r="Y649" s="218">
        <v>-60.22</v>
      </c>
      <c r="Z649" s="218">
        <v>-75</v>
      </c>
      <c r="AA649" s="218">
        <v>-67.739999999999995</v>
      </c>
    </row>
    <row r="650" spans="1:28">
      <c r="A650" s="218" t="s">
        <v>2592</v>
      </c>
      <c r="F650" s="219" t="str">
        <f>"""IntAlert Live"",""ALERT UK"",""17"",""1"",""544306"""</f>
        <v>"IntAlert Live","ALERT UK","17","1","544306"</v>
      </c>
      <c r="G650" s="223">
        <v>43951</v>
      </c>
      <c r="H650" s="223"/>
      <c r="I650" s="218" t="str">
        <f>"JDRCBUK/BANK/2020/02/036"</f>
        <v>JDRCBUK/BANK/2020/02/036</v>
      </c>
      <c r="K650" s="218" t="str">
        <f>"JHDW"</f>
        <v>JHDW</v>
      </c>
      <c r="L650" s="218" t="str">
        <f>"Pmt gardenage Bureau Bukavu Fev020 50%"</f>
        <v>Pmt gardenage Bureau Bukavu Fev020 50%</v>
      </c>
      <c r="M650" s="218" t="str">
        <f>"8110"</f>
        <v>8110</v>
      </c>
      <c r="N650" s="218" t="str">
        <f>"HEALTH AND SAFETY"</f>
        <v>HEALTH AND SAFETY</v>
      </c>
      <c r="O650" s="218" t="str">
        <f t="shared" si="219"/>
        <v>DRCBUK</v>
      </c>
      <c r="P650" s="218" t="str">
        <f t="shared" si="220"/>
        <v>AP21QR</v>
      </c>
      <c r="Q650" s="218" t="str">
        <f>""</f>
        <v/>
      </c>
      <c r="R650" s="218" t="str">
        <f>""</f>
        <v/>
      </c>
      <c r="S650" s="218" t="str">
        <f>"137"</f>
        <v>137</v>
      </c>
      <c r="T650" s="218" t="str">
        <f t="shared" si="217"/>
        <v>D</v>
      </c>
      <c r="U650" s="218" t="str">
        <f t="shared" si="213"/>
        <v>AFR000</v>
      </c>
      <c r="V650" s="218" t="str">
        <f t="shared" si="221"/>
        <v>###</v>
      </c>
      <c r="W650" s="218">
        <v>-375</v>
      </c>
      <c r="X650" s="218" t="str">
        <f t="shared" si="218"/>
        <v>USD</v>
      </c>
      <c r="Y650" s="218">
        <v>-301.08999999999997</v>
      </c>
      <c r="Z650" s="218">
        <v>-375</v>
      </c>
      <c r="AA650" s="218">
        <v>-338.68</v>
      </c>
    </row>
    <row r="651" spans="1:28">
      <c r="A651" s="218" t="s">
        <v>2592</v>
      </c>
      <c r="F651" s="219" t="str">
        <f>"""IntAlert Live"",""ALERT UK"",""17"",""1"",""555648"""</f>
        <v>"IntAlert Live","ALERT UK","17","1","555648"</v>
      </c>
      <c r="G651" s="223">
        <v>43921</v>
      </c>
      <c r="H651" s="223"/>
      <c r="I651" s="218" t="str">
        <f>"DRCPARTNER/PAPU/AP21QR/2020/01"</f>
        <v>DRCPARTNER/PAPU/AP21QR/2020/01</v>
      </c>
      <c r="K651" s="218" t="str">
        <f>"ADED"</f>
        <v>ADED</v>
      </c>
      <c r="L651" s="218" t="str">
        <f>"Justification Avance ADED anné 2 ,Q1 projet CAM"</f>
        <v>Justification Avance ADED anné 2 ,Q1 projet CAM</v>
      </c>
      <c r="M651" s="218" t="str">
        <f>"6401"</f>
        <v>6401</v>
      </c>
      <c r="N651" s="218" t="str">
        <f>"GRANT TO PARTNER-Control Accnt"</f>
        <v>GRANT TO PARTNER-Control Accnt</v>
      </c>
      <c r="O651" s="218" t="str">
        <f t="shared" si="219"/>
        <v>DRCBUK</v>
      </c>
      <c r="P651" s="218" t="str">
        <f t="shared" si="220"/>
        <v>AP21QR</v>
      </c>
      <c r="Q651" s="218" t="str">
        <f>""</f>
        <v/>
      </c>
      <c r="R651" s="218" t="str">
        <f>"PAPU"</f>
        <v>PAPU</v>
      </c>
      <c r="S651" s="218" t="str">
        <f>"300"</f>
        <v>300</v>
      </c>
      <c r="T651" s="218" t="str">
        <f t="shared" si="217"/>
        <v>D</v>
      </c>
      <c r="U651" s="218" t="str">
        <f t="shared" si="213"/>
        <v>AFR000</v>
      </c>
      <c r="V651" s="218" t="str">
        <f t="shared" si="221"/>
        <v>###</v>
      </c>
      <c r="W651" s="218">
        <v>-15928.82</v>
      </c>
      <c r="X651" s="218" t="str">
        <f t="shared" si="218"/>
        <v>USD</v>
      </c>
      <c r="Y651" s="218">
        <v>-12637.72</v>
      </c>
      <c r="Z651" s="218">
        <v>-15928.82</v>
      </c>
      <c r="AA651" s="218">
        <v>-14463.24</v>
      </c>
    </row>
    <row r="652" spans="1:28">
      <c r="A652" s="218" t="s">
        <v>2592</v>
      </c>
      <c r="F652" s="219" t="str">
        <f>"""IntAlert Live"",""ALERT UK"",""17"",""1"",""555809"""</f>
        <v>"IntAlert Live","ALERT UK","17","1","555809"</v>
      </c>
      <c r="G652" s="223">
        <v>43921</v>
      </c>
      <c r="H652" s="223"/>
      <c r="I652" s="218" t="str">
        <f>""</f>
        <v/>
      </c>
      <c r="K652" s="218" t="str">
        <f>"SVH"</f>
        <v>SVH</v>
      </c>
      <c r="L652" s="218" t="str">
        <f>"Justification Avance1 SVH anné 2projet CAM"</f>
        <v>Justification Avance1 SVH anné 2projet CAM</v>
      </c>
      <c r="M652" s="218" t="str">
        <f>"6401"</f>
        <v>6401</v>
      </c>
      <c r="N652" s="218" t="str">
        <f>"GRANT TO PARTNER-Control Accnt"</f>
        <v>GRANT TO PARTNER-Control Accnt</v>
      </c>
      <c r="O652" s="218" t="str">
        <f t="shared" si="219"/>
        <v>DRCBUK</v>
      </c>
      <c r="P652" s="218" t="str">
        <f t="shared" si="220"/>
        <v>AP21QR</v>
      </c>
      <c r="Q652" s="218" t="str">
        <f>""</f>
        <v/>
      </c>
      <c r="R652" s="218" t="str">
        <f>"PSOL"</f>
        <v>PSOL</v>
      </c>
      <c r="S652" s="218" t="str">
        <f>"300"</f>
        <v>300</v>
      </c>
      <c r="T652" s="218" t="str">
        <f t="shared" si="217"/>
        <v>D</v>
      </c>
      <c r="U652" s="218" t="str">
        <f t="shared" si="213"/>
        <v>AFR000</v>
      </c>
      <c r="V652" s="218" t="str">
        <f t="shared" si="221"/>
        <v>###</v>
      </c>
      <c r="W652" s="218">
        <v>-14955.36</v>
      </c>
      <c r="X652" s="218" t="str">
        <f t="shared" si="218"/>
        <v>USD</v>
      </c>
      <c r="Y652" s="218">
        <v>-11865.39</v>
      </c>
      <c r="Z652" s="218">
        <v>-14955.36</v>
      </c>
      <c r="AA652" s="218">
        <v>-13579.35</v>
      </c>
    </row>
    <row r="653" spans="1:28">
      <c r="A653" s="218" t="s">
        <v>2592</v>
      </c>
      <c r="F653" s="219" t="str">
        <f>"""IntAlert Live"",""ALERT UK"",""17"",""1"",""555997"""</f>
        <v>"IntAlert Live","ALERT UK","17","1","555997"</v>
      </c>
      <c r="G653" s="223">
        <v>43921</v>
      </c>
      <c r="H653" s="223"/>
      <c r="I653" s="218" t="str">
        <f>"DRCPARTNER/PBVE/AP21QR/2020/01"</f>
        <v>DRCPARTNER/PBVE/AP21QR/2020/01</v>
      </c>
      <c r="K653" s="218" t="str">
        <f>"BVES"</f>
        <v>BVES</v>
      </c>
      <c r="L653" s="218" t="str">
        <f>"Justification Avance BVES anné 2 ,Q1 projet CAM"</f>
        <v>Justification Avance BVES anné 2 ,Q1 projet CAM</v>
      </c>
      <c r="M653" s="218" t="str">
        <f>"6401"</f>
        <v>6401</v>
      </c>
      <c r="N653" s="218" t="str">
        <f>"GRANT TO PARTNER-Control Accnt"</f>
        <v>GRANT TO PARTNER-Control Accnt</v>
      </c>
      <c r="O653" s="218" t="str">
        <f t="shared" si="219"/>
        <v>DRCBUK</v>
      </c>
      <c r="P653" s="218" t="str">
        <f t="shared" si="220"/>
        <v>AP21QR</v>
      </c>
      <c r="Q653" s="218" t="str">
        <f>""</f>
        <v/>
      </c>
      <c r="R653" s="218" t="str">
        <f>"PBVE"</f>
        <v>PBVE</v>
      </c>
      <c r="S653" s="218" t="str">
        <f>"300"</f>
        <v>300</v>
      </c>
      <c r="T653" s="218" t="str">
        <f t="shared" si="217"/>
        <v>D</v>
      </c>
      <c r="U653" s="218" t="str">
        <f t="shared" si="213"/>
        <v>AFR000</v>
      </c>
      <c r="V653" s="218" t="str">
        <f t="shared" si="221"/>
        <v>###</v>
      </c>
      <c r="W653" s="218">
        <v>-12361.74</v>
      </c>
      <c r="X653" s="218" t="str">
        <f t="shared" si="218"/>
        <v>USD</v>
      </c>
      <c r="Y653" s="218">
        <v>-9807.65</v>
      </c>
      <c r="Z653" s="218">
        <v>-12361.74</v>
      </c>
      <c r="AA653" s="218">
        <v>-11224.37</v>
      </c>
    </row>
    <row r="655" spans="1:28">
      <c r="V655" s="218" t="s">
        <v>4785</v>
      </c>
      <c r="W655" s="218">
        <f>SUBTOTAL(9,W7:W654)</f>
        <v>1381244.0599999991</v>
      </c>
      <c r="Y655" s="218">
        <f>SUBTOTAL(9,Y7:Y654)</f>
        <v>35778.45370000002</v>
      </c>
      <c r="Z655" s="218">
        <f>SUBTOTAL(9,Z7:Z654)</f>
        <v>44880.555699416997</v>
      </c>
    </row>
    <row r="656" spans="1:28">
      <c r="Z656" s="218">
        <f>Z655-SUM(Z651:Z653)</f>
        <v>88126.475699417002</v>
      </c>
      <c r="AB656" s="2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89"/>
  <sheetViews>
    <sheetView topLeftCell="R573" workbookViewId="0">
      <selection activeCell="Z590" sqref="Z590"/>
    </sheetView>
  </sheetViews>
  <sheetFormatPr defaultRowHeight="15"/>
  <cols>
    <col min="1" max="3" width="9.140625" style="218" hidden="1" customWidth="1"/>
    <col min="4" max="5" width="9.140625" style="218"/>
    <col min="6" max="6" width="9.140625" style="219" hidden="1" customWidth="1"/>
    <col min="7" max="7" width="14.85546875" style="218" bestFit="1" customWidth="1"/>
    <col min="8" max="8" width="14.85546875" style="218" customWidth="1"/>
    <col min="9" max="9" width="34.140625" style="218" bestFit="1" customWidth="1"/>
    <col min="10" max="10" width="21.85546875" style="218" customWidth="1"/>
    <col min="11" max="11" width="36.85546875" style="218" bestFit="1" customWidth="1"/>
    <col min="12" max="12" width="71.7109375" style="218" bestFit="1" customWidth="1"/>
    <col min="13" max="13" width="15.28515625" style="218" bestFit="1" customWidth="1"/>
    <col min="14" max="14" width="33.42578125" style="218" bestFit="1" customWidth="1"/>
    <col min="15" max="15" width="13.140625" style="218" bestFit="1" customWidth="1"/>
    <col min="16" max="16" width="10.42578125" style="218" bestFit="1" customWidth="1"/>
    <col min="17" max="17" width="12.28515625" style="218" bestFit="1" customWidth="1"/>
    <col min="18" max="18" width="19.140625" style="218" bestFit="1" customWidth="1"/>
    <col min="19" max="19" width="16.42578125" style="218" bestFit="1" customWidth="1"/>
    <col min="20" max="20" width="14.7109375" style="218" bestFit="1" customWidth="1"/>
    <col min="21" max="21" width="12.28515625" style="218" bestFit="1" customWidth="1"/>
    <col min="22" max="22" width="18.42578125" style="218" bestFit="1" customWidth="1"/>
    <col min="23" max="23" width="23.28515625" style="218" bestFit="1" customWidth="1"/>
    <col min="24" max="24" width="20.5703125" style="218" bestFit="1" customWidth="1"/>
    <col min="25" max="25" width="10.7109375" style="218" bestFit="1" customWidth="1"/>
    <col min="26" max="26" width="27" style="218" bestFit="1" customWidth="1"/>
    <col min="27" max="27" width="23.140625" style="218" bestFit="1" customWidth="1"/>
    <col min="28" max="16384" width="9.140625" style="218"/>
  </cols>
  <sheetData>
    <row r="1" spans="1:27" hidden="1">
      <c r="A1" s="218" t="s">
        <v>4786</v>
      </c>
      <c r="B1" s="218" t="s">
        <v>2564</v>
      </c>
      <c r="C1" s="218" t="s">
        <v>2564</v>
      </c>
      <c r="F1" s="219" t="s">
        <v>2564</v>
      </c>
      <c r="G1" s="218" t="s">
        <v>2565</v>
      </c>
      <c r="I1" s="218" t="s">
        <v>2565</v>
      </c>
      <c r="K1" s="218" t="s">
        <v>2565</v>
      </c>
      <c r="L1" s="218" t="s">
        <v>2565</v>
      </c>
      <c r="M1" s="218" t="s">
        <v>2565</v>
      </c>
      <c r="N1" s="218" t="s">
        <v>2565</v>
      </c>
      <c r="O1" s="218" t="s">
        <v>2565</v>
      </c>
      <c r="P1" s="218" t="s">
        <v>2565</v>
      </c>
      <c r="Q1" s="218" t="s">
        <v>2565</v>
      </c>
      <c r="R1" s="218" t="s">
        <v>2565</v>
      </c>
      <c r="S1" s="218" t="s">
        <v>2565</v>
      </c>
      <c r="T1" s="218" t="s">
        <v>2565</v>
      </c>
      <c r="U1" s="218" t="s">
        <v>2565</v>
      </c>
      <c r="V1" s="218" t="s">
        <v>2565</v>
      </c>
      <c r="W1" s="218" t="s">
        <v>2565</v>
      </c>
      <c r="X1" s="218" t="s">
        <v>2565</v>
      </c>
      <c r="Y1" s="218" t="s">
        <v>2565</v>
      </c>
      <c r="Z1" s="218" t="s">
        <v>2565</v>
      </c>
      <c r="AA1" s="218" t="s">
        <v>2565</v>
      </c>
    </row>
    <row r="2" spans="1:27" hidden="1">
      <c r="A2" s="218" t="s">
        <v>2564</v>
      </c>
      <c r="B2" s="218" t="s">
        <v>2566</v>
      </c>
      <c r="C2" s="218" t="str">
        <f>"AP21QR"</f>
        <v>AP21QR</v>
      </c>
    </row>
    <row r="3" spans="1:27" hidden="1">
      <c r="A3" s="218" t="s">
        <v>2564</v>
      </c>
      <c r="B3" s="218" t="s">
        <v>2567</v>
      </c>
      <c r="C3" s="218" t="str">
        <f>"01/01/2020..31/03/2020"</f>
        <v>01/01/2020..31/03/2020</v>
      </c>
    </row>
    <row r="4" spans="1:27" hidden="1">
      <c r="A4" s="218" t="s">
        <v>2564</v>
      </c>
      <c r="B4" s="218" t="s">
        <v>2571</v>
      </c>
      <c r="C4" s="218" t="str">
        <f>"*"</f>
        <v>*</v>
      </c>
    </row>
    <row r="6" spans="1:27">
      <c r="G6" s="218" t="s">
        <v>4787</v>
      </c>
      <c r="I6" s="218" t="s">
        <v>2573</v>
      </c>
      <c r="K6" s="218" t="s">
        <v>2574</v>
      </c>
      <c r="L6" s="218" t="s">
        <v>357</v>
      </c>
      <c r="M6" s="218" t="s">
        <v>2571</v>
      </c>
      <c r="N6" s="218" t="s">
        <v>2579</v>
      </c>
      <c r="O6" s="218" t="s">
        <v>2569</v>
      </c>
      <c r="P6" s="218" t="s">
        <v>2566</v>
      </c>
      <c r="Q6" s="218" t="s">
        <v>2580</v>
      </c>
      <c r="R6" s="218" t="s">
        <v>2581</v>
      </c>
      <c r="S6" s="218" t="s">
        <v>2572</v>
      </c>
      <c r="T6" s="218" t="s">
        <v>2582</v>
      </c>
      <c r="U6" s="218" t="s">
        <v>369</v>
      </c>
      <c r="V6" s="218" t="s">
        <v>2583</v>
      </c>
      <c r="W6" s="218" t="s">
        <v>2578</v>
      </c>
      <c r="X6" s="218" t="s">
        <v>2577</v>
      </c>
      <c r="Y6" s="218" t="s">
        <v>2576</v>
      </c>
      <c r="Z6" s="218" t="s">
        <v>2585</v>
      </c>
      <c r="AA6" s="218" t="s">
        <v>2584</v>
      </c>
    </row>
    <row r="7" spans="1:27">
      <c r="F7" s="219" t="str">
        <f>"""IntAlert Live"",""ALERT UK"",""17"",""1"",""535857"""</f>
        <v>"IntAlert Live","ALERT UK","17","1","535857"</v>
      </c>
      <c r="G7" s="223">
        <v>43872</v>
      </c>
      <c r="H7" s="223"/>
      <c r="I7" s="218" t="str">
        <f>""</f>
        <v/>
      </c>
      <c r="K7" s="218" t="str">
        <f>"USD 11 FEB20"</f>
        <v>USD 11 FEB20</v>
      </c>
      <c r="L7" s="218" t="str">
        <f>"UNDP"</f>
        <v>UNDP</v>
      </c>
      <c r="M7" s="218" t="str">
        <f>"4010"</f>
        <v>4010</v>
      </c>
      <c r="N7" s="218" t="str">
        <f>"GRANTS   CHARITIES &amp; FOUNDNS"</f>
        <v>GRANTS   CHARITIES &amp; FOUNDNS</v>
      </c>
      <c r="O7" s="218" t="str">
        <f>"UNILON"</f>
        <v>UNILON</v>
      </c>
      <c r="P7" s="218" t="str">
        <f t="shared" ref="P7:P70" si="0">"AP21QR"</f>
        <v>AP21QR</v>
      </c>
      <c r="Q7" s="218" t="str">
        <f>""</f>
        <v/>
      </c>
      <c r="R7" s="218" t="str">
        <f>"DUND"</f>
        <v>DUND</v>
      </c>
      <c r="S7" s="218" t="str">
        <f>""</f>
        <v/>
      </c>
      <c r="T7" s="218" t="str">
        <f>""</f>
        <v/>
      </c>
      <c r="U7" s="218" t="str">
        <f t="shared" ref="U7:U35" si="1">"AFR000"</f>
        <v>AFR000</v>
      </c>
      <c r="V7" s="218" t="str">
        <f>""</f>
        <v/>
      </c>
      <c r="W7" s="218">
        <v>-525000</v>
      </c>
      <c r="X7" s="218" t="str">
        <f t="shared" ref="X7:X35" si="2">"USD"</f>
        <v>USD</v>
      </c>
      <c r="Y7" s="218">
        <v>-397936.2</v>
      </c>
      <c r="Z7" s="218">
        <v>-525000</v>
      </c>
      <c r="AA7" s="218">
        <v>-472704.43</v>
      </c>
    </row>
    <row r="8" spans="1:27">
      <c r="A8" s="218" t="s">
        <v>2592</v>
      </c>
      <c r="F8" s="219" t="str">
        <f>"""IntAlert Live"",""ALERT UK"",""17"",""1"",""535858"""</f>
        <v>"IntAlert Live","ALERT UK","17","1","535858"</v>
      </c>
      <c r="G8" s="223">
        <v>43872</v>
      </c>
      <c r="H8" s="223"/>
      <c r="I8" s="218" t="str">
        <f>""</f>
        <v/>
      </c>
      <c r="K8" s="218" t="str">
        <f>"USD 11 FEB20"</f>
        <v>USD 11 FEB20</v>
      </c>
      <c r="L8" s="218" t="str">
        <f>"UNDP"</f>
        <v>UNDP</v>
      </c>
      <c r="M8" s="218" t="str">
        <f>"9770"</f>
        <v>9770</v>
      </c>
      <c r="N8" s="218" t="str">
        <f>"BANK CHARGES"</f>
        <v>BANK CHARGES</v>
      </c>
      <c r="O8" s="218" t="str">
        <f>"UNILON"</f>
        <v>UNILON</v>
      </c>
      <c r="P8" s="218" t="str">
        <f t="shared" si="0"/>
        <v>AP21QR</v>
      </c>
      <c r="Q8" s="218" t="str">
        <f>""</f>
        <v/>
      </c>
      <c r="R8" s="218" t="str">
        <f>""</f>
        <v/>
      </c>
      <c r="S8" s="218" t="str">
        <f>"###"</f>
        <v>###</v>
      </c>
      <c r="T8" s="218" t="str">
        <f t="shared" ref="T8:T39" si="3">"D"</f>
        <v>D</v>
      </c>
      <c r="U8" s="218" t="str">
        <f t="shared" si="1"/>
        <v>AFR000</v>
      </c>
      <c r="V8" s="218" t="str">
        <f t="shared" ref="V8:V35" si="4">"###"</f>
        <v>###</v>
      </c>
      <c r="W8" s="218">
        <v>9.27</v>
      </c>
      <c r="X8" s="218" t="str">
        <f t="shared" si="2"/>
        <v>USD</v>
      </c>
      <c r="Y8" s="218">
        <v>7.03</v>
      </c>
      <c r="Z8" s="218">
        <v>9.27</v>
      </c>
      <c r="AA8" s="218">
        <v>8.35</v>
      </c>
    </row>
    <row r="9" spans="1:27">
      <c r="A9" s="218" t="s">
        <v>2592</v>
      </c>
      <c r="F9" s="219" t="str">
        <f>"""IntAlert Live"",""ALERT UK"",""17"",""1"",""532319"""</f>
        <v>"IntAlert Live","ALERT UK","17","1","532319"</v>
      </c>
      <c r="G9" s="223">
        <v>43885</v>
      </c>
      <c r="H9" s="223"/>
      <c r="I9" s="218" t="str">
        <f>"DRCBUK/BANK/2020/02/020"</f>
        <v>DRCBUK/BANK/2020/02/020</v>
      </c>
      <c r="K9" s="218" t="str">
        <f>"HOTEL BEGONIAS"</f>
        <v>HOTEL BEGONIAS</v>
      </c>
      <c r="L9" s="218" t="str">
        <f>"Logemnt JB12-14 Rappel pratiques,procedures Alert-BUK"</f>
        <v>Logemnt JB12-14 Rappel pratiques,procedures Alert-BUK</v>
      </c>
      <c r="M9" s="218" t="str">
        <f>"6030"</f>
        <v>6030</v>
      </c>
      <c r="N9" s="218" t="str">
        <f>"STAFF ACCOMMODATION   HOTELS"</f>
        <v>STAFF ACCOMMODATION   HOTELS</v>
      </c>
      <c r="O9" s="218" t="str">
        <f>"DRCBUK"</f>
        <v>DRCBUK</v>
      </c>
      <c r="P9" s="218" t="str">
        <f t="shared" si="0"/>
        <v>AP21QR</v>
      </c>
      <c r="Q9" s="218" t="str">
        <f>"SIB"</f>
        <v>SIB</v>
      </c>
      <c r="R9" s="218" t="str">
        <f>""</f>
        <v/>
      </c>
      <c r="S9" s="218" t="str">
        <f>"001"</f>
        <v>001</v>
      </c>
      <c r="T9" s="218" t="str">
        <f t="shared" si="3"/>
        <v>D</v>
      </c>
      <c r="U9" s="218" t="str">
        <f t="shared" si="1"/>
        <v>AFR000</v>
      </c>
      <c r="V9" s="218" t="str">
        <f t="shared" si="4"/>
        <v>###</v>
      </c>
      <c r="W9" s="218">
        <v>40</v>
      </c>
      <c r="X9" s="218" t="str">
        <f t="shared" si="2"/>
        <v>USD</v>
      </c>
      <c r="Y9" s="218">
        <v>30.32</v>
      </c>
      <c r="Z9" s="218">
        <v>40</v>
      </c>
      <c r="AA9" s="218">
        <v>36.020000000000003</v>
      </c>
    </row>
    <row r="10" spans="1:27">
      <c r="A10" s="218" t="s">
        <v>2592</v>
      </c>
      <c r="F10" s="219" t="str">
        <f>"""IntAlert Live"",""ALERT UK"",""17"",""1"",""532325"""</f>
        <v>"IntAlert Live","ALERT UK","17","1","532325"</v>
      </c>
      <c r="G10" s="223">
        <v>43885</v>
      </c>
      <c r="H10" s="223"/>
      <c r="I10" s="218" t="str">
        <f>"DRCBUK/BANK/2020/02/020"</f>
        <v>DRCBUK/BANK/2020/02/020</v>
      </c>
      <c r="K10" s="218" t="str">
        <f>"HOTEL BEGONIAS"</f>
        <v>HOTEL BEGONIAS</v>
      </c>
      <c r="L10" s="218" t="str">
        <f>"Location salle:Rappel pratiques,procedures Alert-BUK"</f>
        <v>Location salle:Rappel pratiques,procedures Alert-BUK</v>
      </c>
      <c r="M10" s="218" t="str">
        <f>"6640"</f>
        <v>6640</v>
      </c>
      <c r="N10" s="218" t="str">
        <f>"VENUE HIRE"</f>
        <v>VENUE HIRE</v>
      </c>
      <c r="O10" s="218" t="str">
        <f>"DRCBUK"</f>
        <v>DRCBUK</v>
      </c>
      <c r="P10" s="218" t="str">
        <f t="shared" si="0"/>
        <v>AP21QR</v>
      </c>
      <c r="Q10" s="218" t="str">
        <f>""</f>
        <v/>
      </c>
      <c r="R10" s="218" t="str">
        <f>""</f>
        <v/>
      </c>
      <c r="S10" s="218" t="str">
        <f>"001"</f>
        <v>001</v>
      </c>
      <c r="T10" s="218" t="str">
        <f t="shared" si="3"/>
        <v>D</v>
      </c>
      <c r="U10" s="218" t="str">
        <f t="shared" si="1"/>
        <v>AFR000</v>
      </c>
      <c r="V10" s="218" t="str">
        <f t="shared" si="4"/>
        <v>###</v>
      </c>
      <c r="W10" s="218">
        <v>30</v>
      </c>
      <c r="X10" s="218" t="str">
        <f t="shared" si="2"/>
        <v>USD</v>
      </c>
      <c r="Y10" s="218">
        <v>22.74</v>
      </c>
      <c r="Z10" s="218">
        <v>30</v>
      </c>
      <c r="AA10" s="218">
        <v>27.01</v>
      </c>
    </row>
    <row r="11" spans="1:27">
      <c r="A11" s="218" t="s">
        <v>2592</v>
      </c>
      <c r="F11" s="219" t="str">
        <f>"""IntAlert Live"",""ALERT UK"",""17"",""1"",""532330"""</f>
        <v>"IntAlert Live","ALERT UK","17","1","532330"</v>
      </c>
      <c r="G11" s="223">
        <v>43885</v>
      </c>
      <c r="H11" s="223"/>
      <c r="I11" s="218" t="str">
        <f>"DRCBUK/BANK/2020/02/020"</f>
        <v>DRCBUK/BANK/2020/02/020</v>
      </c>
      <c r="K11" s="218" t="str">
        <f>"HOTEL BEGONIAS"</f>
        <v>HOTEL BEGONIAS</v>
      </c>
      <c r="L11" s="218" t="str">
        <f>"Restauration de participantsà la réunion "</f>
        <v xml:space="preserve">Restauration de participantsà la réunion </v>
      </c>
      <c r="M11" s="218" t="str">
        <f>"6650"</f>
        <v>6650</v>
      </c>
      <c r="N11" s="218" t="str">
        <f>"CATERING"</f>
        <v>CATERING</v>
      </c>
      <c r="O11" s="218" t="str">
        <f>"DRCBUK"</f>
        <v>DRCBUK</v>
      </c>
      <c r="P11" s="218" t="str">
        <f t="shared" si="0"/>
        <v>AP21QR</v>
      </c>
      <c r="Q11" s="218" t="str">
        <f>""</f>
        <v/>
      </c>
      <c r="R11" s="218" t="str">
        <f>""</f>
        <v/>
      </c>
      <c r="S11" s="218" t="str">
        <f>"001"</f>
        <v>001</v>
      </c>
      <c r="T11" s="218" t="str">
        <f t="shared" si="3"/>
        <v>D</v>
      </c>
      <c r="U11" s="218" t="str">
        <f t="shared" si="1"/>
        <v>AFR000</v>
      </c>
      <c r="V11" s="218" t="str">
        <f t="shared" si="4"/>
        <v>###</v>
      </c>
      <c r="W11" s="218">
        <v>30</v>
      </c>
      <c r="X11" s="218" t="str">
        <f t="shared" si="2"/>
        <v>USD</v>
      </c>
      <c r="Y11" s="218">
        <v>22.74</v>
      </c>
      <c r="Z11" s="218">
        <v>30</v>
      </c>
      <c r="AA11" s="218">
        <v>27.01</v>
      </c>
    </row>
    <row r="12" spans="1:27">
      <c r="A12" s="218" t="s">
        <v>2592</v>
      </c>
      <c r="F12" s="219" t="str">
        <f>"""IntAlert Live"",""ALERT UK"",""17"",""1"",""531661"""</f>
        <v>"IntAlert Live","ALERT UK","17","1","531661"</v>
      </c>
      <c r="G12" s="223">
        <v>43889</v>
      </c>
      <c r="H12" s="223"/>
      <c r="I12" s="218" t="str">
        <f>"DRCGOM/ BANQUE/2020/002/021"</f>
        <v>DRCGOM/ BANQUE/2020/002/021</v>
      </c>
      <c r="K12" s="218" t="str">
        <f>"CNSS-FEB 2020"</f>
        <v>CNSS-FEB 2020</v>
      </c>
      <c r="L12" s="218" t="str">
        <f>"CNSS-Feb'20Paul MAKOMA KANYIHATA "</f>
        <v xml:space="preserve">CNSS-Feb'20Paul MAKOMA KANYIHATA </v>
      </c>
      <c r="M12" s="218" t="str">
        <f>"5110"</f>
        <v>5110</v>
      </c>
      <c r="N12" s="218" t="str">
        <f>"EMPLOYER'S PENSION COSTS"</f>
        <v>EMPLOYER'S PENSION COSTS</v>
      </c>
      <c r="O12" s="218" t="str">
        <f>"DRCGOM"</f>
        <v>DRCGOM</v>
      </c>
      <c r="P12" s="218" t="str">
        <f t="shared" si="0"/>
        <v>AP21QR</v>
      </c>
      <c r="Q12" s="218" t="str">
        <f>"PMA"</f>
        <v>PMA</v>
      </c>
      <c r="R12" s="218" t="str">
        <f>""</f>
        <v/>
      </c>
      <c r="S12" s="218" t="str">
        <f>"003"</f>
        <v>003</v>
      </c>
      <c r="T12" s="218" t="str">
        <f t="shared" si="3"/>
        <v>D</v>
      </c>
      <c r="U12" s="218" t="str">
        <f t="shared" si="1"/>
        <v>AFR000</v>
      </c>
      <c r="V12" s="218" t="str">
        <f t="shared" si="4"/>
        <v>###</v>
      </c>
      <c r="W12" s="218">
        <v>69.42</v>
      </c>
      <c r="X12" s="218" t="str">
        <f t="shared" si="2"/>
        <v>USD</v>
      </c>
      <c r="Y12" s="218">
        <v>52.62</v>
      </c>
      <c r="Z12" s="218">
        <v>69.42</v>
      </c>
      <c r="AA12" s="218">
        <v>62.51</v>
      </c>
    </row>
    <row r="13" spans="1:27">
      <c r="A13" s="218" t="s">
        <v>2592</v>
      </c>
      <c r="F13" s="219" t="str">
        <f>"""IntAlert Live"",""ALERT UK"",""17"",""1"",""537312"""</f>
        <v>"IntAlert Live","ALERT UK","17","1","537312"</v>
      </c>
      <c r="G13" s="223">
        <v>43921</v>
      </c>
      <c r="H13" s="223"/>
      <c r="I13" s="218" t="str">
        <f>"DRCGOM/BANQUE/2020/003/020"</f>
        <v>DRCGOM/BANQUE/2020/003/020</v>
      </c>
      <c r="K13" s="218" t="str">
        <f>"CNSS MARCH 2020"</f>
        <v>CNSS MARCH 2020</v>
      </c>
      <c r="L13" s="218" t="str">
        <f>"CNSS-MARCH20--Paul MAKOMA KANYIHATA "</f>
        <v xml:space="preserve">CNSS-MARCH20--Paul MAKOMA KANYIHATA </v>
      </c>
      <c r="M13" s="218" t="str">
        <f>"5110"</f>
        <v>5110</v>
      </c>
      <c r="N13" s="218" t="str">
        <f>"EMPLOYER'S PENSION COSTS"</f>
        <v>EMPLOYER'S PENSION COSTS</v>
      </c>
      <c r="O13" s="218" t="str">
        <f>"DRCGOM"</f>
        <v>DRCGOM</v>
      </c>
      <c r="P13" s="218" t="str">
        <f t="shared" si="0"/>
        <v>AP21QR</v>
      </c>
      <c r="Q13" s="218" t="str">
        <f>"PMA"</f>
        <v>PMA</v>
      </c>
      <c r="R13" s="218" t="str">
        <f>""</f>
        <v/>
      </c>
      <c r="S13" s="218" t="str">
        <f>"003"</f>
        <v>003</v>
      </c>
      <c r="T13" s="218" t="str">
        <f t="shared" si="3"/>
        <v>D</v>
      </c>
      <c r="U13" s="218" t="str">
        <f t="shared" si="1"/>
        <v>AFR000</v>
      </c>
      <c r="V13" s="218" t="str">
        <f t="shared" si="4"/>
        <v>###</v>
      </c>
      <c r="W13" s="218">
        <v>69.42</v>
      </c>
      <c r="X13" s="218" t="str">
        <f t="shared" si="2"/>
        <v>USD</v>
      </c>
      <c r="Y13" s="218">
        <v>54.15</v>
      </c>
      <c r="Z13" s="218">
        <v>69.42</v>
      </c>
      <c r="AA13" s="218">
        <v>63.71</v>
      </c>
    </row>
    <row r="14" spans="1:27">
      <c r="A14" s="218" t="s">
        <v>2592</v>
      </c>
      <c r="F14" s="219" t="str">
        <f>"""IntAlert Live"",""ALERT UK"",""17"",""1"",""540228"""</f>
        <v>"IntAlert Live","ALERT UK","17","1","540228"</v>
      </c>
      <c r="G14" s="223">
        <v>43908</v>
      </c>
      <c r="H14" s="223"/>
      <c r="I14" s="218" t="str">
        <f>"DRCBUK/GENJNL/2020/03/003"</f>
        <v>DRCBUK/GENJNL/2020/03/003</v>
      </c>
      <c r="K14" s="218" t="str">
        <f>"XAVIER NALUHAZE"</f>
        <v>XAVIER NALUHAZE</v>
      </c>
      <c r="L14" s="218" t="str">
        <f>"Frs de voyage Xavier 03-06/03-Uvira"</f>
        <v>Frs de voyage Xavier 03-06/03-Uvira</v>
      </c>
      <c r="M14" s="218" t="str">
        <f>"6080"</f>
        <v>6080</v>
      </c>
      <c r="N14" s="218" t="str">
        <f>"STAFF PER DIEMS"</f>
        <v>STAFF PER DIEMS</v>
      </c>
      <c r="O14" s="218" t="str">
        <f>"DRCBUK"</f>
        <v>DRCBUK</v>
      </c>
      <c r="P14" s="218" t="str">
        <f t="shared" si="0"/>
        <v>AP21QR</v>
      </c>
      <c r="Q14" s="218" t="str">
        <f>"NAL"</f>
        <v>NAL</v>
      </c>
      <c r="R14" s="218" t="str">
        <f>""</f>
        <v/>
      </c>
      <c r="S14" s="218" t="str">
        <f>"005"</f>
        <v>005</v>
      </c>
      <c r="T14" s="218" t="str">
        <f t="shared" si="3"/>
        <v>D</v>
      </c>
      <c r="U14" s="218" t="str">
        <f t="shared" si="1"/>
        <v>AFR000</v>
      </c>
      <c r="V14" s="218" t="str">
        <f t="shared" si="4"/>
        <v>###</v>
      </c>
      <c r="W14" s="218">
        <v>45</v>
      </c>
      <c r="X14" s="218" t="str">
        <f t="shared" si="2"/>
        <v>USD</v>
      </c>
      <c r="Y14" s="218">
        <v>35.1</v>
      </c>
      <c r="Z14" s="218">
        <v>45</v>
      </c>
      <c r="AA14" s="218">
        <v>41.3</v>
      </c>
    </row>
    <row r="15" spans="1:27">
      <c r="A15" s="218" t="s">
        <v>2592</v>
      </c>
      <c r="F15" s="219" t="str">
        <f>"""IntAlert Live"",""ALERT UK"",""17"",""1"",""540220"""</f>
        <v>"IntAlert Live","ALERT UK","17","1","540220"</v>
      </c>
      <c r="G15" s="223">
        <v>43896</v>
      </c>
      <c r="H15" s="223"/>
      <c r="I15" s="218" t="str">
        <f>"DRCBUK/AVANCE/2020/03/001"</f>
        <v>DRCBUK/AVANCE/2020/03/001</v>
      </c>
      <c r="K15" s="218" t="str">
        <f>"PARTICIPANTS"</f>
        <v>PARTICIPANTS</v>
      </c>
      <c r="L15" s="218" t="str">
        <f>"Perdiems 9participants 25/02-01/03-atelierCAM  "</f>
        <v xml:space="preserve">Perdiems 9participants 25/02-01/03-atelierCAM  </v>
      </c>
      <c r="M15" s="218" t="str">
        <f>"6280"</f>
        <v>6280</v>
      </c>
      <c r="N15" s="218" t="str">
        <f>"PARTICIPANT PER DIEMS"</f>
        <v>PARTICIPANT PER DIEMS</v>
      </c>
      <c r="O15" s="218" t="str">
        <f>"DRCBUK"</f>
        <v>DRCBUK</v>
      </c>
      <c r="P15" s="218" t="str">
        <f t="shared" si="0"/>
        <v>AP21QR</v>
      </c>
      <c r="Q15" s="218" t="str">
        <f>""</f>
        <v/>
      </c>
      <c r="R15" s="218" t="str">
        <f>""</f>
        <v/>
      </c>
      <c r="S15" s="218" t="str">
        <f>"006"</f>
        <v>006</v>
      </c>
      <c r="T15" s="218" t="str">
        <f t="shared" si="3"/>
        <v>D</v>
      </c>
      <c r="U15" s="218" t="str">
        <f t="shared" si="1"/>
        <v>AFR000</v>
      </c>
      <c r="V15" s="218" t="str">
        <f t="shared" si="4"/>
        <v>###</v>
      </c>
      <c r="W15" s="218">
        <v>1197</v>
      </c>
      <c r="X15" s="218" t="str">
        <f t="shared" si="2"/>
        <v>USD</v>
      </c>
      <c r="Y15" s="218">
        <v>933.71</v>
      </c>
      <c r="Z15" s="218">
        <v>1197</v>
      </c>
      <c r="AA15" s="218">
        <v>1098.55</v>
      </c>
    </row>
    <row r="16" spans="1:27">
      <c r="A16" s="218" t="s">
        <v>2592</v>
      </c>
      <c r="F16" s="219" t="str">
        <f>"""IntAlert Live"",""ALERT UK"",""17"",""1"",""539731"""</f>
        <v>"IntAlert Live","ALERT UK","17","1","539731"</v>
      </c>
      <c r="G16" s="223">
        <v>43909</v>
      </c>
      <c r="H16" s="223"/>
      <c r="I16" s="218" t="str">
        <f>"DRCBUK/BANK/2020/03/017"</f>
        <v>DRCBUK/BANK/2020/03/017</v>
      </c>
      <c r="K16" s="218" t="str">
        <f>"ELIZABETH HOTEL"</f>
        <v>ELIZABETH HOTEL</v>
      </c>
      <c r="L16" s="218" t="str">
        <f>"Logement 9participants-Restitution resultat enquete CAM 25/02-01/03"</f>
        <v>Logement 9participants-Restitution resultat enquete CAM 25/02-01/03</v>
      </c>
      <c r="M16" s="218" t="str">
        <f>"6230"</f>
        <v>6230</v>
      </c>
      <c r="N16" s="218" t="str">
        <f>"PARTICIPANT ACCOMTN HOTEL"</f>
        <v>PARTICIPANT ACCOMTN HOTEL</v>
      </c>
      <c r="O16" s="218" t="str">
        <f>"DRCBUK"</f>
        <v>DRCBUK</v>
      </c>
      <c r="P16" s="218" t="str">
        <f t="shared" si="0"/>
        <v>AP21QR</v>
      </c>
      <c r="Q16" s="218" t="str">
        <f>""</f>
        <v/>
      </c>
      <c r="R16" s="218" t="str">
        <f>""</f>
        <v/>
      </c>
      <c r="S16" s="218" t="str">
        <f>"006"</f>
        <v>006</v>
      </c>
      <c r="T16" s="218" t="str">
        <f t="shared" si="3"/>
        <v>D</v>
      </c>
      <c r="U16" s="218" t="str">
        <f t="shared" si="1"/>
        <v>AFR000</v>
      </c>
      <c r="V16" s="218" t="str">
        <f t="shared" si="4"/>
        <v>###</v>
      </c>
      <c r="W16" s="218">
        <v>1800</v>
      </c>
      <c r="X16" s="218" t="str">
        <f t="shared" si="2"/>
        <v>USD</v>
      </c>
      <c r="Y16" s="218">
        <v>1404.08</v>
      </c>
      <c r="Z16" s="218">
        <v>1800</v>
      </c>
      <c r="AA16" s="218">
        <v>1651.96</v>
      </c>
    </row>
    <row r="17" spans="1:27">
      <c r="A17" s="218" t="s">
        <v>2592</v>
      </c>
      <c r="F17" s="219" t="str">
        <f>"""IntAlert Live"",""ALERT UK"",""17"",""1"",""539735"""</f>
        <v>"IntAlert Live","ALERT UK","17","1","539735"</v>
      </c>
      <c r="G17" s="223">
        <v>43909</v>
      </c>
      <c r="H17" s="223"/>
      <c r="I17" s="218" t="str">
        <f>"DRCBUK/BANK/2020/03/017"</f>
        <v>DRCBUK/BANK/2020/03/017</v>
      </c>
      <c r="K17" s="218" t="str">
        <f>"ELIZABETH HOTEL"</f>
        <v>ELIZABETH HOTEL</v>
      </c>
      <c r="L17" s="218" t="str">
        <f>"Restauration des participants atelier CAM 26-29/02"</f>
        <v>Restauration des participants atelier CAM 26-29/02</v>
      </c>
      <c r="M17" s="218" t="str">
        <f>"6650"</f>
        <v>6650</v>
      </c>
      <c r="N17" s="218" t="str">
        <f>"CATERING"</f>
        <v>CATERING</v>
      </c>
      <c r="O17" s="218" t="str">
        <f>"DRCBUK"</f>
        <v>DRCBUK</v>
      </c>
      <c r="P17" s="218" t="str">
        <f t="shared" si="0"/>
        <v>AP21QR</v>
      </c>
      <c r="Q17" s="218" t="str">
        <f>""</f>
        <v/>
      </c>
      <c r="R17" s="218" t="str">
        <f>""</f>
        <v/>
      </c>
      <c r="S17" s="218" t="str">
        <f>"006"</f>
        <v>006</v>
      </c>
      <c r="T17" s="218" t="str">
        <f t="shared" si="3"/>
        <v>D</v>
      </c>
      <c r="U17" s="218" t="str">
        <f t="shared" si="1"/>
        <v>AFR000</v>
      </c>
      <c r="V17" s="218" t="str">
        <f t="shared" si="4"/>
        <v>###</v>
      </c>
      <c r="W17" s="218">
        <v>601.6</v>
      </c>
      <c r="X17" s="218" t="str">
        <f t="shared" si="2"/>
        <v>USD</v>
      </c>
      <c r="Y17" s="218">
        <v>469.28</v>
      </c>
      <c r="Z17" s="218">
        <v>601.6</v>
      </c>
      <c r="AA17" s="218">
        <v>552.13</v>
      </c>
    </row>
    <row r="18" spans="1:27">
      <c r="A18" s="218" t="s">
        <v>2592</v>
      </c>
      <c r="F18" s="219" t="str">
        <f>"""IntAlert Live"",""ALERT UK"",""17"",""1"",""539737"""</f>
        <v>"IntAlert Live","ALERT UK","17","1","539737"</v>
      </c>
      <c r="G18" s="223">
        <v>43909</v>
      </c>
      <c r="H18" s="223"/>
      <c r="I18" s="218" t="str">
        <f>"DRCBUK/BANK/2020/03/017"</f>
        <v>DRCBUK/BANK/2020/03/017</v>
      </c>
      <c r="K18" s="218" t="str">
        <f>"ELIZABETH HOTEL"</f>
        <v>ELIZABETH HOTEL</v>
      </c>
      <c r="L18" s="218" t="str">
        <f>"Location salle atelier CAM 26-29/02"</f>
        <v>Location salle atelier CAM 26-29/02</v>
      </c>
      <c r="M18" s="218" t="str">
        <f>"6640"</f>
        <v>6640</v>
      </c>
      <c r="N18" s="218" t="str">
        <f>"VENUE HIRE"</f>
        <v>VENUE HIRE</v>
      </c>
      <c r="O18" s="218" t="str">
        <f>"DRCBUK"</f>
        <v>DRCBUK</v>
      </c>
      <c r="P18" s="218" t="str">
        <f t="shared" si="0"/>
        <v>AP21QR</v>
      </c>
      <c r="Q18" s="218" t="str">
        <f>""</f>
        <v/>
      </c>
      <c r="R18" s="218" t="str">
        <f>""</f>
        <v/>
      </c>
      <c r="S18" s="218" t="str">
        <f>"006"</f>
        <v>006</v>
      </c>
      <c r="T18" s="218" t="str">
        <f t="shared" si="3"/>
        <v>D</v>
      </c>
      <c r="U18" s="218" t="str">
        <f t="shared" si="1"/>
        <v>AFR000</v>
      </c>
      <c r="V18" s="218" t="str">
        <f t="shared" si="4"/>
        <v>###</v>
      </c>
      <c r="W18" s="218">
        <v>200</v>
      </c>
      <c r="X18" s="218" t="str">
        <f t="shared" si="2"/>
        <v>USD</v>
      </c>
      <c r="Y18" s="218">
        <v>156.01</v>
      </c>
      <c r="Z18" s="218">
        <v>200</v>
      </c>
      <c r="AA18" s="218">
        <v>183.55</v>
      </c>
    </row>
    <row r="19" spans="1:27">
      <c r="A19" s="218" t="s">
        <v>2592</v>
      </c>
      <c r="F19" s="219" t="str">
        <f>"""IntAlert Live"",""ALERT UK"",""17"",""1"",""515762"""</f>
        <v>"IntAlert Live","ALERT UK","17","1","515762"</v>
      </c>
      <c r="G19" s="223">
        <v>43854</v>
      </c>
      <c r="H19" s="223"/>
      <c r="I19" s="218" t="str">
        <f>"DRCGOM/ BANQUE/2020/001/003"</f>
        <v>DRCGOM/ BANQUE/2020/001/003</v>
      </c>
      <c r="K19" s="218" t="str">
        <f>"HGR CHARITE MATERNELLE"</f>
        <v>HGR CHARITE MATERNELLE</v>
      </c>
      <c r="L19" s="218" t="str">
        <f>"Medical fees Jerry Sept&amp; Nov'19 10%"</f>
        <v>Medical fees Jerry Sept&amp; Nov'19 10%</v>
      </c>
      <c r="M19" s="218" t="str">
        <f t="shared" ref="M19:M35" si="5">"5140"</f>
        <v>5140</v>
      </c>
      <c r="N19" s="218" t="str">
        <f t="shared" ref="N19:N35" si="6">"EMPLOYMENT MEDICAL COSTS"</f>
        <v>EMPLOYMENT MEDICAL COSTS</v>
      </c>
      <c r="O19" s="218" t="str">
        <f t="shared" ref="O19:O35" si="7">"DRCGOM"</f>
        <v>DRCGOM</v>
      </c>
      <c r="P19" s="218" t="str">
        <f t="shared" si="0"/>
        <v>AP21QR</v>
      </c>
      <c r="Q19" s="218" t="str">
        <f>"WIT"</f>
        <v>WIT</v>
      </c>
      <c r="R19" s="218" t="str">
        <f>""</f>
        <v/>
      </c>
      <c r="S19" s="218" t="str">
        <f t="shared" ref="S19:S33" si="8">"013"</f>
        <v>013</v>
      </c>
      <c r="T19" s="218" t="str">
        <f t="shared" si="3"/>
        <v>D</v>
      </c>
      <c r="U19" s="218" t="str">
        <f t="shared" si="1"/>
        <v>AFR000</v>
      </c>
      <c r="V19" s="218" t="str">
        <f t="shared" si="4"/>
        <v>###</v>
      </c>
      <c r="W19" s="218">
        <v>45.64</v>
      </c>
      <c r="X19" s="218" t="str">
        <f t="shared" si="2"/>
        <v>USD</v>
      </c>
      <c r="Y19" s="218">
        <v>34.4</v>
      </c>
      <c r="Z19" s="218">
        <v>45.64</v>
      </c>
      <c r="AA19" s="218">
        <v>40.369999999999997</v>
      </c>
    </row>
    <row r="20" spans="1:27">
      <c r="A20" s="218" t="s">
        <v>2592</v>
      </c>
      <c r="F20" s="219" t="str">
        <f>"""IntAlert Live"",""ALERT UK"",""17"",""1"",""515767"""</f>
        <v>"IntAlert Live","ALERT UK","17","1","515767"</v>
      </c>
      <c r="G20" s="223">
        <v>43854</v>
      </c>
      <c r="H20" s="223"/>
      <c r="I20" s="218" t="str">
        <f>"DRCGOM/ BANQUE/2020/001/003"</f>
        <v>DRCGOM/ BANQUE/2020/001/003</v>
      </c>
      <c r="K20" s="218" t="str">
        <f>"HGR CHARITE MATERNELLE"</f>
        <v>HGR CHARITE MATERNELLE</v>
      </c>
      <c r="L20" s="218" t="str">
        <f>"Medical fees Esperance  Nov'19 20%"</f>
        <v>Medical fees Esperance  Nov'19 20%</v>
      </c>
      <c r="M20" s="218" t="str">
        <f t="shared" si="5"/>
        <v>5140</v>
      </c>
      <c r="N20" s="218" t="str">
        <f t="shared" si="6"/>
        <v>EMPLOYMENT MEDICAL COSTS</v>
      </c>
      <c r="O20" s="218" t="str">
        <f t="shared" si="7"/>
        <v>DRCGOM</v>
      </c>
      <c r="P20" s="218" t="str">
        <f t="shared" si="0"/>
        <v>AP21QR</v>
      </c>
      <c r="Q20" s="218" t="str">
        <f>"SIF"</f>
        <v>SIF</v>
      </c>
      <c r="R20" s="218" t="str">
        <f>""</f>
        <v/>
      </c>
      <c r="S20" s="218" t="str">
        <f t="shared" si="8"/>
        <v>013</v>
      </c>
      <c r="T20" s="218" t="str">
        <f t="shared" si="3"/>
        <v>D</v>
      </c>
      <c r="U20" s="218" t="str">
        <f t="shared" si="1"/>
        <v>AFR000</v>
      </c>
      <c r="V20" s="218" t="str">
        <f t="shared" si="4"/>
        <v>###</v>
      </c>
      <c r="W20" s="218">
        <v>12</v>
      </c>
      <c r="X20" s="218" t="str">
        <f t="shared" si="2"/>
        <v>USD</v>
      </c>
      <c r="Y20" s="218">
        <v>9.0399999999999991</v>
      </c>
      <c r="Z20" s="218">
        <v>12</v>
      </c>
      <c r="AA20" s="218">
        <v>10.61</v>
      </c>
    </row>
    <row r="21" spans="1:27">
      <c r="A21" s="218" t="s">
        <v>2592</v>
      </c>
      <c r="F21" s="219" t="str">
        <f>"""IntAlert Live"",""ALERT UK"",""17"",""1"",""515773"""</f>
        <v>"IntAlert Live","ALERT UK","17","1","515773"</v>
      </c>
      <c r="G21" s="223">
        <v>43854</v>
      </c>
      <c r="H21" s="223"/>
      <c r="I21" s="218" t="str">
        <f>"DRCGOM/ BANQUE/2020/001/003"</f>
        <v>DRCGOM/ BANQUE/2020/001/003</v>
      </c>
      <c r="K21" s="218" t="str">
        <f>"HGR CHARITE MATERNELLE"</f>
        <v>HGR CHARITE MATERNELLE</v>
      </c>
      <c r="L21" s="218" t="str">
        <f>"Medical fees Jerome Dec'19 20%"</f>
        <v>Medical fees Jerome Dec'19 20%</v>
      </c>
      <c r="M21" s="218" t="str">
        <f t="shared" si="5"/>
        <v>5140</v>
      </c>
      <c r="N21" s="218" t="str">
        <f t="shared" si="6"/>
        <v>EMPLOYMENT MEDICAL COSTS</v>
      </c>
      <c r="O21" s="218" t="str">
        <f t="shared" si="7"/>
        <v>DRCGOM</v>
      </c>
      <c r="P21" s="218" t="str">
        <f t="shared" si="0"/>
        <v>AP21QR</v>
      </c>
      <c r="Q21" s="218" t="str">
        <f>"KAE"</f>
        <v>KAE</v>
      </c>
      <c r="R21" s="218" t="str">
        <f>""</f>
        <v/>
      </c>
      <c r="S21" s="218" t="str">
        <f t="shared" si="8"/>
        <v>013</v>
      </c>
      <c r="T21" s="218" t="str">
        <f t="shared" si="3"/>
        <v>D</v>
      </c>
      <c r="U21" s="218" t="str">
        <f t="shared" si="1"/>
        <v>AFR000</v>
      </c>
      <c r="V21" s="218" t="str">
        <f t="shared" si="4"/>
        <v>###</v>
      </c>
      <c r="W21" s="218">
        <v>42.32</v>
      </c>
      <c r="X21" s="218" t="str">
        <f t="shared" si="2"/>
        <v>USD</v>
      </c>
      <c r="Y21" s="218">
        <v>31.9</v>
      </c>
      <c r="Z21" s="218">
        <v>42.32</v>
      </c>
      <c r="AA21" s="218">
        <v>37.44</v>
      </c>
    </row>
    <row r="22" spans="1:27">
      <c r="A22" s="218" t="s">
        <v>2592</v>
      </c>
      <c r="F22" s="219" t="str">
        <f>"""IntAlert Live"",""ALERT UK"",""17"",""1"",""515782"""</f>
        <v>"IntAlert Live","ALERT UK","17","1","515782"</v>
      </c>
      <c r="G22" s="223">
        <v>43854</v>
      </c>
      <c r="H22" s="223"/>
      <c r="I22" s="218" t="str">
        <f>"DRCGOM/ BANQUE/2020/001/004"</f>
        <v>DRCGOM/ BANQUE/2020/001/004</v>
      </c>
      <c r="K22" s="218" t="str">
        <f t="shared" ref="K22:K29" si="9">"CH BELLE VUE"</f>
        <v>CH BELLE VUE</v>
      </c>
      <c r="L22" s="218" t="str">
        <f>"Medical fees Jerry  Nov'19 10%"</f>
        <v>Medical fees Jerry  Nov'19 10%</v>
      </c>
      <c r="M22" s="218" t="str">
        <f t="shared" si="5"/>
        <v>5140</v>
      </c>
      <c r="N22" s="218" t="str">
        <f t="shared" si="6"/>
        <v>EMPLOYMENT MEDICAL COSTS</v>
      </c>
      <c r="O22" s="218" t="str">
        <f t="shared" si="7"/>
        <v>DRCGOM</v>
      </c>
      <c r="P22" s="218" t="str">
        <f t="shared" si="0"/>
        <v>AP21QR</v>
      </c>
      <c r="Q22" s="218" t="str">
        <f>"WIT"</f>
        <v>WIT</v>
      </c>
      <c r="R22" s="218" t="str">
        <f>""</f>
        <v/>
      </c>
      <c r="S22" s="218" t="str">
        <f t="shared" si="8"/>
        <v>013</v>
      </c>
      <c r="T22" s="218" t="str">
        <f t="shared" si="3"/>
        <v>D</v>
      </c>
      <c r="U22" s="218" t="str">
        <f t="shared" si="1"/>
        <v>AFR000</v>
      </c>
      <c r="V22" s="218" t="str">
        <f t="shared" si="4"/>
        <v>###</v>
      </c>
      <c r="W22" s="218">
        <v>6.87</v>
      </c>
      <c r="X22" s="218" t="str">
        <f t="shared" si="2"/>
        <v>USD</v>
      </c>
      <c r="Y22" s="218">
        <v>5.18</v>
      </c>
      <c r="Z22" s="218">
        <v>6.87</v>
      </c>
      <c r="AA22" s="218">
        <v>6.08</v>
      </c>
    </row>
    <row r="23" spans="1:27">
      <c r="A23" s="218" t="s">
        <v>2592</v>
      </c>
      <c r="F23" s="219" t="str">
        <f>"""IntAlert Live"",""ALERT UK"",""17"",""1"",""515787"""</f>
        <v>"IntAlert Live","ALERT UK","17","1","515787"</v>
      </c>
      <c r="G23" s="223">
        <v>43854</v>
      </c>
      <c r="H23" s="223"/>
      <c r="I23" s="218" t="str">
        <f>"DRCGOM/ BANQUE/2020/001/004"</f>
        <v>DRCGOM/ BANQUE/2020/001/004</v>
      </c>
      <c r="K23" s="218" t="str">
        <f t="shared" si="9"/>
        <v>CH BELLE VUE</v>
      </c>
      <c r="L23" s="218" t="str">
        <f>"Medical fees Esperance  Nov &amp; Dec'19 20%"</f>
        <v>Medical fees Esperance  Nov &amp; Dec'19 20%</v>
      </c>
      <c r="M23" s="218" t="str">
        <f t="shared" si="5"/>
        <v>5140</v>
      </c>
      <c r="N23" s="218" t="str">
        <f t="shared" si="6"/>
        <v>EMPLOYMENT MEDICAL COSTS</v>
      </c>
      <c r="O23" s="218" t="str">
        <f t="shared" si="7"/>
        <v>DRCGOM</v>
      </c>
      <c r="P23" s="218" t="str">
        <f t="shared" si="0"/>
        <v>AP21QR</v>
      </c>
      <c r="Q23" s="218" t="str">
        <f>"SIF"</f>
        <v>SIF</v>
      </c>
      <c r="R23" s="218" t="str">
        <f>""</f>
        <v/>
      </c>
      <c r="S23" s="218" t="str">
        <f t="shared" si="8"/>
        <v>013</v>
      </c>
      <c r="T23" s="218" t="str">
        <f t="shared" si="3"/>
        <v>D</v>
      </c>
      <c r="U23" s="218" t="str">
        <f t="shared" si="1"/>
        <v>AFR000</v>
      </c>
      <c r="V23" s="218" t="str">
        <f t="shared" si="4"/>
        <v>###</v>
      </c>
      <c r="W23" s="218">
        <v>38.24</v>
      </c>
      <c r="X23" s="218" t="str">
        <f t="shared" si="2"/>
        <v>USD</v>
      </c>
      <c r="Y23" s="218">
        <v>28.82</v>
      </c>
      <c r="Z23" s="218">
        <v>38.24</v>
      </c>
      <c r="AA23" s="218">
        <v>33.82</v>
      </c>
    </row>
    <row r="24" spans="1:27">
      <c r="A24" s="218" t="s">
        <v>2592</v>
      </c>
      <c r="F24" s="219" t="str">
        <f>"""IntAlert Live"",""ALERT UK"",""17"",""1"",""515793"""</f>
        <v>"IntAlert Live","ALERT UK","17","1","515793"</v>
      </c>
      <c r="G24" s="223">
        <v>43854</v>
      </c>
      <c r="H24" s="223"/>
      <c r="I24" s="218" t="str">
        <f>"DRCGOM/ BANQUE/2020/001/004"</f>
        <v>DRCGOM/ BANQUE/2020/001/004</v>
      </c>
      <c r="K24" s="218" t="str">
        <f t="shared" si="9"/>
        <v>CH BELLE VUE</v>
      </c>
      <c r="L24" s="218" t="str">
        <f>"Medical fees Jerome nov&amp; Dec'19  20%"</f>
        <v>Medical fees Jerome nov&amp; Dec'19  20%</v>
      </c>
      <c r="M24" s="218" t="str">
        <f t="shared" si="5"/>
        <v>5140</v>
      </c>
      <c r="N24" s="218" t="str">
        <f t="shared" si="6"/>
        <v>EMPLOYMENT MEDICAL COSTS</v>
      </c>
      <c r="O24" s="218" t="str">
        <f t="shared" si="7"/>
        <v>DRCGOM</v>
      </c>
      <c r="P24" s="218" t="str">
        <f t="shared" si="0"/>
        <v>AP21QR</v>
      </c>
      <c r="Q24" s="218" t="str">
        <f>"KAE"</f>
        <v>KAE</v>
      </c>
      <c r="R24" s="218" t="str">
        <f>""</f>
        <v/>
      </c>
      <c r="S24" s="218" t="str">
        <f t="shared" si="8"/>
        <v>013</v>
      </c>
      <c r="T24" s="218" t="str">
        <f t="shared" si="3"/>
        <v>D</v>
      </c>
      <c r="U24" s="218" t="str">
        <f t="shared" si="1"/>
        <v>AFR000</v>
      </c>
      <c r="V24" s="218" t="str">
        <f t="shared" si="4"/>
        <v>###</v>
      </c>
      <c r="W24" s="218">
        <v>45.68</v>
      </c>
      <c r="X24" s="218" t="str">
        <f t="shared" si="2"/>
        <v>USD</v>
      </c>
      <c r="Y24" s="218">
        <v>34.43</v>
      </c>
      <c r="Z24" s="218">
        <v>45.68</v>
      </c>
      <c r="AA24" s="218">
        <v>40.409999999999997</v>
      </c>
    </row>
    <row r="25" spans="1:27">
      <c r="A25" s="218" t="s">
        <v>2592</v>
      </c>
      <c r="F25" s="219" t="str">
        <f>"""IntAlert Live"",""ALERT UK"",""17"",""1"",""515810"""</f>
        <v>"IntAlert Live","ALERT UK","17","1","515810"</v>
      </c>
      <c r="G25" s="223">
        <v>43854</v>
      </c>
      <c r="H25" s="223"/>
      <c r="I25" s="218" t="str">
        <f>"DRCGOM/ BANQUE/2020/001/004"</f>
        <v>DRCGOM/ BANQUE/2020/001/004</v>
      </c>
      <c r="K25" s="218" t="str">
        <f t="shared" si="9"/>
        <v>CH BELLE VUE</v>
      </c>
      <c r="L25" s="218" t="str">
        <f>"Medical fees Bienvenu Dec'19 10%"</f>
        <v>Medical fees Bienvenu Dec'19 10%</v>
      </c>
      <c r="M25" s="218" t="str">
        <f t="shared" si="5"/>
        <v>5140</v>
      </c>
      <c r="N25" s="218" t="str">
        <f t="shared" si="6"/>
        <v>EMPLOYMENT MEDICAL COSTS</v>
      </c>
      <c r="O25" s="218" t="str">
        <f t="shared" si="7"/>
        <v>DRCGOM</v>
      </c>
      <c r="P25" s="218" t="str">
        <f t="shared" si="0"/>
        <v>AP21QR</v>
      </c>
      <c r="Q25" s="218" t="str">
        <f>"SEN"</f>
        <v>SEN</v>
      </c>
      <c r="R25" s="218" t="str">
        <f>""</f>
        <v/>
      </c>
      <c r="S25" s="218" t="str">
        <f t="shared" si="8"/>
        <v>013</v>
      </c>
      <c r="T25" s="218" t="str">
        <f t="shared" si="3"/>
        <v>D</v>
      </c>
      <c r="U25" s="218" t="str">
        <f t="shared" si="1"/>
        <v>AFR000</v>
      </c>
      <c r="V25" s="218" t="str">
        <f t="shared" si="4"/>
        <v>###</v>
      </c>
      <c r="W25" s="218">
        <v>2.5</v>
      </c>
      <c r="X25" s="218" t="str">
        <f t="shared" si="2"/>
        <v>USD</v>
      </c>
      <c r="Y25" s="218">
        <v>1.88</v>
      </c>
      <c r="Z25" s="218">
        <v>2.5</v>
      </c>
      <c r="AA25" s="218">
        <v>2.21</v>
      </c>
    </row>
    <row r="26" spans="1:27">
      <c r="A26" s="218" t="s">
        <v>2592</v>
      </c>
      <c r="F26" s="219" t="str">
        <f>"""IntAlert Live"",""ALERT UK"",""17"",""1"",""531518"""</f>
        <v>"IntAlert Live","ALERT UK","17","1","531518"</v>
      </c>
      <c r="G26" s="223">
        <v>43881</v>
      </c>
      <c r="H26" s="223"/>
      <c r="I26" s="218" t="str">
        <f>"DRCGOM/ BANQUE/2020/002/011"</f>
        <v>DRCGOM/ BANQUE/2020/002/011</v>
      </c>
      <c r="K26" s="218" t="str">
        <f t="shared" si="9"/>
        <v>CH BELLE VUE</v>
      </c>
      <c r="L26" s="218" t="str">
        <f>"Medical fees Esperance January 2020 10%"</f>
        <v>Medical fees Esperance January 2020 10%</v>
      </c>
      <c r="M26" s="218" t="str">
        <f t="shared" si="5"/>
        <v>5140</v>
      </c>
      <c r="N26" s="218" t="str">
        <f t="shared" si="6"/>
        <v>EMPLOYMENT MEDICAL COSTS</v>
      </c>
      <c r="O26" s="218" t="str">
        <f t="shared" si="7"/>
        <v>DRCGOM</v>
      </c>
      <c r="P26" s="218" t="str">
        <f t="shared" si="0"/>
        <v>AP21QR</v>
      </c>
      <c r="Q26" s="218" t="str">
        <f>"SIF"</f>
        <v>SIF</v>
      </c>
      <c r="R26" s="218" t="str">
        <f>""</f>
        <v/>
      </c>
      <c r="S26" s="218" t="str">
        <f t="shared" si="8"/>
        <v>013</v>
      </c>
      <c r="T26" s="218" t="str">
        <f t="shared" si="3"/>
        <v>D</v>
      </c>
      <c r="U26" s="218" t="str">
        <f t="shared" si="1"/>
        <v>AFR000</v>
      </c>
      <c r="V26" s="218" t="str">
        <f t="shared" si="4"/>
        <v>###</v>
      </c>
      <c r="W26" s="218">
        <v>12.13</v>
      </c>
      <c r="X26" s="218" t="str">
        <f t="shared" si="2"/>
        <v>USD</v>
      </c>
      <c r="Y26" s="218">
        <v>9.19</v>
      </c>
      <c r="Z26" s="218">
        <v>12.13</v>
      </c>
      <c r="AA26" s="218">
        <v>10.92</v>
      </c>
    </row>
    <row r="27" spans="1:27">
      <c r="A27" s="218" t="s">
        <v>2592</v>
      </c>
      <c r="F27" s="219" t="str">
        <f>"""IntAlert Live"",""ALERT UK"",""17"",""1"",""531524"""</f>
        <v>"IntAlert Live","ALERT UK","17","1","531524"</v>
      </c>
      <c r="G27" s="223">
        <v>43881</v>
      </c>
      <c r="H27" s="223"/>
      <c r="I27" s="218" t="str">
        <f>"DRCGOM/ BANQUE/2020/002/011"</f>
        <v>DRCGOM/ BANQUE/2020/002/011</v>
      </c>
      <c r="K27" s="218" t="str">
        <f t="shared" si="9"/>
        <v>CH BELLE VUE</v>
      </c>
      <c r="L27" s="218" t="str">
        <f>"Medical fees Jerome January 2020 10%"</f>
        <v>Medical fees Jerome January 2020 10%</v>
      </c>
      <c r="M27" s="218" t="str">
        <f t="shared" si="5"/>
        <v>5140</v>
      </c>
      <c r="N27" s="218" t="str">
        <f t="shared" si="6"/>
        <v>EMPLOYMENT MEDICAL COSTS</v>
      </c>
      <c r="O27" s="218" t="str">
        <f t="shared" si="7"/>
        <v>DRCGOM</v>
      </c>
      <c r="P27" s="218" t="str">
        <f t="shared" si="0"/>
        <v>AP21QR</v>
      </c>
      <c r="Q27" s="218" t="str">
        <f>"KAE"</f>
        <v>KAE</v>
      </c>
      <c r="R27" s="218" t="str">
        <f>""</f>
        <v/>
      </c>
      <c r="S27" s="218" t="str">
        <f t="shared" si="8"/>
        <v>013</v>
      </c>
      <c r="T27" s="218" t="str">
        <f t="shared" si="3"/>
        <v>D</v>
      </c>
      <c r="U27" s="218" t="str">
        <f t="shared" si="1"/>
        <v>AFR000</v>
      </c>
      <c r="V27" s="218" t="str">
        <f t="shared" si="4"/>
        <v>###</v>
      </c>
      <c r="W27" s="218">
        <v>11.22</v>
      </c>
      <c r="X27" s="218" t="str">
        <f t="shared" si="2"/>
        <v>USD</v>
      </c>
      <c r="Y27" s="218">
        <v>8.5</v>
      </c>
      <c r="Z27" s="218">
        <v>11.22</v>
      </c>
      <c r="AA27" s="218">
        <v>10.1</v>
      </c>
    </row>
    <row r="28" spans="1:27">
      <c r="A28" s="218" t="s">
        <v>2592</v>
      </c>
      <c r="F28" s="219" t="str">
        <f>"""IntAlert Live"",""ALERT UK"",""17"",""1"",""531531"""</f>
        <v>"IntAlert Live","ALERT UK","17","1","531531"</v>
      </c>
      <c r="G28" s="223">
        <v>43881</v>
      </c>
      <c r="H28" s="223"/>
      <c r="I28" s="218" t="str">
        <f>"DRCGOM/ BANQUE/2020/002/011"</f>
        <v>DRCGOM/ BANQUE/2020/002/011</v>
      </c>
      <c r="K28" s="218" t="str">
        <f t="shared" si="9"/>
        <v>CH BELLE VUE</v>
      </c>
      <c r="L28" s="218" t="str">
        <f>"Medical fees Bienvenu January 2020 5%"</f>
        <v>Medical fees Bienvenu January 2020 5%</v>
      </c>
      <c r="M28" s="218" t="str">
        <f t="shared" si="5"/>
        <v>5140</v>
      </c>
      <c r="N28" s="218" t="str">
        <f t="shared" si="6"/>
        <v>EMPLOYMENT MEDICAL COSTS</v>
      </c>
      <c r="O28" s="218" t="str">
        <f t="shared" si="7"/>
        <v>DRCGOM</v>
      </c>
      <c r="P28" s="218" t="str">
        <f t="shared" si="0"/>
        <v>AP21QR</v>
      </c>
      <c r="Q28" s="218" t="str">
        <f>"SEN"</f>
        <v>SEN</v>
      </c>
      <c r="R28" s="218" t="str">
        <f>""</f>
        <v/>
      </c>
      <c r="S28" s="218" t="str">
        <f t="shared" si="8"/>
        <v>013</v>
      </c>
      <c r="T28" s="218" t="str">
        <f t="shared" si="3"/>
        <v>D</v>
      </c>
      <c r="U28" s="218" t="str">
        <f t="shared" si="1"/>
        <v>AFR000</v>
      </c>
      <c r="V28" s="218" t="str">
        <f t="shared" si="4"/>
        <v>###</v>
      </c>
      <c r="W28" s="218">
        <v>0.85</v>
      </c>
      <c r="X28" s="218" t="str">
        <f t="shared" si="2"/>
        <v>USD</v>
      </c>
      <c r="Y28" s="218">
        <v>0.64</v>
      </c>
      <c r="Z28" s="218">
        <v>0.85</v>
      </c>
      <c r="AA28" s="218">
        <v>0.76</v>
      </c>
    </row>
    <row r="29" spans="1:27">
      <c r="A29" s="218" t="s">
        <v>2592</v>
      </c>
      <c r="F29" s="219" t="str">
        <f>"""IntAlert Live"",""ALERT UK"",""17"",""1"",""531536"""</f>
        <v>"IntAlert Live","ALERT UK","17","1","531536"</v>
      </c>
      <c r="G29" s="223">
        <v>43881</v>
      </c>
      <c r="H29" s="223"/>
      <c r="I29" s="218" t="str">
        <f>"DRCGOM/ BANQUE/2020/002/011"</f>
        <v>DRCGOM/ BANQUE/2020/002/011</v>
      </c>
      <c r="K29" s="218" t="str">
        <f t="shared" si="9"/>
        <v>CH BELLE VUE</v>
      </c>
      <c r="L29" s="218" t="str">
        <f>"Medical fees Jacques January 2020 25%"</f>
        <v>Medical fees Jacques January 2020 25%</v>
      </c>
      <c r="M29" s="218" t="str">
        <f t="shared" si="5"/>
        <v>5140</v>
      </c>
      <c r="N29" s="218" t="str">
        <f t="shared" si="6"/>
        <v>EMPLOYMENT MEDICAL COSTS</v>
      </c>
      <c r="O29" s="218" t="str">
        <f t="shared" si="7"/>
        <v>DRCGOM</v>
      </c>
      <c r="P29" s="218" t="str">
        <f t="shared" si="0"/>
        <v>AP21QR</v>
      </c>
      <c r="Q29" s="218" t="str">
        <f>"BUE"</f>
        <v>BUE</v>
      </c>
      <c r="R29" s="218" t="str">
        <f>""</f>
        <v/>
      </c>
      <c r="S29" s="218" t="str">
        <f t="shared" si="8"/>
        <v>013</v>
      </c>
      <c r="T29" s="218" t="str">
        <f t="shared" si="3"/>
        <v>D</v>
      </c>
      <c r="U29" s="218" t="str">
        <f t="shared" si="1"/>
        <v>AFR000</v>
      </c>
      <c r="V29" s="218" t="str">
        <f t="shared" si="4"/>
        <v>###</v>
      </c>
      <c r="W29" s="218">
        <v>11.31</v>
      </c>
      <c r="X29" s="218" t="str">
        <f t="shared" si="2"/>
        <v>USD</v>
      </c>
      <c r="Y29" s="218">
        <v>8.57</v>
      </c>
      <c r="Z29" s="218">
        <v>11.31</v>
      </c>
      <c r="AA29" s="218">
        <v>10.18</v>
      </c>
    </row>
    <row r="30" spans="1:27">
      <c r="A30" s="218" t="s">
        <v>2592</v>
      </c>
      <c r="F30" s="219" t="str">
        <f>"""IntAlert Live"",""ALERT UK"",""17"",""1"",""531543"""</f>
        <v>"IntAlert Live","ALERT UK","17","1","531543"</v>
      </c>
      <c r="G30" s="223">
        <v>43881</v>
      </c>
      <c r="H30" s="223"/>
      <c r="I30" s="218" t="str">
        <f>"DRCGOM/ BANQUE/2020/002/012"</f>
        <v>DRCGOM/ BANQUE/2020/002/012</v>
      </c>
      <c r="K30" s="218" t="str">
        <f>"HGR CHARITE MATERNELLE"</f>
        <v>HGR CHARITE MATERNELLE</v>
      </c>
      <c r="L30" s="218" t="str">
        <f>"Medical fees Esperance January 2020 10%"</f>
        <v>Medical fees Esperance January 2020 10%</v>
      </c>
      <c r="M30" s="218" t="str">
        <f t="shared" si="5"/>
        <v>5140</v>
      </c>
      <c r="N30" s="218" t="str">
        <f t="shared" si="6"/>
        <v>EMPLOYMENT MEDICAL COSTS</v>
      </c>
      <c r="O30" s="218" t="str">
        <f t="shared" si="7"/>
        <v>DRCGOM</v>
      </c>
      <c r="P30" s="218" t="str">
        <f t="shared" si="0"/>
        <v>AP21QR</v>
      </c>
      <c r="Q30" s="218" t="str">
        <f>"SIF"</f>
        <v>SIF</v>
      </c>
      <c r="R30" s="218" t="str">
        <f>""</f>
        <v/>
      </c>
      <c r="S30" s="218" t="str">
        <f t="shared" si="8"/>
        <v>013</v>
      </c>
      <c r="T30" s="218" t="str">
        <f t="shared" si="3"/>
        <v>D</v>
      </c>
      <c r="U30" s="218" t="str">
        <f t="shared" si="1"/>
        <v>AFR000</v>
      </c>
      <c r="V30" s="218" t="str">
        <f t="shared" si="4"/>
        <v>###</v>
      </c>
      <c r="W30" s="218">
        <v>14.79</v>
      </c>
      <c r="X30" s="218" t="str">
        <f t="shared" si="2"/>
        <v>USD</v>
      </c>
      <c r="Y30" s="218">
        <v>11.21</v>
      </c>
      <c r="Z30" s="218">
        <v>14.79</v>
      </c>
      <c r="AA30" s="218">
        <v>13.32</v>
      </c>
    </row>
    <row r="31" spans="1:27">
      <c r="A31" s="218" t="s">
        <v>2592</v>
      </c>
      <c r="F31" s="219" t="str">
        <f>"""IntAlert Live"",""ALERT UK"",""17"",""1"",""531878"""</f>
        <v>"IntAlert Live","ALERT UK","17","1","531878"</v>
      </c>
      <c r="G31" s="223">
        <v>43890</v>
      </c>
      <c r="H31" s="223"/>
      <c r="I31" s="218" t="str">
        <f>"DRCGOM/ BANQUE/2020/002/024"</f>
        <v>DRCGOM/ BANQUE/2020/002/024</v>
      </c>
      <c r="K31" s="218" t="str">
        <f>"CH BELLE VUE"</f>
        <v>CH BELLE VUE</v>
      </c>
      <c r="L31" s="218" t="str">
        <f>"Medical fees Esperance February 2020  5%"</f>
        <v>Medical fees Esperance February 2020  5%</v>
      </c>
      <c r="M31" s="218" t="str">
        <f t="shared" si="5"/>
        <v>5140</v>
      </c>
      <c r="N31" s="218" t="str">
        <f t="shared" si="6"/>
        <v>EMPLOYMENT MEDICAL COSTS</v>
      </c>
      <c r="O31" s="218" t="str">
        <f t="shared" si="7"/>
        <v>DRCGOM</v>
      </c>
      <c r="P31" s="218" t="str">
        <f t="shared" si="0"/>
        <v>AP21QR</v>
      </c>
      <c r="Q31" s="218" t="str">
        <f>"SIF"</f>
        <v>SIF</v>
      </c>
      <c r="R31" s="218" t="str">
        <f>""</f>
        <v/>
      </c>
      <c r="S31" s="218" t="str">
        <f t="shared" si="8"/>
        <v>013</v>
      </c>
      <c r="T31" s="218" t="str">
        <f t="shared" si="3"/>
        <v>D</v>
      </c>
      <c r="U31" s="218" t="str">
        <f t="shared" si="1"/>
        <v>AFR000</v>
      </c>
      <c r="V31" s="218" t="str">
        <f t="shared" si="4"/>
        <v>###</v>
      </c>
      <c r="W31" s="218">
        <v>11.5</v>
      </c>
      <c r="X31" s="218" t="str">
        <f t="shared" si="2"/>
        <v>USD</v>
      </c>
      <c r="Y31" s="218">
        <v>8.7200000000000006</v>
      </c>
      <c r="Z31" s="218">
        <v>11.5</v>
      </c>
      <c r="AA31" s="218">
        <v>10.36</v>
      </c>
    </row>
    <row r="32" spans="1:27">
      <c r="A32" s="218" t="s">
        <v>2592</v>
      </c>
      <c r="F32" s="219" t="str">
        <f>"""IntAlert Live"",""ALERT UK"",""17"",""1"",""531884"""</f>
        <v>"IntAlert Live","ALERT UK","17","1","531884"</v>
      </c>
      <c r="G32" s="223">
        <v>43890</v>
      </c>
      <c r="H32" s="223"/>
      <c r="I32" s="218" t="str">
        <f>"DRCGOM/ BANQUE/2020/002/024"</f>
        <v>DRCGOM/ BANQUE/2020/002/024</v>
      </c>
      <c r="K32" s="218" t="str">
        <f>"CH BELLE VUE"</f>
        <v>CH BELLE VUE</v>
      </c>
      <c r="L32" s="218" t="str">
        <f>"Medical fees Adolphine  February 2020 5%"</f>
        <v>Medical fees Adolphine  February 2020 5%</v>
      </c>
      <c r="M32" s="218" t="str">
        <f t="shared" si="5"/>
        <v>5140</v>
      </c>
      <c r="N32" s="218" t="str">
        <f t="shared" si="6"/>
        <v>EMPLOYMENT MEDICAL COSTS</v>
      </c>
      <c r="O32" s="218" t="str">
        <f t="shared" si="7"/>
        <v>DRCGOM</v>
      </c>
      <c r="P32" s="218" t="str">
        <f t="shared" si="0"/>
        <v>AP21QR</v>
      </c>
      <c r="Q32" s="218" t="str">
        <f>"KAS"</f>
        <v>KAS</v>
      </c>
      <c r="R32" s="218" t="str">
        <f>""</f>
        <v/>
      </c>
      <c r="S32" s="218" t="str">
        <f t="shared" si="8"/>
        <v>013</v>
      </c>
      <c r="T32" s="218" t="str">
        <f t="shared" si="3"/>
        <v>D</v>
      </c>
      <c r="U32" s="218" t="str">
        <f t="shared" si="1"/>
        <v>AFR000</v>
      </c>
      <c r="V32" s="218" t="str">
        <f t="shared" si="4"/>
        <v>###</v>
      </c>
      <c r="W32" s="218">
        <v>3.05</v>
      </c>
      <c r="X32" s="218" t="str">
        <f t="shared" si="2"/>
        <v>USD</v>
      </c>
      <c r="Y32" s="218">
        <v>2.31</v>
      </c>
      <c r="Z32" s="218">
        <v>3.05</v>
      </c>
      <c r="AA32" s="218">
        <v>2.74</v>
      </c>
    </row>
    <row r="33" spans="1:27">
      <c r="A33" s="218" t="s">
        <v>2592</v>
      </c>
      <c r="F33" s="219" t="str">
        <f>"""IntAlert Live"",""ALERT UK"",""17"",""1"",""531892"""</f>
        <v>"IntAlert Live","ALERT UK","17","1","531892"</v>
      </c>
      <c r="G33" s="223">
        <v>43890</v>
      </c>
      <c r="H33" s="223"/>
      <c r="I33" s="218" t="str">
        <f>"DRCGOM/ BANQUE/2020/002/024"</f>
        <v>DRCGOM/ BANQUE/2020/002/024</v>
      </c>
      <c r="K33" s="218" t="str">
        <f>"CH BELLE VUE"</f>
        <v>CH BELLE VUE</v>
      </c>
      <c r="L33" s="218" t="str">
        <f>"Medical fees Jacques February 2020 20%"</f>
        <v>Medical fees Jacques February 2020 20%</v>
      </c>
      <c r="M33" s="218" t="str">
        <f t="shared" si="5"/>
        <v>5140</v>
      </c>
      <c r="N33" s="218" t="str">
        <f t="shared" si="6"/>
        <v>EMPLOYMENT MEDICAL COSTS</v>
      </c>
      <c r="O33" s="218" t="str">
        <f t="shared" si="7"/>
        <v>DRCGOM</v>
      </c>
      <c r="P33" s="218" t="str">
        <f t="shared" si="0"/>
        <v>AP21QR</v>
      </c>
      <c r="Q33" s="218" t="str">
        <f>"BUE"</f>
        <v>BUE</v>
      </c>
      <c r="R33" s="218" t="str">
        <f>""</f>
        <v/>
      </c>
      <c r="S33" s="218" t="str">
        <f t="shared" si="8"/>
        <v>013</v>
      </c>
      <c r="T33" s="218" t="str">
        <f t="shared" si="3"/>
        <v>D</v>
      </c>
      <c r="U33" s="218" t="str">
        <f t="shared" si="1"/>
        <v>AFR000</v>
      </c>
      <c r="V33" s="218" t="str">
        <f t="shared" si="4"/>
        <v>###</v>
      </c>
      <c r="W33" s="218">
        <v>23.46</v>
      </c>
      <c r="X33" s="218" t="str">
        <f t="shared" si="2"/>
        <v>USD</v>
      </c>
      <c r="Y33" s="218">
        <v>17.78</v>
      </c>
      <c r="Z33" s="218">
        <v>23.46</v>
      </c>
      <c r="AA33" s="218">
        <v>21.12</v>
      </c>
    </row>
    <row r="34" spans="1:27">
      <c r="A34" s="218" t="s">
        <v>2592</v>
      </c>
      <c r="F34" s="219" t="str">
        <f>"""IntAlert Live"",""ALERT UK"",""17"",""1"",""515799"""</f>
        <v>"IntAlert Live","ALERT UK","17","1","515799"</v>
      </c>
      <c r="G34" s="223">
        <v>43854</v>
      </c>
      <c r="H34" s="223"/>
      <c r="I34" s="218" t="str">
        <f>"DRCGOM/ BANQUE/2020/001/004"</f>
        <v>DRCGOM/ BANQUE/2020/001/004</v>
      </c>
      <c r="K34" s="218" t="str">
        <f>"CH BELLE VUE"</f>
        <v>CH BELLE VUE</v>
      </c>
      <c r="L34" s="218" t="str">
        <f>"Medical fees Barnabe Nov'19 5%"</f>
        <v>Medical fees Barnabe Nov'19 5%</v>
      </c>
      <c r="M34" s="218" t="str">
        <f t="shared" si="5"/>
        <v>5140</v>
      </c>
      <c r="N34" s="218" t="str">
        <f t="shared" si="6"/>
        <v>EMPLOYMENT MEDICAL COSTS</v>
      </c>
      <c r="O34" s="218" t="str">
        <f t="shared" si="7"/>
        <v>DRCGOM</v>
      </c>
      <c r="P34" s="218" t="str">
        <f t="shared" si="0"/>
        <v>AP21QR</v>
      </c>
      <c r="Q34" s="218" t="str">
        <f>"BRB"</f>
        <v>BRB</v>
      </c>
      <c r="R34" s="218" t="str">
        <f>""</f>
        <v/>
      </c>
      <c r="S34" s="218" t="str">
        <f>"019"</f>
        <v>019</v>
      </c>
      <c r="T34" s="218" t="str">
        <f t="shared" si="3"/>
        <v>D</v>
      </c>
      <c r="U34" s="218" t="str">
        <f t="shared" si="1"/>
        <v>AFR000</v>
      </c>
      <c r="V34" s="218" t="str">
        <f t="shared" si="4"/>
        <v>###</v>
      </c>
      <c r="W34" s="218">
        <v>9.6199999999999992</v>
      </c>
      <c r="X34" s="218" t="str">
        <f t="shared" si="2"/>
        <v>USD</v>
      </c>
      <c r="Y34" s="218">
        <v>7.25</v>
      </c>
      <c r="Z34" s="218">
        <v>9.6199999999999992</v>
      </c>
      <c r="AA34" s="218">
        <v>8.51</v>
      </c>
    </row>
    <row r="35" spans="1:27">
      <c r="A35" s="218" t="s">
        <v>2592</v>
      </c>
      <c r="F35" s="219" t="str">
        <f>"""IntAlert Live"",""ALERT UK"",""17"",""1"",""515851"""</f>
        <v>"IntAlert Live","ALERT UK","17","1","515851"</v>
      </c>
      <c r="G35" s="223">
        <v>43859</v>
      </c>
      <c r="H35" s="223"/>
      <c r="I35" s="218" t="str">
        <f>"DRCGOM/ BANQUE/2020/001/014"</f>
        <v>DRCGOM/ BANQUE/2020/001/014</v>
      </c>
      <c r="K35" s="218" t="str">
        <f>"HOPITAL PROVINCIAL BUKAVU"</f>
        <v>HOPITAL PROVINCIAL BUKAVU</v>
      </c>
      <c r="L35" s="218" t="str">
        <f>"Rmbt Medical fees Barnabe 5%"</f>
        <v>Rmbt Medical fees Barnabe 5%</v>
      </c>
      <c r="M35" s="218" t="str">
        <f t="shared" si="5"/>
        <v>5140</v>
      </c>
      <c r="N35" s="218" t="str">
        <f t="shared" si="6"/>
        <v>EMPLOYMENT MEDICAL COSTS</v>
      </c>
      <c r="O35" s="218" t="str">
        <f t="shared" si="7"/>
        <v>DRCGOM</v>
      </c>
      <c r="P35" s="218" t="str">
        <f t="shared" si="0"/>
        <v>AP21QR</v>
      </c>
      <c r="Q35" s="218" t="str">
        <f>"BRB"</f>
        <v>BRB</v>
      </c>
      <c r="R35" s="218" t="str">
        <f>""</f>
        <v/>
      </c>
      <c r="S35" s="218" t="str">
        <f>"019"</f>
        <v>019</v>
      </c>
      <c r="T35" s="218" t="str">
        <f t="shared" si="3"/>
        <v>D</v>
      </c>
      <c r="U35" s="218" t="str">
        <f t="shared" si="1"/>
        <v>AFR000</v>
      </c>
      <c r="V35" s="218" t="str">
        <f t="shared" si="4"/>
        <v>###</v>
      </c>
      <c r="W35" s="218">
        <v>43.06</v>
      </c>
      <c r="X35" s="218" t="str">
        <f t="shared" si="2"/>
        <v>USD</v>
      </c>
      <c r="Y35" s="218">
        <v>32.46</v>
      </c>
      <c r="Z35" s="218">
        <v>43.06</v>
      </c>
      <c r="AA35" s="218">
        <v>38.1</v>
      </c>
    </row>
    <row r="36" spans="1:27">
      <c r="A36" s="218" t="s">
        <v>2592</v>
      </c>
      <c r="F36" s="219" t="str">
        <f>"""IntAlert Live"",""ALERT UK"",""17"",""1"",""520686"""</f>
        <v>"IntAlert Live","ALERT UK","17","1","520686"</v>
      </c>
      <c r="G36" s="223">
        <v>43861</v>
      </c>
      <c r="H36" s="223"/>
      <c r="I36" s="218" t="str">
        <f>""</f>
        <v/>
      </c>
      <c r="K36" s="218" t="str">
        <f>"RRA"</f>
        <v>RRA</v>
      </c>
      <c r="L36" s="218" t="str">
        <f>"PAYEE_Dec2019-GLSA"</f>
        <v>PAYEE_Dec2019-GLSA</v>
      </c>
      <c r="M36" s="218" t="str">
        <f>"5100"</f>
        <v>5100</v>
      </c>
      <c r="N36" s="218" t="str">
        <f>"BASIC EMPLOYMENT COSTS"</f>
        <v>BASIC EMPLOYMENT COSTS</v>
      </c>
      <c r="O36" s="218" t="str">
        <f>"RWAKIG"</f>
        <v>RWAKIG</v>
      </c>
      <c r="P36" s="218" t="str">
        <f t="shared" si="0"/>
        <v>AP21QR</v>
      </c>
      <c r="Q36" s="218" t="str">
        <f>"BAZ"</f>
        <v>BAZ</v>
      </c>
      <c r="R36" s="218" t="str">
        <f>""</f>
        <v/>
      </c>
      <c r="S36" s="218" t="str">
        <f>"030"</f>
        <v>030</v>
      </c>
      <c r="T36" s="218" t="str">
        <f t="shared" si="3"/>
        <v>D</v>
      </c>
      <c r="U36" s="218" t="str">
        <f>"AFR022"</f>
        <v>AFR022</v>
      </c>
      <c r="V36" s="218" t="str">
        <f>"030"</f>
        <v>030</v>
      </c>
      <c r="W36" s="218">
        <v>316425.34000000003</v>
      </c>
      <c r="X36" s="218" t="str">
        <f>"RWF"</f>
        <v>RWF</v>
      </c>
      <c r="Y36" s="218">
        <v>254.2</v>
      </c>
      <c r="Z36" s="218">
        <v>337.26</v>
      </c>
      <c r="AA36" s="218">
        <v>298.33</v>
      </c>
    </row>
    <row r="37" spans="1:27">
      <c r="A37" s="218" t="s">
        <v>2592</v>
      </c>
      <c r="F37" s="219" t="str">
        <f>"""IntAlert Live"",""ALERT UK"",""17"",""1"",""539485"""</f>
        <v>"IntAlert Live","ALERT UK","17","1","539485"</v>
      </c>
      <c r="G37" s="223">
        <v>43921</v>
      </c>
      <c r="H37" s="223"/>
      <c r="I37" s="218" t="str">
        <f>""</f>
        <v/>
      </c>
      <c r="K37" s="218" t="str">
        <f>"10057810"</f>
        <v>10057810</v>
      </c>
      <c r="L37" s="218" t="str">
        <f>"RSSB 3,3%-March 2020_GLSA"</f>
        <v>RSSB 3,3%-March 2020_GLSA</v>
      </c>
      <c r="M37" s="218" t="str">
        <f>"5100"</f>
        <v>5100</v>
      </c>
      <c r="N37" s="218" t="str">
        <f>"BASIC EMPLOYMENT COSTS"</f>
        <v>BASIC EMPLOYMENT COSTS</v>
      </c>
      <c r="O37" s="218" t="str">
        <f>"RWAKIG"</f>
        <v>RWAKIG</v>
      </c>
      <c r="P37" s="218" t="str">
        <f t="shared" si="0"/>
        <v>AP21QR</v>
      </c>
      <c r="Q37" s="218" t="str">
        <f>"BAZ"</f>
        <v>BAZ</v>
      </c>
      <c r="R37" s="218" t="str">
        <f>""</f>
        <v/>
      </c>
      <c r="S37" s="218" t="str">
        <f>"030"</f>
        <v>030</v>
      </c>
      <c r="T37" s="218" t="str">
        <f t="shared" si="3"/>
        <v>D</v>
      </c>
      <c r="U37" s="218" t="str">
        <f>"AFR000"</f>
        <v>AFR000</v>
      </c>
      <c r="V37" s="218" t="str">
        <f>"030"</f>
        <v>030</v>
      </c>
      <c r="W37" s="218">
        <v>29715</v>
      </c>
      <c r="X37" s="218" t="str">
        <f>"RWF"</f>
        <v>RWF</v>
      </c>
      <c r="Y37" s="218">
        <v>24.91</v>
      </c>
      <c r="Z37" s="218">
        <v>31.93</v>
      </c>
      <c r="AA37" s="218">
        <v>29.31</v>
      </c>
    </row>
    <row r="38" spans="1:27">
      <c r="A38" s="218" t="s">
        <v>2592</v>
      </c>
      <c r="F38" s="219" t="str">
        <f>"""IntAlert Live"",""ALERT UK"",""17"",""1"",""540207"""</f>
        <v>"IntAlert Live","ALERT UK","17","1","540207"</v>
      </c>
      <c r="G38" s="223">
        <v>43916</v>
      </c>
      <c r="H38" s="223"/>
      <c r="I38" s="218" t="str">
        <f>"DRCBUK/CAISSE/2020/03/001"</f>
        <v>DRCBUK/CAISSE/2020/03/001</v>
      </c>
      <c r="K38" s="218" t="str">
        <f>"ONEM"</f>
        <v>ONEM</v>
      </c>
      <c r="L38" s="218" t="str">
        <f>"ONEM March20-Michel  MIRINDI BASHWERE"</f>
        <v>ONEM March20-Michel  MIRINDI BASHWERE</v>
      </c>
      <c r="M38" s="218" t="str">
        <f>"5160"</f>
        <v>5160</v>
      </c>
      <c r="N38" s="218" t="str">
        <f>"EMPLOYMENT BENEFITS COSTS"</f>
        <v>EMPLOYMENT BENEFITS COSTS</v>
      </c>
      <c r="O38" s="218" t="str">
        <f t="shared" ref="O38:O57" si="10">"DRCBUK"</f>
        <v>DRCBUK</v>
      </c>
      <c r="P38" s="218" t="str">
        <f t="shared" si="0"/>
        <v>AP21QR</v>
      </c>
      <c r="Q38" s="218" t="str">
        <f>"MRI"</f>
        <v>MRI</v>
      </c>
      <c r="R38" s="218" t="str">
        <f>""</f>
        <v/>
      </c>
      <c r="S38" s="218" t="str">
        <f>"035"</f>
        <v>035</v>
      </c>
      <c r="T38" s="218" t="str">
        <f t="shared" si="3"/>
        <v>D</v>
      </c>
      <c r="U38" s="218" t="str">
        <f>"AFR022"</f>
        <v>AFR022</v>
      </c>
      <c r="V38" s="218" t="str">
        <f>"035"</f>
        <v>035</v>
      </c>
      <c r="W38" s="218">
        <v>0.05</v>
      </c>
      <c r="X38" s="218" t="str">
        <f t="shared" ref="X38:X80" si="11">"USD"</f>
        <v>USD</v>
      </c>
      <c r="Y38" s="218">
        <v>0.04</v>
      </c>
      <c r="Z38" s="218">
        <v>0.05</v>
      </c>
      <c r="AA38" s="218">
        <v>0.05</v>
      </c>
    </row>
    <row r="39" spans="1:27">
      <c r="A39" s="218" t="s">
        <v>2592</v>
      </c>
      <c r="F39" s="219" t="str">
        <f>"""IntAlert Live"",""ALERT UK"",""17"",""1"",""516967"""</f>
        <v>"IntAlert Live","ALERT UK","17","1","516967"</v>
      </c>
      <c r="G39" s="223">
        <v>43859</v>
      </c>
      <c r="H39" s="223"/>
      <c r="I39" s="218" t="str">
        <f>"DRCBUK/BANK/2020/01/016"</f>
        <v>DRCBUK/BANK/2020/01/016</v>
      </c>
      <c r="K39" s="218" t="str">
        <f>"PAPSON NYAMUSHALA"</f>
        <v>PAPSON NYAMUSHALA</v>
      </c>
      <c r="L39" s="218" t="str">
        <f>"Jan'20 Salary-Papson NYAMUSHALA MWANZA"</f>
        <v>Jan'20 Salary-Papson NYAMUSHALA MWANZA</v>
      </c>
      <c r="M39" s="218" t="str">
        <f>"5100"</f>
        <v>5100</v>
      </c>
      <c r="N39" s="218" t="str">
        <f>"BASIC EMPLOYMENT COSTS"</f>
        <v>BASIC EMPLOYMENT COSTS</v>
      </c>
      <c r="O39" s="218" t="str">
        <f t="shared" si="10"/>
        <v>DRCBUK</v>
      </c>
      <c r="P39" s="218" t="str">
        <f t="shared" si="0"/>
        <v>AP21QR</v>
      </c>
      <c r="Q39" s="218" t="str">
        <f t="shared" ref="Q39:Q53" si="12">"MWA"</f>
        <v>MWA</v>
      </c>
      <c r="R39" s="218" t="str">
        <f>""</f>
        <v/>
      </c>
      <c r="S39" s="218" t="str">
        <f t="shared" ref="S39:S53" si="13">"047"</f>
        <v>047</v>
      </c>
      <c r="T39" s="218" t="str">
        <f t="shared" si="3"/>
        <v>D</v>
      </c>
      <c r="U39" s="218" t="str">
        <f t="shared" ref="U39:U70" si="14">"AFR000"</f>
        <v>AFR000</v>
      </c>
      <c r="V39" s="218" t="str">
        <f t="shared" ref="V39:V80" si="15">"###"</f>
        <v>###</v>
      </c>
      <c r="W39" s="218">
        <v>2807.73</v>
      </c>
      <c r="X39" s="218" t="str">
        <f t="shared" si="11"/>
        <v>USD</v>
      </c>
      <c r="Y39" s="218">
        <v>2116.2399999999998</v>
      </c>
      <c r="Z39" s="218">
        <v>2807.73</v>
      </c>
      <c r="AA39" s="218">
        <v>2483.62</v>
      </c>
    </row>
    <row r="40" spans="1:27">
      <c r="A40" s="218" t="s">
        <v>2592</v>
      </c>
      <c r="F40" s="219" t="str">
        <f>"""IntAlert Live"",""ALERT UK"",""17"",""1"",""517018"""</f>
        <v>"IntAlert Live","ALERT UK","17","1","517018"</v>
      </c>
      <c r="G40" s="223">
        <v>43859</v>
      </c>
      <c r="H40" s="223"/>
      <c r="I40" s="218" t="str">
        <f>"DRCBUK/BANK/2020/01/017"</f>
        <v>DRCBUK/BANK/2020/01/017</v>
      </c>
      <c r="K40" s="218" t="str">
        <f>"DGI SUD-KIVU"</f>
        <v>DGI SUD-KIVU</v>
      </c>
      <c r="L40" s="218" t="str">
        <f>"IPR Jan'20 -Papson NYAMUSHALA MWANZA"</f>
        <v>IPR Jan'20 -Papson NYAMUSHALA MWANZA</v>
      </c>
      <c r="M40" s="218" t="str">
        <f>"5100"</f>
        <v>5100</v>
      </c>
      <c r="N40" s="218" t="str">
        <f>"BASIC EMPLOYMENT COSTS"</f>
        <v>BASIC EMPLOYMENT COSTS</v>
      </c>
      <c r="O40" s="218" t="str">
        <f t="shared" si="10"/>
        <v>DRCBUK</v>
      </c>
      <c r="P40" s="218" t="str">
        <f t="shared" si="0"/>
        <v>AP21QR</v>
      </c>
      <c r="Q40" s="218" t="str">
        <f t="shared" si="12"/>
        <v>MWA</v>
      </c>
      <c r="R40" s="218" t="str">
        <f>""</f>
        <v/>
      </c>
      <c r="S40" s="218" t="str">
        <f t="shared" si="13"/>
        <v>047</v>
      </c>
      <c r="T40" s="218" t="str">
        <f t="shared" ref="T40:T58" si="16">"D"</f>
        <v>D</v>
      </c>
      <c r="U40" s="218" t="str">
        <f t="shared" si="14"/>
        <v>AFR000</v>
      </c>
      <c r="V40" s="218" t="str">
        <f t="shared" si="15"/>
        <v>###</v>
      </c>
      <c r="W40" s="218">
        <v>518.48</v>
      </c>
      <c r="X40" s="218" t="str">
        <f t="shared" si="11"/>
        <v>USD</v>
      </c>
      <c r="Y40" s="218">
        <v>390.79</v>
      </c>
      <c r="Z40" s="218">
        <v>518.48</v>
      </c>
      <c r="AA40" s="218">
        <v>458.63</v>
      </c>
    </row>
    <row r="41" spans="1:27">
      <c r="A41" s="218" t="s">
        <v>2592</v>
      </c>
      <c r="F41" s="219" t="str">
        <f>"""IntAlert Live"",""ALERT UK"",""17"",""1"",""517070"""</f>
        <v>"IntAlert Live","ALERT UK","17","1","517070"</v>
      </c>
      <c r="G41" s="223">
        <v>43859</v>
      </c>
      <c r="H41" s="223"/>
      <c r="I41" s="218" t="str">
        <f>"DRCBUK/BANK/2020/01/018"</f>
        <v>DRCBUK/BANK/2020/01/018</v>
      </c>
      <c r="K41" s="218" t="str">
        <f>"CNSS SUD-KIVU"</f>
        <v>CNSS SUD-KIVU</v>
      </c>
      <c r="L41" s="218" t="str">
        <f>"CNSS-Papson NYAMUSHALA MWANZA"</f>
        <v>CNSS-Papson NYAMUSHALA MWANZA</v>
      </c>
      <c r="M41" s="218" t="str">
        <f>"5110"</f>
        <v>5110</v>
      </c>
      <c r="N41" s="218" t="str">
        <f>"EMPLOYER'S PENSION COSTS"</f>
        <v>EMPLOYER'S PENSION COSTS</v>
      </c>
      <c r="O41" s="218" t="str">
        <f t="shared" si="10"/>
        <v>DRCBUK</v>
      </c>
      <c r="P41" s="218" t="str">
        <f t="shared" si="0"/>
        <v>AP21QR</v>
      </c>
      <c r="Q41" s="218" t="str">
        <f t="shared" si="12"/>
        <v>MWA</v>
      </c>
      <c r="R41" s="218" t="str">
        <f>""</f>
        <v/>
      </c>
      <c r="S41" s="218" t="str">
        <f t="shared" si="13"/>
        <v>047</v>
      </c>
      <c r="T41" s="218" t="str">
        <f t="shared" si="16"/>
        <v>D</v>
      </c>
      <c r="U41" s="218" t="str">
        <f t="shared" si="14"/>
        <v>AFR000</v>
      </c>
      <c r="V41" s="218" t="str">
        <f t="shared" si="15"/>
        <v>###</v>
      </c>
      <c r="W41" s="218">
        <v>461.32</v>
      </c>
      <c r="X41" s="218" t="str">
        <f t="shared" si="11"/>
        <v>USD</v>
      </c>
      <c r="Y41" s="218">
        <v>347.71</v>
      </c>
      <c r="Z41" s="218">
        <v>461.32</v>
      </c>
      <c r="AA41" s="218">
        <v>408.07</v>
      </c>
    </row>
    <row r="42" spans="1:27">
      <c r="A42" s="218" t="s">
        <v>2592</v>
      </c>
      <c r="F42" s="219" t="str">
        <f>"""IntAlert Live"",""ALERT UK"",""17"",""1"",""517121"""</f>
        <v>"IntAlert Live","ALERT UK","17","1","517121"</v>
      </c>
      <c r="G42" s="223">
        <v>43860</v>
      </c>
      <c r="H42" s="223"/>
      <c r="I42" s="218" t="str">
        <f>"DRCBUK/BANK/2020/01/019"</f>
        <v>DRCBUK/BANK/2020/01/019</v>
      </c>
      <c r="K42" s="218" t="str">
        <f>"INPP SUD-KIVU"</f>
        <v>INPP SUD-KIVU</v>
      </c>
      <c r="L42" s="218" t="str">
        <f>"INPP-Papson NYAMUSHALA MWANZA"</f>
        <v>INPP-Papson NYAMUSHALA MWANZA</v>
      </c>
      <c r="M42" s="218" t="str">
        <f>"5160"</f>
        <v>5160</v>
      </c>
      <c r="N42" s="218" t="str">
        <f>"EMPLOYMENT BENEFITS COSTS"</f>
        <v>EMPLOYMENT BENEFITS COSTS</v>
      </c>
      <c r="O42" s="218" t="str">
        <f t="shared" si="10"/>
        <v>DRCBUK</v>
      </c>
      <c r="P42" s="218" t="str">
        <f t="shared" si="0"/>
        <v>AP21QR</v>
      </c>
      <c r="Q42" s="218" t="str">
        <f t="shared" si="12"/>
        <v>MWA</v>
      </c>
      <c r="R42" s="218" t="str">
        <f>""</f>
        <v/>
      </c>
      <c r="S42" s="218" t="str">
        <f t="shared" si="13"/>
        <v>047</v>
      </c>
      <c r="T42" s="218" t="str">
        <f t="shared" si="16"/>
        <v>D</v>
      </c>
      <c r="U42" s="218" t="str">
        <f t="shared" si="14"/>
        <v>AFR000</v>
      </c>
      <c r="V42" s="218" t="str">
        <f t="shared" si="15"/>
        <v>###</v>
      </c>
      <c r="W42" s="218">
        <v>76.89</v>
      </c>
      <c r="X42" s="218" t="str">
        <f t="shared" si="11"/>
        <v>USD</v>
      </c>
      <c r="Y42" s="218">
        <v>57.95</v>
      </c>
      <c r="Z42" s="218">
        <v>76.89</v>
      </c>
      <c r="AA42" s="218">
        <v>68.010000000000005</v>
      </c>
    </row>
    <row r="43" spans="1:27">
      <c r="A43" s="218" t="s">
        <v>2592</v>
      </c>
      <c r="F43" s="219" t="str">
        <f>"""IntAlert Live"",""ALERT UK"",""17"",""1"",""532800"""</f>
        <v>"IntAlert Live","ALERT UK","17","1","532800"</v>
      </c>
      <c r="G43" s="223">
        <v>43865</v>
      </c>
      <c r="H43" s="223"/>
      <c r="I43" s="218" t="str">
        <f>"DRCBUK/CAISSE/2020/02/001"</f>
        <v>DRCBUK/CAISSE/2020/02/001</v>
      </c>
      <c r="K43" s="218" t="str">
        <f>"ONEM"</f>
        <v>ONEM</v>
      </c>
      <c r="L43" s="218" t="str">
        <f>"ONEM JANV 020-Papson NYAMUSHALA"</f>
        <v>ONEM JANV 020-Papson NYAMUSHALA</v>
      </c>
      <c r="M43" s="218" t="str">
        <f>"5160"</f>
        <v>5160</v>
      </c>
      <c r="N43" s="218" t="str">
        <f>"EMPLOYMENT BENEFITS COSTS"</f>
        <v>EMPLOYMENT BENEFITS COSTS</v>
      </c>
      <c r="O43" s="218" t="str">
        <f t="shared" si="10"/>
        <v>DRCBUK</v>
      </c>
      <c r="P43" s="218" t="str">
        <f t="shared" si="0"/>
        <v>AP21QR</v>
      </c>
      <c r="Q43" s="218" t="str">
        <f t="shared" si="12"/>
        <v>MWA</v>
      </c>
      <c r="R43" s="218" t="str">
        <f>""</f>
        <v/>
      </c>
      <c r="S43" s="218" t="str">
        <f t="shared" si="13"/>
        <v>047</v>
      </c>
      <c r="T43" s="218" t="str">
        <f t="shared" si="16"/>
        <v>D</v>
      </c>
      <c r="U43" s="218" t="str">
        <f t="shared" si="14"/>
        <v>AFR000</v>
      </c>
      <c r="V43" s="218" t="str">
        <f t="shared" si="15"/>
        <v>###</v>
      </c>
      <c r="W43" s="218">
        <v>5.13</v>
      </c>
      <c r="X43" s="218" t="str">
        <f t="shared" si="11"/>
        <v>USD</v>
      </c>
      <c r="Y43" s="218">
        <v>3.89</v>
      </c>
      <c r="Z43" s="218">
        <v>5.13</v>
      </c>
      <c r="AA43" s="218">
        <v>4.62</v>
      </c>
    </row>
    <row r="44" spans="1:27">
      <c r="A44" s="218" t="s">
        <v>2592</v>
      </c>
      <c r="F44" s="219" t="str">
        <f>"""IntAlert Live"",""ALERT UK"",""17"",""1"",""532465"""</f>
        <v>"IntAlert Live","ALERT UK","17","1","532465"</v>
      </c>
      <c r="G44" s="223">
        <v>43887</v>
      </c>
      <c r="H44" s="223"/>
      <c r="I44" s="218" t="str">
        <f>"DRCBUK/BANK/2020/02/031"</f>
        <v>DRCBUK/BANK/2020/02/031</v>
      </c>
      <c r="K44" s="218" t="str">
        <f>"PAPSON NYAMUSHALA"</f>
        <v>PAPSON NYAMUSHALA</v>
      </c>
      <c r="L44" s="218" t="str">
        <f>"Salaire-Février 020-Papson NYAMUSHALA "</f>
        <v xml:space="preserve">Salaire-Février 020-Papson NYAMUSHALA </v>
      </c>
      <c r="M44" s="218" t="str">
        <f>"5100"</f>
        <v>5100</v>
      </c>
      <c r="N44" s="218" t="str">
        <f>"BASIC EMPLOYMENT COSTS"</f>
        <v>BASIC EMPLOYMENT COSTS</v>
      </c>
      <c r="O44" s="218" t="str">
        <f t="shared" si="10"/>
        <v>DRCBUK</v>
      </c>
      <c r="P44" s="218" t="str">
        <f t="shared" si="0"/>
        <v>AP21QR</v>
      </c>
      <c r="Q44" s="218" t="str">
        <f t="shared" si="12"/>
        <v>MWA</v>
      </c>
      <c r="R44" s="218" t="str">
        <f>""</f>
        <v/>
      </c>
      <c r="S44" s="218" t="str">
        <f t="shared" si="13"/>
        <v>047</v>
      </c>
      <c r="T44" s="218" t="str">
        <f t="shared" si="16"/>
        <v>D</v>
      </c>
      <c r="U44" s="218" t="str">
        <f t="shared" si="14"/>
        <v>AFR000</v>
      </c>
      <c r="V44" s="218" t="str">
        <f t="shared" si="15"/>
        <v>###</v>
      </c>
      <c r="W44" s="218">
        <v>2819.89</v>
      </c>
      <c r="X44" s="218" t="str">
        <f t="shared" si="11"/>
        <v>USD</v>
      </c>
      <c r="Y44" s="218">
        <v>2137.4</v>
      </c>
      <c r="Z44" s="218">
        <v>2819.89</v>
      </c>
      <c r="AA44" s="218">
        <v>2539</v>
      </c>
    </row>
    <row r="45" spans="1:27">
      <c r="A45" s="218" t="s">
        <v>2592</v>
      </c>
      <c r="F45" s="219" t="str">
        <f>"""IntAlert Live"",""ALERT UK"",""17"",""1"",""532509"""</f>
        <v>"IntAlert Live","ALERT UK","17","1","532509"</v>
      </c>
      <c r="G45" s="223">
        <v>43888</v>
      </c>
      <c r="H45" s="223"/>
      <c r="I45" s="218" t="str">
        <f>"DRCBUK/BANK/2020/02/032"</f>
        <v>DRCBUK/BANK/2020/02/032</v>
      </c>
      <c r="K45" s="218" t="str">
        <f>"DGI/DPI SUD KIVU"</f>
        <v>DGI/DPI SUD KIVU</v>
      </c>
      <c r="L45" s="218" t="str">
        <f>"IPR-Février 020-Papson NYAMUSHALA "</f>
        <v xml:space="preserve">IPR-Février 020-Papson NYAMUSHALA </v>
      </c>
      <c r="M45" s="218" t="str">
        <f>"5100"</f>
        <v>5100</v>
      </c>
      <c r="N45" s="218" t="str">
        <f>"BASIC EMPLOYMENT COSTS"</f>
        <v>BASIC EMPLOYMENT COSTS</v>
      </c>
      <c r="O45" s="218" t="str">
        <f t="shared" si="10"/>
        <v>DRCBUK</v>
      </c>
      <c r="P45" s="218" t="str">
        <f t="shared" si="0"/>
        <v>AP21QR</v>
      </c>
      <c r="Q45" s="218" t="str">
        <f t="shared" si="12"/>
        <v>MWA</v>
      </c>
      <c r="R45" s="218" t="str">
        <f>""</f>
        <v/>
      </c>
      <c r="S45" s="218" t="str">
        <f t="shared" si="13"/>
        <v>047</v>
      </c>
      <c r="T45" s="218" t="str">
        <f t="shared" si="16"/>
        <v>D</v>
      </c>
      <c r="U45" s="218" t="str">
        <f t="shared" si="14"/>
        <v>AFR000</v>
      </c>
      <c r="V45" s="218" t="str">
        <f t="shared" si="15"/>
        <v>###</v>
      </c>
      <c r="W45" s="218">
        <v>526.32000000000005</v>
      </c>
      <c r="X45" s="218" t="str">
        <f t="shared" si="11"/>
        <v>USD</v>
      </c>
      <c r="Y45" s="218">
        <v>398.94</v>
      </c>
      <c r="Z45" s="218">
        <v>526.32000000000005</v>
      </c>
      <c r="AA45" s="218">
        <v>473.9</v>
      </c>
    </row>
    <row r="46" spans="1:27">
      <c r="A46" s="218" t="s">
        <v>2592</v>
      </c>
      <c r="F46" s="219" t="str">
        <f>"""IntAlert Live"",""ALERT UK"",""17"",""1"",""532555"""</f>
        <v>"IntAlert Live","ALERT UK","17","1","532555"</v>
      </c>
      <c r="G46" s="223">
        <v>43888</v>
      </c>
      <c r="H46" s="223"/>
      <c r="I46" s="218" t="str">
        <f>"DRCBUK/BANK/2020/02/033"</f>
        <v>DRCBUK/BANK/2020/02/033</v>
      </c>
      <c r="K46" s="218" t="str">
        <f>"CNSS SUD KIVU"</f>
        <v>CNSS SUD KIVU</v>
      </c>
      <c r="L46" s="218" t="str">
        <f>"CNSS-Février 020-Papson NYAMUSHALA "</f>
        <v xml:space="preserve">CNSS-Février 020-Papson NYAMUSHALA </v>
      </c>
      <c r="M46" s="218" t="str">
        <f>"5160"</f>
        <v>5160</v>
      </c>
      <c r="N46" s="218" t="str">
        <f>"EMPLOYMENT BENEFITS COSTS"</f>
        <v>EMPLOYMENT BENEFITS COSTS</v>
      </c>
      <c r="O46" s="218" t="str">
        <f t="shared" si="10"/>
        <v>DRCBUK</v>
      </c>
      <c r="P46" s="218" t="str">
        <f t="shared" si="0"/>
        <v>AP21QR</v>
      </c>
      <c r="Q46" s="218" t="str">
        <f t="shared" si="12"/>
        <v>MWA</v>
      </c>
      <c r="R46" s="218" t="str">
        <f>""</f>
        <v/>
      </c>
      <c r="S46" s="218" t="str">
        <f t="shared" si="13"/>
        <v>047</v>
      </c>
      <c r="T46" s="218" t="str">
        <f t="shared" si="16"/>
        <v>D</v>
      </c>
      <c r="U46" s="218" t="str">
        <f t="shared" si="14"/>
        <v>AFR000</v>
      </c>
      <c r="V46" s="218" t="str">
        <f t="shared" si="15"/>
        <v>###</v>
      </c>
      <c r="W46" s="218">
        <v>461.32</v>
      </c>
      <c r="X46" s="218" t="str">
        <f t="shared" si="11"/>
        <v>USD</v>
      </c>
      <c r="Y46" s="218">
        <v>349.67</v>
      </c>
      <c r="Z46" s="218">
        <v>461.32</v>
      </c>
      <c r="AA46" s="218">
        <v>415.37</v>
      </c>
    </row>
    <row r="47" spans="1:27">
      <c r="A47" s="218" t="s">
        <v>2592</v>
      </c>
      <c r="F47" s="219" t="str">
        <f>"""IntAlert Live"",""ALERT UK"",""17"",""1"",""532600"""</f>
        <v>"IntAlert Live","ALERT UK","17","1","532600"</v>
      </c>
      <c r="G47" s="223">
        <v>43888</v>
      </c>
      <c r="H47" s="223"/>
      <c r="I47" s="218" t="str">
        <f>"DRCBUK/BANK/2020/02/034"</f>
        <v>DRCBUK/BANK/2020/02/034</v>
      </c>
      <c r="K47" s="218" t="str">
        <f>"INPP SUD KIVU"</f>
        <v>INPP SUD KIVU</v>
      </c>
      <c r="L47" s="218" t="str">
        <f>"INPP-Février 020-Papson NYAMUSHALA "</f>
        <v xml:space="preserve">INPP-Février 020-Papson NYAMUSHALA </v>
      </c>
      <c r="M47" s="218" t="str">
        <f>"5160"</f>
        <v>5160</v>
      </c>
      <c r="N47" s="218" t="str">
        <f>"EMPLOYMENT BENEFITS COSTS"</f>
        <v>EMPLOYMENT BENEFITS COSTS</v>
      </c>
      <c r="O47" s="218" t="str">
        <f t="shared" si="10"/>
        <v>DRCBUK</v>
      </c>
      <c r="P47" s="218" t="str">
        <f t="shared" si="0"/>
        <v>AP21QR</v>
      </c>
      <c r="Q47" s="218" t="str">
        <f t="shared" si="12"/>
        <v>MWA</v>
      </c>
      <c r="R47" s="218" t="str">
        <f>""</f>
        <v/>
      </c>
      <c r="S47" s="218" t="str">
        <f t="shared" si="13"/>
        <v>047</v>
      </c>
      <c r="T47" s="218" t="str">
        <f t="shared" si="16"/>
        <v>D</v>
      </c>
      <c r="U47" s="218" t="str">
        <f t="shared" si="14"/>
        <v>AFR000</v>
      </c>
      <c r="V47" s="218" t="str">
        <f t="shared" si="15"/>
        <v>###</v>
      </c>
      <c r="W47" s="218">
        <v>76.89</v>
      </c>
      <c r="X47" s="218" t="str">
        <f t="shared" si="11"/>
        <v>USD</v>
      </c>
      <c r="Y47" s="218">
        <v>58.28</v>
      </c>
      <c r="Z47" s="218">
        <v>76.89</v>
      </c>
      <c r="AA47" s="218">
        <v>69.23</v>
      </c>
    </row>
    <row r="48" spans="1:27">
      <c r="A48" s="218" t="s">
        <v>2592</v>
      </c>
      <c r="F48" s="219" t="str">
        <f>"""IntAlert Live"",""ALERT UK"",""17"",""1"",""540136"""</f>
        <v>"IntAlert Live","ALERT UK","17","1","540136"</v>
      </c>
      <c r="G48" s="223">
        <v>43893</v>
      </c>
      <c r="H48" s="223"/>
      <c r="I48" s="218" t="str">
        <f>"DRCBUK/CAISSE/2020/03/001"</f>
        <v>DRCBUK/CAISSE/2020/03/001</v>
      </c>
      <c r="K48" s="218" t="str">
        <f>"ONEM"</f>
        <v>ONEM</v>
      </c>
      <c r="L48" s="218" t="str">
        <f>"ONEM Feb20-Papson NYAMUSHALA MWANZA"</f>
        <v>ONEM Feb20-Papson NYAMUSHALA MWANZA</v>
      </c>
      <c r="M48" s="218" t="str">
        <f>"5160"</f>
        <v>5160</v>
      </c>
      <c r="N48" s="218" t="str">
        <f>"EMPLOYMENT BENEFITS COSTS"</f>
        <v>EMPLOYMENT BENEFITS COSTS</v>
      </c>
      <c r="O48" s="218" t="str">
        <f t="shared" si="10"/>
        <v>DRCBUK</v>
      </c>
      <c r="P48" s="218" t="str">
        <f t="shared" si="0"/>
        <v>AP21QR</v>
      </c>
      <c r="Q48" s="218" t="str">
        <f t="shared" si="12"/>
        <v>MWA</v>
      </c>
      <c r="R48" s="218" t="str">
        <f>""</f>
        <v/>
      </c>
      <c r="S48" s="218" t="str">
        <f t="shared" si="13"/>
        <v>047</v>
      </c>
      <c r="T48" s="218" t="str">
        <f t="shared" si="16"/>
        <v>D</v>
      </c>
      <c r="U48" s="218" t="str">
        <f t="shared" si="14"/>
        <v>AFR000</v>
      </c>
      <c r="V48" s="218" t="str">
        <f t="shared" si="15"/>
        <v>###</v>
      </c>
      <c r="W48" s="218">
        <v>5.13</v>
      </c>
      <c r="X48" s="218" t="str">
        <f t="shared" si="11"/>
        <v>USD</v>
      </c>
      <c r="Y48" s="218">
        <v>4</v>
      </c>
      <c r="Z48" s="218">
        <v>5.13</v>
      </c>
      <c r="AA48" s="218">
        <v>4.71</v>
      </c>
    </row>
    <row r="49" spans="1:27">
      <c r="A49" s="218" t="s">
        <v>2592</v>
      </c>
      <c r="F49" s="219" t="str">
        <f>"""IntAlert Live"",""ALERT UK"",""17"",""1"",""540195"""</f>
        <v>"IntAlert Live","ALERT UK","17","1","540195"</v>
      </c>
      <c r="G49" s="223">
        <v>43916</v>
      </c>
      <c r="H49" s="223"/>
      <c r="I49" s="218" t="str">
        <f>"DRCBUK/CAISSE/2020/03/001"</f>
        <v>DRCBUK/CAISSE/2020/03/001</v>
      </c>
      <c r="K49" s="218" t="str">
        <f>"ONEM"</f>
        <v>ONEM</v>
      </c>
      <c r="L49" s="218" t="str">
        <f>"ONEM March20-Papson NYAMUSHALA MWANZA"</f>
        <v>ONEM March20-Papson NYAMUSHALA MWANZA</v>
      </c>
      <c r="M49" s="218" t="str">
        <f>"5160"</f>
        <v>5160</v>
      </c>
      <c r="N49" s="218" t="str">
        <f>"EMPLOYMENT BENEFITS COSTS"</f>
        <v>EMPLOYMENT BENEFITS COSTS</v>
      </c>
      <c r="O49" s="218" t="str">
        <f t="shared" si="10"/>
        <v>DRCBUK</v>
      </c>
      <c r="P49" s="218" t="str">
        <f t="shared" si="0"/>
        <v>AP21QR</v>
      </c>
      <c r="Q49" s="218" t="str">
        <f t="shared" si="12"/>
        <v>MWA</v>
      </c>
      <c r="R49" s="218" t="str">
        <f>""</f>
        <v/>
      </c>
      <c r="S49" s="218" t="str">
        <f t="shared" si="13"/>
        <v>047</v>
      </c>
      <c r="T49" s="218" t="str">
        <f t="shared" si="16"/>
        <v>D</v>
      </c>
      <c r="U49" s="218" t="str">
        <f t="shared" si="14"/>
        <v>AFR000</v>
      </c>
      <c r="V49" s="218" t="str">
        <f t="shared" si="15"/>
        <v>###</v>
      </c>
      <c r="W49" s="218">
        <v>5.13</v>
      </c>
      <c r="X49" s="218" t="str">
        <f t="shared" si="11"/>
        <v>USD</v>
      </c>
      <c r="Y49" s="218">
        <v>4</v>
      </c>
      <c r="Z49" s="218">
        <v>5.13</v>
      </c>
      <c r="AA49" s="218">
        <v>4.71</v>
      </c>
    </row>
    <row r="50" spans="1:27">
      <c r="A50" s="218" t="s">
        <v>2592</v>
      </c>
      <c r="F50" s="219" t="str">
        <f>"""IntAlert Live"",""ALERT UK"",""17"",""1"",""539868"""</f>
        <v>"IntAlert Live","ALERT UK","17","1","539868"</v>
      </c>
      <c r="G50" s="223">
        <v>43921</v>
      </c>
      <c r="H50" s="223"/>
      <c r="I50" s="218" t="str">
        <f>"DRCBUK/BANK/2020/03/029"</f>
        <v>DRCBUK/BANK/2020/03/029</v>
      </c>
      <c r="K50" s="218" t="str">
        <f>"PAPSON NYAMUSHALA MWANZA"</f>
        <v>PAPSON NYAMUSHALA MWANZA</v>
      </c>
      <c r="L50" s="218" t="str">
        <f>"Salaire Mars20-Papson NYAMUSHALA MWANZA"</f>
        <v>Salaire Mars20-Papson NYAMUSHALA MWANZA</v>
      </c>
      <c r="M50" s="218" t="str">
        <f>"5100"</f>
        <v>5100</v>
      </c>
      <c r="N50" s="218" t="str">
        <f>"BASIC EMPLOYMENT COSTS"</f>
        <v>BASIC EMPLOYMENT COSTS</v>
      </c>
      <c r="O50" s="218" t="str">
        <f t="shared" si="10"/>
        <v>DRCBUK</v>
      </c>
      <c r="P50" s="218" t="str">
        <f t="shared" si="0"/>
        <v>AP21QR</v>
      </c>
      <c r="Q50" s="218" t="str">
        <f t="shared" si="12"/>
        <v>MWA</v>
      </c>
      <c r="R50" s="218" t="str">
        <f>""</f>
        <v/>
      </c>
      <c r="S50" s="218" t="str">
        <f t="shared" si="13"/>
        <v>047</v>
      </c>
      <c r="T50" s="218" t="str">
        <f t="shared" si="16"/>
        <v>D</v>
      </c>
      <c r="U50" s="218" t="str">
        <f t="shared" si="14"/>
        <v>AFR000</v>
      </c>
      <c r="V50" s="218" t="str">
        <f t="shared" si="15"/>
        <v>###</v>
      </c>
      <c r="W50" s="218">
        <v>2816.38</v>
      </c>
      <c r="X50" s="218" t="str">
        <f t="shared" si="11"/>
        <v>USD</v>
      </c>
      <c r="Y50" s="218">
        <v>2196.9</v>
      </c>
      <c r="Z50" s="218">
        <v>2816.38</v>
      </c>
      <c r="AA50" s="218">
        <v>2584.7399999999998</v>
      </c>
    </row>
    <row r="51" spans="1:27">
      <c r="A51" s="218" t="s">
        <v>2592</v>
      </c>
      <c r="F51" s="219" t="str">
        <f>"""IntAlert Live"",""ALERT UK"",""17"",""1"",""539904"""</f>
        <v>"IntAlert Live","ALERT UK","17","1","539904"</v>
      </c>
      <c r="G51" s="223">
        <v>43921</v>
      </c>
      <c r="H51" s="223"/>
      <c r="I51" s="218" t="str">
        <f>"DRCBUK/BANK/2020/03/030"</f>
        <v>DRCBUK/BANK/2020/03/030</v>
      </c>
      <c r="K51" s="218" t="str">
        <f>"DGI SUD-KIVU"</f>
        <v>DGI SUD-KIVU</v>
      </c>
      <c r="L51" s="218" t="str">
        <f>"IPR Mars20-Papson NYAMUSHALA MWANZA"</f>
        <v>IPR Mars20-Papson NYAMUSHALA MWANZA</v>
      </c>
      <c r="M51" s="218" t="str">
        <f>"5100"</f>
        <v>5100</v>
      </c>
      <c r="N51" s="218" t="str">
        <f>"BASIC EMPLOYMENT COSTS"</f>
        <v>BASIC EMPLOYMENT COSTS</v>
      </c>
      <c r="O51" s="218" t="str">
        <f t="shared" si="10"/>
        <v>DRCBUK</v>
      </c>
      <c r="P51" s="218" t="str">
        <f t="shared" si="0"/>
        <v>AP21QR</v>
      </c>
      <c r="Q51" s="218" t="str">
        <f t="shared" si="12"/>
        <v>MWA</v>
      </c>
      <c r="R51" s="218" t="str">
        <f>""</f>
        <v/>
      </c>
      <c r="S51" s="218" t="str">
        <f t="shared" si="13"/>
        <v>047</v>
      </c>
      <c r="T51" s="218" t="str">
        <f t="shared" si="16"/>
        <v>D</v>
      </c>
      <c r="U51" s="218" t="str">
        <f t="shared" si="14"/>
        <v>AFR000</v>
      </c>
      <c r="V51" s="218" t="str">
        <f t="shared" si="15"/>
        <v>###</v>
      </c>
      <c r="W51" s="218">
        <v>529.83000000000004</v>
      </c>
      <c r="X51" s="218" t="str">
        <f t="shared" si="11"/>
        <v>USD</v>
      </c>
      <c r="Y51" s="218">
        <v>413.29</v>
      </c>
      <c r="Z51" s="218">
        <v>529.83000000000004</v>
      </c>
      <c r="AA51" s="218">
        <v>486.25</v>
      </c>
    </row>
    <row r="52" spans="1:27">
      <c r="A52" s="218" t="s">
        <v>2592</v>
      </c>
      <c r="F52" s="219" t="str">
        <f>"""IntAlert Live"",""ALERT UK"",""17"",""1"",""539942"""</f>
        <v>"IntAlert Live","ALERT UK","17","1","539942"</v>
      </c>
      <c r="G52" s="223">
        <v>43921</v>
      </c>
      <c r="H52" s="223"/>
      <c r="I52" s="218" t="str">
        <f>"DRCBUK/BANK/2020/03/031"</f>
        <v>DRCBUK/BANK/2020/03/031</v>
      </c>
      <c r="K52" s="218" t="str">
        <f>"CNSS SUD-KIVU"</f>
        <v>CNSS SUD-KIVU</v>
      </c>
      <c r="L52" s="218" t="str">
        <f>"CNSS Mars20-Papson NYAMUSHALA MWANZA"</f>
        <v>CNSS Mars20-Papson NYAMUSHALA MWANZA</v>
      </c>
      <c r="M52" s="218" t="str">
        <f>"5110"</f>
        <v>5110</v>
      </c>
      <c r="N52" s="218" t="str">
        <f>"EMPLOYER'S PENSION COSTS"</f>
        <v>EMPLOYER'S PENSION COSTS</v>
      </c>
      <c r="O52" s="218" t="str">
        <f t="shared" si="10"/>
        <v>DRCBUK</v>
      </c>
      <c r="P52" s="218" t="str">
        <f t="shared" si="0"/>
        <v>AP21QR</v>
      </c>
      <c r="Q52" s="218" t="str">
        <f t="shared" si="12"/>
        <v>MWA</v>
      </c>
      <c r="R52" s="218" t="str">
        <f>""</f>
        <v/>
      </c>
      <c r="S52" s="218" t="str">
        <f t="shared" si="13"/>
        <v>047</v>
      </c>
      <c r="T52" s="218" t="str">
        <f t="shared" si="16"/>
        <v>D</v>
      </c>
      <c r="U52" s="218" t="str">
        <f t="shared" si="14"/>
        <v>AFR000</v>
      </c>
      <c r="V52" s="218" t="str">
        <f t="shared" si="15"/>
        <v>###</v>
      </c>
      <c r="W52" s="218">
        <v>461.32</v>
      </c>
      <c r="X52" s="218" t="str">
        <f t="shared" si="11"/>
        <v>USD</v>
      </c>
      <c r="Y52" s="218">
        <v>359.85</v>
      </c>
      <c r="Z52" s="218">
        <v>461.32</v>
      </c>
      <c r="AA52" s="218">
        <v>423.38</v>
      </c>
    </row>
    <row r="53" spans="1:27">
      <c r="A53" s="218" t="s">
        <v>2592</v>
      </c>
      <c r="F53" s="219" t="str">
        <f>"""IntAlert Live"",""ALERT UK"",""17"",""1"",""539979"""</f>
        <v>"IntAlert Live","ALERT UK","17","1","539979"</v>
      </c>
      <c r="G53" s="223">
        <v>43921</v>
      </c>
      <c r="H53" s="223"/>
      <c r="I53" s="218" t="str">
        <f>"DRCBUK/BANK/2020/03/032"</f>
        <v>DRCBUK/BANK/2020/03/032</v>
      </c>
      <c r="K53" s="218" t="str">
        <f>"INPP SUD-KIVU"</f>
        <v>INPP SUD-KIVU</v>
      </c>
      <c r="L53" s="218" t="str">
        <f>"INPP Mars20-Papson NYAMUSHALA MWANZA"</f>
        <v>INPP Mars20-Papson NYAMUSHALA MWANZA</v>
      </c>
      <c r="M53" s="218" t="str">
        <f>"5160"</f>
        <v>5160</v>
      </c>
      <c r="N53" s="218" t="str">
        <f>"EMPLOYMENT BENEFITS COSTS"</f>
        <v>EMPLOYMENT BENEFITS COSTS</v>
      </c>
      <c r="O53" s="218" t="str">
        <f t="shared" si="10"/>
        <v>DRCBUK</v>
      </c>
      <c r="P53" s="218" t="str">
        <f t="shared" si="0"/>
        <v>AP21QR</v>
      </c>
      <c r="Q53" s="218" t="str">
        <f t="shared" si="12"/>
        <v>MWA</v>
      </c>
      <c r="R53" s="218" t="str">
        <f>""</f>
        <v/>
      </c>
      <c r="S53" s="218" t="str">
        <f t="shared" si="13"/>
        <v>047</v>
      </c>
      <c r="T53" s="218" t="str">
        <f t="shared" si="16"/>
        <v>D</v>
      </c>
      <c r="U53" s="218" t="str">
        <f t="shared" si="14"/>
        <v>AFR000</v>
      </c>
      <c r="V53" s="218" t="str">
        <f t="shared" si="15"/>
        <v>###</v>
      </c>
      <c r="W53" s="218">
        <v>76.89</v>
      </c>
      <c r="X53" s="218" t="str">
        <f t="shared" si="11"/>
        <v>USD</v>
      </c>
      <c r="Y53" s="218">
        <v>59.98</v>
      </c>
      <c r="Z53" s="218">
        <v>76.89</v>
      </c>
      <c r="AA53" s="218">
        <v>70.569999999999993</v>
      </c>
    </row>
    <row r="54" spans="1:27">
      <c r="A54" s="218" t="s">
        <v>2592</v>
      </c>
      <c r="F54" s="219" t="str">
        <f>"""IntAlert Live"",""ALERT UK"",""17"",""1"",""516827"""</f>
        <v>"IntAlert Live","ALERT UK","17","1","516827"</v>
      </c>
      <c r="G54" s="223">
        <v>43843</v>
      </c>
      <c r="H54" s="223"/>
      <c r="I54" s="218" t="str">
        <f>"DRCBUK/BANK/2020/01/005"</f>
        <v>DRCBUK/BANK/2020/01/005</v>
      </c>
      <c r="K54" s="218" t="str">
        <f>"DGI"</f>
        <v>DGI</v>
      </c>
      <c r="L54" s="218" t="str">
        <f>"IPR Occasionnel Consultant Pardo Déc19"</f>
        <v>IPR Occasionnel Consultant Pardo Déc19</v>
      </c>
      <c r="M54" s="218" t="str">
        <f>"6190"</f>
        <v>6190</v>
      </c>
      <c r="N54" s="218" t="str">
        <f>"CONSULTANT  FEES"</f>
        <v>CONSULTANT  FEES</v>
      </c>
      <c r="O54" s="218" t="str">
        <f t="shared" si="10"/>
        <v>DRCBUK</v>
      </c>
      <c r="P54" s="218" t="str">
        <f t="shared" si="0"/>
        <v>AP21QR</v>
      </c>
      <c r="Q54" s="218" t="str">
        <f>""</f>
        <v/>
      </c>
      <c r="R54" s="218" t="str">
        <f>""</f>
        <v/>
      </c>
      <c r="S54" s="218" t="str">
        <f>"048"</f>
        <v>048</v>
      </c>
      <c r="T54" s="218" t="str">
        <f t="shared" si="16"/>
        <v>D</v>
      </c>
      <c r="U54" s="218" t="str">
        <f t="shared" si="14"/>
        <v>AFR000</v>
      </c>
      <c r="V54" s="218" t="str">
        <f t="shared" si="15"/>
        <v>###</v>
      </c>
      <c r="W54" s="218">
        <v>176.7</v>
      </c>
      <c r="X54" s="218" t="str">
        <f t="shared" si="11"/>
        <v>USD</v>
      </c>
      <c r="Y54" s="218">
        <v>133.18</v>
      </c>
      <c r="Z54" s="218">
        <v>176.7</v>
      </c>
      <c r="AA54" s="218">
        <v>156.30000000000001</v>
      </c>
    </row>
    <row r="55" spans="1:27">
      <c r="A55" s="218" t="s">
        <v>2592</v>
      </c>
      <c r="F55" s="219" t="str">
        <f>"""IntAlert Live"",""ALERT UK"",""17"",""1"",""516828"""</f>
        <v>"IntAlert Live","ALERT UK","17","1","516828"</v>
      </c>
      <c r="G55" s="223">
        <v>43843</v>
      </c>
      <c r="H55" s="223"/>
      <c r="I55" s="218" t="str">
        <f>"DRCBUK/BANK/2020/01/005"</f>
        <v>DRCBUK/BANK/2020/01/005</v>
      </c>
      <c r="K55" s="218" t="str">
        <f>"DGI"</f>
        <v>DGI</v>
      </c>
      <c r="L55" s="218" t="str">
        <f>"IPR Occasionnel Consultant Felix Déc19"</f>
        <v>IPR Occasionnel Consultant Felix Déc19</v>
      </c>
      <c r="M55" s="218" t="str">
        <f>"6190"</f>
        <v>6190</v>
      </c>
      <c r="N55" s="218" t="str">
        <f>"CONSULTANT  FEES"</f>
        <v>CONSULTANT  FEES</v>
      </c>
      <c r="O55" s="218" t="str">
        <f t="shared" si="10"/>
        <v>DRCBUK</v>
      </c>
      <c r="P55" s="218" t="str">
        <f t="shared" si="0"/>
        <v>AP21QR</v>
      </c>
      <c r="Q55" s="218" t="str">
        <f>""</f>
        <v/>
      </c>
      <c r="R55" s="218" t="str">
        <f>""</f>
        <v/>
      </c>
      <c r="S55" s="218" t="str">
        <f>"048"</f>
        <v>048</v>
      </c>
      <c r="T55" s="218" t="str">
        <f t="shared" si="16"/>
        <v>D</v>
      </c>
      <c r="U55" s="218" t="str">
        <f t="shared" si="14"/>
        <v>AFR000</v>
      </c>
      <c r="V55" s="218" t="str">
        <f t="shared" si="15"/>
        <v>###</v>
      </c>
      <c r="W55" s="218">
        <v>176.7</v>
      </c>
      <c r="X55" s="218" t="str">
        <f t="shared" si="11"/>
        <v>USD</v>
      </c>
      <c r="Y55" s="218">
        <v>133.18</v>
      </c>
      <c r="Z55" s="218">
        <v>176.7</v>
      </c>
      <c r="AA55" s="218">
        <v>156.30000000000001</v>
      </c>
    </row>
    <row r="56" spans="1:27">
      <c r="A56" s="218" t="s">
        <v>2592</v>
      </c>
      <c r="F56" s="219" t="str">
        <f>"""IntAlert Live"",""ALERT UK"",""17"",""1"",""516847"""</f>
        <v>"IntAlert Live","ALERT UK","17","1","516847"</v>
      </c>
      <c r="G56" s="223">
        <v>43843</v>
      </c>
      <c r="H56" s="223"/>
      <c r="I56" s="218" t="str">
        <f>"DRCBUK/BANK/2020/01/006"</f>
        <v>DRCBUK/BANK/2020/01/006</v>
      </c>
      <c r="K56" s="218" t="str">
        <f>"CNSS"</f>
        <v>CNSS</v>
      </c>
      <c r="L56" s="218" t="str">
        <f>"CNSS Occasionnel Consultant Pardo Déc19"</f>
        <v>CNSS Occasionnel Consultant Pardo Déc19</v>
      </c>
      <c r="M56" s="218" t="str">
        <f>"6190"</f>
        <v>6190</v>
      </c>
      <c r="N56" s="218" t="str">
        <f>"CONSULTANT  FEES"</f>
        <v>CONSULTANT  FEES</v>
      </c>
      <c r="O56" s="218" t="str">
        <f t="shared" si="10"/>
        <v>DRCBUK</v>
      </c>
      <c r="P56" s="218" t="str">
        <f t="shared" si="0"/>
        <v>AP21QR</v>
      </c>
      <c r="Q56" s="218" t="str">
        <f>""</f>
        <v/>
      </c>
      <c r="R56" s="218" t="str">
        <f>""</f>
        <v/>
      </c>
      <c r="S56" s="218" t="str">
        <f>"048"</f>
        <v>048</v>
      </c>
      <c r="T56" s="218" t="str">
        <f t="shared" si="16"/>
        <v>D</v>
      </c>
      <c r="U56" s="218" t="str">
        <f t="shared" si="14"/>
        <v>AFR000</v>
      </c>
      <c r="V56" s="218" t="str">
        <f t="shared" si="15"/>
        <v>###</v>
      </c>
      <c r="W56" s="218">
        <v>223.2</v>
      </c>
      <c r="X56" s="218" t="str">
        <f t="shared" si="11"/>
        <v>USD</v>
      </c>
      <c r="Y56" s="218">
        <v>168.23</v>
      </c>
      <c r="Z56" s="218">
        <v>223.2</v>
      </c>
      <c r="AA56" s="218">
        <v>197.43</v>
      </c>
    </row>
    <row r="57" spans="1:27">
      <c r="A57" s="218" t="s">
        <v>2592</v>
      </c>
      <c r="F57" s="219" t="str">
        <f>"""IntAlert Live"",""ALERT UK"",""17"",""1"",""516848"""</f>
        <v>"IntAlert Live","ALERT UK","17","1","516848"</v>
      </c>
      <c r="G57" s="223">
        <v>43843</v>
      </c>
      <c r="H57" s="223"/>
      <c r="I57" s="218" t="str">
        <f>"DRCBUK/BANK/2020/01/006"</f>
        <v>DRCBUK/BANK/2020/01/006</v>
      </c>
      <c r="K57" s="218" t="str">
        <f>"CNSS"</f>
        <v>CNSS</v>
      </c>
      <c r="L57" s="218" t="str">
        <f>"CNSS Occasionnel Consultant Felix Déc19"</f>
        <v>CNSS Occasionnel Consultant Felix Déc19</v>
      </c>
      <c r="M57" s="218" t="str">
        <f>"6190"</f>
        <v>6190</v>
      </c>
      <c r="N57" s="218" t="str">
        <f>"CONSULTANT  FEES"</f>
        <v>CONSULTANT  FEES</v>
      </c>
      <c r="O57" s="218" t="str">
        <f t="shared" si="10"/>
        <v>DRCBUK</v>
      </c>
      <c r="P57" s="218" t="str">
        <f t="shared" si="0"/>
        <v>AP21QR</v>
      </c>
      <c r="Q57" s="218" t="str">
        <f>""</f>
        <v/>
      </c>
      <c r="R57" s="218" t="str">
        <f>""</f>
        <v/>
      </c>
      <c r="S57" s="218" t="str">
        <f>"048"</f>
        <v>048</v>
      </c>
      <c r="T57" s="218" t="str">
        <f t="shared" si="16"/>
        <v>D</v>
      </c>
      <c r="U57" s="218" t="str">
        <f t="shared" si="14"/>
        <v>AFR000</v>
      </c>
      <c r="V57" s="218" t="str">
        <f t="shared" si="15"/>
        <v>###</v>
      </c>
      <c r="W57" s="218">
        <v>223.2</v>
      </c>
      <c r="X57" s="218" t="str">
        <f t="shared" si="11"/>
        <v>USD</v>
      </c>
      <c r="Y57" s="218">
        <v>168.23</v>
      </c>
      <c r="Z57" s="218">
        <v>223.2</v>
      </c>
      <c r="AA57" s="218">
        <v>197.43</v>
      </c>
    </row>
    <row r="58" spans="1:27">
      <c r="A58" s="218" t="s">
        <v>2592</v>
      </c>
      <c r="F58" s="219" t="str">
        <f>"""IntAlert Live"",""ALERT UK"",""17"",""1"",""539375"""</f>
        <v>"IntAlert Live","ALERT UK","17","1","539375"</v>
      </c>
      <c r="G58" s="223">
        <v>43910</v>
      </c>
      <c r="H58" s="223"/>
      <c r="I58" s="218" t="str">
        <f>""</f>
        <v/>
      </c>
      <c r="K58" s="218" t="str">
        <f>"10057797"</f>
        <v>10057797</v>
      </c>
      <c r="L58" s="218" t="str">
        <f>"Flight for Gloriose to Kamembe/Apui au project CAM"</f>
        <v>Flight for Gloriose to Kamembe/Apui au project CAM</v>
      </c>
      <c r="M58" s="218" t="str">
        <f>"6020"</f>
        <v>6020</v>
      </c>
      <c r="N58" s="218" t="str">
        <f>"STAFF TRAVEL LOCAL"</f>
        <v>STAFF TRAVEL LOCAL</v>
      </c>
      <c r="O58" s="218" t="str">
        <f>"RWAKIG"</f>
        <v>RWAKIG</v>
      </c>
      <c r="P58" s="218" t="str">
        <f t="shared" si="0"/>
        <v>AP21QR</v>
      </c>
      <c r="Q58" s="218" t="str">
        <f>"BAZ"</f>
        <v>BAZ</v>
      </c>
      <c r="R58" s="218" t="str">
        <f>""</f>
        <v/>
      </c>
      <c r="S58" s="218" t="str">
        <f>"049"</f>
        <v>049</v>
      </c>
      <c r="T58" s="218" t="str">
        <f t="shared" si="16"/>
        <v>D</v>
      </c>
      <c r="U58" s="218" t="str">
        <f t="shared" si="14"/>
        <v>AFR000</v>
      </c>
      <c r="V58" s="218" t="str">
        <f t="shared" si="15"/>
        <v>###</v>
      </c>
      <c r="W58" s="218">
        <v>170</v>
      </c>
      <c r="X58" s="218" t="str">
        <f t="shared" si="11"/>
        <v>USD</v>
      </c>
      <c r="Y58" s="218">
        <v>132.61000000000001</v>
      </c>
      <c r="Z58" s="218">
        <v>170</v>
      </c>
      <c r="AA58" s="218">
        <v>156.02000000000001</v>
      </c>
    </row>
    <row r="59" spans="1:27">
      <c r="A59" s="218" t="s">
        <v>2592</v>
      </c>
      <c r="F59" s="219" t="str">
        <f>"""IntAlert Live"",""ALERT UK"",""17"",""1"",""533152"""</f>
        <v>"IntAlert Live","ALERT UK","17","1","533152"</v>
      </c>
      <c r="G59" s="223">
        <v>43861</v>
      </c>
      <c r="H59" s="223"/>
      <c r="I59" s="218" t="str">
        <f>"JC CHUNGONG 10%"</f>
        <v>JC CHUNGONG 10%</v>
      </c>
      <c r="K59" s="218" t="str">
        <f>"HR CHG JAN20"</f>
        <v>HR CHG JAN20</v>
      </c>
      <c r="L59" s="218" t="str">
        <f>"HR CHG JAN20"</f>
        <v>HR CHG JAN20</v>
      </c>
      <c r="M59" s="218" t="str">
        <f>"5100"</f>
        <v>5100</v>
      </c>
      <c r="N59" s="218" t="str">
        <f>"BASIC EMPLOYMENT COSTS"</f>
        <v>BASIC EMPLOYMENT COSTS</v>
      </c>
      <c r="O59" s="218" t="str">
        <f>"UNILON"</f>
        <v>UNILON</v>
      </c>
      <c r="P59" s="218" t="str">
        <f t="shared" si="0"/>
        <v>AP21QR</v>
      </c>
      <c r="Q59" s="218" t="str">
        <f>"CHO"</f>
        <v>CHO</v>
      </c>
      <c r="R59" s="218" t="str">
        <f>""</f>
        <v/>
      </c>
      <c r="S59" s="218" t="str">
        <f>"050"</f>
        <v>050</v>
      </c>
      <c r="T59" s="218" t="str">
        <f>"S"</f>
        <v>S</v>
      </c>
      <c r="U59" s="218" t="str">
        <f t="shared" si="14"/>
        <v>AFR000</v>
      </c>
      <c r="V59" s="218" t="str">
        <f t="shared" si="15"/>
        <v>###</v>
      </c>
      <c r="W59" s="218">
        <v>33.979999999999997</v>
      </c>
      <c r="X59" s="218" t="str">
        <f t="shared" si="11"/>
        <v>USD</v>
      </c>
      <c r="Y59" s="218">
        <v>25.61</v>
      </c>
      <c r="Z59" s="218">
        <v>33.979999999999997</v>
      </c>
      <c r="AA59" s="218">
        <v>30.06</v>
      </c>
    </row>
    <row r="60" spans="1:27">
      <c r="A60" s="218" t="s">
        <v>2592</v>
      </c>
      <c r="F60" s="219" t="str">
        <f>"""IntAlert Live"",""ALERT UK"",""17"",""1"",""533153"""</f>
        <v>"IntAlert Live","ALERT UK","17","1","533153"</v>
      </c>
      <c r="G60" s="223">
        <v>43861</v>
      </c>
      <c r="H60" s="223"/>
      <c r="I60" s="218" t="str">
        <f>"JC CHUNGONG 10%"</f>
        <v>JC CHUNGONG 10%</v>
      </c>
      <c r="K60" s="218" t="str">
        <f>"HR SCF CHG JAN20"</f>
        <v>HR SCF CHG JAN20</v>
      </c>
      <c r="L60" s="218" t="str">
        <f>"HR SCF CHG JAN20"</f>
        <v>HR SCF CHG JAN20</v>
      </c>
      <c r="M60" s="218" t="str">
        <f>"5100"</f>
        <v>5100</v>
      </c>
      <c r="N60" s="218" t="str">
        <f>"BASIC EMPLOYMENT COSTS"</f>
        <v>BASIC EMPLOYMENT COSTS</v>
      </c>
      <c r="O60" s="218" t="str">
        <f>"UNILON"</f>
        <v>UNILON</v>
      </c>
      <c r="P60" s="218" t="str">
        <f t="shared" si="0"/>
        <v>AP21QR</v>
      </c>
      <c r="Q60" s="218" t="str">
        <f>"CHO"</f>
        <v>CHO</v>
      </c>
      <c r="R60" s="218" t="str">
        <f>""</f>
        <v/>
      </c>
      <c r="S60" s="218" t="str">
        <f>"050"</f>
        <v>050</v>
      </c>
      <c r="T60" s="218" t="str">
        <f>"C"</f>
        <v>C</v>
      </c>
      <c r="U60" s="218" t="str">
        <f t="shared" si="14"/>
        <v>AFR000</v>
      </c>
      <c r="V60" s="218" t="str">
        <f t="shared" si="15"/>
        <v>###</v>
      </c>
      <c r="W60" s="218">
        <v>10.19</v>
      </c>
      <c r="X60" s="218" t="str">
        <f t="shared" si="11"/>
        <v>USD</v>
      </c>
      <c r="Y60" s="218">
        <v>7.68</v>
      </c>
      <c r="Z60" s="218">
        <v>10.19</v>
      </c>
      <c r="AA60" s="218">
        <v>9.01</v>
      </c>
    </row>
    <row r="61" spans="1:27">
      <c r="A61" s="218" t="s">
        <v>2592</v>
      </c>
      <c r="F61" s="219" t="str">
        <f>"""IntAlert Live"",""ALERT UK"",""17"",""1"",""533154"""</f>
        <v>"IntAlert Live","ALERT UK","17","1","533154"</v>
      </c>
      <c r="G61" s="223">
        <v>43861</v>
      </c>
      <c r="H61" s="223"/>
      <c r="I61" s="218" t="str">
        <f>"JC CHUNGONG 10%"</f>
        <v>JC CHUNGONG 10%</v>
      </c>
      <c r="K61" s="218" t="str">
        <f>"PR JAN20 JNL"</f>
        <v>PR JAN20 JNL</v>
      </c>
      <c r="L61" s="218" t="str">
        <f>"C Chungong 10%"</f>
        <v>C Chungong 10%</v>
      </c>
      <c r="M61" s="218" t="str">
        <f>"5100"</f>
        <v>5100</v>
      </c>
      <c r="N61" s="218" t="str">
        <f>"BASIC EMPLOYMENT COSTS"</f>
        <v>BASIC EMPLOYMENT COSTS</v>
      </c>
      <c r="O61" s="218" t="str">
        <f>"UNILON"</f>
        <v>UNILON</v>
      </c>
      <c r="P61" s="218" t="str">
        <f t="shared" si="0"/>
        <v>AP21QR</v>
      </c>
      <c r="Q61" s="218" t="str">
        <f>"CHO"</f>
        <v>CHO</v>
      </c>
      <c r="R61" s="218" t="str">
        <f>""</f>
        <v/>
      </c>
      <c r="S61" s="218" t="str">
        <f>"050"</f>
        <v>050</v>
      </c>
      <c r="T61" s="218" t="str">
        <f t="shared" ref="T61:T80" si="17">"D"</f>
        <v>D</v>
      </c>
      <c r="U61" s="218" t="str">
        <f t="shared" si="14"/>
        <v>AFR000</v>
      </c>
      <c r="V61" s="218" t="str">
        <f t="shared" si="15"/>
        <v>###</v>
      </c>
      <c r="W61" s="218">
        <v>679.5</v>
      </c>
      <c r="X61" s="218" t="str">
        <f t="shared" si="11"/>
        <v>USD</v>
      </c>
      <c r="Y61" s="218">
        <v>512.15</v>
      </c>
      <c r="Z61" s="218">
        <v>679.5</v>
      </c>
      <c r="AA61" s="218">
        <v>601.05999999999995</v>
      </c>
    </row>
    <row r="62" spans="1:27">
      <c r="A62" s="218" t="s">
        <v>2592</v>
      </c>
      <c r="F62" s="219" t="str">
        <f>"""IntAlert Live"",""ALERT UK"",""17"",""1"",""533155"""</f>
        <v>"IntAlert Live","ALERT UK","17","1","533155"</v>
      </c>
      <c r="G62" s="223">
        <v>43861</v>
      </c>
      <c r="H62" s="223"/>
      <c r="I62" s="218" t="str">
        <f>"JC CHUNGONG 10%"</f>
        <v>JC CHUNGONG 10%</v>
      </c>
      <c r="K62" s="218" t="str">
        <f>"PR JAN20 JNL"</f>
        <v>PR JAN20 JNL</v>
      </c>
      <c r="L62" s="218" t="str">
        <f>"C Chungong 10%"</f>
        <v>C Chungong 10%</v>
      </c>
      <c r="M62" s="218" t="str">
        <f>"5120"</f>
        <v>5120</v>
      </c>
      <c r="N62" s="218" t="str">
        <f>"EMPLOYER'S NI"</f>
        <v>EMPLOYER'S NI</v>
      </c>
      <c r="O62" s="218" t="str">
        <f>"UNILON"</f>
        <v>UNILON</v>
      </c>
      <c r="P62" s="218" t="str">
        <f t="shared" si="0"/>
        <v>AP21QR</v>
      </c>
      <c r="Q62" s="218" t="str">
        <f>"CHO"</f>
        <v>CHO</v>
      </c>
      <c r="R62" s="218" t="str">
        <f>""</f>
        <v/>
      </c>
      <c r="S62" s="218" t="str">
        <f>"050"</f>
        <v>050</v>
      </c>
      <c r="T62" s="218" t="str">
        <f t="shared" si="17"/>
        <v>D</v>
      </c>
      <c r="U62" s="218" t="str">
        <f t="shared" si="14"/>
        <v>AFR000</v>
      </c>
      <c r="V62" s="218" t="str">
        <f t="shared" si="15"/>
        <v>###</v>
      </c>
      <c r="W62" s="218">
        <v>80.599999999999994</v>
      </c>
      <c r="X62" s="218" t="str">
        <f t="shared" si="11"/>
        <v>USD</v>
      </c>
      <c r="Y62" s="218">
        <v>60.75</v>
      </c>
      <c r="Z62" s="218">
        <v>80.599999999999994</v>
      </c>
      <c r="AA62" s="218">
        <v>71.3</v>
      </c>
    </row>
    <row r="63" spans="1:27">
      <c r="A63" s="218" t="s">
        <v>2592</v>
      </c>
      <c r="F63" s="219" t="str">
        <f>"""IntAlert Live"",""ALERT UK"",""17"",""1"",""533156"""</f>
        <v>"IntAlert Live","ALERT UK","17","1","533156"</v>
      </c>
      <c r="G63" s="223">
        <v>43861</v>
      </c>
      <c r="H63" s="223"/>
      <c r="I63" s="218" t="str">
        <f>"JC CHUNGONG 10%"</f>
        <v>JC CHUNGONG 10%</v>
      </c>
      <c r="K63" s="218" t="str">
        <f>"PR JAN20 JNL"</f>
        <v>PR JAN20 JNL</v>
      </c>
      <c r="L63" s="218" t="str">
        <f>"C Chungong 10%"</f>
        <v>C Chungong 10%</v>
      </c>
      <c r="M63" s="218" t="str">
        <f>"5110"</f>
        <v>5110</v>
      </c>
      <c r="N63" s="218" t="str">
        <f>"EMPLOYER'S PENSION COSTS"</f>
        <v>EMPLOYER'S PENSION COSTS</v>
      </c>
      <c r="O63" s="218" t="str">
        <f>"UNILON"</f>
        <v>UNILON</v>
      </c>
      <c r="P63" s="218" t="str">
        <f t="shared" si="0"/>
        <v>AP21QR</v>
      </c>
      <c r="Q63" s="218" t="str">
        <f>"CHO"</f>
        <v>CHO</v>
      </c>
      <c r="R63" s="218" t="str">
        <f>""</f>
        <v/>
      </c>
      <c r="S63" s="218" t="str">
        <f>"050"</f>
        <v>050</v>
      </c>
      <c r="T63" s="218" t="str">
        <f t="shared" si="17"/>
        <v>D</v>
      </c>
      <c r="U63" s="218" t="str">
        <f t="shared" si="14"/>
        <v>AFR000</v>
      </c>
      <c r="V63" s="218" t="str">
        <f t="shared" si="15"/>
        <v>###</v>
      </c>
      <c r="W63" s="218">
        <v>67.959999999999994</v>
      </c>
      <c r="X63" s="218" t="str">
        <f t="shared" si="11"/>
        <v>USD</v>
      </c>
      <c r="Y63" s="218">
        <v>51.22</v>
      </c>
      <c r="Z63" s="218">
        <v>67.959999999999994</v>
      </c>
      <c r="AA63" s="218">
        <v>60.11</v>
      </c>
    </row>
    <row r="64" spans="1:27">
      <c r="A64" s="218" t="s">
        <v>2592</v>
      </c>
      <c r="F64" s="219" t="str">
        <f>"""IntAlert Live"",""ALERT UK"",""17"",""1"",""533157"""</f>
        <v>"IntAlert Live","ALERT UK","17","1","533157"</v>
      </c>
      <c r="G64" s="223">
        <v>43859</v>
      </c>
      <c r="H64" s="223"/>
      <c r="I64" s="218" t="str">
        <f>"JDRCGOM/ BANQUE/2020/001/018"</f>
        <v>JDRCGOM/ BANQUE/2020/001/018</v>
      </c>
      <c r="K64" s="218" t="str">
        <f>"SALAIRE MAKOMA  JANVIER 2020"</f>
        <v>SALAIRE MAKOMA  JANVIER 2020</v>
      </c>
      <c r="L64" s="218" t="str">
        <f>"Salaire-Paul MAKOMA KANYIHATA 15%"</f>
        <v>Salaire-Paul MAKOMA KANYIHATA 15%</v>
      </c>
      <c r="M64" s="218" t="str">
        <f>"5100"</f>
        <v>5100</v>
      </c>
      <c r="N64" s="218" t="str">
        <f>"BASIC EMPLOYMENT COSTS"</f>
        <v>BASIC EMPLOYMENT COSTS</v>
      </c>
      <c r="O64" s="218" t="str">
        <f t="shared" ref="O64:O80" si="18">"DRCGOM"</f>
        <v>DRCGOM</v>
      </c>
      <c r="P64" s="218" t="str">
        <f t="shared" si="0"/>
        <v>AP21QR</v>
      </c>
      <c r="Q64" s="218" t="str">
        <f t="shared" ref="Q64:Q73" si="19">"PMA"</f>
        <v>PMA</v>
      </c>
      <c r="R64" s="218" t="str">
        <f>""</f>
        <v/>
      </c>
      <c r="S64" s="218" t="str">
        <f t="shared" ref="S64:S73" si="20">"051"</f>
        <v>051</v>
      </c>
      <c r="T64" s="218" t="str">
        <f t="shared" si="17"/>
        <v>D</v>
      </c>
      <c r="U64" s="218" t="str">
        <f t="shared" si="14"/>
        <v>AFR000</v>
      </c>
      <c r="V64" s="218" t="str">
        <f t="shared" si="15"/>
        <v>###</v>
      </c>
      <c r="W64" s="218">
        <v>494.19</v>
      </c>
      <c r="X64" s="218" t="str">
        <f t="shared" si="11"/>
        <v>USD</v>
      </c>
      <c r="Y64" s="218">
        <v>372.48</v>
      </c>
      <c r="Z64" s="218">
        <v>494.19</v>
      </c>
      <c r="AA64" s="218">
        <v>437.14</v>
      </c>
    </row>
    <row r="65" spans="1:27">
      <c r="A65" s="218" t="s">
        <v>2592</v>
      </c>
      <c r="F65" s="219" t="str">
        <f>"""IntAlert Live"",""ALERT UK"",""17"",""1"",""533158"""</f>
        <v>"IntAlert Live","ALERT UK","17","1","533158"</v>
      </c>
      <c r="G65" s="223">
        <v>43859</v>
      </c>
      <c r="H65" s="223"/>
      <c r="I65" s="218" t="str">
        <f>"JDRCGOM/ BANQUE/2020/001/018"</f>
        <v>JDRCGOM/ BANQUE/2020/001/018</v>
      </c>
      <c r="K65" s="218" t="str">
        <f>"CNSS JANVIER 2020"</f>
        <v>CNSS JANVIER 2020</v>
      </c>
      <c r="L65" s="218" t="str">
        <f>"CNSS-Paul MAKOMA KANYIHATA 15%"</f>
        <v>CNSS-Paul MAKOMA KANYIHATA 15%</v>
      </c>
      <c r="M65" s="218" t="str">
        <f>"5110"</f>
        <v>5110</v>
      </c>
      <c r="N65" s="218" t="str">
        <f>"EMPLOYER'S PENSION COSTS"</f>
        <v>EMPLOYER'S PENSION COSTS</v>
      </c>
      <c r="O65" s="218" t="str">
        <f t="shared" si="18"/>
        <v>DRCGOM</v>
      </c>
      <c r="P65" s="218" t="str">
        <f t="shared" si="0"/>
        <v>AP21QR</v>
      </c>
      <c r="Q65" s="218" t="str">
        <f t="shared" si="19"/>
        <v>PMA</v>
      </c>
      <c r="R65" s="218" t="str">
        <f>""</f>
        <v/>
      </c>
      <c r="S65" s="218" t="str">
        <f t="shared" si="20"/>
        <v>051</v>
      </c>
      <c r="T65" s="218" t="str">
        <f t="shared" si="17"/>
        <v>D</v>
      </c>
      <c r="U65" s="218" t="str">
        <f t="shared" si="14"/>
        <v>AFR000</v>
      </c>
      <c r="V65" s="218" t="str">
        <f t="shared" si="15"/>
        <v>###</v>
      </c>
      <c r="W65" s="218">
        <v>69.42</v>
      </c>
      <c r="X65" s="218" t="str">
        <f t="shared" si="11"/>
        <v>USD</v>
      </c>
      <c r="Y65" s="218">
        <v>52.32</v>
      </c>
      <c r="Z65" s="218">
        <v>69.42</v>
      </c>
      <c r="AA65" s="218">
        <v>61.4</v>
      </c>
    </row>
    <row r="66" spans="1:27">
      <c r="A66" s="218" t="s">
        <v>2592</v>
      </c>
      <c r="F66" s="219" t="str">
        <f>"""IntAlert Live"",""ALERT UK"",""17"",""1"",""533159"""</f>
        <v>"IntAlert Live","ALERT UK","17","1","533159"</v>
      </c>
      <c r="G66" s="223">
        <v>43859</v>
      </c>
      <c r="H66" s="223"/>
      <c r="I66" s="218" t="str">
        <f>"JDRCGOM/ BANQUE/2020/001/020"</f>
        <v>JDRCGOM/ BANQUE/2020/001/020</v>
      </c>
      <c r="K66" s="218" t="str">
        <f>"INPP JANVIER 2020"</f>
        <v>INPP JANVIER 2020</v>
      </c>
      <c r="L66" s="218" t="str">
        <f>"INPP-Paul MAKOMA KANYIHATA 15%"</f>
        <v>INPP-Paul MAKOMA KANYIHATA 15%</v>
      </c>
      <c r="M66" s="218" t="str">
        <f>"5150"</f>
        <v>5150</v>
      </c>
      <c r="N66" s="218" t="str">
        <f>"EMPLOYMENT RELOCATION COSTS"</f>
        <v>EMPLOYMENT RELOCATION COSTS</v>
      </c>
      <c r="O66" s="218" t="str">
        <f t="shared" si="18"/>
        <v>DRCGOM</v>
      </c>
      <c r="P66" s="218" t="str">
        <f t="shared" si="0"/>
        <v>AP21QR</v>
      </c>
      <c r="Q66" s="218" t="str">
        <f t="shared" si="19"/>
        <v>PMA</v>
      </c>
      <c r="R66" s="218" t="str">
        <f>""</f>
        <v/>
      </c>
      <c r="S66" s="218" t="str">
        <f t="shared" si="20"/>
        <v>051</v>
      </c>
      <c r="T66" s="218" t="str">
        <f t="shared" si="17"/>
        <v>D</v>
      </c>
      <c r="U66" s="218" t="str">
        <f t="shared" si="14"/>
        <v>AFR000</v>
      </c>
      <c r="V66" s="218" t="str">
        <f t="shared" si="15"/>
        <v>###</v>
      </c>
      <c r="W66" s="218">
        <v>11.57</v>
      </c>
      <c r="X66" s="218" t="str">
        <f t="shared" si="11"/>
        <v>USD</v>
      </c>
      <c r="Y66" s="218">
        <v>8.7200000000000006</v>
      </c>
      <c r="Z66" s="218">
        <v>11.57</v>
      </c>
      <c r="AA66" s="218">
        <v>10.23</v>
      </c>
    </row>
    <row r="67" spans="1:27">
      <c r="A67" s="218" t="s">
        <v>2592</v>
      </c>
      <c r="F67" s="219" t="str">
        <f>"""IntAlert Live"",""ALERT UK"",""17"",""1"",""533160"""</f>
        <v>"IntAlert Live","ALERT UK","17","1","533160"</v>
      </c>
      <c r="G67" s="223">
        <v>43861</v>
      </c>
      <c r="H67" s="223"/>
      <c r="I67" s="218" t="str">
        <f>"JDRCGOM/ CAISSE/2020/001/002"</f>
        <v>JDRCGOM/ CAISSE/2020/001/002</v>
      </c>
      <c r="K67" s="218" t="str">
        <f>"ONEM-JANV 2020"</f>
        <v>ONEM-JANV 2020</v>
      </c>
      <c r="L67" s="218" t="str">
        <f>"ONEM-Paul MAKOMA KANYIHATA "</f>
        <v xml:space="preserve">ONEM-Paul MAKOMA KANYIHATA </v>
      </c>
      <c r="M67" s="218" t="str">
        <f>"5150"</f>
        <v>5150</v>
      </c>
      <c r="N67" s="218" t="str">
        <f>"EMPLOYMENT RELOCATION COSTS"</f>
        <v>EMPLOYMENT RELOCATION COSTS</v>
      </c>
      <c r="O67" s="218" t="str">
        <f t="shared" si="18"/>
        <v>DRCGOM</v>
      </c>
      <c r="P67" s="218" t="str">
        <f t="shared" si="0"/>
        <v>AP21QR</v>
      </c>
      <c r="Q67" s="218" t="str">
        <f t="shared" si="19"/>
        <v>PMA</v>
      </c>
      <c r="R67" s="218" t="str">
        <f>""</f>
        <v/>
      </c>
      <c r="S67" s="218" t="str">
        <f t="shared" si="20"/>
        <v>051</v>
      </c>
      <c r="T67" s="218" t="str">
        <f t="shared" si="17"/>
        <v>D</v>
      </c>
      <c r="U67" s="218" t="str">
        <f t="shared" si="14"/>
        <v>AFR000</v>
      </c>
      <c r="V67" s="218" t="str">
        <f t="shared" si="15"/>
        <v>###</v>
      </c>
      <c r="W67" s="218">
        <v>0.77</v>
      </c>
      <c r="X67" s="218" t="str">
        <f t="shared" si="11"/>
        <v>USD</v>
      </c>
      <c r="Y67" s="218">
        <v>0.57999999999999996</v>
      </c>
      <c r="Z67" s="218">
        <v>0.77</v>
      </c>
      <c r="AA67" s="218">
        <v>0.68</v>
      </c>
    </row>
    <row r="68" spans="1:27">
      <c r="A68" s="218" t="s">
        <v>2592</v>
      </c>
      <c r="F68" s="219" t="str">
        <f>"""IntAlert Live"",""ALERT UK"",""17"",""1"",""531602"""</f>
        <v>"IntAlert Live","ALERT UK","17","1","531602"</v>
      </c>
      <c r="G68" s="223">
        <v>43889</v>
      </c>
      <c r="H68" s="223"/>
      <c r="I68" s="218" t="str">
        <f>"DRCGOM/ BANQUE/2020/002/020"</f>
        <v>DRCGOM/ BANQUE/2020/002/020</v>
      </c>
      <c r="K68" s="218" t="str">
        <f>"SALAIRE-PAUL MAKOMA KANYIHATA"</f>
        <v>SALAIRE-PAUL MAKOMA KANYIHATA</v>
      </c>
      <c r="L68" s="218" t="str">
        <f>"Salaire-Paul MAKOMA KANYIHATA "</f>
        <v xml:space="preserve">Salaire-Paul MAKOMA KANYIHATA </v>
      </c>
      <c r="M68" s="218" t="str">
        <f>"5100"</f>
        <v>5100</v>
      </c>
      <c r="N68" s="218" t="str">
        <f>"BASIC EMPLOYMENT COSTS"</f>
        <v>BASIC EMPLOYMENT COSTS</v>
      </c>
      <c r="O68" s="218" t="str">
        <f t="shared" si="18"/>
        <v>DRCGOM</v>
      </c>
      <c r="P68" s="218" t="str">
        <f t="shared" si="0"/>
        <v>AP21QR</v>
      </c>
      <c r="Q68" s="218" t="str">
        <f t="shared" si="19"/>
        <v>PMA</v>
      </c>
      <c r="R68" s="218" t="str">
        <f>""</f>
        <v/>
      </c>
      <c r="S68" s="218" t="str">
        <f t="shared" si="20"/>
        <v>051</v>
      </c>
      <c r="T68" s="218" t="str">
        <f t="shared" si="17"/>
        <v>D</v>
      </c>
      <c r="U68" s="218" t="str">
        <f t="shared" si="14"/>
        <v>AFR000</v>
      </c>
      <c r="V68" s="218" t="str">
        <f t="shared" si="15"/>
        <v>###</v>
      </c>
      <c r="W68" s="218">
        <v>497.19</v>
      </c>
      <c r="X68" s="218" t="str">
        <f t="shared" si="11"/>
        <v>USD</v>
      </c>
      <c r="Y68" s="218">
        <v>376.86</v>
      </c>
      <c r="Z68" s="218">
        <v>497.19</v>
      </c>
      <c r="AA68" s="218">
        <v>447.67</v>
      </c>
    </row>
    <row r="69" spans="1:27">
      <c r="A69" s="218" t="s">
        <v>2592</v>
      </c>
      <c r="F69" s="219" t="str">
        <f>"""IntAlert Live"",""ALERT UK"",""17"",""1"",""531719"""</f>
        <v>"IntAlert Live","ALERT UK","17","1","531719"</v>
      </c>
      <c r="G69" s="223">
        <v>43889</v>
      </c>
      <c r="H69" s="223"/>
      <c r="I69" s="218" t="str">
        <f>"DRCGOM/ BANQUE/2020/002/022"</f>
        <v>DRCGOM/ BANQUE/2020/002/022</v>
      </c>
      <c r="K69" s="218" t="str">
        <f>"INPP FEBRUARY 2020"</f>
        <v>INPP FEBRUARY 2020</v>
      </c>
      <c r="L69" s="218" t="str">
        <f>"INPP--Feb'20Paul MAKOMA KANYIHATA "</f>
        <v xml:space="preserve">INPP--Feb'20Paul MAKOMA KANYIHATA </v>
      </c>
      <c r="M69" s="218" t="str">
        <f>"5150"</f>
        <v>5150</v>
      </c>
      <c r="N69" s="218" t="str">
        <f>"EMPLOYMENT RELOCATION COSTS"</f>
        <v>EMPLOYMENT RELOCATION COSTS</v>
      </c>
      <c r="O69" s="218" t="str">
        <f t="shared" si="18"/>
        <v>DRCGOM</v>
      </c>
      <c r="P69" s="218" t="str">
        <f t="shared" si="0"/>
        <v>AP21QR</v>
      </c>
      <c r="Q69" s="218" t="str">
        <f t="shared" si="19"/>
        <v>PMA</v>
      </c>
      <c r="R69" s="218" t="str">
        <f>""</f>
        <v/>
      </c>
      <c r="S69" s="218" t="str">
        <f t="shared" si="20"/>
        <v>051</v>
      </c>
      <c r="T69" s="218" t="str">
        <f t="shared" si="17"/>
        <v>D</v>
      </c>
      <c r="U69" s="218" t="str">
        <f t="shared" si="14"/>
        <v>AFR000</v>
      </c>
      <c r="V69" s="218" t="str">
        <f t="shared" si="15"/>
        <v>###</v>
      </c>
      <c r="W69" s="218">
        <v>11.57</v>
      </c>
      <c r="X69" s="218" t="str">
        <f t="shared" si="11"/>
        <v>USD</v>
      </c>
      <c r="Y69" s="218">
        <v>8.77</v>
      </c>
      <c r="Z69" s="218">
        <v>11.57</v>
      </c>
      <c r="AA69" s="218">
        <v>10.42</v>
      </c>
    </row>
    <row r="70" spans="1:27">
      <c r="A70" s="218" t="s">
        <v>2592</v>
      </c>
      <c r="F70" s="219" t="str">
        <f>"""IntAlert Live"",""ALERT UK"",""17"",""1"",""537605"""</f>
        <v>"IntAlert Live","ALERT UK","17","1","537605"</v>
      </c>
      <c r="G70" s="223">
        <v>43892</v>
      </c>
      <c r="H70" s="223"/>
      <c r="I70" s="218" t="str">
        <f>"DRCGOM/ CAISSE/2020/003/001"</f>
        <v>DRCGOM/ CAISSE/2020/003/001</v>
      </c>
      <c r="K70" s="218" t="str">
        <f>"ONEM FEB 2020"</f>
        <v>ONEM FEB 2020</v>
      </c>
      <c r="L70" s="218" t="str">
        <f>"ONEM-Paul MAKOMA KANYIHATA "</f>
        <v xml:space="preserve">ONEM-Paul MAKOMA KANYIHATA </v>
      </c>
      <c r="M70" s="218" t="str">
        <f>"5150"</f>
        <v>5150</v>
      </c>
      <c r="N70" s="218" t="str">
        <f>"EMPLOYMENT RELOCATION COSTS"</f>
        <v>EMPLOYMENT RELOCATION COSTS</v>
      </c>
      <c r="O70" s="218" t="str">
        <f t="shared" si="18"/>
        <v>DRCGOM</v>
      </c>
      <c r="P70" s="218" t="str">
        <f t="shared" si="0"/>
        <v>AP21QR</v>
      </c>
      <c r="Q70" s="218" t="str">
        <f t="shared" si="19"/>
        <v>PMA</v>
      </c>
      <c r="R70" s="218" t="str">
        <f>""</f>
        <v/>
      </c>
      <c r="S70" s="218" t="str">
        <f t="shared" si="20"/>
        <v>051</v>
      </c>
      <c r="T70" s="218" t="str">
        <f t="shared" si="17"/>
        <v>D</v>
      </c>
      <c r="U70" s="218" t="str">
        <f t="shared" si="14"/>
        <v>AFR000</v>
      </c>
      <c r="V70" s="218" t="str">
        <f t="shared" si="15"/>
        <v>###</v>
      </c>
      <c r="W70" s="218">
        <v>0.77</v>
      </c>
      <c r="X70" s="218" t="str">
        <f t="shared" si="11"/>
        <v>USD</v>
      </c>
      <c r="Y70" s="218">
        <v>0.6</v>
      </c>
      <c r="Z70" s="218">
        <v>0.77</v>
      </c>
      <c r="AA70" s="218">
        <v>0.71</v>
      </c>
    </row>
    <row r="71" spans="1:27">
      <c r="A71" s="218" t="s">
        <v>2592</v>
      </c>
      <c r="F71" s="219" t="str">
        <f>"""IntAlert Live"",""ALERT UK"",""17"",""1"",""537248"""</f>
        <v>"IntAlert Live","ALERT UK","17","1","537248"</v>
      </c>
      <c r="G71" s="223">
        <v>43921</v>
      </c>
      <c r="H71" s="223"/>
      <c r="I71" s="218" t="str">
        <f>"DRCGOM/BANQUE/2020/003/019"</f>
        <v>DRCGOM/BANQUE/2020/003/019</v>
      </c>
      <c r="K71" s="218" t="str">
        <f>"SALAIRE-PAUL MAKOMA KANYIHATA"</f>
        <v>SALAIRE-PAUL MAKOMA KANYIHATA</v>
      </c>
      <c r="L71" s="218" t="str">
        <f>"Salaire-March20-Paul MAKOMA KANYIHATA "</f>
        <v xml:space="preserve">Salaire-March20-Paul MAKOMA KANYIHATA </v>
      </c>
      <c r="M71" s="218" t="str">
        <f>"5100"</f>
        <v>5100</v>
      </c>
      <c r="N71" s="218" t="str">
        <f>"BASIC EMPLOYMENT COSTS"</f>
        <v>BASIC EMPLOYMENT COSTS</v>
      </c>
      <c r="O71" s="218" t="str">
        <f t="shared" si="18"/>
        <v>DRCGOM</v>
      </c>
      <c r="P71" s="218" t="str">
        <f t="shared" ref="P71:P134" si="21">"AP21QR"</f>
        <v>AP21QR</v>
      </c>
      <c r="Q71" s="218" t="str">
        <f t="shared" si="19"/>
        <v>PMA</v>
      </c>
      <c r="R71" s="218" t="str">
        <f>""</f>
        <v/>
      </c>
      <c r="S71" s="218" t="str">
        <f t="shared" si="20"/>
        <v>051</v>
      </c>
      <c r="T71" s="218" t="str">
        <f t="shared" si="17"/>
        <v>D</v>
      </c>
      <c r="U71" s="218" t="str">
        <f t="shared" ref="U71:U102" si="22">"AFR000"</f>
        <v>AFR000</v>
      </c>
      <c r="V71" s="218" t="str">
        <f t="shared" si="15"/>
        <v>###</v>
      </c>
      <c r="W71" s="218">
        <v>497.19</v>
      </c>
      <c r="X71" s="218" t="str">
        <f t="shared" si="11"/>
        <v>USD</v>
      </c>
      <c r="Y71" s="218">
        <v>387.83</v>
      </c>
      <c r="Z71" s="218">
        <v>497.19</v>
      </c>
      <c r="AA71" s="218">
        <v>456.3</v>
      </c>
    </row>
    <row r="72" spans="1:27">
      <c r="A72" s="218" t="s">
        <v>2592</v>
      </c>
      <c r="F72" s="219" t="str">
        <f>"""IntAlert Live"",""ALERT UK"",""17"",""1"",""537375"""</f>
        <v>"IntAlert Live","ALERT UK","17","1","537375"</v>
      </c>
      <c r="G72" s="223">
        <v>43921</v>
      </c>
      <c r="H72" s="223"/>
      <c r="I72" s="218" t="str">
        <f>"DRCGOM/BANQUE/2020/003/021"</f>
        <v>DRCGOM/BANQUE/2020/003/021</v>
      </c>
      <c r="K72" s="218" t="str">
        <f>"INPP MARCH 2020"</f>
        <v>INPP MARCH 2020</v>
      </c>
      <c r="L72" s="218" t="str">
        <f>"INPP-March20-Paul MAKOMA KANYIHATA "</f>
        <v xml:space="preserve">INPP-March20-Paul MAKOMA KANYIHATA </v>
      </c>
      <c r="M72" s="218" t="str">
        <f>"5150"</f>
        <v>5150</v>
      </c>
      <c r="N72" s="218" t="str">
        <f>"EMPLOYMENT RELOCATION COSTS"</f>
        <v>EMPLOYMENT RELOCATION COSTS</v>
      </c>
      <c r="O72" s="218" t="str">
        <f t="shared" si="18"/>
        <v>DRCGOM</v>
      </c>
      <c r="P72" s="218" t="str">
        <f t="shared" si="21"/>
        <v>AP21QR</v>
      </c>
      <c r="Q72" s="218" t="str">
        <f t="shared" si="19"/>
        <v>PMA</v>
      </c>
      <c r="R72" s="218" t="str">
        <f>""</f>
        <v/>
      </c>
      <c r="S72" s="218" t="str">
        <f t="shared" si="20"/>
        <v>051</v>
      </c>
      <c r="T72" s="218" t="str">
        <f t="shared" si="17"/>
        <v>D</v>
      </c>
      <c r="U72" s="218" t="str">
        <f t="shared" si="22"/>
        <v>AFR000</v>
      </c>
      <c r="V72" s="218" t="str">
        <f t="shared" si="15"/>
        <v>###</v>
      </c>
      <c r="W72" s="218">
        <v>11.57</v>
      </c>
      <c r="X72" s="218" t="str">
        <f t="shared" si="11"/>
        <v>USD</v>
      </c>
      <c r="Y72" s="218">
        <v>9.0299999999999994</v>
      </c>
      <c r="Z72" s="218">
        <v>11.57</v>
      </c>
      <c r="AA72" s="218">
        <v>10.62</v>
      </c>
    </row>
    <row r="73" spans="1:27">
      <c r="A73" s="218" t="s">
        <v>2592</v>
      </c>
      <c r="F73" s="219" t="str">
        <f>"""IntAlert Live"",""ALERT UK"",""17"",""1"",""537746"""</f>
        <v>"IntAlert Live","ALERT UK","17","1","537746"</v>
      </c>
      <c r="G73" s="223">
        <v>43921</v>
      </c>
      <c r="H73" s="223"/>
      <c r="I73" s="218" t="str">
        <f>"DRCGOM/ CAISSE/2020/003/003"</f>
        <v>DRCGOM/ CAISSE/2020/003/003</v>
      </c>
      <c r="K73" s="218" t="str">
        <f>"ONEM MARCH 2020"</f>
        <v>ONEM MARCH 2020</v>
      </c>
      <c r="L73" s="218" t="str">
        <f>"ONEM-Paul MAKOMA KANYIHATA "</f>
        <v xml:space="preserve">ONEM-Paul MAKOMA KANYIHATA </v>
      </c>
      <c r="M73" s="218" t="str">
        <f>"5150"</f>
        <v>5150</v>
      </c>
      <c r="N73" s="218" t="str">
        <f>"EMPLOYMENT RELOCATION COSTS"</f>
        <v>EMPLOYMENT RELOCATION COSTS</v>
      </c>
      <c r="O73" s="218" t="str">
        <f t="shared" si="18"/>
        <v>DRCGOM</v>
      </c>
      <c r="P73" s="218" t="str">
        <f t="shared" si="21"/>
        <v>AP21QR</v>
      </c>
      <c r="Q73" s="218" t="str">
        <f t="shared" si="19"/>
        <v>PMA</v>
      </c>
      <c r="R73" s="218" t="str">
        <f>""</f>
        <v/>
      </c>
      <c r="S73" s="218" t="str">
        <f t="shared" si="20"/>
        <v>051</v>
      </c>
      <c r="T73" s="218" t="str">
        <f t="shared" si="17"/>
        <v>D</v>
      </c>
      <c r="U73" s="218" t="str">
        <f t="shared" si="22"/>
        <v>AFR000</v>
      </c>
      <c r="V73" s="218" t="str">
        <f t="shared" si="15"/>
        <v>###</v>
      </c>
      <c r="W73" s="218">
        <v>0.77</v>
      </c>
      <c r="X73" s="218" t="str">
        <f t="shared" si="11"/>
        <v>USD</v>
      </c>
      <c r="Y73" s="218">
        <v>0.6</v>
      </c>
      <c r="Z73" s="218">
        <v>0.77</v>
      </c>
      <c r="AA73" s="218">
        <v>0.71</v>
      </c>
    </row>
    <row r="74" spans="1:27">
      <c r="A74" s="218" t="s">
        <v>2592</v>
      </c>
      <c r="F74" s="219" t="str">
        <f>"""IntAlert Live"",""ALERT UK"",""17"",""1"",""515855"""</f>
        <v>"IntAlert Live","ALERT UK","17","1","515855"</v>
      </c>
      <c r="G74" s="223">
        <v>43859</v>
      </c>
      <c r="H74" s="223"/>
      <c r="I74" s="218" t="str">
        <f>"DRCGOM/ BANQUE/2020/001/015"</f>
        <v>DRCGOM/ BANQUE/2020/001/015</v>
      </c>
      <c r="K74" s="218" t="str">
        <f>"MK 7.2"</f>
        <v>MK 7.2</v>
      </c>
      <c r="L74" s="218" t="str">
        <f>"Security service staff Feb-March-Apr'20 20%"</f>
        <v>Security service staff Feb-March-Apr'20 20%</v>
      </c>
      <c r="M74" s="218" t="str">
        <f>"8110"</f>
        <v>8110</v>
      </c>
      <c r="N74" s="218" t="str">
        <f>"HEALTH AND SAFETY"</f>
        <v>HEALTH AND SAFETY</v>
      </c>
      <c r="O74" s="218" t="str">
        <f t="shared" si="18"/>
        <v>DRCGOM</v>
      </c>
      <c r="P74" s="218" t="str">
        <f t="shared" si="21"/>
        <v>AP21QR</v>
      </c>
      <c r="Q74" s="218" t="str">
        <f>""</f>
        <v/>
      </c>
      <c r="R74" s="218" t="str">
        <f>""</f>
        <v/>
      </c>
      <c r="S74" s="218" t="str">
        <f t="shared" ref="S74:S80" si="23">"052"</f>
        <v>052</v>
      </c>
      <c r="T74" s="218" t="str">
        <f t="shared" si="17"/>
        <v>D</v>
      </c>
      <c r="U74" s="218" t="str">
        <f t="shared" si="22"/>
        <v>AFR000</v>
      </c>
      <c r="V74" s="218" t="str">
        <f t="shared" si="15"/>
        <v>###</v>
      </c>
      <c r="W74" s="218">
        <v>180</v>
      </c>
      <c r="X74" s="218" t="str">
        <f t="shared" si="11"/>
        <v>USD</v>
      </c>
      <c r="Y74" s="218">
        <v>135.66999999999999</v>
      </c>
      <c r="Z74" s="218">
        <v>180</v>
      </c>
      <c r="AA74" s="218">
        <v>159.22</v>
      </c>
    </row>
    <row r="75" spans="1:27">
      <c r="A75" s="218" t="s">
        <v>2592</v>
      </c>
      <c r="F75" s="219" t="str">
        <f>"""IntAlert Live"",""ALERT UK"",""17"",""1"",""515863"""</f>
        <v>"IntAlert Live","ALERT UK","17","1","515863"</v>
      </c>
      <c r="G75" s="223">
        <v>43859</v>
      </c>
      <c r="H75" s="223"/>
      <c r="I75" s="218" t="str">
        <f>"DRCGOM/ BANQUE/2020/001/017"</f>
        <v>DRCGOM/ BANQUE/2020/001/017</v>
      </c>
      <c r="K75" s="218" t="str">
        <f>"KIRIZA KABI KEY"</f>
        <v>KIRIZA KABI KEY</v>
      </c>
      <c r="L75" s="218" t="str">
        <f>" Loyer Christine 1 Feb-30 Apr 2020 13%"</f>
        <v xml:space="preserve"> Loyer Christine 1 Feb-30 Apr 2020 13%</v>
      </c>
      <c r="M75" s="218" t="str">
        <f>"5130"</f>
        <v>5130</v>
      </c>
      <c r="N75" s="218" t="str">
        <f>"EMPLOYMENT HOUSING  COSTS"</f>
        <v>EMPLOYMENT HOUSING  COSTS</v>
      </c>
      <c r="O75" s="218" t="str">
        <f t="shared" si="18"/>
        <v>DRCGOM</v>
      </c>
      <c r="P75" s="218" t="str">
        <f t="shared" si="21"/>
        <v>AP21QR</v>
      </c>
      <c r="Q75" s="218" t="str">
        <f>"BUU"</f>
        <v>BUU</v>
      </c>
      <c r="R75" s="218" t="str">
        <f>""</f>
        <v/>
      </c>
      <c r="S75" s="218" t="str">
        <f t="shared" si="23"/>
        <v>052</v>
      </c>
      <c r="T75" s="218" t="str">
        <f t="shared" si="17"/>
        <v>D</v>
      </c>
      <c r="U75" s="218" t="str">
        <f t="shared" si="22"/>
        <v>AFR000</v>
      </c>
      <c r="V75" s="218" t="str">
        <f t="shared" si="15"/>
        <v>###</v>
      </c>
      <c r="W75" s="218">
        <v>600</v>
      </c>
      <c r="X75" s="218" t="str">
        <f t="shared" si="11"/>
        <v>USD</v>
      </c>
      <c r="Y75" s="218">
        <v>452.23</v>
      </c>
      <c r="Z75" s="218">
        <v>600</v>
      </c>
      <c r="AA75" s="218">
        <v>530.74</v>
      </c>
    </row>
    <row r="76" spans="1:27">
      <c r="A76" s="218" t="s">
        <v>2592</v>
      </c>
      <c r="F76" s="219" t="str">
        <f>"""IntAlert Live"",""ALERT UK"",""17"",""1"",""531484"""</f>
        <v>"IntAlert Live","ALERT UK","17","1","531484"</v>
      </c>
      <c r="G76" s="223">
        <v>43871</v>
      </c>
      <c r="H76" s="223"/>
      <c r="I76" s="218" t="str">
        <f>"DRCGOM/ BANQUE/2020/002/004"</f>
        <v>DRCGOM/ BANQUE/2020/002/004</v>
      </c>
      <c r="K76" s="218" t="str">
        <f>"KAMI SECURITY"</f>
        <v>KAMI SECURITY</v>
      </c>
      <c r="L76" s="218" t="str">
        <f>"Goma office security+Alarm  Janaury 20%"</f>
        <v>Goma office security+Alarm  Janaury 20%</v>
      </c>
      <c r="M76" s="218" t="str">
        <f>"8110"</f>
        <v>8110</v>
      </c>
      <c r="N76" s="218" t="str">
        <f>"HEALTH AND SAFETY"</f>
        <v>HEALTH AND SAFETY</v>
      </c>
      <c r="O76" s="218" t="str">
        <f t="shared" si="18"/>
        <v>DRCGOM</v>
      </c>
      <c r="P76" s="218" t="str">
        <f t="shared" si="21"/>
        <v>AP21QR</v>
      </c>
      <c r="Q76" s="218" t="str">
        <f>""</f>
        <v/>
      </c>
      <c r="R76" s="218" t="str">
        <f>""</f>
        <v/>
      </c>
      <c r="S76" s="218" t="str">
        <f t="shared" si="23"/>
        <v>052</v>
      </c>
      <c r="T76" s="218" t="str">
        <f t="shared" si="17"/>
        <v>D</v>
      </c>
      <c r="U76" s="218" t="str">
        <f t="shared" si="22"/>
        <v>AFR000</v>
      </c>
      <c r="V76" s="218" t="str">
        <f t="shared" si="15"/>
        <v>###</v>
      </c>
      <c r="W76" s="218">
        <v>170</v>
      </c>
      <c r="X76" s="218" t="str">
        <f t="shared" si="11"/>
        <v>USD</v>
      </c>
      <c r="Y76" s="218">
        <v>128.86000000000001</v>
      </c>
      <c r="Z76" s="218">
        <v>170</v>
      </c>
      <c r="AA76" s="218">
        <v>153.07</v>
      </c>
    </row>
    <row r="77" spans="1:27">
      <c r="A77" s="218" t="s">
        <v>2592</v>
      </c>
      <c r="F77" s="219" t="str">
        <f>"""IntAlert Live"",""ALERT UK"",""17"",""1"",""531489"""</f>
        <v>"IntAlert Live","ALERT UK","17","1","531489"</v>
      </c>
      <c r="G77" s="223">
        <v>43871</v>
      </c>
      <c r="H77" s="223"/>
      <c r="I77" s="218" t="str">
        <f>"DRCGOM/ BANQUE/2020/002/004"</f>
        <v>DRCGOM/ BANQUE/2020/002/004</v>
      </c>
      <c r="K77" s="218" t="str">
        <f>"KAMI SECURITY"</f>
        <v>KAMI SECURITY</v>
      </c>
      <c r="L77" s="218" t="str">
        <f>"Security Christine Residence+alarm January 35%"</f>
        <v>Security Christine Residence+alarm January 35%</v>
      </c>
      <c r="M77" s="218" t="str">
        <f>"5130"</f>
        <v>5130</v>
      </c>
      <c r="N77" s="218" t="str">
        <f>"EMPLOYMENT HOUSING  COSTS"</f>
        <v>EMPLOYMENT HOUSING  COSTS</v>
      </c>
      <c r="O77" s="218" t="str">
        <f t="shared" si="18"/>
        <v>DRCGOM</v>
      </c>
      <c r="P77" s="218" t="str">
        <f t="shared" si="21"/>
        <v>AP21QR</v>
      </c>
      <c r="Q77" s="218" t="str">
        <f>"BUU"</f>
        <v>BUU</v>
      </c>
      <c r="R77" s="218" t="str">
        <f>""</f>
        <v/>
      </c>
      <c r="S77" s="218" t="str">
        <f t="shared" si="23"/>
        <v>052</v>
      </c>
      <c r="T77" s="218" t="str">
        <f t="shared" si="17"/>
        <v>D</v>
      </c>
      <c r="U77" s="218" t="str">
        <f t="shared" si="22"/>
        <v>AFR000</v>
      </c>
      <c r="V77" s="218" t="str">
        <f t="shared" si="15"/>
        <v>###</v>
      </c>
      <c r="W77" s="218">
        <v>297.5</v>
      </c>
      <c r="X77" s="218" t="str">
        <f t="shared" si="11"/>
        <v>USD</v>
      </c>
      <c r="Y77" s="218">
        <v>225.5</v>
      </c>
      <c r="Z77" s="218">
        <v>297.5</v>
      </c>
      <c r="AA77" s="218">
        <v>267.87</v>
      </c>
    </row>
    <row r="78" spans="1:27">
      <c r="A78" s="218" t="s">
        <v>2592</v>
      </c>
      <c r="F78" s="219" t="str">
        <f>"""IntAlert Live"",""ALERT UK"",""17"",""1"",""531500"""</f>
        <v>"IntAlert Live","ALERT UK","17","1","531500"</v>
      </c>
      <c r="G78" s="223">
        <v>43871</v>
      </c>
      <c r="H78" s="223"/>
      <c r="I78" s="218" t="str">
        <f>"DRCGOM/ BANQUE/2020/002/005"</f>
        <v>DRCGOM/ BANQUE/2020/002/005</v>
      </c>
      <c r="K78" s="218" t="str">
        <f>"STATION IBB"</f>
        <v>STATION IBB</v>
      </c>
      <c r="L78" s="218" t="str">
        <f>"Fuel JeanBosco Generator January 2020 15%"</f>
        <v>Fuel JeanBosco Generator January 2020 15%</v>
      </c>
      <c r="M78" s="218" t="str">
        <f>"5130"</f>
        <v>5130</v>
      </c>
      <c r="N78" s="218" t="str">
        <f>"EMPLOYMENT HOUSING  COSTS"</f>
        <v>EMPLOYMENT HOUSING  COSTS</v>
      </c>
      <c r="O78" s="218" t="str">
        <f t="shared" si="18"/>
        <v>DRCGOM</v>
      </c>
      <c r="P78" s="218" t="str">
        <f t="shared" si="21"/>
        <v>AP21QR</v>
      </c>
      <c r="Q78" s="218" t="str">
        <f>"SIB"</f>
        <v>SIB</v>
      </c>
      <c r="R78" s="218" t="str">
        <f>""</f>
        <v/>
      </c>
      <c r="S78" s="218" t="str">
        <f t="shared" si="23"/>
        <v>052</v>
      </c>
      <c r="T78" s="218" t="str">
        <f t="shared" si="17"/>
        <v>D</v>
      </c>
      <c r="U78" s="218" t="str">
        <f t="shared" si="22"/>
        <v>AFR000</v>
      </c>
      <c r="V78" s="218" t="str">
        <f t="shared" si="15"/>
        <v>###</v>
      </c>
      <c r="W78" s="218">
        <v>3.26</v>
      </c>
      <c r="X78" s="218" t="str">
        <f t="shared" si="11"/>
        <v>USD</v>
      </c>
      <c r="Y78" s="218">
        <v>2.4700000000000002</v>
      </c>
      <c r="Z78" s="218">
        <v>3.26</v>
      </c>
      <c r="AA78" s="218">
        <v>2.93</v>
      </c>
    </row>
    <row r="79" spans="1:27">
      <c r="A79" s="218" t="s">
        <v>2592</v>
      </c>
      <c r="F79" s="219" t="str">
        <f>"""IntAlert Live"",""ALERT UK"",""17"",""1"",""531550"""</f>
        <v>"IntAlert Live","ALERT UK","17","1","531550"</v>
      </c>
      <c r="G79" s="223">
        <v>43882</v>
      </c>
      <c r="H79" s="223"/>
      <c r="I79" s="218" t="str">
        <f>"DRCGOM/ BANQUE/2020/002/013"</f>
        <v>DRCGOM/ BANQUE/2020/002/013</v>
      </c>
      <c r="K79" s="218" t="str">
        <f>"KAMI SECURITY"</f>
        <v>KAMI SECURITY</v>
      </c>
      <c r="L79" s="218" t="str">
        <f>"Goma office security+Alarm  Fev 20%"</f>
        <v>Goma office security+Alarm  Fev 20%</v>
      </c>
      <c r="M79" s="218" t="str">
        <f>"8110"</f>
        <v>8110</v>
      </c>
      <c r="N79" s="218" t="str">
        <f>"HEALTH AND SAFETY"</f>
        <v>HEALTH AND SAFETY</v>
      </c>
      <c r="O79" s="218" t="str">
        <f t="shared" si="18"/>
        <v>DRCGOM</v>
      </c>
      <c r="P79" s="218" t="str">
        <f t="shared" si="21"/>
        <v>AP21QR</v>
      </c>
      <c r="Q79" s="218" t="str">
        <f>""</f>
        <v/>
      </c>
      <c r="R79" s="218" t="str">
        <f>""</f>
        <v/>
      </c>
      <c r="S79" s="218" t="str">
        <f t="shared" si="23"/>
        <v>052</v>
      </c>
      <c r="T79" s="218" t="str">
        <f t="shared" si="17"/>
        <v>D</v>
      </c>
      <c r="U79" s="218" t="str">
        <f t="shared" si="22"/>
        <v>AFR000</v>
      </c>
      <c r="V79" s="218" t="str">
        <f t="shared" si="15"/>
        <v>###</v>
      </c>
      <c r="W79" s="218">
        <v>170</v>
      </c>
      <c r="X79" s="218" t="str">
        <f t="shared" si="11"/>
        <v>USD</v>
      </c>
      <c r="Y79" s="218">
        <v>128.86000000000001</v>
      </c>
      <c r="Z79" s="218">
        <v>170</v>
      </c>
      <c r="AA79" s="218">
        <v>153.07</v>
      </c>
    </row>
    <row r="80" spans="1:27">
      <c r="A80" s="218" t="s">
        <v>2592</v>
      </c>
      <c r="F80" s="219" t="str">
        <f>"""IntAlert Live"",""ALERT UK"",""17"",""1"",""531555"""</f>
        <v>"IntAlert Live","ALERT UK","17","1","531555"</v>
      </c>
      <c r="G80" s="223">
        <v>43882</v>
      </c>
      <c r="H80" s="223"/>
      <c r="I80" s="218" t="str">
        <f>"DRCGOM/ BANQUE/2020/002/013"</f>
        <v>DRCGOM/ BANQUE/2020/002/013</v>
      </c>
      <c r="K80" s="218" t="str">
        <f>"KAMI SECURITY"</f>
        <v>KAMI SECURITY</v>
      </c>
      <c r="L80" s="218" t="str">
        <f>"Security Christine Residence+alarm January 35%"</f>
        <v>Security Christine Residence+alarm January 35%</v>
      </c>
      <c r="M80" s="218" t="str">
        <f>"5130"</f>
        <v>5130</v>
      </c>
      <c r="N80" s="218" t="str">
        <f>"EMPLOYMENT HOUSING  COSTS"</f>
        <v>EMPLOYMENT HOUSING  COSTS</v>
      </c>
      <c r="O80" s="218" t="str">
        <f t="shared" si="18"/>
        <v>DRCGOM</v>
      </c>
      <c r="P80" s="218" t="str">
        <f t="shared" si="21"/>
        <v>AP21QR</v>
      </c>
      <c r="Q80" s="218" t="str">
        <f>"BUU"</f>
        <v>BUU</v>
      </c>
      <c r="R80" s="218" t="str">
        <f>""</f>
        <v/>
      </c>
      <c r="S80" s="218" t="str">
        <f t="shared" si="23"/>
        <v>052</v>
      </c>
      <c r="T80" s="218" t="str">
        <f t="shared" si="17"/>
        <v>D</v>
      </c>
      <c r="U80" s="218" t="str">
        <f t="shared" si="22"/>
        <v>AFR000</v>
      </c>
      <c r="V80" s="218" t="str">
        <f t="shared" si="15"/>
        <v>###</v>
      </c>
      <c r="W80" s="218">
        <v>297.5</v>
      </c>
      <c r="X80" s="218" t="str">
        <f t="shared" si="11"/>
        <v>USD</v>
      </c>
      <c r="Y80" s="218">
        <v>225.5</v>
      </c>
      <c r="Z80" s="218">
        <v>297.5</v>
      </c>
      <c r="AA80" s="218">
        <v>267.87</v>
      </c>
    </row>
    <row r="81" spans="1:27">
      <c r="A81" s="218" t="s">
        <v>2592</v>
      </c>
      <c r="F81" s="219" t="str">
        <f>"""IntAlert Live"",""ALERT UK"",""17"",""1"",""533580"""</f>
        <v>"IntAlert Live","ALERT UK","17","1","533580"</v>
      </c>
      <c r="G81" s="223">
        <v>43833</v>
      </c>
      <c r="H81" s="223"/>
      <c r="I81" s="218" t="str">
        <f>""</f>
        <v/>
      </c>
      <c r="K81" s="218" t="str">
        <f>"HR SCF CHG JAN20"</f>
        <v>HR SCF CHG JAN20</v>
      </c>
      <c r="L81" s="218" t="str">
        <f>"HR SCF CHG JAN20"</f>
        <v>HR SCF CHG JAN20</v>
      </c>
      <c r="M81" s="218" t="str">
        <f>"5100"</f>
        <v>5100</v>
      </c>
      <c r="N81" s="218" t="str">
        <f>"BASIC EMPLOYMENT COSTS"</f>
        <v>BASIC EMPLOYMENT COSTS</v>
      </c>
      <c r="O81" s="218" t="str">
        <f t="shared" ref="O81:O94" si="24">"UNILON"</f>
        <v>UNILON</v>
      </c>
      <c r="P81" s="218" t="str">
        <f t="shared" si="21"/>
        <v>AP21QR</v>
      </c>
      <c r="Q81" s="218" t="str">
        <f t="shared" ref="Q81:Q89" si="25">"NDI"</f>
        <v>NDI</v>
      </c>
      <c r="R81" s="218" t="str">
        <f>""</f>
        <v/>
      </c>
      <c r="S81" s="218" t="str">
        <f t="shared" ref="S81:S94" si="26">"053"</f>
        <v>053</v>
      </c>
      <c r="T81" s="218" t="str">
        <f>"C"</f>
        <v>C</v>
      </c>
      <c r="U81" s="218" t="str">
        <f t="shared" si="22"/>
        <v>AFR000</v>
      </c>
      <c r="V81" s="218" t="str">
        <f t="shared" ref="V81:V89" si="27">"020"</f>
        <v>020</v>
      </c>
      <c r="W81" s="218">
        <v>0</v>
      </c>
      <c r="X81" s="218" t="str">
        <f>""</f>
        <v/>
      </c>
      <c r="Y81" s="218">
        <v>8.4499999999999993</v>
      </c>
      <c r="Z81" s="218">
        <v>11.21</v>
      </c>
      <c r="AA81" s="218">
        <v>9.92</v>
      </c>
    </row>
    <row r="82" spans="1:27">
      <c r="A82" s="218" t="s">
        <v>2592</v>
      </c>
      <c r="F82" s="219" t="str">
        <f>"""IntAlert Live"",""ALERT UK"",""17"",""1"",""519806"""</f>
        <v>"IntAlert Live","ALERT UK","17","1","519806"</v>
      </c>
      <c r="G82" s="223">
        <v>43861</v>
      </c>
      <c r="H82" s="223"/>
      <c r="I82" s="218" t="str">
        <f>"W NDIKINTUM 15%"</f>
        <v>W NDIKINTUM 15%</v>
      </c>
      <c r="K82" s="218" t="str">
        <f>"HR CHG JAN20"</f>
        <v>HR CHG JAN20</v>
      </c>
      <c r="L82" s="218" t="str">
        <f>"HR CHG JAN20"</f>
        <v>HR CHG JAN20</v>
      </c>
      <c r="M82" s="218" t="str">
        <f>"5100"</f>
        <v>5100</v>
      </c>
      <c r="N82" s="218" t="str">
        <f>"BASIC EMPLOYMENT COSTS"</f>
        <v>BASIC EMPLOYMENT COSTS</v>
      </c>
      <c r="O82" s="218" t="str">
        <f t="shared" si="24"/>
        <v>UNILON</v>
      </c>
      <c r="P82" s="218" t="str">
        <f t="shared" si="21"/>
        <v>AP21QR</v>
      </c>
      <c r="Q82" s="218" t="str">
        <f t="shared" si="25"/>
        <v>NDI</v>
      </c>
      <c r="R82" s="218" t="str">
        <f>""</f>
        <v/>
      </c>
      <c r="S82" s="218" t="str">
        <f t="shared" si="26"/>
        <v>053</v>
      </c>
      <c r="T82" s="218" t="str">
        <f>"S"</f>
        <v>S</v>
      </c>
      <c r="U82" s="218" t="str">
        <f t="shared" si="22"/>
        <v>AFR000</v>
      </c>
      <c r="V82" s="218" t="str">
        <f t="shared" si="27"/>
        <v>020</v>
      </c>
      <c r="W82" s="218">
        <v>0</v>
      </c>
      <c r="X82" s="218" t="str">
        <f>""</f>
        <v/>
      </c>
      <c r="Y82" s="218">
        <v>28.15</v>
      </c>
      <c r="Z82" s="218">
        <v>37.35</v>
      </c>
      <c r="AA82" s="218">
        <v>33.04</v>
      </c>
    </row>
    <row r="83" spans="1:27">
      <c r="A83" s="218" t="s">
        <v>2592</v>
      </c>
      <c r="F83" s="219" t="str">
        <f>"""IntAlert Live"",""ALERT UK"",""17"",""1"",""519947"""</f>
        <v>"IntAlert Live","ALERT UK","17","1","519947"</v>
      </c>
      <c r="G83" s="223">
        <v>43861</v>
      </c>
      <c r="H83" s="223"/>
      <c r="I83" s="218" t="str">
        <f>"W NDIKINTUM 15%"</f>
        <v>W NDIKINTUM 15%</v>
      </c>
      <c r="K83" s="218" t="str">
        <f>"HR SCF CHG JAN20"</f>
        <v>HR SCF CHG JAN20</v>
      </c>
      <c r="L83" s="218" t="str">
        <f>"HR SCF CHG JAN20"</f>
        <v>HR SCF CHG JAN20</v>
      </c>
      <c r="M83" s="218" t="str">
        <f>"5100"</f>
        <v>5100</v>
      </c>
      <c r="N83" s="218" t="str">
        <f>"BASIC EMPLOYMENT COSTS"</f>
        <v>BASIC EMPLOYMENT COSTS</v>
      </c>
      <c r="O83" s="218" t="str">
        <f t="shared" si="24"/>
        <v>UNILON</v>
      </c>
      <c r="P83" s="218" t="str">
        <f t="shared" si="21"/>
        <v>AP21QR</v>
      </c>
      <c r="Q83" s="218" t="str">
        <f t="shared" si="25"/>
        <v>NDI</v>
      </c>
      <c r="R83" s="218" t="str">
        <f>""</f>
        <v/>
      </c>
      <c r="S83" s="218" t="str">
        <f t="shared" si="26"/>
        <v>053</v>
      </c>
      <c r="T83" s="218" t="str">
        <f>"C"</f>
        <v>C</v>
      </c>
      <c r="U83" s="218" t="str">
        <f t="shared" si="22"/>
        <v>AFR000</v>
      </c>
      <c r="V83" s="218" t="str">
        <f t="shared" si="27"/>
        <v>020</v>
      </c>
      <c r="W83" s="218">
        <v>0</v>
      </c>
      <c r="X83" s="218" t="str">
        <f>""</f>
        <v/>
      </c>
      <c r="Y83" s="218">
        <v>8.4499999999999993</v>
      </c>
      <c r="Z83" s="218">
        <v>11.21</v>
      </c>
      <c r="AA83" s="218">
        <v>9.92</v>
      </c>
    </row>
    <row r="84" spans="1:27">
      <c r="A84" s="218" t="s">
        <v>2592</v>
      </c>
      <c r="F84" s="219" t="str">
        <f>"""IntAlert Live"",""ALERT UK"",""17"",""1"",""520105"""</f>
        <v>"IntAlert Live","ALERT UK","17","1","520105"</v>
      </c>
      <c r="G84" s="223">
        <v>43861</v>
      </c>
      <c r="H84" s="223"/>
      <c r="I84" s="218" t="str">
        <f>""</f>
        <v/>
      </c>
      <c r="K84" s="218" t="str">
        <f>"PR JAN20 JNL"</f>
        <v>PR JAN20 JNL</v>
      </c>
      <c r="L84" s="218" t="str">
        <f>"W Ndikintum 15%"</f>
        <v>W Ndikintum 15%</v>
      </c>
      <c r="M84" s="218" t="str">
        <f>"5100"</f>
        <v>5100</v>
      </c>
      <c r="N84" s="218" t="str">
        <f>"BASIC EMPLOYMENT COSTS"</f>
        <v>BASIC EMPLOYMENT COSTS</v>
      </c>
      <c r="O84" s="218" t="str">
        <f t="shared" si="24"/>
        <v>UNILON</v>
      </c>
      <c r="P84" s="218" t="str">
        <f t="shared" si="21"/>
        <v>AP21QR</v>
      </c>
      <c r="Q84" s="218" t="str">
        <f t="shared" si="25"/>
        <v>NDI</v>
      </c>
      <c r="R84" s="218" t="str">
        <f>""</f>
        <v/>
      </c>
      <c r="S84" s="218" t="str">
        <f t="shared" si="26"/>
        <v>053</v>
      </c>
      <c r="T84" s="218" t="str">
        <f>"D"</f>
        <v>D</v>
      </c>
      <c r="U84" s="218" t="str">
        <f t="shared" si="22"/>
        <v>AFR000</v>
      </c>
      <c r="V84" s="218" t="str">
        <f t="shared" si="27"/>
        <v>020</v>
      </c>
      <c r="W84" s="218">
        <v>0</v>
      </c>
      <c r="X84" s="218" t="str">
        <f>""</f>
        <v/>
      </c>
      <c r="Y84" s="218">
        <v>563</v>
      </c>
      <c r="Z84" s="218">
        <v>746.96</v>
      </c>
      <c r="AA84" s="218">
        <v>660.74</v>
      </c>
    </row>
    <row r="85" spans="1:27">
      <c r="A85" s="218" t="s">
        <v>2592</v>
      </c>
      <c r="F85" s="219" t="str">
        <f>"""IntAlert Live"",""ALERT UK"",""17"",""1"",""520401"""</f>
        <v>"IntAlert Live","ALERT UK","17","1","520401"</v>
      </c>
      <c r="G85" s="223">
        <v>43861</v>
      </c>
      <c r="H85" s="223"/>
      <c r="I85" s="218" t="str">
        <f>""</f>
        <v/>
      </c>
      <c r="K85" s="218" t="str">
        <f>"PR JAN20 JNL"</f>
        <v>PR JAN20 JNL</v>
      </c>
      <c r="L85" s="218" t="str">
        <f>"W Ndikintum 15%"</f>
        <v>W Ndikintum 15%</v>
      </c>
      <c r="M85" s="218" t="str">
        <f>"5110"</f>
        <v>5110</v>
      </c>
      <c r="N85" s="218" t="str">
        <f>"EMPLOYER'S PENSION COSTS"</f>
        <v>EMPLOYER'S PENSION COSTS</v>
      </c>
      <c r="O85" s="218" t="str">
        <f t="shared" si="24"/>
        <v>UNILON</v>
      </c>
      <c r="P85" s="218" t="str">
        <f t="shared" si="21"/>
        <v>AP21QR</v>
      </c>
      <c r="Q85" s="218" t="str">
        <f t="shared" si="25"/>
        <v>NDI</v>
      </c>
      <c r="R85" s="218" t="str">
        <f>""</f>
        <v/>
      </c>
      <c r="S85" s="218" t="str">
        <f t="shared" si="26"/>
        <v>053</v>
      </c>
      <c r="T85" s="218" t="str">
        <f>"D"</f>
        <v>D</v>
      </c>
      <c r="U85" s="218" t="str">
        <f t="shared" si="22"/>
        <v>AFR000</v>
      </c>
      <c r="V85" s="218" t="str">
        <f t="shared" si="27"/>
        <v>020</v>
      </c>
      <c r="W85" s="218">
        <v>0</v>
      </c>
      <c r="X85" s="218" t="str">
        <f>""</f>
        <v/>
      </c>
      <c r="Y85" s="218">
        <v>56.3</v>
      </c>
      <c r="Z85" s="218">
        <v>74.7</v>
      </c>
      <c r="AA85" s="218">
        <v>66.069999999999993</v>
      </c>
    </row>
    <row r="86" spans="1:27">
      <c r="A86" s="218" t="s">
        <v>2592</v>
      </c>
      <c r="F86" s="219" t="str">
        <f>"""IntAlert Live"",""ALERT UK"",""17"",""1"",""534628"""</f>
        <v>"IntAlert Live","ALERT UK","17","1","534628"</v>
      </c>
      <c r="G86" s="223">
        <v>43890</v>
      </c>
      <c r="H86" s="223"/>
      <c r="I86" s="218" t="str">
        <f>""</f>
        <v/>
      </c>
      <c r="K86" s="218" t="str">
        <f>"HR CHG FEB20"</f>
        <v>HR CHG FEB20</v>
      </c>
      <c r="L86" s="218" t="str">
        <f>"HR CHG FEB20"</f>
        <v>HR CHG FEB20</v>
      </c>
      <c r="M86" s="218" t="str">
        <f>"5100"</f>
        <v>5100</v>
      </c>
      <c r="N86" s="218" t="str">
        <f>"BASIC EMPLOYMENT COSTS"</f>
        <v>BASIC EMPLOYMENT COSTS</v>
      </c>
      <c r="O86" s="218" t="str">
        <f t="shared" si="24"/>
        <v>UNILON</v>
      </c>
      <c r="P86" s="218" t="str">
        <f t="shared" si="21"/>
        <v>AP21QR</v>
      </c>
      <c r="Q86" s="218" t="str">
        <f t="shared" si="25"/>
        <v>NDI</v>
      </c>
      <c r="R86" s="218" t="str">
        <f>""</f>
        <v/>
      </c>
      <c r="S86" s="218" t="str">
        <f t="shared" si="26"/>
        <v>053</v>
      </c>
      <c r="T86" s="218" t="str">
        <f>"S"</f>
        <v>S</v>
      </c>
      <c r="U86" s="218" t="str">
        <f t="shared" si="22"/>
        <v>AFR000</v>
      </c>
      <c r="V86" s="218" t="str">
        <f t="shared" si="27"/>
        <v>020</v>
      </c>
      <c r="W86" s="218">
        <v>0</v>
      </c>
      <c r="X86" s="218" t="str">
        <f>""</f>
        <v/>
      </c>
      <c r="Y86" s="218">
        <v>30.93</v>
      </c>
      <c r="Z86" s="218">
        <v>40.81</v>
      </c>
      <c r="AA86" s="218">
        <v>36.74</v>
      </c>
    </row>
    <row r="87" spans="1:27">
      <c r="A87" s="218" t="s">
        <v>2592</v>
      </c>
      <c r="F87" s="219" t="str">
        <f>"""IntAlert Live"",""ALERT UK"",""17"",""1"",""534772"""</f>
        <v>"IntAlert Live","ALERT UK","17","1","534772"</v>
      </c>
      <c r="G87" s="223">
        <v>43890</v>
      </c>
      <c r="H87" s="223"/>
      <c r="I87" s="218" t="str">
        <f>""</f>
        <v/>
      </c>
      <c r="K87" s="218" t="str">
        <f>"HR SCF CHG FEB20"</f>
        <v>HR SCF CHG FEB20</v>
      </c>
      <c r="L87" s="218" t="str">
        <f>"HR SCF CHG FEB20"</f>
        <v>HR SCF CHG FEB20</v>
      </c>
      <c r="M87" s="218" t="str">
        <f>"5100"</f>
        <v>5100</v>
      </c>
      <c r="N87" s="218" t="str">
        <f>"BASIC EMPLOYMENT COSTS"</f>
        <v>BASIC EMPLOYMENT COSTS</v>
      </c>
      <c r="O87" s="218" t="str">
        <f t="shared" si="24"/>
        <v>UNILON</v>
      </c>
      <c r="P87" s="218" t="str">
        <f t="shared" si="21"/>
        <v>AP21QR</v>
      </c>
      <c r="Q87" s="218" t="str">
        <f t="shared" si="25"/>
        <v>NDI</v>
      </c>
      <c r="R87" s="218" t="str">
        <f>""</f>
        <v/>
      </c>
      <c r="S87" s="218" t="str">
        <f t="shared" si="26"/>
        <v>053</v>
      </c>
      <c r="T87" s="218" t="str">
        <f>"C"</f>
        <v>C</v>
      </c>
      <c r="U87" s="218" t="str">
        <f t="shared" si="22"/>
        <v>AFR000</v>
      </c>
      <c r="V87" s="218" t="str">
        <f t="shared" si="27"/>
        <v>020</v>
      </c>
      <c r="W87" s="218">
        <v>0</v>
      </c>
      <c r="X87" s="218" t="str">
        <f>""</f>
        <v/>
      </c>
      <c r="Y87" s="218">
        <v>18.559999999999999</v>
      </c>
      <c r="Z87" s="218">
        <v>24.49</v>
      </c>
      <c r="AA87" s="218">
        <v>22.05</v>
      </c>
    </row>
    <row r="88" spans="1:27">
      <c r="A88" s="218" t="s">
        <v>2592</v>
      </c>
      <c r="F88" s="219" t="str">
        <f>"""IntAlert Live"",""ALERT UK"",""17"",""1"",""535001"""</f>
        <v>"IntAlert Live","ALERT UK","17","1","535001"</v>
      </c>
      <c r="G88" s="223">
        <v>43890</v>
      </c>
      <c r="H88" s="223"/>
      <c r="I88" s="218" t="str">
        <f>""</f>
        <v/>
      </c>
      <c r="K88" s="218" t="str">
        <f>"PR FEB JNL"</f>
        <v>PR FEB JNL</v>
      </c>
      <c r="L88" s="218" t="str">
        <f>"W Ndikintum 15%"</f>
        <v>W Ndikintum 15%</v>
      </c>
      <c r="M88" s="218" t="str">
        <f>"5100"</f>
        <v>5100</v>
      </c>
      <c r="N88" s="218" t="str">
        <f>"BASIC EMPLOYMENT COSTS"</f>
        <v>BASIC EMPLOYMENT COSTS</v>
      </c>
      <c r="O88" s="218" t="str">
        <f t="shared" si="24"/>
        <v>UNILON</v>
      </c>
      <c r="P88" s="218" t="str">
        <f t="shared" si="21"/>
        <v>AP21QR</v>
      </c>
      <c r="Q88" s="218" t="str">
        <f t="shared" si="25"/>
        <v>NDI</v>
      </c>
      <c r="R88" s="218" t="str">
        <f>""</f>
        <v/>
      </c>
      <c r="S88" s="218" t="str">
        <f t="shared" si="26"/>
        <v>053</v>
      </c>
      <c r="T88" s="218" t="str">
        <f>"D"</f>
        <v>D</v>
      </c>
      <c r="U88" s="218" t="str">
        <f t="shared" si="22"/>
        <v>AFR000</v>
      </c>
      <c r="V88" s="218" t="str">
        <f t="shared" si="27"/>
        <v>020</v>
      </c>
      <c r="W88" s="218">
        <v>0</v>
      </c>
      <c r="X88" s="218" t="str">
        <f>""</f>
        <v/>
      </c>
      <c r="Y88" s="218">
        <v>618.67999999999995</v>
      </c>
      <c r="Z88" s="218">
        <v>816.23</v>
      </c>
      <c r="AA88" s="218">
        <v>734.92</v>
      </c>
    </row>
    <row r="89" spans="1:27">
      <c r="A89" s="218" t="s">
        <v>2592</v>
      </c>
      <c r="F89" s="219" t="str">
        <f>"""IntAlert Live"",""ALERT UK"",""17"",""1"",""535294"""</f>
        <v>"IntAlert Live","ALERT UK","17","1","535294"</v>
      </c>
      <c r="G89" s="223">
        <v>43890</v>
      </c>
      <c r="H89" s="223"/>
      <c r="I89" s="218" t="str">
        <f>""</f>
        <v/>
      </c>
      <c r="K89" s="218" t="str">
        <f>"PR FEB JNL"</f>
        <v>PR FEB JNL</v>
      </c>
      <c r="L89" s="218" t="str">
        <f>"W Ndikintum 15%"</f>
        <v>W Ndikintum 15%</v>
      </c>
      <c r="M89" s="218" t="str">
        <f>"5110"</f>
        <v>5110</v>
      </c>
      <c r="N89" s="218" t="str">
        <f>"EMPLOYER'S PENSION COSTS"</f>
        <v>EMPLOYER'S PENSION COSTS</v>
      </c>
      <c r="O89" s="218" t="str">
        <f t="shared" si="24"/>
        <v>UNILON</v>
      </c>
      <c r="P89" s="218" t="str">
        <f t="shared" si="21"/>
        <v>AP21QR</v>
      </c>
      <c r="Q89" s="218" t="str">
        <f t="shared" si="25"/>
        <v>NDI</v>
      </c>
      <c r="R89" s="218" t="str">
        <f>""</f>
        <v/>
      </c>
      <c r="S89" s="218" t="str">
        <f t="shared" si="26"/>
        <v>053</v>
      </c>
      <c r="T89" s="218" t="str">
        <f>"D"</f>
        <v>D</v>
      </c>
      <c r="U89" s="218" t="str">
        <f t="shared" si="22"/>
        <v>AFR000</v>
      </c>
      <c r="V89" s="218" t="str">
        <f t="shared" si="27"/>
        <v>020</v>
      </c>
      <c r="W89" s="218">
        <v>0</v>
      </c>
      <c r="X89" s="218" t="str">
        <f>""</f>
        <v/>
      </c>
      <c r="Y89" s="218">
        <v>61.87</v>
      </c>
      <c r="Z89" s="218">
        <v>81.63</v>
      </c>
      <c r="AA89" s="218">
        <v>73.489999999999995</v>
      </c>
    </row>
    <row r="90" spans="1:27">
      <c r="A90" s="218" t="s">
        <v>2592</v>
      </c>
      <c r="F90" s="219" t="str">
        <f>"""IntAlert Live"",""ALERT UK"",""17"",""1"",""541316"""</f>
        <v>"IntAlert Live","ALERT UK","17","1","541316"</v>
      </c>
      <c r="G90" s="223">
        <v>43921</v>
      </c>
      <c r="H90" s="223"/>
      <c r="I90" s="218" t="str">
        <f>""</f>
        <v/>
      </c>
      <c r="K90" s="218" t="str">
        <f>"PR MAR JNL"</f>
        <v>PR MAR JNL</v>
      </c>
      <c r="L90" s="218" t="str">
        <f>"L Williams 15%"</f>
        <v>L Williams 15%</v>
      </c>
      <c r="M90" s="218" t="str">
        <f>"5100"</f>
        <v>5100</v>
      </c>
      <c r="N90" s="218" t="str">
        <f>"BASIC EMPLOYMENT COSTS"</f>
        <v>BASIC EMPLOYMENT COSTS</v>
      </c>
      <c r="O90" s="218" t="str">
        <f t="shared" si="24"/>
        <v>UNILON</v>
      </c>
      <c r="P90" s="218" t="str">
        <f t="shared" si="21"/>
        <v>AP21QR</v>
      </c>
      <c r="Q90" s="218" t="str">
        <f>"WIA"</f>
        <v>WIA</v>
      </c>
      <c r="R90" s="218" t="str">
        <f>""</f>
        <v/>
      </c>
      <c r="S90" s="218" t="str">
        <f t="shared" si="26"/>
        <v>053</v>
      </c>
      <c r="T90" s="218" t="str">
        <f>"D"</f>
        <v>D</v>
      </c>
      <c r="U90" s="218" t="str">
        <f t="shared" si="22"/>
        <v>AFR000</v>
      </c>
      <c r="V90" s="218" t="str">
        <f t="shared" ref="V90:V121" si="28">"###"</f>
        <v>###</v>
      </c>
      <c r="W90" s="218">
        <v>0</v>
      </c>
      <c r="X90" s="218" t="str">
        <f>""</f>
        <v/>
      </c>
      <c r="Y90" s="218">
        <v>532.02</v>
      </c>
      <c r="Z90" s="218">
        <v>682.04</v>
      </c>
      <c r="AA90" s="218">
        <v>625.94000000000005</v>
      </c>
    </row>
    <row r="91" spans="1:27">
      <c r="A91" s="218" t="s">
        <v>2592</v>
      </c>
      <c r="F91" s="219" t="str">
        <f>"""IntAlert Live"",""ALERT UK"",""17"",""1"",""541468"""</f>
        <v>"IntAlert Live","ALERT UK","17","1","541468"</v>
      </c>
      <c r="G91" s="223">
        <v>43921</v>
      </c>
      <c r="H91" s="223"/>
      <c r="I91" s="218" t="str">
        <f>""</f>
        <v/>
      </c>
      <c r="K91" s="218" t="str">
        <f>"PR MAR JNL"</f>
        <v>PR MAR JNL</v>
      </c>
      <c r="L91" s="218" t="str">
        <f>"L Williams 15%"</f>
        <v>L Williams 15%</v>
      </c>
      <c r="M91" s="218" t="str">
        <f>"5120"</f>
        <v>5120</v>
      </c>
      <c r="N91" s="218" t="str">
        <f>"EMPLOYER'S NI"</f>
        <v>EMPLOYER'S NI</v>
      </c>
      <c r="O91" s="218" t="str">
        <f t="shared" si="24"/>
        <v>UNILON</v>
      </c>
      <c r="P91" s="218" t="str">
        <f t="shared" si="21"/>
        <v>AP21QR</v>
      </c>
      <c r="Q91" s="218" t="str">
        <f>"WIA"</f>
        <v>WIA</v>
      </c>
      <c r="R91" s="218" t="str">
        <f>""</f>
        <v/>
      </c>
      <c r="S91" s="218" t="str">
        <f t="shared" si="26"/>
        <v>053</v>
      </c>
      <c r="T91" s="218" t="str">
        <f>"D"</f>
        <v>D</v>
      </c>
      <c r="U91" s="218" t="str">
        <f t="shared" si="22"/>
        <v>AFR000</v>
      </c>
      <c r="V91" s="218" t="str">
        <f t="shared" si="28"/>
        <v>###</v>
      </c>
      <c r="W91" s="218">
        <v>0</v>
      </c>
      <c r="X91" s="218" t="str">
        <f>""</f>
        <v/>
      </c>
      <c r="Y91" s="218">
        <v>58.54</v>
      </c>
      <c r="Z91" s="218">
        <v>75.05</v>
      </c>
      <c r="AA91" s="218">
        <v>68.87</v>
      </c>
    </row>
    <row r="92" spans="1:27">
      <c r="A92" s="218" t="s">
        <v>2592</v>
      </c>
      <c r="F92" s="219" t="str">
        <f>"""IntAlert Live"",""ALERT UK"",""17"",""1"",""541602"""</f>
        <v>"IntAlert Live","ALERT UK","17","1","541602"</v>
      </c>
      <c r="G92" s="223">
        <v>43921</v>
      </c>
      <c r="H92" s="223"/>
      <c r="I92" s="218" t="str">
        <f>""</f>
        <v/>
      </c>
      <c r="K92" s="218" t="str">
        <f>"PR MAR JNL"</f>
        <v>PR MAR JNL</v>
      </c>
      <c r="L92" s="218" t="str">
        <f>"L Williams 15%"</f>
        <v>L Williams 15%</v>
      </c>
      <c r="M92" s="218" t="str">
        <f>"5110"</f>
        <v>5110</v>
      </c>
      <c r="N92" s="218" t="str">
        <f>"EMPLOYER'S PENSION COSTS"</f>
        <v>EMPLOYER'S PENSION COSTS</v>
      </c>
      <c r="O92" s="218" t="str">
        <f t="shared" si="24"/>
        <v>UNILON</v>
      </c>
      <c r="P92" s="218" t="str">
        <f t="shared" si="21"/>
        <v>AP21QR</v>
      </c>
      <c r="Q92" s="218" t="str">
        <f>"WIA"</f>
        <v>WIA</v>
      </c>
      <c r="R92" s="218" t="str">
        <f>""</f>
        <v/>
      </c>
      <c r="S92" s="218" t="str">
        <f t="shared" si="26"/>
        <v>053</v>
      </c>
      <c r="T92" s="218" t="str">
        <f>"D"</f>
        <v>D</v>
      </c>
      <c r="U92" s="218" t="str">
        <f t="shared" si="22"/>
        <v>AFR000</v>
      </c>
      <c r="V92" s="218" t="str">
        <f t="shared" si="28"/>
        <v>###</v>
      </c>
      <c r="W92" s="218">
        <v>0</v>
      </c>
      <c r="X92" s="218" t="str">
        <f>""</f>
        <v/>
      </c>
      <c r="Y92" s="218">
        <v>53.2</v>
      </c>
      <c r="Z92" s="218">
        <v>68.2</v>
      </c>
      <c r="AA92" s="218">
        <v>62.59</v>
      </c>
    </row>
    <row r="93" spans="1:27">
      <c r="A93" s="218" t="s">
        <v>2592</v>
      </c>
      <c r="F93" s="219" t="str">
        <f>"""IntAlert Live"",""ALERT UK"",""17"",""1"",""541752"""</f>
        <v>"IntAlert Live","ALERT UK","17","1","541752"</v>
      </c>
      <c r="G93" s="223">
        <v>43921</v>
      </c>
      <c r="H93" s="223"/>
      <c r="I93" s="218" t="str">
        <f>""</f>
        <v/>
      </c>
      <c r="K93" s="218" t="str">
        <f>"HR CHG MAR20"</f>
        <v>HR CHG MAR20</v>
      </c>
      <c r="L93" s="218" t="str">
        <f>"L Williams 15%"</f>
        <v>L Williams 15%</v>
      </c>
      <c r="M93" s="218" t="str">
        <f>"5100"</f>
        <v>5100</v>
      </c>
      <c r="N93" s="218" t="str">
        <f>"BASIC EMPLOYMENT COSTS"</f>
        <v>BASIC EMPLOYMENT COSTS</v>
      </c>
      <c r="O93" s="218" t="str">
        <f t="shared" si="24"/>
        <v>UNILON</v>
      </c>
      <c r="P93" s="218" t="str">
        <f t="shared" si="21"/>
        <v>AP21QR</v>
      </c>
      <c r="Q93" s="218" t="str">
        <f>"WIA"</f>
        <v>WIA</v>
      </c>
      <c r="R93" s="218" t="str">
        <f>""</f>
        <v/>
      </c>
      <c r="S93" s="218" t="str">
        <f t="shared" si="26"/>
        <v>053</v>
      </c>
      <c r="T93" s="218" t="str">
        <f>"S"</f>
        <v>S</v>
      </c>
      <c r="U93" s="218" t="str">
        <f t="shared" si="22"/>
        <v>AFR000</v>
      </c>
      <c r="V93" s="218" t="str">
        <f t="shared" si="28"/>
        <v>###</v>
      </c>
      <c r="W93" s="218">
        <v>0</v>
      </c>
      <c r="X93" s="218" t="str">
        <f>""</f>
        <v/>
      </c>
      <c r="Y93" s="218">
        <v>26.6</v>
      </c>
      <c r="Z93" s="218">
        <v>34.1</v>
      </c>
      <c r="AA93" s="218">
        <v>31.3</v>
      </c>
    </row>
    <row r="94" spans="1:27">
      <c r="A94" s="218" t="s">
        <v>2592</v>
      </c>
      <c r="F94" s="219" t="str">
        <f>"""IntAlert Live"",""ALERT UK"",""17"",""1"",""541887"""</f>
        <v>"IntAlert Live","ALERT UK","17","1","541887"</v>
      </c>
      <c r="G94" s="223">
        <v>43921</v>
      </c>
      <c r="H94" s="223"/>
      <c r="I94" s="218" t="str">
        <f>""</f>
        <v/>
      </c>
      <c r="K94" s="218" t="str">
        <f>"HR SCF CHG MAR20"</f>
        <v>HR SCF CHG MAR20</v>
      </c>
      <c r="L94" s="218" t="str">
        <f>"L Williams 15%"</f>
        <v>L Williams 15%</v>
      </c>
      <c r="M94" s="218" t="str">
        <f>"5100"</f>
        <v>5100</v>
      </c>
      <c r="N94" s="218" t="str">
        <f>"BASIC EMPLOYMENT COSTS"</f>
        <v>BASIC EMPLOYMENT COSTS</v>
      </c>
      <c r="O94" s="218" t="str">
        <f t="shared" si="24"/>
        <v>UNILON</v>
      </c>
      <c r="P94" s="218" t="str">
        <f t="shared" si="21"/>
        <v>AP21QR</v>
      </c>
      <c r="Q94" s="218" t="str">
        <f>"WIA"</f>
        <v>WIA</v>
      </c>
      <c r="R94" s="218" t="str">
        <f>""</f>
        <v/>
      </c>
      <c r="S94" s="218" t="str">
        <f t="shared" si="26"/>
        <v>053</v>
      </c>
      <c r="T94" s="218" t="str">
        <f>"C"</f>
        <v>C</v>
      </c>
      <c r="U94" s="218" t="str">
        <f t="shared" si="22"/>
        <v>AFR000</v>
      </c>
      <c r="V94" s="218" t="str">
        <f t="shared" si="28"/>
        <v>###</v>
      </c>
      <c r="W94" s="218">
        <v>0</v>
      </c>
      <c r="X94" s="218" t="str">
        <f>""</f>
        <v/>
      </c>
      <c r="Y94" s="218">
        <v>15.96</v>
      </c>
      <c r="Z94" s="218">
        <v>20.46</v>
      </c>
      <c r="AA94" s="218">
        <v>18.78</v>
      </c>
    </row>
    <row r="95" spans="1:27">
      <c r="A95" s="218" t="s">
        <v>2592</v>
      </c>
      <c r="F95" s="219" t="str">
        <f>"""IntAlert Live"",""ALERT UK"",""17"",""1"",""516989"""</f>
        <v>"IntAlert Live","ALERT UK","17","1","516989"</v>
      </c>
      <c r="G95" s="223">
        <v>43859</v>
      </c>
      <c r="H95" s="223"/>
      <c r="I95" s="218" t="str">
        <f>"DRCBUK/BANK/2020/01/016"</f>
        <v>DRCBUK/BANK/2020/01/016</v>
      </c>
      <c r="K95" s="218" t="str">
        <f>"DANIEL MWENDANGA"</f>
        <v>DANIEL MWENDANGA</v>
      </c>
      <c r="L95" s="218" t="str">
        <f>"Jan'20 Salary-Daniel MWENDANGA"</f>
        <v>Jan'20 Salary-Daniel MWENDANGA</v>
      </c>
      <c r="M95" s="218" t="str">
        <f>"5100"</f>
        <v>5100</v>
      </c>
      <c r="N95" s="218" t="str">
        <f>"BASIC EMPLOYMENT COSTS"</f>
        <v>BASIC EMPLOYMENT COSTS</v>
      </c>
      <c r="O95" s="218" t="str">
        <f t="shared" ref="O95:O111" si="29">"DRCBUK"</f>
        <v>DRCBUK</v>
      </c>
      <c r="P95" s="218" t="str">
        <f t="shared" si="21"/>
        <v>AP21QR</v>
      </c>
      <c r="Q95" s="218" t="str">
        <f t="shared" ref="Q95:Q109" si="30">"MWN"</f>
        <v>MWN</v>
      </c>
      <c r="R95" s="218" t="str">
        <f>""</f>
        <v/>
      </c>
      <c r="S95" s="218" t="str">
        <f t="shared" ref="S95:S109" si="31">"054"</f>
        <v>054</v>
      </c>
      <c r="T95" s="218" t="str">
        <f t="shared" ref="T95:T111" si="32">"D"</f>
        <v>D</v>
      </c>
      <c r="U95" s="218" t="str">
        <f t="shared" si="22"/>
        <v>AFR000</v>
      </c>
      <c r="V95" s="218" t="str">
        <f t="shared" si="28"/>
        <v>###</v>
      </c>
      <c r="W95" s="218">
        <v>252.57</v>
      </c>
      <c r="X95" s="218" t="str">
        <f t="shared" ref="X95:X111" si="33">"USD"</f>
        <v>USD</v>
      </c>
      <c r="Y95" s="218">
        <v>190.37</v>
      </c>
      <c r="Z95" s="218">
        <v>252.57</v>
      </c>
      <c r="AA95" s="218">
        <v>223.42</v>
      </c>
    </row>
    <row r="96" spans="1:27">
      <c r="A96" s="218" t="s">
        <v>2592</v>
      </c>
      <c r="F96" s="219" t="str">
        <f>"""IntAlert Live"",""ALERT UK"",""17"",""1"",""517040"""</f>
        <v>"IntAlert Live","ALERT UK","17","1","517040"</v>
      </c>
      <c r="G96" s="223">
        <v>43859</v>
      </c>
      <c r="H96" s="223"/>
      <c r="I96" s="218" t="str">
        <f>"DRCBUK/BANK/2020/01/017"</f>
        <v>DRCBUK/BANK/2020/01/017</v>
      </c>
      <c r="K96" s="218" t="str">
        <f>"DGI SUD-KIVU"</f>
        <v>DGI SUD-KIVU</v>
      </c>
      <c r="L96" s="218" t="str">
        <f>"IPR Jan'20 -Daniel MWENDANGA"</f>
        <v>IPR Jan'20 -Daniel MWENDANGA</v>
      </c>
      <c r="M96" s="218" t="str">
        <f>"5100"</f>
        <v>5100</v>
      </c>
      <c r="N96" s="218" t="str">
        <f>"BASIC EMPLOYMENT COSTS"</f>
        <v>BASIC EMPLOYMENT COSTS</v>
      </c>
      <c r="O96" s="218" t="str">
        <f t="shared" si="29"/>
        <v>DRCBUK</v>
      </c>
      <c r="P96" s="218" t="str">
        <f t="shared" si="21"/>
        <v>AP21QR</v>
      </c>
      <c r="Q96" s="218" t="str">
        <f t="shared" si="30"/>
        <v>MWN</v>
      </c>
      <c r="R96" s="218" t="str">
        <f>""</f>
        <v/>
      </c>
      <c r="S96" s="218" t="str">
        <f t="shared" si="31"/>
        <v>054</v>
      </c>
      <c r="T96" s="218" t="str">
        <f t="shared" si="32"/>
        <v>D</v>
      </c>
      <c r="U96" s="218" t="str">
        <f t="shared" si="22"/>
        <v>AFR000</v>
      </c>
      <c r="V96" s="218" t="str">
        <f t="shared" si="28"/>
        <v>###</v>
      </c>
      <c r="W96" s="218">
        <v>49.03</v>
      </c>
      <c r="X96" s="218" t="str">
        <f t="shared" si="33"/>
        <v>USD</v>
      </c>
      <c r="Y96" s="218">
        <v>36.950000000000003</v>
      </c>
      <c r="Z96" s="218">
        <v>49.03</v>
      </c>
      <c r="AA96" s="218">
        <v>43.36</v>
      </c>
    </row>
    <row r="97" spans="1:27">
      <c r="A97" s="218" t="s">
        <v>2592</v>
      </c>
      <c r="F97" s="219" t="str">
        <f>"""IntAlert Live"",""ALERT UK"",""17"",""1"",""517092"""</f>
        <v>"IntAlert Live","ALERT UK","17","1","517092"</v>
      </c>
      <c r="G97" s="223">
        <v>43859</v>
      </c>
      <c r="H97" s="223"/>
      <c r="I97" s="218" t="str">
        <f>"DRCBUK/BANK/2020/01/018"</f>
        <v>DRCBUK/BANK/2020/01/018</v>
      </c>
      <c r="K97" s="218" t="str">
        <f>"CNSS SUD-KIVU"</f>
        <v>CNSS SUD-KIVU</v>
      </c>
      <c r="L97" s="218" t="str">
        <f>"CNSS-Daniel MWENDANGA"</f>
        <v>CNSS-Daniel MWENDANGA</v>
      </c>
      <c r="M97" s="218" t="str">
        <f>"5110"</f>
        <v>5110</v>
      </c>
      <c r="N97" s="218" t="str">
        <f>"EMPLOYER'S PENSION COSTS"</f>
        <v>EMPLOYER'S PENSION COSTS</v>
      </c>
      <c r="O97" s="218" t="str">
        <f t="shared" si="29"/>
        <v>DRCBUK</v>
      </c>
      <c r="P97" s="218" t="str">
        <f t="shared" si="21"/>
        <v>AP21QR</v>
      </c>
      <c r="Q97" s="218" t="str">
        <f t="shared" si="30"/>
        <v>MWN</v>
      </c>
      <c r="R97" s="218" t="str">
        <f>""</f>
        <v/>
      </c>
      <c r="S97" s="218" t="str">
        <f t="shared" si="31"/>
        <v>054</v>
      </c>
      <c r="T97" s="218" t="str">
        <f t="shared" si="32"/>
        <v>D</v>
      </c>
      <c r="U97" s="218" t="str">
        <f t="shared" si="22"/>
        <v>AFR000</v>
      </c>
      <c r="V97" s="218" t="str">
        <f t="shared" si="28"/>
        <v>###</v>
      </c>
      <c r="W97" s="218">
        <v>42.11</v>
      </c>
      <c r="X97" s="218" t="str">
        <f t="shared" si="33"/>
        <v>USD</v>
      </c>
      <c r="Y97" s="218">
        <v>31.74</v>
      </c>
      <c r="Z97" s="218">
        <v>42.11</v>
      </c>
      <c r="AA97" s="218">
        <v>37.25</v>
      </c>
    </row>
    <row r="98" spans="1:27">
      <c r="A98" s="218" t="s">
        <v>2592</v>
      </c>
      <c r="F98" s="219" t="str">
        <f>"""IntAlert Live"",""ALERT UK"",""17"",""1"",""517143"""</f>
        <v>"IntAlert Live","ALERT UK","17","1","517143"</v>
      </c>
      <c r="G98" s="223">
        <v>43860</v>
      </c>
      <c r="H98" s="223"/>
      <c r="I98" s="218" t="str">
        <f>"DRCBUK/BANK/2020/01/019"</f>
        <v>DRCBUK/BANK/2020/01/019</v>
      </c>
      <c r="K98" s="218" t="str">
        <f>"INPP SUD-KIVU"</f>
        <v>INPP SUD-KIVU</v>
      </c>
      <c r="L98" s="218" t="str">
        <f>"INPP-Daniel MWENDANGA"</f>
        <v>INPP-Daniel MWENDANGA</v>
      </c>
      <c r="M98" s="218" t="str">
        <f>"5160"</f>
        <v>5160</v>
      </c>
      <c r="N98" s="218" t="str">
        <f>"EMPLOYMENT BENEFITS COSTS"</f>
        <v>EMPLOYMENT BENEFITS COSTS</v>
      </c>
      <c r="O98" s="218" t="str">
        <f t="shared" si="29"/>
        <v>DRCBUK</v>
      </c>
      <c r="P98" s="218" t="str">
        <f t="shared" si="21"/>
        <v>AP21QR</v>
      </c>
      <c r="Q98" s="218" t="str">
        <f t="shared" si="30"/>
        <v>MWN</v>
      </c>
      <c r="R98" s="218" t="str">
        <f>""</f>
        <v/>
      </c>
      <c r="S98" s="218" t="str">
        <f t="shared" si="31"/>
        <v>054</v>
      </c>
      <c r="T98" s="218" t="str">
        <f t="shared" si="32"/>
        <v>D</v>
      </c>
      <c r="U98" s="218" t="str">
        <f t="shared" si="22"/>
        <v>AFR000</v>
      </c>
      <c r="V98" s="218" t="str">
        <f t="shared" si="28"/>
        <v>###</v>
      </c>
      <c r="W98" s="218">
        <v>7.02</v>
      </c>
      <c r="X98" s="218" t="str">
        <f t="shared" si="33"/>
        <v>USD</v>
      </c>
      <c r="Y98" s="218">
        <v>5.29</v>
      </c>
      <c r="Z98" s="218">
        <v>7.02</v>
      </c>
      <c r="AA98" s="218">
        <v>6.21</v>
      </c>
    </row>
    <row r="99" spans="1:27">
      <c r="A99" s="218" t="s">
        <v>2592</v>
      </c>
      <c r="F99" s="219" t="str">
        <f>"""IntAlert Live"",""ALERT UK"",""17"",""1"",""532821"""</f>
        <v>"IntAlert Live","ALERT UK","17","1","532821"</v>
      </c>
      <c r="G99" s="223">
        <v>43865</v>
      </c>
      <c r="H99" s="223"/>
      <c r="I99" s="218" t="str">
        <f>"DRCBUK/CAISSE/2020/02/001"</f>
        <v>DRCBUK/CAISSE/2020/02/001</v>
      </c>
      <c r="K99" s="218" t="str">
        <f>"ONEM"</f>
        <v>ONEM</v>
      </c>
      <c r="L99" s="218" t="str">
        <f>"ONEM JANV 020-Daniel MWENDANGA"</f>
        <v>ONEM JANV 020-Daniel MWENDANGA</v>
      </c>
      <c r="M99" s="218" t="str">
        <f>"5160"</f>
        <v>5160</v>
      </c>
      <c r="N99" s="218" t="str">
        <f>"EMPLOYMENT BENEFITS COSTS"</f>
        <v>EMPLOYMENT BENEFITS COSTS</v>
      </c>
      <c r="O99" s="218" t="str">
        <f t="shared" si="29"/>
        <v>DRCBUK</v>
      </c>
      <c r="P99" s="218" t="str">
        <f t="shared" si="21"/>
        <v>AP21QR</v>
      </c>
      <c r="Q99" s="218" t="str">
        <f t="shared" si="30"/>
        <v>MWN</v>
      </c>
      <c r="R99" s="218" t="str">
        <f>""</f>
        <v/>
      </c>
      <c r="S99" s="218" t="str">
        <f t="shared" si="31"/>
        <v>054</v>
      </c>
      <c r="T99" s="218" t="str">
        <f t="shared" si="32"/>
        <v>D</v>
      </c>
      <c r="U99" s="218" t="str">
        <f t="shared" si="22"/>
        <v>AFR000</v>
      </c>
      <c r="V99" s="218" t="str">
        <f t="shared" si="28"/>
        <v>###</v>
      </c>
      <c r="W99" s="218">
        <v>0.47</v>
      </c>
      <c r="X99" s="218" t="str">
        <f t="shared" si="33"/>
        <v>USD</v>
      </c>
      <c r="Y99" s="218">
        <v>0.36</v>
      </c>
      <c r="Z99" s="218">
        <v>0.47</v>
      </c>
      <c r="AA99" s="218">
        <v>0.43</v>
      </c>
    </row>
    <row r="100" spans="1:27">
      <c r="A100" s="218" t="s">
        <v>2592</v>
      </c>
      <c r="F100" s="219" t="str">
        <f>"""IntAlert Live"",""ALERT UK"",""17"",""1"",""532488"""</f>
        <v>"IntAlert Live","ALERT UK","17","1","532488"</v>
      </c>
      <c r="G100" s="223">
        <v>43887</v>
      </c>
      <c r="H100" s="223"/>
      <c r="I100" s="218" t="str">
        <f>"DRCBUK/BANK/2020/02/031"</f>
        <v>DRCBUK/BANK/2020/02/031</v>
      </c>
      <c r="K100" s="218" t="str">
        <f>"DANIEL MWENDANGA"</f>
        <v>DANIEL MWENDANGA</v>
      </c>
      <c r="L100" s="218" t="str">
        <f>"Salaire-Février 020-Daniel MWENDANGA 20%"</f>
        <v>Salaire-Février 020-Daniel MWENDANGA 20%</v>
      </c>
      <c r="M100" s="218" t="str">
        <f>"5100"</f>
        <v>5100</v>
      </c>
      <c r="N100" s="218" t="str">
        <f>"BASIC EMPLOYMENT COSTS"</f>
        <v>BASIC EMPLOYMENT COSTS</v>
      </c>
      <c r="O100" s="218" t="str">
        <f t="shared" si="29"/>
        <v>DRCBUK</v>
      </c>
      <c r="P100" s="218" t="str">
        <f t="shared" si="21"/>
        <v>AP21QR</v>
      </c>
      <c r="Q100" s="218" t="str">
        <f t="shared" si="30"/>
        <v>MWN</v>
      </c>
      <c r="R100" s="218" t="str">
        <f>""</f>
        <v/>
      </c>
      <c r="S100" s="218" t="str">
        <f t="shared" si="31"/>
        <v>054</v>
      </c>
      <c r="T100" s="218" t="str">
        <f t="shared" si="32"/>
        <v>D</v>
      </c>
      <c r="U100" s="218" t="str">
        <f t="shared" si="22"/>
        <v>AFR000</v>
      </c>
      <c r="V100" s="218" t="str">
        <f t="shared" si="28"/>
        <v>###</v>
      </c>
      <c r="W100" s="218">
        <v>507.42</v>
      </c>
      <c r="X100" s="218" t="str">
        <f t="shared" si="33"/>
        <v>USD</v>
      </c>
      <c r="Y100" s="218">
        <v>384.61</v>
      </c>
      <c r="Z100" s="218">
        <v>507.42</v>
      </c>
      <c r="AA100" s="218">
        <v>456.87</v>
      </c>
    </row>
    <row r="101" spans="1:27">
      <c r="A101" s="218" t="s">
        <v>2592</v>
      </c>
      <c r="F101" s="219" t="str">
        <f>"""IntAlert Live"",""ALERT UK"",""17"",""1"",""532532"""</f>
        <v>"IntAlert Live","ALERT UK","17","1","532532"</v>
      </c>
      <c r="G101" s="223">
        <v>43888</v>
      </c>
      <c r="H101" s="223"/>
      <c r="I101" s="218" t="str">
        <f>"DRCBUK/BANK/2020/02/032"</f>
        <v>DRCBUK/BANK/2020/02/032</v>
      </c>
      <c r="K101" s="218" t="str">
        <f>"DGI/DPI SUD KIVU"</f>
        <v>DGI/DPI SUD KIVU</v>
      </c>
      <c r="L101" s="218" t="str">
        <f>"IPR-Février 020-Daniel MWENDANGA 20%"</f>
        <v>IPR-Février 020-Daniel MWENDANGA 20%</v>
      </c>
      <c r="M101" s="218" t="str">
        <f>"5100"</f>
        <v>5100</v>
      </c>
      <c r="N101" s="218" t="str">
        <f>"BASIC EMPLOYMENT COSTS"</f>
        <v>BASIC EMPLOYMENT COSTS</v>
      </c>
      <c r="O101" s="218" t="str">
        <f t="shared" si="29"/>
        <v>DRCBUK</v>
      </c>
      <c r="P101" s="218" t="str">
        <f t="shared" si="21"/>
        <v>AP21QR</v>
      </c>
      <c r="Q101" s="218" t="str">
        <f t="shared" si="30"/>
        <v>MWN</v>
      </c>
      <c r="R101" s="218" t="str">
        <f>""</f>
        <v/>
      </c>
      <c r="S101" s="218" t="str">
        <f t="shared" si="31"/>
        <v>054</v>
      </c>
      <c r="T101" s="218" t="str">
        <f t="shared" si="32"/>
        <v>D</v>
      </c>
      <c r="U101" s="218" t="str">
        <f t="shared" si="22"/>
        <v>AFR000</v>
      </c>
      <c r="V101" s="218" t="str">
        <f t="shared" si="28"/>
        <v>###</v>
      </c>
      <c r="W101" s="218">
        <v>99.77</v>
      </c>
      <c r="X101" s="218" t="str">
        <f t="shared" si="33"/>
        <v>USD</v>
      </c>
      <c r="Y101" s="218">
        <v>75.62</v>
      </c>
      <c r="Z101" s="218">
        <v>99.77</v>
      </c>
      <c r="AA101" s="218">
        <v>89.83</v>
      </c>
    </row>
    <row r="102" spans="1:27">
      <c r="A102" s="218" t="s">
        <v>2592</v>
      </c>
      <c r="F102" s="219" t="str">
        <f>"""IntAlert Live"",""ALERT UK"",""17"",""1"",""532578"""</f>
        <v>"IntAlert Live","ALERT UK","17","1","532578"</v>
      </c>
      <c r="G102" s="223">
        <v>43888</v>
      </c>
      <c r="H102" s="223"/>
      <c r="I102" s="218" t="str">
        <f>"DRCBUK/BANK/2020/02/033"</f>
        <v>DRCBUK/BANK/2020/02/033</v>
      </c>
      <c r="K102" s="218" t="str">
        <f>"CNSS SUD KIVU"</f>
        <v>CNSS SUD KIVU</v>
      </c>
      <c r="L102" s="218" t="str">
        <f>"CNSS-Février 020-Daniel MWENDANGA 20%"</f>
        <v>CNSS-Février 020-Daniel MWENDANGA 20%</v>
      </c>
      <c r="M102" s="218" t="str">
        <f>"5160"</f>
        <v>5160</v>
      </c>
      <c r="N102" s="218" t="str">
        <f>"EMPLOYMENT BENEFITS COSTS"</f>
        <v>EMPLOYMENT BENEFITS COSTS</v>
      </c>
      <c r="O102" s="218" t="str">
        <f t="shared" si="29"/>
        <v>DRCBUK</v>
      </c>
      <c r="P102" s="218" t="str">
        <f t="shared" si="21"/>
        <v>AP21QR</v>
      </c>
      <c r="Q102" s="218" t="str">
        <f t="shared" si="30"/>
        <v>MWN</v>
      </c>
      <c r="R102" s="218" t="str">
        <f>""</f>
        <v/>
      </c>
      <c r="S102" s="218" t="str">
        <f t="shared" si="31"/>
        <v>054</v>
      </c>
      <c r="T102" s="218" t="str">
        <f t="shared" si="32"/>
        <v>D</v>
      </c>
      <c r="U102" s="218" t="str">
        <f t="shared" si="22"/>
        <v>AFR000</v>
      </c>
      <c r="V102" s="218" t="str">
        <f t="shared" si="28"/>
        <v>###</v>
      </c>
      <c r="W102" s="218">
        <v>84.23</v>
      </c>
      <c r="X102" s="218" t="str">
        <f t="shared" si="33"/>
        <v>USD</v>
      </c>
      <c r="Y102" s="218">
        <v>63.84</v>
      </c>
      <c r="Z102" s="218">
        <v>84.23</v>
      </c>
      <c r="AA102" s="218">
        <v>75.83</v>
      </c>
    </row>
    <row r="103" spans="1:27">
      <c r="A103" s="218" t="s">
        <v>2592</v>
      </c>
      <c r="F103" s="219" t="str">
        <f>"""IntAlert Live"",""ALERT UK"",""17"",""1"",""532623"""</f>
        <v>"IntAlert Live","ALERT UK","17","1","532623"</v>
      </c>
      <c r="G103" s="223">
        <v>43888</v>
      </c>
      <c r="H103" s="223"/>
      <c r="I103" s="218" t="str">
        <f>"DRCBUK/BANK/2020/02/034"</f>
        <v>DRCBUK/BANK/2020/02/034</v>
      </c>
      <c r="K103" s="218" t="str">
        <f>"INPP SUD KIVU"</f>
        <v>INPP SUD KIVU</v>
      </c>
      <c r="L103" s="218" t="str">
        <f>"INPP-Février 020-Daniel MWENDANGA 20%"</f>
        <v>INPP-Février 020-Daniel MWENDANGA 20%</v>
      </c>
      <c r="M103" s="218" t="str">
        <f>"5160"</f>
        <v>5160</v>
      </c>
      <c r="N103" s="218" t="str">
        <f>"EMPLOYMENT BENEFITS COSTS"</f>
        <v>EMPLOYMENT BENEFITS COSTS</v>
      </c>
      <c r="O103" s="218" t="str">
        <f t="shared" si="29"/>
        <v>DRCBUK</v>
      </c>
      <c r="P103" s="218" t="str">
        <f t="shared" si="21"/>
        <v>AP21QR</v>
      </c>
      <c r="Q103" s="218" t="str">
        <f t="shared" si="30"/>
        <v>MWN</v>
      </c>
      <c r="R103" s="218" t="str">
        <f>""</f>
        <v/>
      </c>
      <c r="S103" s="218" t="str">
        <f t="shared" si="31"/>
        <v>054</v>
      </c>
      <c r="T103" s="218" t="str">
        <f t="shared" si="32"/>
        <v>D</v>
      </c>
      <c r="U103" s="218" t="str">
        <f t="shared" ref="U103:U134" si="34">"AFR000"</f>
        <v>AFR000</v>
      </c>
      <c r="V103" s="218" t="str">
        <f t="shared" si="28"/>
        <v>###</v>
      </c>
      <c r="W103" s="218">
        <v>14.04</v>
      </c>
      <c r="X103" s="218" t="str">
        <f t="shared" si="33"/>
        <v>USD</v>
      </c>
      <c r="Y103" s="218">
        <v>10.64</v>
      </c>
      <c r="Z103" s="218">
        <v>14.04</v>
      </c>
      <c r="AA103" s="218">
        <v>12.64</v>
      </c>
    </row>
    <row r="104" spans="1:27">
      <c r="A104" s="218" t="s">
        <v>2592</v>
      </c>
      <c r="F104" s="219" t="str">
        <f>"""IntAlert Live"",""ALERT UK"",""17"",""1"",""540155"""</f>
        <v>"IntAlert Live","ALERT UK","17","1","540155"</v>
      </c>
      <c r="G104" s="223">
        <v>43893</v>
      </c>
      <c r="H104" s="223"/>
      <c r="I104" s="218" t="str">
        <f>"DRCBUK/CAISSE/2020/03/001"</f>
        <v>DRCBUK/CAISSE/2020/03/001</v>
      </c>
      <c r="K104" s="218" t="str">
        <f>"ONEM"</f>
        <v>ONEM</v>
      </c>
      <c r="L104" s="218" t="str">
        <f>"ONEM Feb20-DANIEL MWENDANGA MUDASA"</f>
        <v>ONEM Feb20-DANIEL MWENDANGA MUDASA</v>
      </c>
      <c r="M104" s="218" t="str">
        <f>"5160"</f>
        <v>5160</v>
      </c>
      <c r="N104" s="218" t="str">
        <f>"EMPLOYMENT BENEFITS COSTS"</f>
        <v>EMPLOYMENT BENEFITS COSTS</v>
      </c>
      <c r="O104" s="218" t="str">
        <f t="shared" si="29"/>
        <v>DRCBUK</v>
      </c>
      <c r="P104" s="218" t="str">
        <f t="shared" si="21"/>
        <v>AP21QR</v>
      </c>
      <c r="Q104" s="218" t="str">
        <f t="shared" si="30"/>
        <v>MWN</v>
      </c>
      <c r="R104" s="218" t="str">
        <f>""</f>
        <v/>
      </c>
      <c r="S104" s="218" t="str">
        <f t="shared" si="31"/>
        <v>054</v>
      </c>
      <c r="T104" s="218" t="str">
        <f t="shared" si="32"/>
        <v>D</v>
      </c>
      <c r="U104" s="218" t="str">
        <f t="shared" si="34"/>
        <v>AFR000</v>
      </c>
      <c r="V104" s="218" t="str">
        <f t="shared" si="28"/>
        <v>###</v>
      </c>
      <c r="W104" s="218">
        <v>0.94</v>
      </c>
      <c r="X104" s="218" t="str">
        <f t="shared" si="33"/>
        <v>USD</v>
      </c>
      <c r="Y104" s="218">
        <v>0.73</v>
      </c>
      <c r="Z104" s="218">
        <v>0.94</v>
      </c>
      <c r="AA104" s="218">
        <v>0.86</v>
      </c>
    </row>
    <row r="105" spans="1:27">
      <c r="A105" s="218" t="s">
        <v>2592</v>
      </c>
      <c r="F105" s="219" t="str">
        <f>"""IntAlert Live"",""ALERT UK"",""17"",""1"",""540215"""</f>
        <v>"IntAlert Live","ALERT UK","17","1","540215"</v>
      </c>
      <c r="G105" s="223">
        <v>43916</v>
      </c>
      <c r="H105" s="223"/>
      <c r="I105" s="218" t="str">
        <f>"DRCBUK/CAISSE/2020/03/001"</f>
        <v>DRCBUK/CAISSE/2020/03/001</v>
      </c>
      <c r="K105" s="218" t="str">
        <f>"ONEM"</f>
        <v>ONEM</v>
      </c>
      <c r="L105" s="218" t="str">
        <f>"ONEM March20-Daniel MWENDANGA MUDASA"</f>
        <v>ONEM March20-Daniel MWENDANGA MUDASA</v>
      </c>
      <c r="M105" s="218" t="str">
        <f>"5160"</f>
        <v>5160</v>
      </c>
      <c r="N105" s="218" t="str">
        <f>"EMPLOYMENT BENEFITS COSTS"</f>
        <v>EMPLOYMENT BENEFITS COSTS</v>
      </c>
      <c r="O105" s="218" t="str">
        <f t="shared" si="29"/>
        <v>DRCBUK</v>
      </c>
      <c r="P105" s="218" t="str">
        <f t="shared" si="21"/>
        <v>AP21QR</v>
      </c>
      <c r="Q105" s="218" t="str">
        <f t="shared" si="30"/>
        <v>MWN</v>
      </c>
      <c r="R105" s="218" t="str">
        <f>""</f>
        <v/>
      </c>
      <c r="S105" s="218" t="str">
        <f t="shared" si="31"/>
        <v>054</v>
      </c>
      <c r="T105" s="218" t="str">
        <f t="shared" si="32"/>
        <v>D</v>
      </c>
      <c r="U105" s="218" t="str">
        <f t="shared" si="34"/>
        <v>AFR000</v>
      </c>
      <c r="V105" s="218" t="str">
        <f t="shared" si="28"/>
        <v>###</v>
      </c>
      <c r="W105" s="218">
        <v>0.94</v>
      </c>
      <c r="X105" s="218" t="str">
        <f t="shared" si="33"/>
        <v>USD</v>
      </c>
      <c r="Y105" s="218">
        <v>0.73</v>
      </c>
      <c r="Z105" s="218">
        <v>0.94</v>
      </c>
      <c r="AA105" s="218">
        <v>0.86</v>
      </c>
    </row>
    <row r="106" spans="1:27">
      <c r="A106" s="218" t="s">
        <v>2592</v>
      </c>
      <c r="F106" s="219" t="str">
        <f>"""IntAlert Live"",""ALERT UK"",""17"",""1"",""539887"""</f>
        <v>"IntAlert Live","ALERT UK","17","1","539887"</v>
      </c>
      <c r="G106" s="223">
        <v>43921</v>
      </c>
      <c r="H106" s="223"/>
      <c r="I106" s="218" t="str">
        <f>"DRCBUK/BANK/2020/03/029"</f>
        <v>DRCBUK/BANK/2020/03/029</v>
      </c>
      <c r="K106" s="218" t="str">
        <f>"DANIEL MWENDANGA MUDASA"</f>
        <v>DANIEL MWENDANGA MUDASA</v>
      </c>
      <c r="L106" s="218" t="str">
        <f>"Salaire Mars20-Daniel MWENDANGA MUDASA"</f>
        <v>Salaire Mars20-Daniel MWENDANGA MUDASA</v>
      </c>
      <c r="M106" s="218" t="str">
        <f>"5100"</f>
        <v>5100</v>
      </c>
      <c r="N106" s="218" t="str">
        <f>"BASIC EMPLOYMENT COSTS"</f>
        <v>BASIC EMPLOYMENT COSTS</v>
      </c>
      <c r="O106" s="218" t="str">
        <f t="shared" si="29"/>
        <v>DRCBUK</v>
      </c>
      <c r="P106" s="218" t="str">
        <f t="shared" si="21"/>
        <v>AP21QR</v>
      </c>
      <c r="Q106" s="218" t="str">
        <f t="shared" si="30"/>
        <v>MWN</v>
      </c>
      <c r="R106" s="218" t="str">
        <f>""</f>
        <v/>
      </c>
      <c r="S106" s="218" t="str">
        <f t="shared" si="31"/>
        <v>054</v>
      </c>
      <c r="T106" s="218" t="str">
        <f t="shared" si="32"/>
        <v>D</v>
      </c>
      <c r="U106" s="218" t="str">
        <f t="shared" si="34"/>
        <v>AFR000</v>
      </c>
      <c r="V106" s="218" t="str">
        <f t="shared" si="28"/>
        <v>###</v>
      </c>
      <c r="W106" s="218">
        <v>504.16</v>
      </c>
      <c r="X106" s="218" t="str">
        <f t="shared" si="33"/>
        <v>USD</v>
      </c>
      <c r="Y106" s="218">
        <v>393.27</v>
      </c>
      <c r="Z106" s="218">
        <v>504.16</v>
      </c>
      <c r="AA106" s="218">
        <v>462.7</v>
      </c>
    </row>
    <row r="107" spans="1:27">
      <c r="A107" s="218" t="s">
        <v>2592</v>
      </c>
      <c r="F107" s="219" t="str">
        <f>"""IntAlert Live"",""ALERT UK"",""17"",""1"",""539924"""</f>
        <v>"IntAlert Live","ALERT UK","17","1","539924"</v>
      </c>
      <c r="G107" s="223">
        <v>43921</v>
      </c>
      <c r="H107" s="223"/>
      <c r="I107" s="218" t="str">
        <f>"DRCBUK/BANK/2020/03/030"</f>
        <v>DRCBUK/BANK/2020/03/030</v>
      </c>
      <c r="K107" s="218" t="str">
        <f>"DGI SUD-KIVU"</f>
        <v>DGI SUD-KIVU</v>
      </c>
      <c r="L107" s="218" t="str">
        <f>"IPR Mars20-Daniel MWENDANGA MUDASA"</f>
        <v>IPR Mars20-Daniel MWENDANGA MUDASA</v>
      </c>
      <c r="M107" s="218" t="str">
        <f>"5100"</f>
        <v>5100</v>
      </c>
      <c r="N107" s="218" t="str">
        <f>"BASIC EMPLOYMENT COSTS"</f>
        <v>BASIC EMPLOYMENT COSTS</v>
      </c>
      <c r="O107" s="218" t="str">
        <f t="shared" si="29"/>
        <v>DRCBUK</v>
      </c>
      <c r="P107" s="218" t="str">
        <f t="shared" si="21"/>
        <v>AP21QR</v>
      </c>
      <c r="Q107" s="218" t="str">
        <f t="shared" si="30"/>
        <v>MWN</v>
      </c>
      <c r="R107" s="218" t="str">
        <f>""</f>
        <v/>
      </c>
      <c r="S107" s="218" t="str">
        <f t="shared" si="31"/>
        <v>054</v>
      </c>
      <c r="T107" s="218" t="str">
        <f t="shared" si="32"/>
        <v>D</v>
      </c>
      <c r="U107" s="218" t="str">
        <f t="shared" si="34"/>
        <v>AFR000</v>
      </c>
      <c r="V107" s="218" t="str">
        <f t="shared" si="28"/>
        <v>###</v>
      </c>
      <c r="W107" s="218">
        <v>99.03</v>
      </c>
      <c r="X107" s="218" t="str">
        <f t="shared" si="33"/>
        <v>USD</v>
      </c>
      <c r="Y107" s="218">
        <v>77.25</v>
      </c>
      <c r="Z107" s="218">
        <v>99.03</v>
      </c>
      <c r="AA107" s="218">
        <v>90.89</v>
      </c>
    </row>
    <row r="108" spans="1:27">
      <c r="A108" s="218" t="s">
        <v>2592</v>
      </c>
      <c r="F108" s="219" t="str">
        <f>"""IntAlert Live"",""ALERT UK"",""17"",""1"",""539962"""</f>
        <v>"IntAlert Live","ALERT UK","17","1","539962"</v>
      </c>
      <c r="G108" s="223">
        <v>43921</v>
      </c>
      <c r="H108" s="223"/>
      <c r="I108" s="218" t="str">
        <f>"DRCBUK/BANK/2020/03/031"</f>
        <v>DRCBUK/BANK/2020/03/031</v>
      </c>
      <c r="K108" s="218" t="str">
        <f>"CNSS SUD-KIVU"</f>
        <v>CNSS SUD-KIVU</v>
      </c>
      <c r="L108" s="218" t="str">
        <f>"CNSS Mars20-Daniel MWENDANGA MUDASA"</f>
        <v>CNSS Mars20-Daniel MWENDANGA MUDASA</v>
      </c>
      <c r="M108" s="218" t="str">
        <f>"5110"</f>
        <v>5110</v>
      </c>
      <c r="N108" s="218" t="str">
        <f>"EMPLOYER'S PENSION COSTS"</f>
        <v>EMPLOYER'S PENSION COSTS</v>
      </c>
      <c r="O108" s="218" t="str">
        <f t="shared" si="29"/>
        <v>DRCBUK</v>
      </c>
      <c r="P108" s="218" t="str">
        <f t="shared" si="21"/>
        <v>AP21QR</v>
      </c>
      <c r="Q108" s="218" t="str">
        <f t="shared" si="30"/>
        <v>MWN</v>
      </c>
      <c r="R108" s="218" t="str">
        <f>""</f>
        <v/>
      </c>
      <c r="S108" s="218" t="str">
        <f t="shared" si="31"/>
        <v>054</v>
      </c>
      <c r="T108" s="218" t="str">
        <f t="shared" si="32"/>
        <v>D</v>
      </c>
      <c r="U108" s="218" t="str">
        <f t="shared" si="34"/>
        <v>AFR000</v>
      </c>
      <c r="V108" s="218" t="str">
        <f t="shared" si="28"/>
        <v>###</v>
      </c>
      <c r="W108" s="218">
        <v>84.23</v>
      </c>
      <c r="X108" s="218" t="str">
        <f t="shared" si="33"/>
        <v>USD</v>
      </c>
      <c r="Y108" s="218">
        <v>65.7</v>
      </c>
      <c r="Z108" s="218">
        <v>84.23</v>
      </c>
      <c r="AA108" s="218">
        <v>77.3</v>
      </c>
    </row>
    <row r="109" spans="1:27">
      <c r="A109" s="218" t="s">
        <v>2592</v>
      </c>
      <c r="F109" s="219" t="str">
        <f>"""IntAlert Live"",""ALERT UK"",""17"",""1"",""539999"""</f>
        <v>"IntAlert Live","ALERT UK","17","1","539999"</v>
      </c>
      <c r="G109" s="223">
        <v>43921</v>
      </c>
      <c r="H109" s="223"/>
      <c r="I109" s="218" t="str">
        <f>"DRCBUK/BANK/2020/03/032"</f>
        <v>DRCBUK/BANK/2020/03/032</v>
      </c>
      <c r="K109" s="218" t="str">
        <f>"INPP SUD-KIVU"</f>
        <v>INPP SUD-KIVU</v>
      </c>
      <c r="L109" s="218" t="str">
        <f>"INPP Mars20-Daniel MWENDANGA MUDASA"</f>
        <v>INPP Mars20-Daniel MWENDANGA MUDASA</v>
      </c>
      <c r="M109" s="218" t="str">
        <f>"5160"</f>
        <v>5160</v>
      </c>
      <c r="N109" s="218" t="str">
        <f>"EMPLOYMENT BENEFITS COSTS"</f>
        <v>EMPLOYMENT BENEFITS COSTS</v>
      </c>
      <c r="O109" s="218" t="str">
        <f t="shared" si="29"/>
        <v>DRCBUK</v>
      </c>
      <c r="P109" s="218" t="str">
        <f t="shared" si="21"/>
        <v>AP21QR</v>
      </c>
      <c r="Q109" s="218" t="str">
        <f t="shared" si="30"/>
        <v>MWN</v>
      </c>
      <c r="R109" s="218" t="str">
        <f>""</f>
        <v/>
      </c>
      <c r="S109" s="218" t="str">
        <f t="shared" si="31"/>
        <v>054</v>
      </c>
      <c r="T109" s="218" t="str">
        <f t="shared" si="32"/>
        <v>D</v>
      </c>
      <c r="U109" s="218" t="str">
        <f t="shared" si="34"/>
        <v>AFR000</v>
      </c>
      <c r="V109" s="218" t="str">
        <f t="shared" si="28"/>
        <v>###</v>
      </c>
      <c r="W109" s="218">
        <v>14.04</v>
      </c>
      <c r="X109" s="218" t="str">
        <f t="shared" si="33"/>
        <v>USD</v>
      </c>
      <c r="Y109" s="218">
        <v>10.95</v>
      </c>
      <c r="Z109" s="218">
        <v>14.04</v>
      </c>
      <c r="AA109" s="218">
        <v>12.88</v>
      </c>
    </row>
    <row r="110" spans="1:27">
      <c r="A110" s="218" t="s">
        <v>2592</v>
      </c>
      <c r="F110" s="219" t="str">
        <f>"""IntAlert Live"",""ALERT UK"",""17"",""1"",""540230"""</f>
        <v>"IntAlert Live","ALERT UK","17","1","540230"</v>
      </c>
      <c r="G110" s="223">
        <v>43908</v>
      </c>
      <c r="H110" s="223"/>
      <c r="I110" s="218" t="str">
        <f>"DRCBUK/GENJNL/2020/03/003"</f>
        <v>DRCBUK/GENJNL/2020/03/003</v>
      </c>
      <c r="K110" s="218" t="str">
        <f>"FONER"</f>
        <v>FONER</v>
      </c>
      <c r="L110" s="218" t="str">
        <f>"Péage route pour Uvira"</f>
        <v>Péage route pour Uvira</v>
      </c>
      <c r="M110" s="218" t="str">
        <f>"6020"</f>
        <v>6020</v>
      </c>
      <c r="N110" s="218" t="str">
        <f>"STAFF TRAVEL LOCAL"</f>
        <v>STAFF TRAVEL LOCAL</v>
      </c>
      <c r="O110" s="218" t="str">
        <f t="shared" si="29"/>
        <v>DRCBUK</v>
      </c>
      <c r="P110" s="218" t="str">
        <f t="shared" si="21"/>
        <v>AP21QR</v>
      </c>
      <c r="Q110" s="218" t="str">
        <f>"NAL"</f>
        <v>NAL</v>
      </c>
      <c r="R110" s="218" t="str">
        <f>""</f>
        <v/>
      </c>
      <c r="S110" s="218" t="str">
        <f>"055"</f>
        <v>055</v>
      </c>
      <c r="T110" s="218" t="str">
        <f t="shared" si="32"/>
        <v>D</v>
      </c>
      <c r="U110" s="218" t="str">
        <f t="shared" si="34"/>
        <v>AFR000</v>
      </c>
      <c r="V110" s="218" t="str">
        <f t="shared" si="28"/>
        <v>###</v>
      </c>
      <c r="W110" s="218">
        <v>10</v>
      </c>
      <c r="X110" s="218" t="str">
        <f t="shared" si="33"/>
        <v>USD</v>
      </c>
      <c r="Y110" s="218">
        <v>7.8</v>
      </c>
      <c r="Z110" s="218">
        <v>10</v>
      </c>
      <c r="AA110" s="218">
        <v>9.18</v>
      </c>
    </row>
    <row r="111" spans="1:27">
      <c r="A111" s="218" t="s">
        <v>2592</v>
      </c>
      <c r="F111" s="219" t="str">
        <f>"""IntAlert Live"",""ALERT UK"",""17"",""1"",""540232"""</f>
        <v>"IntAlert Live","ALERT UK","17","1","540232"</v>
      </c>
      <c r="G111" s="223">
        <v>43908</v>
      </c>
      <c r="H111" s="223"/>
      <c r="I111" s="218" t="str">
        <f>"DRCBUK/GENJNL/2020/03/003"</f>
        <v>DRCBUK/GENJNL/2020/03/003</v>
      </c>
      <c r="K111" s="218" t="str">
        <f>"DGM"</f>
        <v>DGM</v>
      </c>
      <c r="L111" s="218" t="str">
        <f>"Pmt manifeste de voyage chauffeur"</f>
        <v>Pmt manifeste de voyage chauffeur</v>
      </c>
      <c r="M111" s="218" t="str">
        <f>"6020"</f>
        <v>6020</v>
      </c>
      <c r="N111" s="218" t="str">
        <f>"STAFF TRAVEL LOCAL"</f>
        <v>STAFF TRAVEL LOCAL</v>
      </c>
      <c r="O111" s="218" t="str">
        <f t="shared" si="29"/>
        <v>DRCBUK</v>
      </c>
      <c r="P111" s="218" t="str">
        <f t="shared" si="21"/>
        <v>AP21QR</v>
      </c>
      <c r="Q111" s="218" t="str">
        <f>"NAL"</f>
        <v>NAL</v>
      </c>
      <c r="R111" s="218" t="str">
        <f>""</f>
        <v/>
      </c>
      <c r="S111" s="218" t="str">
        <f>"055"</f>
        <v>055</v>
      </c>
      <c r="T111" s="218" t="str">
        <f t="shared" si="32"/>
        <v>D</v>
      </c>
      <c r="U111" s="218" t="str">
        <f t="shared" si="34"/>
        <v>AFR000</v>
      </c>
      <c r="V111" s="218" t="str">
        <f t="shared" si="28"/>
        <v>###</v>
      </c>
      <c r="W111" s="218">
        <v>5</v>
      </c>
      <c r="X111" s="218" t="str">
        <f t="shared" si="33"/>
        <v>USD</v>
      </c>
      <c r="Y111" s="218">
        <v>3.9</v>
      </c>
      <c r="Z111" s="218">
        <v>5</v>
      </c>
      <c r="AA111" s="218">
        <v>4.59</v>
      </c>
    </row>
    <row r="112" spans="1:27">
      <c r="A112" s="218" t="s">
        <v>2592</v>
      </c>
      <c r="F112" s="219" t="str">
        <f>"""IntAlert Live"",""ALERT UK"",""17"",""1"",""533595"""</f>
        <v>"IntAlert Live","ALERT UK","17","1","533595"</v>
      </c>
      <c r="G112" s="223">
        <v>43833</v>
      </c>
      <c r="H112" s="223"/>
      <c r="I112" s="218" t="str">
        <f>""</f>
        <v/>
      </c>
      <c r="K112" s="218" t="str">
        <f>"HR SCF CHG JAN20"</f>
        <v>HR SCF CHG JAN20</v>
      </c>
      <c r="L112" s="218" t="str">
        <f>"HR SCF CHG JAN20"</f>
        <v>HR SCF CHG JAN20</v>
      </c>
      <c r="M112" s="218" t="str">
        <f>"5100"</f>
        <v>5100</v>
      </c>
      <c r="N112" s="218" t="str">
        <f>"BASIC EMPLOYMENT COSTS"</f>
        <v>BASIC EMPLOYMENT COSTS</v>
      </c>
      <c r="O112" s="218" t="str">
        <f>"UNILON"</f>
        <v>UNILON</v>
      </c>
      <c r="P112" s="218" t="str">
        <f t="shared" si="21"/>
        <v>AP21QR</v>
      </c>
      <c r="Q112" s="218" t="str">
        <f>"SIB"</f>
        <v>SIB</v>
      </c>
      <c r="R112" s="218" t="str">
        <f>""</f>
        <v/>
      </c>
      <c r="S112" s="218" t="str">
        <f t="shared" ref="S112:S143" si="35">"056"</f>
        <v>056</v>
      </c>
      <c r="T112" s="218" t="str">
        <f>"C"</f>
        <v>C</v>
      </c>
      <c r="U112" s="218" t="str">
        <f t="shared" si="34"/>
        <v>AFR000</v>
      </c>
      <c r="V112" s="218" t="str">
        <f t="shared" si="28"/>
        <v>###</v>
      </c>
      <c r="W112" s="218">
        <v>0</v>
      </c>
      <c r="X112" s="218" t="str">
        <f>""</f>
        <v/>
      </c>
      <c r="Y112" s="218">
        <v>7.84</v>
      </c>
      <c r="Z112" s="218">
        <v>10.4</v>
      </c>
      <c r="AA112" s="218">
        <v>9.1999999999999993</v>
      </c>
    </row>
    <row r="113" spans="1:27">
      <c r="A113" s="218" t="s">
        <v>2592</v>
      </c>
      <c r="F113" s="219" t="str">
        <f>"""IntAlert Live"",""ALERT UK"",""17"",""1"",""515919"""</f>
        <v>"IntAlert Live","ALERT UK","17","1","515919"</v>
      </c>
      <c r="G113" s="223">
        <v>43859</v>
      </c>
      <c r="H113" s="223"/>
      <c r="I113" s="218" t="str">
        <f>"DRCGOM/ BANQUE/2020/001/018"</f>
        <v>DRCGOM/ BANQUE/2020/001/018</v>
      </c>
      <c r="K113" s="218" t="str">
        <f>"SALAIRE JEROME  JANVIER 2020"</f>
        <v>SALAIRE JEROME  JANVIER 2020</v>
      </c>
      <c r="L113" s="218" t="str">
        <f>"Salaire-Jerome Mondo Kambere 10%"</f>
        <v>Salaire-Jerome Mondo Kambere 10%</v>
      </c>
      <c r="M113" s="218" t="str">
        <f>"5100"</f>
        <v>5100</v>
      </c>
      <c r="N113" s="218" t="str">
        <f>"BASIC EMPLOYMENT COSTS"</f>
        <v>BASIC EMPLOYMENT COSTS</v>
      </c>
      <c r="O113" s="218" t="str">
        <f>"DRCGOM"</f>
        <v>DRCGOM</v>
      </c>
      <c r="P113" s="218" t="str">
        <f t="shared" si="21"/>
        <v>AP21QR</v>
      </c>
      <c r="Q113" s="218" t="str">
        <f>"KAE"</f>
        <v>KAE</v>
      </c>
      <c r="R113" s="218" t="str">
        <f>""</f>
        <v/>
      </c>
      <c r="S113" s="218" t="str">
        <f t="shared" si="35"/>
        <v>056</v>
      </c>
      <c r="T113" s="218" t="str">
        <f t="shared" ref="T113:T124" si="36">"D"</f>
        <v>D</v>
      </c>
      <c r="U113" s="218" t="str">
        <f t="shared" si="34"/>
        <v>AFR000</v>
      </c>
      <c r="V113" s="218" t="str">
        <f t="shared" si="28"/>
        <v>###</v>
      </c>
      <c r="W113" s="218">
        <v>214.66</v>
      </c>
      <c r="X113" s="218" t="str">
        <f t="shared" ref="X113:X124" si="37">"USD"</f>
        <v>USD</v>
      </c>
      <c r="Y113" s="218">
        <v>161.79</v>
      </c>
      <c r="Z113" s="218">
        <v>214.66</v>
      </c>
      <c r="AA113" s="218">
        <v>189.88</v>
      </c>
    </row>
    <row r="114" spans="1:27">
      <c r="A114" s="218" t="s">
        <v>2592</v>
      </c>
      <c r="F114" s="219" t="str">
        <f>"""IntAlert Live"",""ALERT UK"",""17"",""1"",""515981"""</f>
        <v>"IntAlert Live","ALERT UK","17","1","515981"</v>
      </c>
      <c r="G114" s="223">
        <v>43859</v>
      </c>
      <c r="H114" s="223"/>
      <c r="I114" s="218" t="str">
        <f>"DRCGOM/ BANQUE/2020/001/019"</f>
        <v>DRCGOM/ BANQUE/2020/001/019</v>
      </c>
      <c r="K114" s="218" t="str">
        <f>"CNSS JANVIER 2020"</f>
        <v>CNSS JANVIER 2020</v>
      </c>
      <c r="L114" s="218" t="str">
        <f>"CNSS-Jerome Mondo Kambere 10%"</f>
        <v>CNSS-Jerome Mondo Kambere 10%</v>
      </c>
      <c r="M114" s="218" t="str">
        <f>"5110"</f>
        <v>5110</v>
      </c>
      <c r="N114" s="218" t="str">
        <f>"EMPLOYER'S PENSION COSTS"</f>
        <v>EMPLOYER'S PENSION COSTS</v>
      </c>
      <c r="O114" s="218" t="str">
        <f>"DRCGOM"</f>
        <v>DRCGOM</v>
      </c>
      <c r="P114" s="218" t="str">
        <f t="shared" si="21"/>
        <v>AP21QR</v>
      </c>
      <c r="Q114" s="218" t="str">
        <f>"KAE"</f>
        <v>KAE</v>
      </c>
      <c r="R114" s="218" t="str">
        <f>""</f>
        <v/>
      </c>
      <c r="S114" s="218" t="str">
        <f t="shared" si="35"/>
        <v>056</v>
      </c>
      <c r="T114" s="218" t="str">
        <f t="shared" si="36"/>
        <v>D</v>
      </c>
      <c r="U114" s="218" t="str">
        <f t="shared" si="34"/>
        <v>AFR000</v>
      </c>
      <c r="V114" s="218" t="str">
        <f t="shared" si="28"/>
        <v>###</v>
      </c>
      <c r="W114" s="218">
        <v>29.81</v>
      </c>
      <c r="X114" s="218" t="str">
        <f t="shared" si="37"/>
        <v>USD</v>
      </c>
      <c r="Y114" s="218">
        <v>22.47</v>
      </c>
      <c r="Z114" s="218">
        <v>29.81</v>
      </c>
      <c r="AA114" s="218">
        <v>26.37</v>
      </c>
    </row>
    <row r="115" spans="1:27">
      <c r="A115" s="218" t="s">
        <v>2592</v>
      </c>
      <c r="F115" s="219" t="str">
        <f>"""IntAlert Live"",""ALERT UK"",""17"",""1"",""516042"""</f>
        <v>"IntAlert Live","ALERT UK","17","1","516042"</v>
      </c>
      <c r="G115" s="223">
        <v>43859</v>
      </c>
      <c r="H115" s="223"/>
      <c r="I115" s="218" t="str">
        <f>"DRCGOM/ BANQUE/2020/001/020"</f>
        <v>DRCGOM/ BANQUE/2020/001/020</v>
      </c>
      <c r="K115" s="218" t="str">
        <f>"INPP JANVIER 2020"</f>
        <v>INPP JANVIER 2020</v>
      </c>
      <c r="L115" s="218" t="str">
        <f>"INPP-Jerome Mondo Kambere 10%"</f>
        <v>INPP-Jerome Mondo Kambere 10%</v>
      </c>
      <c r="M115" s="218" t="str">
        <f>"5150"</f>
        <v>5150</v>
      </c>
      <c r="N115" s="218" t="str">
        <f>"EMPLOYMENT RELOCATION COSTS"</f>
        <v>EMPLOYMENT RELOCATION COSTS</v>
      </c>
      <c r="O115" s="218" t="str">
        <f>"DRCGOM"</f>
        <v>DRCGOM</v>
      </c>
      <c r="P115" s="218" t="str">
        <f t="shared" si="21"/>
        <v>AP21QR</v>
      </c>
      <c r="Q115" s="218" t="str">
        <f>"KAE"</f>
        <v>KAE</v>
      </c>
      <c r="R115" s="218" t="str">
        <f>""</f>
        <v/>
      </c>
      <c r="S115" s="218" t="str">
        <f t="shared" si="35"/>
        <v>056</v>
      </c>
      <c r="T115" s="218" t="str">
        <f t="shared" si="36"/>
        <v>D</v>
      </c>
      <c r="U115" s="218" t="str">
        <f t="shared" si="34"/>
        <v>AFR000</v>
      </c>
      <c r="V115" s="218" t="str">
        <f t="shared" si="28"/>
        <v>###</v>
      </c>
      <c r="W115" s="218">
        <v>4.97</v>
      </c>
      <c r="X115" s="218" t="str">
        <f t="shared" si="37"/>
        <v>USD</v>
      </c>
      <c r="Y115" s="218">
        <v>3.75</v>
      </c>
      <c r="Z115" s="218">
        <v>4.97</v>
      </c>
      <c r="AA115" s="218">
        <v>4.4000000000000004</v>
      </c>
    </row>
    <row r="116" spans="1:27">
      <c r="A116" s="218" t="s">
        <v>2592</v>
      </c>
      <c r="F116" s="219" t="str">
        <f>"""IntAlert Live"",""ALERT UK"",""17"",""1"",""516951"""</f>
        <v>"IntAlert Live","ALERT UK","17","1","516951"</v>
      </c>
      <c r="G116" s="223">
        <v>43859</v>
      </c>
      <c r="H116" s="223"/>
      <c r="I116" s="218" t="str">
        <f>"DRCBUK/BANK/2020/01/016"</f>
        <v>DRCBUK/BANK/2020/01/016</v>
      </c>
      <c r="K116" s="218" t="str">
        <f>"CHRISTIAN MUTOKAMBALI"</f>
        <v>CHRISTIAN MUTOKAMBALI</v>
      </c>
      <c r="L116" s="218" t="str">
        <f>"Jan'20 Salary-Christian MUTOKAMBALI MBONEKUBE"</f>
        <v>Jan'20 Salary-Christian MUTOKAMBALI MBONEKUBE</v>
      </c>
      <c r="M116" s="218" t="str">
        <f>"5100"</f>
        <v>5100</v>
      </c>
      <c r="N116" s="218" t="str">
        <f>"BASIC EMPLOYMENT COSTS"</f>
        <v>BASIC EMPLOYMENT COSTS</v>
      </c>
      <c r="O116" s="218" t="str">
        <f t="shared" ref="O116:O123" si="38">"DRCBUK"</f>
        <v>DRCBUK</v>
      </c>
      <c r="P116" s="218" t="str">
        <f t="shared" si="21"/>
        <v>AP21QR</v>
      </c>
      <c r="Q116" s="218" t="str">
        <f>"MBO"</f>
        <v>MBO</v>
      </c>
      <c r="R116" s="218" t="str">
        <f>""</f>
        <v/>
      </c>
      <c r="S116" s="218" t="str">
        <f t="shared" si="35"/>
        <v>056</v>
      </c>
      <c r="T116" s="218" t="str">
        <f t="shared" si="36"/>
        <v>D</v>
      </c>
      <c r="U116" s="218" t="str">
        <f t="shared" si="34"/>
        <v>AFR000</v>
      </c>
      <c r="V116" s="218" t="str">
        <f t="shared" si="28"/>
        <v>###</v>
      </c>
      <c r="W116" s="218">
        <v>545.28</v>
      </c>
      <c r="X116" s="218" t="str">
        <f t="shared" si="37"/>
        <v>USD</v>
      </c>
      <c r="Y116" s="218">
        <v>410.99</v>
      </c>
      <c r="Z116" s="218">
        <v>545.28</v>
      </c>
      <c r="AA116" s="218">
        <v>482.34</v>
      </c>
    </row>
    <row r="117" spans="1:27">
      <c r="A117" s="218" t="s">
        <v>2592</v>
      </c>
      <c r="F117" s="219" t="str">
        <f>"""IntAlert Live"",""ALERT UK"",""17"",""1"",""516979"""</f>
        <v>"IntAlert Live","ALERT UK","17","1","516979"</v>
      </c>
      <c r="G117" s="223">
        <v>43859</v>
      </c>
      <c r="H117" s="223"/>
      <c r="I117" s="218" t="str">
        <f>"DRCBUK/BANK/2020/01/016"</f>
        <v>DRCBUK/BANK/2020/01/016</v>
      </c>
      <c r="K117" s="218" t="str">
        <f>"CISHIBANJI CHRISTIAN"</f>
        <v>CISHIBANJI CHRISTIAN</v>
      </c>
      <c r="L117" s="218" t="str">
        <f>"Jan'20 Salary-Christian CISHIBANJI CIZUNGU"</f>
        <v>Jan'20 Salary-Christian CISHIBANJI CIZUNGU</v>
      </c>
      <c r="M117" s="218" t="str">
        <f>"5100"</f>
        <v>5100</v>
      </c>
      <c r="N117" s="218" t="str">
        <f>"BASIC EMPLOYMENT COSTS"</f>
        <v>BASIC EMPLOYMENT COSTS</v>
      </c>
      <c r="O117" s="218" t="str">
        <f t="shared" si="38"/>
        <v>DRCBUK</v>
      </c>
      <c r="P117" s="218" t="str">
        <f t="shared" si="21"/>
        <v>AP21QR</v>
      </c>
      <c r="Q117" s="218" t="str">
        <f>"CCI"</f>
        <v>CCI</v>
      </c>
      <c r="R117" s="218" t="str">
        <f>""</f>
        <v/>
      </c>
      <c r="S117" s="218" t="str">
        <f t="shared" si="35"/>
        <v>056</v>
      </c>
      <c r="T117" s="218" t="str">
        <f t="shared" si="36"/>
        <v>D</v>
      </c>
      <c r="U117" s="218" t="str">
        <f t="shared" si="34"/>
        <v>AFR000</v>
      </c>
      <c r="V117" s="218" t="str">
        <f t="shared" si="28"/>
        <v>###</v>
      </c>
      <c r="W117" s="218">
        <v>524.72</v>
      </c>
      <c r="X117" s="218" t="str">
        <f t="shared" si="37"/>
        <v>USD</v>
      </c>
      <c r="Y117" s="218">
        <v>395.49</v>
      </c>
      <c r="Z117" s="218">
        <v>524.72</v>
      </c>
      <c r="AA117" s="218">
        <v>464.15</v>
      </c>
    </row>
    <row r="118" spans="1:27">
      <c r="A118" s="218" t="s">
        <v>2592</v>
      </c>
      <c r="F118" s="219" t="str">
        <f>"""IntAlert Live"",""ALERT UK"",""17"",""1"",""517002"""</f>
        <v>"IntAlert Live","ALERT UK","17","1","517002"</v>
      </c>
      <c r="G118" s="223">
        <v>43859</v>
      </c>
      <c r="H118" s="223"/>
      <c r="I118" s="218" t="str">
        <f>"DRCBUK/BANK/2020/01/017"</f>
        <v>DRCBUK/BANK/2020/01/017</v>
      </c>
      <c r="K118" s="218" t="str">
        <f>"DGI SUD-KIVU"</f>
        <v>DGI SUD-KIVU</v>
      </c>
      <c r="L118" s="218" t="str">
        <f>"IPR Jan'20 -Christian MUTOKAMBALI MBONE"</f>
        <v>IPR Jan'20 -Christian MUTOKAMBALI MBONE</v>
      </c>
      <c r="M118" s="218" t="str">
        <f>"5100"</f>
        <v>5100</v>
      </c>
      <c r="N118" s="218" t="str">
        <f>"BASIC EMPLOYMENT COSTS"</f>
        <v>BASIC EMPLOYMENT COSTS</v>
      </c>
      <c r="O118" s="218" t="str">
        <f t="shared" si="38"/>
        <v>DRCBUK</v>
      </c>
      <c r="P118" s="218" t="str">
        <f t="shared" si="21"/>
        <v>AP21QR</v>
      </c>
      <c r="Q118" s="218" t="str">
        <f>"MBO"</f>
        <v>MBO</v>
      </c>
      <c r="R118" s="218" t="str">
        <f>""</f>
        <v/>
      </c>
      <c r="S118" s="218" t="str">
        <f t="shared" si="35"/>
        <v>056</v>
      </c>
      <c r="T118" s="218" t="str">
        <f t="shared" si="36"/>
        <v>D</v>
      </c>
      <c r="U118" s="218" t="str">
        <f t="shared" si="34"/>
        <v>AFR000</v>
      </c>
      <c r="V118" s="218" t="str">
        <f t="shared" si="28"/>
        <v>###</v>
      </c>
      <c r="W118" s="218">
        <v>89.35</v>
      </c>
      <c r="X118" s="218" t="str">
        <f t="shared" si="37"/>
        <v>USD</v>
      </c>
      <c r="Y118" s="218">
        <v>67.34</v>
      </c>
      <c r="Z118" s="218">
        <v>89.35</v>
      </c>
      <c r="AA118" s="218">
        <v>79.03</v>
      </c>
    </row>
    <row r="119" spans="1:27">
      <c r="A119" s="218" t="s">
        <v>2592</v>
      </c>
      <c r="F119" s="219" t="str">
        <f>"""IntAlert Live"",""ALERT UK"",""17"",""1"",""517030"""</f>
        <v>"IntAlert Live","ALERT UK","17","1","517030"</v>
      </c>
      <c r="G119" s="223">
        <v>43859</v>
      </c>
      <c r="H119" s="223"/>
      <c r="I119" s="218" t="str">
        <f>"DRCBUK/BANK/2020/01/017"</f>
        <v>DRCBUK/BANK/2020/01/017</v>
      </c>
      <c r="K119" s="218" t="str">
        <f>"DGI SUD-KIVU"</f>
        <v>DGI SUD-KIVU</v>
      </c>
      <c r="L119" s="218" t="str">
        <f>"IPR Jan'20 -Christian CISHIBANJI CIZUNGU"</f>
        <v>IPR Jan'20 -Christian CISHIBANJI CIZUNGU</v>
      </c>
      <c r="M119" s="218" t="str">
        <f>"5100"</f>
        <v>5100</v>
      </c>
      <c r="N119" s="218" t="str">
        <f>"BASIC EMPLOYMENT COSTS"</f>
        <v>BASIC EMPLOYMENT COSTS</v>
      </c>
      <c r="O119" s="218" t="str">
        <f t="shared" si="38"/>
        <v>DRCBUK</v>
      </c>
      <c r="P119" s="218" t="str">
        <f t="shared" si="21"/>
        <v>AP21QR</v>
      </c>
      <c r="Q119" s="218" t="str">
        <f>"CCI"</f>
        <v>CCI</v>
      </c>
      <c r="R119" s="218" t="str">
        <f>""</f>
        <v/>
      </c>
      <c r="S119" s="218" t="str">
        <f t="shared" si="35"/>
        <v>056</v>
      </c>
      <c r="T119" s="218" t="str">
        <f t="shared" si="36"/>
        <v>D</v>
      </c>
      <c r="U119" s="218" t="str">
        <f t="shared" si="34"/>
        <v>AFR000</v>
      </c>
      <c r="V119" s="218" t="str">
        <f t="shared" si="28"/>
        <v>###</v>
      </c>
      <c r="W119" s="218">
        <v>87.55</v>
      </c>
      <c r="X119" s="218" t="str">
        <f t="shared" si="37"/>
        <v>USD</v>
      </c>
      <c r="Y119" s="218">
        <v>65.989999999999995</v>
      </c>
      <c r="Z119" s="218">
        <v>87.55</v>
      </c>
      <c r="AA119" s="218">
        <v>77.45</v>
      </c>
    </row>
    <row r="120" spans="1:27">
      <c r="A120" s="218" t="s">
        <v>2592</v>
      </c>
      <c r="F120" s="219" t="str">
        <f>"""IntAlert Live"",""ALERT UK"",""17"",""1"",""517054"""</f>
        <v>"IntAlert Live","ALERT UK","17","1","517054"</v>
      </c>
      <c r="G120" s="223">
        <v>43859</v>
      </c>
      <c r="H120" s="223"/>
      <c r="I120" s="218" t="str">
        <f>"DRCBUK/BANK/2020/01/018"</f>
        <v>DRCBUK/BANK/2020/01/018</v>
      </c>
      <c r="K120" s="218" t="str">
        <f>"CNSS SUD-KIVU"</f>
        <v>CNSS SUD-KIVU</v>
      </c>
      <c r="L120" s="218" t="str">
        <f>"CNSS-Christian MUTOKAMBALI MBONE"</f>
        <v>CNSS-Christian MUTOKAMBALI MBONE</v>
      </c>
      <c r="M120" s="218" t="str">
        <f>"5110"</f>
        <v>5110</v>
      </c>
      <c r="N120" s="218" t="str">
        <f>"EMPLOYER'S PENSION COSTS"</f>
        <v>EMPLOYER'S PENSION COSTS</v>
      </c>
      <c r="O120" s="218" t="str">
        <f t="shared" si="38"/>
        <v>DRCBUK</v>
      </c>
      <c r="P120" s="218" t="str">
        <f t="shared" si="21"/>
        <v>AP21QR</v>
      </c>
      <c r="Q120" s="218" t="str">
        <f>"MBO"</f>
        <v>MBO</v>
      </c>
      <c r="R120" s="218" t="str">
        <f>""</f>
        <v/>
      </c>
      <c r="S120" s="218" t="str">
        <f t="shared" si="35"/>
        <v>056</v>
      </c>
      <c r="T120" s="218" t="str">
        <f t="shared" si="36"/>
        <v>D</v>
      </c>
      <c r="U120" s="218" t="str">
        <f t="shared" si="34"/>
        <v>AFR000</v>
      </c>
      <c r="V120" s="218" t="str">
        <f t="shared" si="28"/>
        <v>###</v>
      </c>
      <c r="W120" s="218">
        <v>88.98</v>
      </c>
      <c r="X120" s="218" t="str">
        <f t="shared" si="37"/>
        <v>USD</v>
      </c>
      <c r="Y120" s="218">
        <v>67.069999999999993</v>
      </c>
      <c r="Z120" s="218">
        <v>88.98</v>
      </c>
      <c r="AA120" s="218">
        <v>78.709999999999994</v>
      </c>
    </row>
    <row r="121" spans="1:27">
      <c r="A121" s="218" t="s">
        <v>2592</v>
      </c>
      <c r="F121" s="219" t="str">
        <f>"""IntAlert Live"",""ALERT UK"",""17"",""1"",""517082"""</f>
        <v>"IntAlert Live","ALERT UK","17","1","517082"</v>
      </c>
      <c r="G121" s="223">
        <v>43859</v>
      </c>
      <c r="H121" s="223"/>
      <c r="I121" s="218" t="str">
        <f>"DRCBUK/BANK/2020/01/018"</f>
        <v>DRCBUK/BANK/2020/01/018</v>
      </c>
      <c r="K121" s="218" t="str">
        <f>"CNSS SUD-KIVU"</f>
        <v>CNSS SUD-KIVU</v>
      </c>
      <c r="L121" s="218" t="str">
        <f>"CNSS-Christian CISHIBANJI CIZUNGU"</f>
        <v>CNSS-Christian CISHIBANJI CIZUNGU</v>
      </c>
      <c r="M121" s="218" t="str">
        <f>"5110"</f>
        <v>5110</v>
      </c>
      <c r="N121" s="218" t="str">
        <f>"EMPLOYER'S PENSION COSTS"</f>
        <v>EMPLOYER'S PENSION COSTS</v>
      </c>
      <c r="O121" s="218" t="str">
        <f t="shared" si="38"/>
        <v>DRCBUK</v>
      </c>
      <c r="P121" s="218" t="str">
        <f t="shared" si="21"/>
        <v>AP21QR</v>
      </c>
      <c r="Q121" s="218" t="str">
        <f>"CCI"</f>
        <v>CCI</v>
      </c>
      <c r="R121" s="218" t="str">
        <f>""</f>
        <v/>
      </c>
      <c r="S121" s="218" t="str">
        <f t="shared" si="35"/>
        <v>056</v>
      </c>
      <c r="T121" s="218" t="str">
        <f t="shared" si="36"/>
        <v>D</v>
      </c>
      <c r="U121" s="218" t="str">
        <f t="shared" si="34"/>
        <v>AFR000</v>
      </c>
      <c r="V121" s="218" t="str">
        <f t="shared" si="28"/>
        <v>###</v>
      </c>
      <c r="W121" s="218">
        <v>84.41</v>
      </c>
      <c r="X121" s="218" t="str">
        <f t="shared" si="37"/>
        <v>USD</v>
      </c>
      <c r="Y121" s="218">
        <v>63.62</v>
      </c>
      <c r="Z121" s="218">
        <v>84.41</v>
      </c>
      <c r="AA121" s="218">
        <v>74.66</v>
      </c>
    </row>
    <row r="122" spans="1:27">
      <c r="A122" s="218" t="s">
        <v>2592</v>
      </c>
      <c r="F122" s="219" t="str">
        <f>"""IntAlert Live"",""ALERT UK"",""17"",""1"",""517105"""</f>
        <v>"IntAlert Live","ALERT UK","17","1","517105"</v>
      </c>
      <c r="G122" s="223">
        <v>43860</v>
      </c>
      <c r="H122" s="223"/>
      <c r="I122" s="218" t="str">
        <f>"DRCBUK/BANK/2020/01/019"</f>
        <v>DRCBUK/BANK/2020/01/019</v>
      </c>
      <c r="K122" s="218" t="str">
        <f>"INPP SUD-KIVU"</f>
        <v>INPP SUD-KIVU</v>
      </c>
      <c r="L122" s="218" t="str">
        <f>"INPP-Christian MUTOKAMBALI MBONEKUBE"</f>
        <v>INPP-Christian MUTOKAMBALI MBONEKUBE</v>
      </c>
      <c r="M122" s="218" t="str">
        <f>"5160"</f>
        <v>5160</v>
      </c>
      <c r="N122" s="218" t="str">
        <f>"EMPLOYMENT BENEFITS COSTS"</f>
        <v>EMPLOYMENT BENEFITS COSTS</v>
      </c>
      <c r="O122" s="218" t="str">
        <f t="shared" si="38"/>
        <v>DRCBUK</v>
      </c>
      <c r="P122" s="218" t="str">
        <f t="shared" si="21"/>
        <v>AP21QR</v>
      </c>
      <c r="Q122" s="218" t="str">
        <f>"MBO"</f>
        <v>MBO</v>
      </c>
      <c r="R122" s="218" t="str">
        <f>""</f>
        <v/>
      </c>
      <c r="S122" s="218" t="str">
        <f t="shared" si="35"/>
        <v>056</v>
      </c>
      <c r="T122" s="218" t="str">
        <f t="shared" si="36"/>
        <v>D</v>
      </c>
      <c r="U122" s="218" t="str">
        <f t="shared" si="34"/>
        <v>AFR000</v>
      </c>
      <c r="V122" s="218" t="str">
        <f t="shared" ref="V122:V153" si="39">"###"</f>
        <v>###</v>
      </c>
      <c r="W122" s="218">
        <v>14.83</v>
      </c>
      <c r="X122" s="218" t="str">
        <f t="shared" si="37"/>
        <v>USD</v>
      </c>
      <c r="Y122" s="218">
        <v>11.18</v>
      </c>
      <c r="Z122" s="218">
        <v>14.83</v>
      </c>
      <c r="AA122" s="218">
        <v>13.12</v>
      </c>
    </row>
    <row r="123" spans="1:27">
      <c r="A123" s="218" t="s">
        <v>2592</v>
      </c>
      <c r="F123" s="219" t="str">
        <f>"""IntAlert Live"",""ALERT UK"",""17"",""1"",""517133"""</f>
        <v>"IntAlert Live","ALERT UK","17","1","517133"</v>
      </c>
      <c r="G123" s="223">
        <v>43860</v>
      </c>
      <c r="H123" s="223"/>
      <c r="I123" s="218" t="str">
        <f>"DRCBUK/BANK/2020/01/019"</f>
        <v>DRCBUK/BANK/2020/01/019</v>
      </c>
      <c r="K123" s="218" t="str">
        <f>"INPP SUD-KIVU"</f>
        <v>INPP SUD-KIVU</v>
      </c>
      <c r="L123" s="218" t="str">
        <f>"INPP-Christian CISHIBANJI CIZUNGU"</f>
        <v>INPP-Christian CISHIBANJI CIZUNGU</v>
      </c>
      <c r="M123" s="218" t="str">
        <f>"5160"</f>
        <v>5160</v>
      </c>
      <c r="N123" s="218" t="str">
        <f>"EMPLOYMENT BENEFITS COSTS"</f>
        <v>EMPLOYMENT BENEFITS COSTS</v>
      </c>
      <c r="O123" s="218" t="str">
        <f t="shared" si="38"/>
        <v>DRCBUK</v>
      </c>
      <c r="P123" s="218" t="str">
        <f t="shared" si="21"/>
        <v>AP21QR</v>
      </c>
      <c r="Q123" s="218" t="str">
        <f>"CCI"</f>
        <v>CCI</v>
      </c>
      <c r="R123" s="218" t="str">
        <f>""</f>
        <v/>
      </c>
      <c r="S123" s="218" t="str">
        <f t="shared" si="35"/>
        <v>056</v>
      </c>
      <c r="T123" s="218" t="str">
        <f t="shared" si="36"/>
        <v>D</v>
      </c>
      <c r="U123" s="218" t="str">
        <f t="shared" si="34"/>
        <v>AFR000</v>
      </c>
      <c r="V123" s="218" t="str">
        <f t="shared" si="39"/>
        <v>###</v>
      </c>
      <c r="W123" s="218">
        <v>14.07</v>
      </c>
      <c r="X123" s="218" t="str">
        <f t="shared" si="37"/>
        <v>USD</v>
      </c>
      <c r="Y123" s="218">
        <v>10.6</v>
      </c>
      <c r="Z123" s="218">
        <v>14.07</v>
      </c>
      <c r="AA123" s="218">
        <v>12.44</v>
      </c>
    </row>
    <row r="124" spans="1:27">
      <c r="A124" s="218" t="s">
        <v>2592</v>
      </c>
      <c r="F124" s="219" t="str">
        <f>"""IntAlert Live"",""ALERT UK"",""17"",""1"",""516291"""</f>
        <v>"IntAlert Live","ALERT UK","17","1","516291"</v>
      </c>
      <c r="G124" s="223">
        <v>43861</v>
      </c>
      <c r="H124" s="223"/>
      <c r="I124" s="218" t="str">
        <f>"DRCGOM/ CAISSE/2020/001/002"</f>
        <v>DRCGOM/ CAISSE/2020/001/002</v>
      </c>
      <c r="K124" s="218" t="str">
        <f>"ONEM-JANV 2020"</f>
        <v>ONEM-JANV 2020</v>
      </c>
      <c r="L124" s="218" t="str">
        <f>"ONEM-Jerome Mondo Kambere"</f>
        <v>ONEM-Jerome Mondo Kambere</v>
      </c>
      <c r="M124" s="218" t="str">
        <f>"5150"</f>
        <v>5150</v>
      </c>
      <c r="N124" s="218" t="str">
        <f>"EMPLOYMENT RELOCATION COSTS"</f>
        <v>EMPLOYMENT RELOCATION COSTS</v>
      </c>
      <c r="O124" s="218" t="str">
        <f>"DRCGOM"</f>
        <v>DRCGOM</v>
      </c>
      <c r="P124" s="218" t="str">
        <f t="shared" si="21"/>
        <v>AP21QR</v>
      </c>
      <c r="Q124" s="218" t="str">
        <f>"KAE"</f>
        <v>KAE</v>
      </c>
      <c r="R124" s="218" t="str">
        <f>""</f>
        <v/>
      </c>
      <c r="S124" s="218" t="str">
        <f t="shared" si="35"/>
        <v>056</v>
      </c>
      <c r="T124" s="218" t="str">
        <f t="shared" si="36"/>
        <v>D</v>
      </c>
      <c r="U124" s="218" t="str">
        <f t="shared" si="34"/>
        <v>AFR000</v>
      </c>
      <c r="V124" s="218" t="str">
        <f t="shared" si="39"/>
        <v>###</v>
      </c>
      <c r="W124" s="218">
        <v>0.33</v>
      </c>
      <c r="X124" s="218" t="str">
        <f t="shared" si="37"/>
        <v>USD</v>
      </c>
      <c r="Y124" s="218">
        <v>0.25</v>
      </c>
      <c r="Z124" s="218">
        <v>0.33</v>
      </c>
      <c r="AA124" s="218">
        <v>0.28999999999999998</v>
      </c>
    </row>
    <row r="125" spans="1:27">
      <c r="A125" s="218" t="s">
        <v>2592</v>
      </c>
      <c r="F125" s="219" t="str">
        <f>"""IntAlert Live"",""ALERT UK"",""17"",""1"",""519821"""</f>
        <v>"IntAlert Live","ALERT UK","17","1","519821"</v>
      </c>
      <c r="G125" s="223">
        <v>43861</v>
      </c>
      <c r="H125" s="223"/>
      <c r="I125" s="218" t="str">
        <f>"S JEANBOSCO  15%"</f>
        <v>S JEANBOSCO  15%</v>
      </c>
      <c r="K125" s="218" t="str">
        <f>"HR CHG JAN20"</f>
        <v>HR CHG JAN20</v>
      </c>
      <c r="L125" s="218" t="str">
        <f>"HR CHG JAN20"</f>
        <v>HR CHG JAN20</v>
      </c>
      <c r="M125" s="218" t="str">
        <f>"5100"</f>
        <v>5100</v>
      </c>
      <c r="N125" s="218" t="str">
        <f>"BASIC EMPLOYMENT COSTS"</f>
        <v>BASIC EMPLOYMENT COSTS</v>
      </c>
      <c r="O125" s="218" t="str">
        <f>"UNILON"</f>
        <v>UNILON</v>
      </c>
      <c r="P125" s="218" t="str">
        <f t="shared" si="21"/>
        <v>AP21QR</v>
      </c>
      <c r="Q125" s="218" t="str">
        <f>"SIB"</f>
        <v>SIB</v>
      </c>
      <c r="R125" s="218" t="str">
        <f>""</f>
        <v/>
      </c>
      <c r="S125" s="218" t="str">
        <f t="shared" si="35"/>
        <v>056</v>
      </c>
      <c r="T125" s="218" t="str">
        <f>"S"</f>
        <v>S</v>
      </c>
      <c r="U125" s="218" t="str">
        <f t="shared" si="34"/>
        <v>AFR000</v>
      </c>
      <c r="V125" s="218" t="str">
        <f t="shared" si="39"/>
        <v>###</v>
      </c>
      <c r="W125" s="218">
        <v>0</v>
      </c>
      <c r="X125" s="218" t="str">
        <f>""</f>
        <v/>
      </c>
      <c r="Y125" s="218">
        <v>26.15</v>
      </c>
      <c r="Z125" s="218">
        <v>34.69</v>
      </c>
      <c r="AA125" s="218">
        <v>30.69</v>
      </c>
    </row>
    <row r="126" spans="1:27">
      <c r="A126" s="218" t="s">
        <v>2592</v>
      </c>
      <c r="F126" s="219" t="str">
        <f>"""IntAlert Live"",""ALERT UK"",""17"",""1"",""519962"""</f>
        <v>"IntAlert Live","ALERT UK","17","1","519962"</v>
      </c>
      <c r="G126" s="223">
        <v>43861</v>
      </c>
      <c r="H126" s="223"/>
      <c r="I126" s="218" t="str">
        <f>"S JEANBOSCO  15%"</f>
        <v>S JEANBOSCO  15%</v>
      </c>
      <c r="K126" s="218" t="str">
        <f>"HR SCF CHG JAN20"</f>
        <v>HR SCF CHG JAN20</v>
      </c>
      <c r="L126" s="218" t="str">
        <f>"HR SCF CHG JAN20"</f>
        <v>HR SCF CHG JAN20</v>
      </c>
      <c r="M126" s="218" t="str">
        <f>"5100"</f>
        <v>5100</v>
      </c>
      <c r="N126" s="218" t="str">
        <f>"BASIC EMPLOYMENT COSTS"</f>
        <v>BASIC EMPLOYMENT COSTS</v>
      </c>
      <c r="O126" s="218" t="str">
        <f>"UNILON"</f>
        <v>UNILON</v>
      </c>
      <c r="P126" s="218" t="str">
        <f t="shared" si="21"/>
        <v>AP21QR</v>
      </c>
      <c r="Q126" s="218" t="str">
        <f>"SIB"</f>
        <v>SIB</v>
      </c>
      <c r="R126" s="218" t="str">
        <f>""</f>
        <v/>
      </c>
      <c r="S126" s="218" t="str">
        <f t="shared" si="35"/>
        <v>056</v>
      </c>
      <c r="T126" s="218" t="str">
        <f>"C"</f>
        <v>C</v>
      </c>
      <c r="U126" s="218" t="str">
        <f t="shared" si="34"/>
        <v>AFR000</v>
      </c>
      <c r="V126" s="218" t="str">
        <f t="shared" si="39"/>
        <v>###</v>
      </c>
      <c r="W126" s="218">
        <v>0</v>
      </c>
      <c r="X126" s="218" t="str">
        <f>""</f>
        <v/>
      </c>
      <c r="Y126" s="218">
        <v>7.84</v>
      </c>
      <c r="Z126" s="218">
        <v>10.4</v>
      </c>
      <c r="AA126" s="218">
        <v>9.1999999999999993</v>
      </c>
    </row>
    <row r="127" spans="1:27">
      <c r="A127" s="218" t="s">
        <v>2592</v>
      </c>
      <c r="F127" s="219" t="str">
        <f>"""IntAlert Live"",""ALERT UK"",""17"",""1"",""520121"""</f>
        <v>"IntAlert Live","ALERT UK","17","1","520121"</v>
      </c>
      <c r="G127" s="223">
        <v>43861</v>
      </c>
      <c r="H127" s="223"/>
      <c r="I127" s="218" t="str">
        <f>""</f>
        <v/>
      </c>
      <c r="K127" s="218" t="str">
        <f>"PR JAN20 JNL"</f>
        <v>PR JAN20 JNL</v>
      </c>
      <c r="L127" s="218" t="str">
        <f>"S Jeanbosco  15%"</f>
        <v>S Jeanbosco  15%</v>
      </c>
      <c r="M127" s="218" t="str">
        <f>"5100"</f>
        <v>5100</v>
      </c>
      <c r="N127" s="218" t="str">
        <f>"BASIC EMPLOYMENT COSTS"</f>
        <v>BASIC EMPLOYMENT COSTS</v>
      </c>
      <c r="O127" s="218" t="str">
        <f>"UNILON"</f>
        <v>UNILON</v>
      </c>
      <c r="P127" s="218" t="str">
        <f t="shared" si="21"/>
        <v>AP21QR</v>
      </c>
      <c r="Q127" s="218" t="str">
        <f>"SIB"</f>
        <v>SIB</v>
      </c>
      <c r="R127" s="218" t="str">
        <f>""</f>
        <v/>
      </c>
      <c r="S127" s="218" t="str">
        <f t="shared" si="35"/>
        <v>056</v>
      </c>
      <c r="T127" s="218" t="str">
        <f t="shared" ref="T127:T141" si="40">"D"</f>
        <v>D</v>
      </c>
      <c r="U127" s="218" t="str">
        <f t="shared" si="34"/>
        <v>AFR000</v>
      </c>
      <c r="V127" s="218" t="str">
        <f t="shared" si="39"/>
        <v>###</v>
      </c>
      <c r="W127" s="218">
        <v>0</v>
      </c>
      <c r="X127" s="218" t="str">
        <f>""</f>
        <v/>
      </c>
      <c r="Y127" s="218">
        <v>522.99</v>
      </c>
      <c r="Z127" s="218">
        <v>693.88</v>
      </c>
      <c r="AA127" s="218">
        <v>613.78</v>
      </c>
    </row>
    <row r="128" spans="1:27">
      <c r="A128" s="218" t="s">
        <v>2592</v>
      </c>
      <c r="F128" s="219" t="str">
        <f>"""IntAlert Live"",""ALERT UK"",""17"",""1"",""520417"""</f>
        <v>"IntAlert Live","ALERT UK","17","1","520417"</v>
      </c>
      <c r="G128" s="223">
        <v>43861</v>
      </c>
      <c r="H128" s="223"/>
      <c r="I128" s="218" t="str">
        <f>""</f>
        <v/>
      </c>
      <c r="K128" s="218" t="str">
        <f>"PR JAN20 JNL"</f>
        <v>PR JAN20 JNL</v>
      </c>
      <c r="L128" s="218" t="str">
        <f>"S Jeanbosco  15%"</f>
        <v>S Jeanbosco  15%</v>
      </c>
      <c r="M128" s="218" t="str">
        <f>"5110"</f>
        <v>5110</v>
      </c>
      <c r="N128" s="218" t="str">
        <f>"EMPLOYER'S PENSION COSTS"</f>
        <v>EMPLOYER'S PENSION COSTS</v>
      </c>
      <c r="O128" s="218" t="str">
        <f>"UNILON"</f>
        <v>UNILON</v>
      </c>
      <c r="P128" s="218" t="str">
        <f t="shared" si="21"/>
        <v>AP21QR</v>
      </c>
      <c r="Q128" s="218" t="str">
        <f>"SIB"</f>
        <v>SIB</v>
      </c>
      <c r="R128" s="218" t="str">
        <f>""</f>
        <v/>
      </c>
      <c r="S128" s="218" t="str">
        <f t="shared" si="35"/>
        <v>056</v>
      </c>
      <c r="T128" s="218" t="str">
        <f t="shared" si="40"/>
        <v>D</v>
      </c>
      <c r="U128" s="218" t="str">
        <f t="shared" si="34"/>
        <v>AFR000</v>
      </c>
      <c r="V128" s="218" t="str">
        <f t="shared" si="39"/>
        <v>###</v>
      </c>
      <c r="W128" s="218">
        <v>0</v>
      </c>
      <c r="X128" s="218" t="str">
        <f>""</f>
        <v/>
      </c>
      <c r="Y128" s="218">
        <v>52.3</v>
      </c>
      <c r="Z128" s="218">
        <v>69.39</v>
      </c>
      <c r="AA128" s="218">
        <v>61.38</v>
      </c>
    </row>
    <row r="129" spans="1:27">
      <c r="A129" s="218" t="s">
        <v>2592</v>
      </c>
      <c r="F129" s="219" t="str">
        <f>"""IntAlert Live"",""ALERT UK"",""17"",""1"",""532786"""</f>
        <v>"IntAlert Live","ALERT UK","17","1","532786"</v>
      </c>
      <c r="G129" s="223">
        <v>43865</v>
      </c>
      <c r="H129" s="223"/>
      <c r="I129" s="218" t="str">
        <f>"DRCBUK/CAISSE/2020/02/001"</f>
        <v>DRCBUK/CAISSE/2020/02/001</v>
      </c>
      <c r="K129" s="218" t="str">
        <f>"ONEM"</f>
        <v>ONEM</v>
      </c>
      <c r="L129" s="218" t="str">
        <f>"ONEM JANV 020-Christian MUTOKAMBALI"</f>
        <v>ONEM JANV 020-Christian MUTOKAMBALI</v>
      </c>
      <c r="M129" s="218" t="str">
        <f>"5160"</f>
        <v>5160</v>
      </c>
      <c r="N129" s="218" t="str">
        <f>"EMPLOYMENT BENEFITS COSTS"</f>
        <v>EMPLOYMENT BENEFITS COSTS</v>
      </c>
      <c r="O129" s="218" t="str">
        <f t="shared" ref="O129:O138" si="41">"DRCBUK"</f>
        <v>DRCBUK</v>
      </c>
      <c r="P129" s="218" t="str">
        <f t="shared" si="21"/>
        <v>AP21QR</v>
      </c>
      <c r="Q129" s="218" t="str">
        <f>"MBO"</f>
        <v>MBO</v>
      </c>
      <c r="R129" s="218" t="str">
        <f>""</f>
        <v/>
      </c>
      <c r="S129" s="218" t="str">
        <f t="shared" si="35"/>
        <v>056</v>
      </c>
      <c r="T129" s="218" t="str">
        <f t="shared" si="40"/>
        <v>D</v>
      </c>
      <c r="U129" s="218" t="str">
        <f t="shared" si="34"/>
        <v>AFR000</v>
      </c>
      <c r="V129" s="218" t="str">
        <f t="shared" si="39"/>
        <v>###</v>
      </c>
      <c r="W129" s="218">
        <v>0.99</v>
      </c>
      <c r="X129" s="218" t="str">
        <f t="shared" ref="X129:X141" si="42">"USD"</f>
        <v>USD</v>
      </c>
      <c r="Y129" s="218">
        <v>0.75</v>
      </c>
      <c r="Z129" s="218">
        <v>0.99</v>
      </c>
      <c r="AA129" s="218">
        <v>0.89</v>
      </c>
    </row>
    <row r="130" spans="1:27">
      <c r="A130" s="218" t="s">
        <v>2592</v>
      </c>
      <c r="F130" s="219" t="str">
        <f>"""IntAlert Live"",""ALERT UK"",""17"",""1"",""532812"""</f>
        <v>"IntAlert Live","ALERT UK","17","1","532812"</v>
      </c>
      <c r="G130" s="223">
        <v>43865</v>
      </c>
      <c r="H130" s="223"/>
      <c r="I130" s="218" t="str">
        <f>"DRCBUK/CAISSE/2020/02/001"</f>
        <v>DRCBUK/CAISSE/2020/02/001</v>
      </c>
      <c r="K130" s="218" t="str">
        <f>"ONEM"</f>
        <v>ONEM</v>
      </c>
      <c r="L130" s="218" t="str">
        <f>"ONEM JANV 020-Christian CISHIBANJI CIZUNGU"</f>
        <v>ONEM JANV 020-Christian CISHIBANJI CIZUNGU</v>
      </c>
      <c r="M130" s="218" t="str">
        <f>"5160"</f>
        <v>5160</v>
      </c>
      <c r="N130" s="218" t="str">
        <f>"EMPLOYMENT BENEFITS COSTS"</f>
        <v>EMPLOYMENT BENEFITS COSTS</v>
      </c>
      <c r="O130" s="218" t="str">
        <f t="shared" si="41"/>
        <v>DRCBUK</v>
      </c>
      <c r="P130" s="218" t="str">
        <f t="shared" si="21"/>
        <v>AP21QR</v>
      </c>
      <c r="Q130" s="218" t="str">
        <f>"CCI"</f>
        <v>CCI</v>
      </c>
      <c r="R130" s="218" t="str">
        <f>""</f>
        <v/>
      </c>
      <c r="S130" s="218" t="str">
        <f t="shared" si="35"/>
        <v>056</v>
      </c>
      <c r="T130" s="218" t="str">
        <f t="shared" si="40"/>
        <v>D</v>
      </c>
      <c r="U130" s="218" t="str">
        <f t="shared" si="34"/>
        <v>AFR000</v>
      </c>
      <c r="V130" s="218" t="str">
        <f t="shared" si="39"/>
        <v>###</v>
      </c>
      <c r="W130" s="218">
        <v>0.56000000000000005</v>
      </c>
      <c r="X130" s="218" t="str">
        <f t="shared" si="42"/>
        <v>USD</v>
      </c>
      <c r="Y130" s="218">
        <v>0.42</v>
      </c>
      <c r="Z130" s="218">
        <v>0.56000000000000005</v>
      </c>
      <c r="AA130" s="218">
        <v>0.5</v>
      </c>
    </row>
    <row r="131" spans="1:27">
      <c r="A131" s="218" t="s">
        <v>2592</v>
      </c>
      <c r="F131" s="219" t="str">
        <f>"""IntAlert Live"",""ALERT UK"",""17"",""1"",""532453"""</f>
        <v>"IntAlert Live","ALERT UK","17","1","532453"</v>
      </c>
      <c r="G131" s="223">
        <v>43887</v>
      </c>
      <c r="H131" s="223"/>
      <c r="I131" s="218" t="str">
        <f>"DRCBUK/BANK/2020/02/031"</f>
        <v>DRCBUK/BANK/2020/02/031</v>
      </c>
      <c r="K131" s="218" t="str">
        <f>"CHRISTIAN MUTOKAMBALI"</f>
        <v>CHRISTIAN MUTOKAMBALI</v>
      </c>
      <c r="L131" s="218" t="str">
        <f>"Salaire-Février 020-Christian MUTOKAMBALI 40%"</f>
        <v>Salaire-Février 020-Christian MUTOKAMBALI 40%</v>
      </c>
      <c r="M131" s="218" t="str">
        <f>"5100"</f>
        <v>5100</v>
      </c>
      <c r="N131" s="218" t="str">
        <f>"BASIC EMPLOYMENT COSTS"</f>
        <v>BASIC EMPLOYMENT COSTS</v>
      </c>
      <c r="O131" s="218" t="str">
        <f t="shared" si="41"/>
        <v>DRCBUK</v>
      </c>
      <c r="P131" s="218" t="str">
        <f t="shared" si="21"/>
        <v>AP21QR</v>
      </c>
      <c r="Q131" s="218" t="str">
        <f>"MBO"</f>
        <v>MBO</v>
      </c>
      <c r="R131" s="218" t="str">
        <f>""</f>
        <v/>
      </c>
      <c r="S131" s="218" t="str">
        <f t="shared" si="35"/>
        <v>056</v>
      </c>
      <c r="T131" s="218" t="str">
        <f t="shared" si="40"/>
        <v>D</v>
      </c>
      <c r="U131" s="218" t="str">
        <f t="shared" si="34"/>
        <v>AFR000</v>
      </c>
      <c r="V131" s="218" t="str">
        <f t="shared" si="39"/>
        <v>###</v>
      </c>
      <c r="W131" s="218">
        <v>738.14</v>
      </c>
      <c r="X131" s="218" t="str">
        <f t="shared" si="42"/>
        <v>USD</v>
      </c>
      <c r="Y131" s="218">
        <v>559.49</v>
      </c>
      <c r="Z131" s="218">
        <v>738.14</v>
      </c>
      <c r="AA131" s="218">
        <v>664.61</v>
      </c>
    </row>
    <row r="132" spans="1:27">
      <c r="A132" s="218" t="s">
        <v>2592</v>
      </c>
      <c r="F132" s="219" t="str">
        <f>"""IntAlert Live"",""ALERT UK"",""17"",""1"",""532475"""</f>
        <v>"IntAlert Live","ALERT UK","17","1","532475"</v>
      </c>
      <c r="G132" s="223">
        <v>43887</v>
      </c>
      <c r="H132" s="223"/>
      <c r="I132" s="218" t="str">
        <f>"DRCBUK/BANK/2020/02/031"</f>
        <v>DRCBUK/BANK/2020/02/031</v>
      </c>
      <c r="K132" s="218" t="str">
        <f>"CHRISTIAN CISHIBANJI"</f>
        <v>CHRISTIAN CISHIBANJI</v>
      </c>
      <c r="L132" s="218" t="str">
        <f>"Salaire-Février 020-Christian CISHIBANJI 25%"</f>
        <v>Salaire-Février 020-Christian CISHIBANJI 25%</v>
      </c>
      <c r="M132" s="218" t="str">
        <f>"5100"</f>
        <v>5100</v>
      </c>
      <c r="N132" s="218" t="str">
        <f>"BASIC EMPLOYMENT COSTS"</f>
        <v>BASIC EMPLOYMENT COSTS</v>
      </c>
      <c r="O132" s="218" t="str">
        <f t="shared" si="41"/>
        <v>DRCBUK</v>
      </c>
      <c r="P132" s="218" t="str">
        <f t="shared" si="21"/>
        <v>AP21QR</v>
      </c>
      <c r="Q132" s="218" t="str">
        <f>"CCI"</f>
        <v>CCI</v>
      </c>
      <c r="R132" s="218" t="str">
        <f>""</f>
        <v/>
      </c>
      <c r="S132" s="218" t="str">
        <f t="shared" si="35"/>
        <v>056</v>
      </c>
      <c r="T132" s="218" t="str">
        <f t="shared" si="40"/>
        <v>D</v>
      </c>
      <c r="U132" s="218" t="str">
        <f t="shared" si="34"/>
        <v>AFR000</v>
      </c>
      <c r="V132" s="218" t="str">
        <f t="shared" si="39"/>
        <v>###</v>
      </c>
      <c r="W132" s="218">
        <v>658.99</v>
      </c>
      <c r="X132" s="218" t="str">
        <f t="shared" si="42"/>
        <v>USD</v>
      </c>
      <c r="Y132" s="218">
        <v>499.5</v>
      </c>
      <c r="Z132" s="218">
        <v>658.99</v>
      </c>
      <c r="AA132" s="218">
        <v>593.35</v>
      </c>
    </row>
    <row r="133" spans="1:27">
      <c r="A133" s="218" t="s">
        <v>2592</v>
      </c>
      <c r="F133" s="219" t="str">
        <f>"""IntAlert Live"",""ALERT UK"",""17"",""1"",""532497"""</f>
        <v>"IntAlert Live","ALERT UK","17","1","532497"</v>
      </c>
      <c r="G133" s="223">
        <v>43888</v>
      </c>
      <c r="H133" s="223"/>
      <c r="I133" s="218" t="str">
        <f>"DRCBUK/BANK/2020/02/032"</f>
        <v>DRCBUK/BANK/2020/02/032</v>
      </c>
      <c r="K133" s="218" t="str">
        <f>"DGI/DPI SUD KIVU"</f>
        <v>DGI/DPI SUD KIVU</v>
      </c>
      <c r="L133" s="218" t="str">
        <f>"IPR-Février 020-Christian MUTOKAMBALI 40%"</f>
        <v>IPR-Février 020-Christian MUTOKAMBALI 40%</v>
      </c>
      <c r="M133" s="218" t="str">
        <f>"5100"</f>
        <v>5100</v>
      </c>
      <c r="N133" s="218" t="str">
        <f>"BASIC EMPLOYMENT COSTS"</f>
        <v>BASIC EMPLOYMENT COSTS</v>
      </c>
      <c r="O133" s="218" t="str">
        <f t="shared" si="41"/>
        <v>DRCBUK</v>
      </c>
      <c r="P133" s="218" t="str">
        <f t="shared" si="21"/>
        <v>AP21QR</v>
      </c>
      <c r="Q133" s="218" t="str">
        <f>"MBO"</f>
        <v>MBO</v>
      </c>
      <c r="R133" s="218" t="str">
        <f>""</f>
        <v/>
      </c>
      <c r="S133" s="218" t="str">
        <f t="shared" si="35"/>
        <v>056</v>
      </c>
      <c r="T133" s="218" t="str">
        <f t="shared" si="40"/>
        <v>D</v>
      </c>
      <c r="U133" s="218" t="str">
        <f t="shared" si="34"/>
        <v>AFR000</v>
      </c>
      <c r="V133" s="218" t="str">
        <f t="shared" si="39"/>
        <v>###</v>
      </c>
      <c r="W133" s="218">
        <v>124.03</v>
      </c>
      <c r="X133" s="218" t="str">
        <f t="shared" si="42"/>
        <v>USD</v>
      </c>
      <c r="Y133" s="218">
        <v>94.01</v>
      </c>
      <c r="Z133" s="218">
        <v>124.03</v>
      </c>
      <c r="AA133" s="218">
        <v>111.67</v>
      </c>
    </row>
    <row r="134" spans="1:27">
      <c r="A134" s="218" t="s">
        <v>2592</v>
      </c>
      <c r="F134" s="219" t="str">
        <f>"""IntAlert Live"",""ALERT UK"",""17"",""1"",""532519"""</f>
        <v>"IntAlert Live","ALERT UK","17","1","532519"</v>
      </c>
      <c r="G134" s="223">
        <v>43888</v>
      </c>
      <c r="H134" s="223"/>
      <c r="I134" s="218" t="str">
        <f>"DRCBUK/BANK/2020/02/032"</f>
        <v>DRCBUK/BANK/2020/02/032</v>
      </c>
      <c r="K134" s="218" t="str">
        <f>"DGI/DPI SUD KIVU"</f>
        <v>DGI/DPI SUD KIVU</v>
      </c>
      <c r="L134" s="218" t="str">
        <f>"IPR-Février 020-Christian CISHIBANJI 25%"</f>
        <v>IPR-Février 020-Christian CISHIBANJI 25%</v>
      </c>
      <c r="M134" s="218" t="str">
        <f>"5100"</f>
        <v>5100</v>
      </c>
      <c r="N134" s="218" t="str">
        <f>"BASIC EMPLOYMENT COSTS"</f>
        <v>BASIC EMPLOYMENT COSTS</v>
      </c>
      <c r="O134" s="218" t="str">
        <f t="shared" si="41"/>
        <v>DRCBUK</v>
      </c>
      <c r="P134" s="218" t="str">
        <f t="shared" si="21"/>
        <v>AP21QR</v>
      </c>
      <c r="Q134" s="218" t="str">
        <f>"CCI"</f>
        <v>CCI</v>
      </c>
      <c r="R134" s="218" t="str">
        <f>""</f>
        <v/>
      </c>
      <c r="S134" s="218" t="str">
        <f t="shared" si="35"/>
        <v>056</v>
      </c>
      <c r="T134" s="218" t="str">
        <f t="shared" si="40"/>
        <v>D</v>
      </c>
      <c r="U134" s="218" t="str">
        <f t="shared" si="34"/>
        <v>AFR000</v>
      </c>
      <c r="V134" s="218" t="str">
        <f t="shared" si="39"/>
        <v>###</v>
      </c>
      <c r="W134" s="218">
        <v>111.35</v>
      </c>
      <c r="X134" s="218" t="str">
        <f t="shared" si="42"/>
        <v>USD</v>
      </c>
      <c r="Y134" s="218">
        <v>84.4</v>
      </c>
      <c r="Z134" s="218">
        <v>111.35</v>
      </c>
      <c r="AA134" s="218">
        <v>100.26</v>
      </c>
    </row>
    <row r="135" spans="1:27">
      <c r="A135" s="218" t="s">
        <v>2592</v>
      </c>
      <c r="F135" s="219" t="str">
        <f>"""IntAlert Live"",""ALERT UK"",""17"",""1"",""532543"""</f>
        <v>"IntAlert Live","ALERT UK","17","1","532543"</v>
      </c>
      <c r="G135" s="223">
        <v>43888</v>
      </c>
      <c r="H135" s="223"/>
      <c r="I135" s="218" t="str">
        <f>"DRCBUK/BANK/2020/02/033"</f>
        <v>DRCBUK/BANK/2020/02/033</v>
      </c>
      <c r="K135" s="218" t="str">
        <f>"CNSS SUD KIVU"</f>
        <v>CNSS SUD KIVU</v>
      </c>
      <c r="L135" s="218" t="str">
        <f>"CNSS-Février 020-Christian MUTOKAMBALI 40%"</f>
        <v>CNSS-Février 020-Christian MUTOKAMBALI 40%</v>
      </c>
      <c r="M135" s="218" t="str">
        <f>"5160"</f>
        <v>5160</v>
      </c>
      <c r="N135" s="218" t="str">
        <f>"EMPLOYMENT BENEFITS COSTS"</f>
        <v>EMPLOYMENT BENEFITS COSTS</v>
      </c>
      <c r="O135" s="218" t="str">
        <f t="shared" si="41"/>
        <v>DRCBUK</v>
      </c>
      <c r="P135" s="218" t="str">
        <f t="shared" ref="P135:P198" si="43">"AP21QR"</f>
        <v>AP21QR</v>
      </c>
      <c r="Q135" s="218" t="str">
        <f>"MBO"</f>
        <v>MBO</v>
      </c>
      <c r="R135" s="218" t="str">
        <f>""</f>
        <v/>
      </c>
      <c r="S135" s="218" t="str">
        <f t="shared" si="35"/>
        <v>056</v>
      </c>
      <c r="T135" s="218" t="str">
        <f t="shared" si="40"/>
        <v>D</v>
      </c>
      <c r="U135" s="218" t="str">
        <f t="shared" ref="U135:U166" si="44">"AFR000"</f>
        <v>AFR000</v>
      </c>
      <c r="V135" s="218" t="str">
        <f t="shared" si="39"/>
        <v>###</v>
      </c>
      <c r="W135" s="218">
        <v>118.63</v>
      </c>
      <c r="X135" s="218" t="str">
        <f t="shared" si="42"/>
        <v>USD</v>
      </c>
      <c r="Y135" s="218">
        <v>89.92</v>
      </c>
      <c r="Z135" s="218">
        <v>118.63</v>
      </c>
      <c r="AA135" s="218">
        <v>106.82</v>
      </c>
    </row>
    <row r="136" spans="1:27">
      <c r="A136" s="218" t="s">
        <v>2592</v>
      </c>
      <c r="F136" s="219" t="str">
        <f>"""IntAlert Live"",""ALERT UK"",""17"",""1"",""532565"""</f>
        <v>"IntAlert Live","ALERT UK","17","1","532565"</v>
      </c>
      <c r="G136" s="223">
        <v>43888</v>
      </c>
      <c r="H136" s="223"/>
      <c r="I136" s="218" t="str">
        <f>"DRCBUK/BANK/2020/02/033"</f>
        <v>DRCBUK/BANK/2020/02/033</v>
      </c>
      <c r="K136" s="218" t="str">
        <f>"CNSS SUD KIVU"</f>
        <v>CNSS SUD KIVU</v>
      </c>
      <c r="L136" s="218" t="str">
        <f>"CNSS-Février 020-Christian CISHIBANJI 25%"</f>
        <v>CNSS-Février 020-Christian CISHIBANJI 25%</v>
      </c>
      <c r="M136" s="218" t="str">
        <f>"5160"</f>
        <v>5160</v>
      </c>
      <c r="N136" s="218" t="str">
        <f>"EMPLOYMENT BENEFITS COSTS"</f>
        <v>EMPLOYMENT BENEFITS COSTS</v>
      </c>
      <c r="O136" s="218" t="str">
        <f t="shared" si="41"/>
        <v>DRCBUK</v>
      </c>
      <c r="P136" s="218" t="str">
        <f t="shared" si="43"/>
        <v>AP21QR</v>
      </c>
      <c r="Q136" s="218" t="str">
        <f>"CCI"</f>
        <v>CCI</v>
      </c>
      <c r="R136" s="218" t="str">
        <f>""</f>
        <v/>
      </c>
      <c r="S136" s="218" t="str">
        <f t="shared" si="35"/>
        <v>056</v>
      </c>
      <c r="T136" s="218" t="str">
        <f t="shared" si="40"/>
        <v>D</v>
      </c>
      <c r="U136" s="218" t="str">
        <f t="shared" si="44"/>
        <v>AFR000</v>
      </c>
      <c r="V136" s="218" t="str">
        <f t="shared" si="39"/>
        <v>###</v>
      </c>
      <c r="W136" s="218">
        <v>105.51</v>
      </c>
      <c r="X136" s="218" t="str">
        <f t="shared" si="42"/>
        <v>USD</v>
      </c>
      <c r="Y136" s="218">
        <v>79.97</v>
      </c>
      <c r="Z136" s="218">
        <v>105.51</v>
      </c>
      <c r="AA136" s="218">
        <v>95</v>
      </c>
    </row>
    <row r="137" spans="1:27">
      <c r="A137" s="218" t="s">
        <v>2592</v>
      </c>
      <c r="F137" s="219" t="str">
        <f>"""IntAlert Live"",""ALERT UK"",""17"",""1"",""532588"""</f>
        <v>"IntAlert Live","ALERT UK","17","1","532588"</v>
      </c>
      <c r="G137" s="223">
        <v>43888</v>
      </c>
      <c r="H137" s="223"/>
      <c r="I137" s="218" t="str">
        <f>"DRCBUK/BANK/2020/02/034"</f>
        <v>DRCBUK/BANK/2020/02/034</v>
      </c>
      <c r="K137" s="218" t="str">
        <f>"INPP SUD KIVU"</f>
        <v>INPP SUD KIVU</v>
      </c>
      <c r="L137" s="218" t="str">
        <f>"INPP-Février 020-Christian MUTOKAMBALI 40%"</f>
        <v>INPP-Février 020-Christian MUTOKAMBALI 40%</v>
      </c>
      <c r="M137" s="218" t="str">
        <f>"5160"</f>
        <v>5160</v>
      </c>
      <c r="N137" s="218" t="str">
        <f>"EMPLOYMENT BENEFITS COSTS"</f>
        <v>EMPLOYMENT BENEFITS COSTS</v>
      </c>
      <c r="O137" s="218" t="str">
        <f t="shared" si="41"/>
        <v>DRCBUK</v>
      </c>
      <c r="P137" s="218" t="str">
        <f t="shared" si="43"/>
        <v>AP21QR</v>
      </c>
      <c r="Q137" s="218" t="str">
        <f>"MBO"</f>
        <v>MBO</v>
      </c>
      <c r="R137" s="218" t="str">
        <f>""</f>
        <v/>
      </c>
      <c r="S137" s="218" t="str">
        <f t="shared" si="35"/>
        <v>056</v>
      </c>
      <c r="T137" s="218" t="str">
        <f t="shared" si="40"/>
        <v>D</v>
      </c>
      <c r="U137" s="218" t="str">
        <f t="shared" si="44"/>
        <v>AFR000</v>
      </c>
      <c r="V137" s="218" t="str">
        <f t="shared" si="39"/>
        <v>###</v>
      </c>
      <c r="W137" s="218">
        <v>19.77</v>
      </c>
      <c r="X137" s="218" t="str">
        <f t="shared" si="42"/>
        <v>USD</v>
      </c>
      <c r="Y137" s="218">
        <v>14.99</v>
      </c>
      <c r="Z137" s="218">
        <v>19.77</v>
      </c>
      <c r="AA137" s="218">
        <v>17.809999999999999</v>
      </c>
    </row>
    <row r="138" spans="1:27">
      <c r="A138" s="218" t="s">
        <v>2592</v>
      </c>
      <c r="F138" s="219" t="str">
        <f>"""IntAlert Live"",""ALERT UK"",""17"",""1"",""532610"""</f>
        <v>"IntAlert Live","ALERT UK","17","1","532610"</v>
      </c>
      <c r="G138" s="223">
        <v>43888</v>
      </c>
      <c r="H138" s="223"/>
      <c r="I138" s="218" t="str">
        <f>"DRCBUK/BANK/2020/02/034"</f>
        <v>DRCBUK/BANK/2020/02/034</v>
      </c>
      <c r="K138" s="218" t="str">
        <f>"INPP SUD KIVU"</f>
        <v>INPP SUD KIVU</v>
      </c>
      <c r="L138" s="218" t="str">
        <f>"INPP-Février 020-Christian CISHIBANJI 25%"</f>
        <v>INPP-Février 020-Christian CISHIBANJI 25%</v>
      </c>
      <c r="M138" s="218" t="str">
        <f>"5160"</f>
        <v>5160</v>
      </c>
      <c r="N138" s="218" t="str">
        <f>"EMPLOYMENT BENEFITS COSTS"</f>
        <v>EMPLOYMENT BENEFITS COSTS</v>
      </c>
      <c r="O138" s="218" t="str">
        <f t="shared" si="41"/>
        <v>DRCBUK</v>
      </c>
      <c r="P138" s="218" t="str">
        <f t="shared" si="43"/>
        <v>AP21QR</v>
      </c>
      <c r="Q138" s="218" t="str">
        <f>"CCI"</f>
        <v>CCI</v>
      </c>
      <c r="R138" s="218" t="str">
        <f>""</f>
        <v/>
      </c>
      <c r="S138" s="218" t="str">
        <f t="shared" si="35"/>
        <v>056</v>
      </c>
      <c r="T138" s="218" t="str">
        <f t="shared" si="40"/>
        <v>D</v>
      </c>
      <c r="U138" s="218" t="str">
        <f t="shared" si="44"/>
        <v>AFR000</v>
      </c>
      <c r="V138" s="218" t="str">
        <f t="shared" si="39"/>
        <v>###</v>
      </c>
      <c r="W138" s="218">
        <v>17.59</v>
      </c>
      <c r="X138" s="218" t="str">
        <f t="shared" si="42"/>
        <v>USD</v>
      </c>
      <c r="Y138" s="218">
        <v>13.33</v>
      </c>
      <c r="Z138" s="218">
        <v>17.59</v>
      </c>
      <c r="AA138" s="218">
        <v>15.83</v>
      </c>
    </row>
    <row r="139" spans="1:27">
      <c r="A139" s="218" t="s">
        <v>2592</v>
      </c>
      <c r="F139" s="219" t="str">
        <f>"""IntAlert Live"",""ALERT UK"",""17"",""1"",""531628"""</f>
        <v>"IntAlert Live","ALERT UK","17","1","531628"</v>
      </c>
      <c r="G139" s="223">
        <v>43889</v>
      </c>
      <c r="H139" s="223"/>
      <c r="I139" s="218" t="str">
        <f>"DRCGOM/ BANQUE/2020/002/020"</f>
        <v>DRCGOM/ BANQUE/2020/002/020</v>
      </c>
      <c r="K139" s="218" t="str">
        <f>"SALAIRE-JEROME MONDO KAMBERE"</f>
        <v>SALAIRE-JEROME MONDO KAMBERE</v>
      </c>
      <c r="L139" s="218" t="str">
        <f>"Salaire-Jerome Mondo Kambere 10%"</f>
        <v>Salaire-Jerome Mondo Kambere 10%</v>
      </c>
      <c r="M139" s="218" t="str">
        <f>"5100"</f>
        <v>5100</v>
      </c>
      <c r="N139" s="218" t="str">
        <f>"BASIC EMPLOYMENT COSTS"</f>
        <v>BASIC EMPLOYMENT COSTS</v>
      </c>
      <c r="O139" s="218" t="str">
        <f>"DRCGOM"</f>
        <v>DRCGOM</v>
      </c>
      <c r="P139" s="218" t="str">
        <f t="shared" si="43"/>
        <v>AP21QR</v>
      </c>
      <c r="Q139" s="218" t="str">
        <f>"KAE"</f>
        <v>KAE</v>
      </c>
      <c r="R139" s="218" t="str">
        <f>""</f>
        <v/>
      </c>
      <c r="S139" s="218" t="str">
        <f t="shared" si="35"/>
        <v>056</v>
      </c>
      <c r="T139" s="218" t="str">
        <f t="shared" si="40"/>
        <v>D</v>
      </c>
      <c r="U139" s="218" t="str">
        <f t="shared" si="44"/>
        <v>AFR000</v>
      </c>
      <c r="V139" s="218" t="str">
        <f t="shared" si="39"/>
        <v>###</v>
      </c>
      <c r="W139" s="218">
        <v>217.06</v>
      </c>
      <c r="X139" s="218" t="str">
        <f t="shared" si="42"/>
        <v>USD</v>
      </c>
      <c r="Y139" s="218">
        <v>164.53</v>
      </c>
      <c r="Z139" s="218">
        <v>217.06</v>
      </c>
      <c r="AA139" s="218">
        <v>195.44</v>
      </c>
    </row>
    <row r="140" spans="1:27">
      <c r="A140" s="218" t="s">
        <v>2592</v>
      </c>
      <c r="F140" s="219" t="str">
        <f>"""IntAlert Live"",""ALERT UK"",""17"",""1"",""531687"""</f>
        <v>"IntAlert Live","ALERT UK","17","1","531687"</v>
      </c>
      <c r="G140" s="223">
        <v>43889</v>
      </c>
      <c r="H140" s="223"/>
      <c r="I140" s="218" t="str">
        <f>"DRCGOM/ BANQUE/2020/002/021"</f>
        <v>DRCGOM/ BANQUE/2020/002/021</v>
      </c>
      <c r="K140" s="218" t="str">
        <f>"CNSS-FEB 2020"</f>
        <v>CNSS-FEB 2020</v>
      </c>
      <c r="L140" s="218" t="str">
        <f>"CNSS-Feb'20Jerome Mondo Kambere 10%"</f>
        <v>CNSS-Feb'20Jerome Mondo Kambere 10%</v>
      </c>
      <c r="M140" s="218" t="str">
        <f>"5110"</f>
        <v>5110</v>
      </c>
      <c r="N140" s="218" t="str">
        <f>"EMPLOYER'S PENSION COSTS"</f>
        <v>EMPLOYER'S PENSION COSTS</v>
      </c>
      <c r="O140" s="218" t="str">
        <f>"DRCGOM"</f>
        <v>DRCGOM</v>
      </c>
      <c r="P140" s="218" t="str">
        <f t="shared" si="43"/>
        <v>AP21QR</v>
      </c>
      <c r="Q140" s="218" t="str">
        <f>"KAE"</f>
        <v>KAE</v>
      </c>
      <c r="R140" s="218" t="str">
        <f>""</f>
        <v/>
      </c>
      <c r="S140" s="218" t="str">
        <f t="shared" si="35"/>
        <v>056</v>
      </c>
      <c r="T140" s="218" t="str">
        <f t="shared" si="40"/>
        <v>D</v>
      </c>
      <c r="U140" s="218" t="str">
        <f t="shared" si="44"/>
        <v>AFR000</v>
      </c>
      <c r="V140" s="218" t="str">
        <f t="shared" si="39"/>
        <v>###</v>
      </c>
      <c r="W140" s="218">
        <v>29.81</v>
      </c>
      <c r="X140" s="218" t="str">
        <f t="shared" si="42"/>
        <v>USD</v>
      </c>
      <c r="Y140" s="218">
        <v>22.6</v>
      </c>
      <c r="Z140" s="218">
        <v>29.81</v>
      </c>
      <c r="AA140" s="218">
        <v>26.85</v>
      </c>
    </row>
    <row r="141" spans="1:27">
      <c r="A141" s="218" t="s">
        <v>2592</v>
      </c>
      <c r="F141" s="219" t="str">
        <f>"""IntAlert Live"",""ALERT UK"",""17"",""1"",""531745"""</f>
        <v>"IntAlert Live","ALERT UK","17","1","531745"</v>
      </c>
      <c r="G141" s="223">
        <v>43889</v>
      </c>
      <c r="H141" s="223"/>
      <c r="I141" s="218" t="str">
        <f>"DRCGOM/ BANQUE/2020/002/022"</f>
        <v>DRCGOM/ BANQUE/2020/002/022</v>
      </c>
      <c r="K141" s="218" t="str">
        <f>"INPP FEBRUARY 2020"</f>
        <v>INPP FEBRUARY 2020</v>
      </c>
      <c r="L141" s="218" t="str">
        <f>"INPP--Feb'20Jerome Mondo Kambere 10%"</f>
        <v>INPP--Feb'20Jerome Mondo Kambere 10%</v>
      </c>
      <c r="M141" s="218" t="str">
        <f>"5150"</f>
        <v>5150</v>
      </c>
      <c r="N141" s="218" t="str">
        <f>"EMPLOYMENT RELOCATION COSTS"</f>
        <v>EMPLOYMENT RELOCATION COSTS</v>
      </c>
      <c r="O141" s="218" t="str">
        <f>"DRCGOM"</f>
        <v>DRCGOM</v>
      </c>
      <c r="P141" s="218" t="str">
        <f t="shared" si="43"/>
        <v>AP21QR</v>
      </c>
      <c r="Q141" s="218" t="str">
        <f>"KAE"</f>
        <v>KAE</v>
      </c>
      <c r="R141" s="218" t="str">
        <f>""</f>
        <v/>
      </c>
      <c r="S141" s="218" t="str">
        <f t="shared" si="35"/>
        <v>056</v>
      </c>
      <c r="T141" s="218" t="str">
        <f t="shared" si="40"/>
        <v>D</v>
      </c>
      <c r="U141" s="218" t="str">
        <f t="shared" si="44"/>
        <v>AFR000</v>
      </c>
      <c r="V141" s="218" t="str">
        <f t="shared" si="39"/>
        <v>###</v>
      </c>
      <c r="W141" s="218">
        <v>4.97</v>
      </c>
      <c r="X141" s="218" t="str">
        <f t="shared" si="42"/>
        <v>USD</v>
      </c>
      <c r="Y141" s="218">
        <v>3.77</v>
      </c>
      <c r="Z141" s="218">
        <v>4.97</v>
      </c>
      <c r="AA141" s="218">
        <v>4.4800000000000004</v>
      </c>
    </row>
    <row r="142" spans="1:27">
      <c r="A142" s="218" t="s">
        <v>2592</v>
      </c>
      <c r="F142" s="219" t="str">
        <f>"""IntAlert Live"",""ALERT UK"",""17"",""1"",""534644"""</f>
        <v>"IntAlert Live","ALERT UK","17","1","534644"</v>
      </c>
      <c r="G142" s="223">
        <v>43890</v>
      </c>
      <c r="H142" s="223"/>
      <c r="I142" s="218" t="str">
        <f>""</f>
        <v/>
      </c>
      <c r="K142" s="218" t="str">
        <f>"HR CHG FEB20"</f>
        <v>HR CHG FEB20</v>
      </c>
      <c r="L142" s="218" t="str">
        <f>"HR CHG FEB20"</f>
        <v>HR CHG FEB20</v>
      </c>
      <c r="M142" s="218" t="str">
        <f>"5100"</f>
        <v>5100</v>
      </c>
      <c r="N142" s="218" t="str">
        <f>"BASIC EMPLOYMENT COSTS"</f>
        <v>BASIC EMPLOYMENT COSTS</v>
      </c>
      <c r="O142" s="218" t="str">
        <f>"UNILON"</f>
        <v>UNILON</v>
      </c>
      <c r="P142" s="218" t="str">
        <f t="shared" si="43"/>
        <v>AP21QR</v>
      </c>
      <c r="Q142" s="218" t="str">
        <f>"SIB"</f>
        <v>SIB</v>
      </c>
      <c r="R142" s="218" t="str">
        <f>""</f>
        <v/>
      </c>
      <c r="S142" s="218" t="str">
        <f t="shared" si="35"/>
        <v>056</v>
      </c>
      <c r="T142" s="218" t="str">
        <f>"S"</f>
        <v>S</v>
      </c>
      <c r="U142" s="218" t="str">
        <f t="shared" si="44"/>
        <v>AFR000</v>
      </c>
      <c r="V142" s="218" t="str">
        <f t="shared" si="39"/>
        <v>###</v>
      </c>
      <c r="W142" s="218">
        <v>0</v>
      </c>
      <c r="X142" s="218" t="str">
        <f>""</f>
        <v/>
      </c>
      <c r="Y142" s="218">
        <v>17.43</v>
      </c>
      <c r="Z142" s="218">
        <v>23</v>
      </c>
      <c r="AA142" s="218">
        <v>20.7</v>
      </c>
    </row>
    <row r="143" spans="1:27">
      <c r="A143" s="218" t="s">
        <v>2592</v>
      </c>
      <c r="F143" s="219" t="str">
        <f>"""IntAlert Live"",""ALERT UK"",""17"",""1"",""534788"""</f>
        <v>"IntAlert Live","ALERT UK","17","1","534788"</v>
      </c>
      <c r="G143" s="223">
        <v>43890</v>
      </c>
      <c r="H143" s="223"/>
      <c r="I143" s="218" t="str">
        <f>""</f>
        <v/>
      </c>
      <c r="K143" s="218" t="str">
        <f>"HR SCF CHG FEB20"</f>
        <v>HR SCF CHG FEB20</v>
      </c>
      <c r="L143" s="218" t="str">
        <f>"HR SCF CHG FEB20"</f>
        <v>HR SCF CHG FEB20</v>
      </c>
      <c r="M143" s="218" t="str">
        <f>"5100"</f>
        <v>5100</v>
      </c>
      <c r="N143" s="218" t="str">
        <f>"BASIC EMPLOYMENT COSTS"</f>
        <v>BASIC EMPLOYMENT COSTS</v>
      </c>
      <c r="O143" s="218" t="str">
        <f>"UNILON"</f>
        <v>UNILON</v>
      </c>
      <c r="P143" s="218" t="str">
        <f t="shared" si="43"/>
        <v>AP21QR</v>
      </c>
      <c r="Q143" s="218" t="str">
        <f>"SIB"</f>
        <v>SIB</v>
      </c>
      <c r="R143" s="218" t="str">
        <f>""</f>
        <v/>
      </c>
      <c r="S143" s="218" t="str">
        <f t="shared" si="35"/>
        <v>056</v>
      </c>
      <c r="T143" s="218" t="str">
        <f>"C"</f>
        <v>C</v>
      </c>
      <c r="U143" s="218" t="str">
        <f t="shared" si="44"/>
        <v>AFR000</v>
      </c>
      <c r="V143" s="218" t="str">
        <f t="shared" si="39"/>
        <v>###</v>
      </c>
      <c r="W143" s="218">
        <v>0</v>
      </c>
      <c r="X143" s="218" t="str">
        <f>""</f>
        <v/>
      </c>
      <c r="Y143" s="218">
        <v>10.46</v>
      </c>
      <c r="Z143" s="218">
        <v>13.8</v>
      </c>
      <c r="AA143" s="218">
        <v>12.43</v>
      </c>
    </row>
    <row r="144" spans="1:27">
      <c r="A144" s="218" t="s">
        <v>2592</v>
      </c>
      <c r="F144" s="219" t="str">
        <f>"""IntAlert Live"",""ALERT UK"",""17"",""1"",""535018"""</f>
        <v>"IntAlert Live","ALERT UK","17","1","535018"</v>
      </c>
      <c r="G144" s="223">
        <v>43890</v>
      </c>
      <c r="H144" s="223"/>
      <c r="I144" s="218" t="str">
        <f>""</f>
        <v/>
      </c>
      <c r="K144" s="218" t="str">
        <f>"PR FEB JNL"</f>
        <v>PR FEB JNL</v>
      </c>
      <c r="L144" s="218" t="str">
        <f>"S Jeanbosco  10%"</f>
        <v>S Jeanbosco  10%</v>
      </c>
      <c r="M144" s="218" t="str">
        <f>"5100"</f>
        <v>5100</v>
      </c>
      <c r="N144" s="218" t="str">
        <f>"BASIC EMPLOYMENT COSTS"</f>
        <v>BASIC EMPLOYMENT COSTS</v>
      </c>
      <c r="O144" s="218" t="str">
        <f>"UNILON"</f>
        <v>UNILON</v>
      </c>
      <c r="P144" s="218" t="str">
        <f t="shared" si="43"/>
        <v>AP21QR</v>
      </c>
      <c r="Q144" s="218" t="str">
        <f>"SIB"</f>
        <v>SIB</v>
      </c>
      <c r="R144" s="218" t="str">
        <f>""</f>
        <v/>
      </c>
      <c r="S144" s="218" t="str">
        <f t="shared" ref="S144:S166" si="45">"056"</f>
        <v>056</v>
      </c>
      <c r="T144" s="218" t="str">
        <f t="shared" ref="T144:T164" si="46">"D"</f>
        <v>D</v>
      </c>
      <c r="U144" s="218" t="str">
        <f t="shared" si="44"/>
        <v>AFR000</v>
      </c>
      <c r="V144" s="218" t="str">
        <f t="shared" si="39"/>
        <v>###</v>
      </c>
      <c r="W144" s="218">
        <v>0</v>
      </c>
      <c r="X144" s="218" t="str">
        <f>""</f>
        <v/>
      </c>
      <c r="Y144" s="218">
        <v>348.66</v>
      </c>
      <c r="Z144" s="218">
        <v>459.99</v>
      </c>
      <c r="AA144" s="218">
        <v>414.17</v>
      </c>
    </row>
    <row r="145" spans="1:27">
      <c r="A145" s="218" t="s">
        <v>2592</v>
      </c>
      <c r="F145" s="219" t="str">
        <f>"""IntAlert Live"",""ALERT UK"",""17"",""1"",""535311"""</f>
        <v>"IntAlert Live","ALERT UK","17","1","535311"</v>
      </c>
      <c r="G145" s="223">
        <v>43890</v>
      </c>
      <c r="H145" s="223"/>
      <c r="I145" s="218" t="str">
        <f>""</f>
        <v/>
      </c>
      <c r="K145" s="218" t="str">
        <f>"PR FEB JNL"</f>
        <v>PR FEB JNL</v>
      </c>
      <c r="L145" s="218" t="str">
        <f>"S Jeanbosco  10%"</f>
        <v>S Jeanbosco  10%</v>
      </c>
      <c r="M145" s="218" t="str">
        <f>"5110"</f>
        <v>5110</v>
      </c>
      <c r="N145" s="218" t="str">
        <f>"EMPLOYER'S PENSION COSTS"</f>
        <v>EMPLOYER'S PENSION COSTS</v>
      </c>
      <c r="O145" s="218" t="str">
        <f>"UNILON"</f>
        <v>UNILON</v>
      </c>
      <c r="P145" s="218" t="str">
        <f t="shared" si="43"/>
        <v>AP21QR</v>
      </c>
      <c r="Q145" s="218" t="str">
        <f>"SIB"</f>
        <v>SIB</v>
      </c>
      <c r="R145" s="218" t="str">
        <f>""</f>
        <v/>
      </c>
      <c r="S145" s="218" t="str">
        <f t="shared" si="45"/>
        <v>056</v>
      </c>
      <c r="T145" s="218" t="str">
        <f t="shared" si="46"/>
        <v>D</v>
      </c>
      <c r="U145" s="218" t="str">
        <f t="shared" si="44"/>
        <v>AFR000</v>
      </c>
      <c r="V145" s="218" t="str">
        <f t="shared" si="39"/>
        <v>###</v>
      </c>
      <c r="W145" s="218">
        <v>0</v>
      </c>
      <c r="X145" s="218" t="str">
        <f>""</f>
        <v/>
      </c>
      <c r="Y145" s="218">
        <v>34.869999999999997</v>
      </c>
      <c r="Z145" s="218">
        <v>46</v>
      </c>
      <c r="AA145" s="218">
        <v>41.42</v>
      </c>
    </row>
    <row r="146" spans="1:27">
      <c r="A146" s="218" t="s">
        <v>2592</v>
      </c>
      <c r="F146" s="219" t="str">
        <f>"""IntAlert Live"",""ALERT UK"",""17"",""1"",""537631"""</f>
        <v>"IntAlert Live","ALERT UK","17","1","537631"</v>
      </c>
      <c r="G146" s="223">
        <v>43892</v>
      </c>
      <c r="H146" s="223"/>
      <c r="I146" s="218" t="str">
        <f>"DRCGOM/ CAISSE/2020/003/001"</f>
        <v>DRCGOM/ CAISSE/2020/003/001</v>
      </c>
      <c r="K146" s="218" t="str">
        <f>"ONEM FEB 2020"</f>
        <v>ONEM FEB 2020</v>
      </c>
      <c r="L146" s="218" t="str">
        <f>"ONEM-Jerome Mondo Kambere"</f>
        <v>ONEM-Jerome Mondo Kambere</v>
      </c>
      <c r="M146" s="218" t="str">
        <f>"5150"</f>
        <v>5150</v>
      </c>
      <c r="N146" s="218" t="str">
        <f>"EMPLOYMENT RELOCATION COSTS"</f>
        <v>EMPLOYMENT RELOCATION COSTS</v>
      </c>
      <c r="O146" s="218" t="str">
        <f>"DRCGOM"</f>
        <v>DRCGOM</v>
      </c>
      <c r="P146" s="218" t="str">
        <f t="shared" si="43"/>
        <v>AP21QR</v>
      </c>
      <c r="Q146" s="218" t="str">
        <f>"KAE"</f>
        <v>KAE</v>
      </c>
      <c r="R146" s="218" t="str">
        <f>""</f>
        <v/>
      </c>
      <c r="S146" s="218" t="str">
        <f t="shared" si="45"/>
        <v>056</v>
      </c>
      <c r="T146" s="218" t="str">
        <f t="shared" si="46"/>
        <v>D</v>
      </c>
      <c r="U146" s="218" t="str">
        <f t="shared" si="44"/>
        <v>AFR000</v>
      </c>
      <c r="V146" s="218" t="str">
        <f t="shared" si="39"/>
        <v>###</v>
      </c>
      <c r="W146" s="218">
        <v>0.33</v>
      </c>
      <c r="X146" s="218" t="str">
        <f t="shared" ref="X146:X162" si="47">"USD"</f>
        <v>USD</v>
      </c>
      <c r="Y146" s="218">
        <v>0.26</v>
      </c>
      <c r="Z146" s="218">
        <v>0.33</v>
      </c>
      <c r="AA146" s="218">
        <v>0.31</v>
      </c>
    </row>
    <row r="147" spans="1:27">
      <c r="A147" s="218" t="s">
        <v>2592</v>
      </c>
      <c r="F147" s="219" t="str">
        <f>"""IntAlert Live"",""ALERT UK"",""17"",""1"",""540124"""</f>
        <v>"IntAlert Live","ALERT UK","17","1","540124"</v>
      </c>
      <c r="G147" s="223">
        <v>43893</v>
      </c>
      <c r="H147" s="223"/>
      <c r="I147" s="218" t="str">
        <f>"DRCBUK/CAISSE/2020/03/001"</f>
        <v>DRCBUK/CAISSE/2020/03/001</v>
      </c>
      <c r="K147" s="218" t="str">
        <f>"ONEM"</f>
        <v>ONEM</v>
      </c>
      <c r="L147" s="218" t="str">
        <f>"ONEM Feb20-Christian MUTOKAMBALI MBONEKUBE"</f>
        <v>ONEM Feb20-Christian MUTOKAMBALI MBONEKUBE</v>
      </c>
      <c r="M147" s="218" t="str">
        <f>"5160"</f>
        <v>5160</v>
      </c>
      <c r="N147" s="218" t="str">
        <f>"EMPLOYMENT BENEFITS COSTS"</f>
        <v>EMPLOYMENT BENEFITS COSTS</v>
      </c>
      <c r="O147" s="218" t="str">
        <f>"DRCBUK"</f>
        <v>DRCBUK</v>
      </c>
      <c r="P147" s="218" t="str">
        <f t="shared" si="43"/>
        <v>AP21QR</v>
      </c>
      <c r="Q147" s="218" t="str">
        <f>"MBO"</f>
        <v>MBO</v>
      </c>
      <c r="R147" s="218" t="str">
        <f>""</f>
        <v/>
      </c>
      <c r="S147" s="218" t="str">
        <f t="shared" si="45"/>
        <v>056</v>
      </c>
      <c r="T147" s="218" t="str">
        <f t="shared" si="46"/>
        <v>D</v>
      </c>
      <c r="U147" s="218" t="str">
        <f t="shared" si="44"/>
        <v>AFR000</v>
      </c>
      <c r="V147" s="218" t="str">
        <f t="shared" si="39"/>
        <v>###</v>
      </c>
      <c r="W147" s="218">
        <v>1.32</v>
      </c>
      <c r="X147" s="218" t="str">
        <f t="shared" si="47"/>
        <v>USD</v>
      </c>
      <c r="Y147" s="218">
        <v>1.03</v>
      </c>
      <c r="Z147" s="218">
        <v>1.32</v>
      </c>
      <c r="AA147" s="218">
        <v>1.21</v>
      </c>
    </row>
    <row r="148" spans="1:27">
      <c r="A148" s="218" t="s">
        <v>2592</v>
      </c>
      <c r="F148" s="219" t="str">
        <f>"""IntAlert Live"",""ALERT UK"",""17"",""1"",""540146"""</f>
        <v>"IntAlert Live","ALERT UK","17","1","540146"</v>
      </c>
      <c r="G148" s="223">
        <v>43893</v>
      </c>
      <c r="H148" s="223"/>
      <c r="I148" s="218" t="str">
        <f>"DRCBUK/CAISSE/2020/03/001"</f>
        <v>DRCBUK/CAISSE/2020/03/001</v>
      </c>
      <c r="K148" s="218" t="str">
        <f>"ONEM"</f>
        <v>ONEM</v>
      </c>
      <c r="L148" s="218" t="str">
        <f>"ONEM Feb20-Christian CISHIBANJI CIZUNGU"</f>
        <v>ONEM Feb20-Christian CISHIBANJI CIZUNGU</v>
      </c>
      <c r="M148" s="218" t="str">
        <f>"5160"</f>
        <v>5160</v>
      </c>
      <c r="N148" s="218" t="str">
        <f>"EMPLOYMENT BENEFITS COSTS"</f>
        <v>EMPLOYMENT BENEFITS COSTS</v>
      </c>
      <c r="O148" s="218" t="str">
        <f>"DRCBUK"</f>
        <v>DRCBUK</v>
      </c>
      <c r="P148" s="218" t="str">
        <f t="shared" si="43"/>
        <v>AP21QR</v>
      </c>
      <c r="Q148" s="218" t="str">
        <f>"CCI"</f>
        <v>CCI</v>
      </c>
      <c r="R148" s="218" t="str">
        <f>""</f>
        <v/>
      </c>
      <c r="S148" s="218" t="str">
        <f t="shared" si="45"/>
        <v>056</v>
      </c>
      <c r="T148" s="218" t="str">
        <f t="shared" si="46"/>
        <v>D</v>
      </c>
      <c r="U148" s="218" t="str">
        <f t="shared" si="44"/>
        <v>AFR000</v>
      </c>
      <c r="V148" s="218" t="str">
        <f t="shared" si="39"/>
        <v>###</v>
      </c>
      <c r="W148" s="218">
        <v>1.17</v>
      </c>
      <c r="X148" s="218" t="str">
        <f t="shared" si="47"/>
        <v>USD</v>
      </c>
      <c r="Y148" s="218">
        <v>0.91</v>
      </c>
      <c r="Z148" s="218">
        <v>1.17</v>
      </c>
      <c r="AA148" s="218">
        <v>1.07</v>
      </c>
    </row>
    <row r="149" spans="1:27">
      <c r="A149" s="218" t="s">
        <v>2592</v>
      </c>
      <c r="F149" s="219" t="str">
        <f>"""IntAlert Live"",""ALERT UK"",""17"",""1"",""540183"""</f>
        <v>"IntAlert Live","ALERT UK","17","1","540183"</v>
      </c>
      <c r="G149" s="223">
        <v>43916</v>
      </c>
      <c r="H149" s="223"/>
      <c r="I149" s="218" t="str">
        <f>"DRCBUK/CAISSE/2020/03/001"</f>
        <v>DRCBUK/CAISSE/2020/03/001</v>
      </c>
      <c r="K149" s="218" t="str">
        <f>"ONEM"</f>
        <v>ONEM</v>
      </c>
      <c r="L149" s="218" t="str">
        <f>"ONEM March20-Christian MUTOKAMBALI MBONEKUBE"</f>
        <v>ONEM March20-Christian MUTOKAMBALI MBONEKUBE</v>
      </c>
      <c r="M149" s="218" t="str">
        <f>"5160"</f>
        <v>5160</v>
      </c>
      <c r="N149" s="218" t="str">
        <f>"EMPLOYMENT BENEFITS COSTS"</f>
        <v>EMPLOYMENT BENEFITS COSTS</v>
      </c>
      <c r="O149" s="218" t="str">
        <f>"DRCBUK"</f>
        <v>DRCBUK</v>
      </c>
      <c r="P149" s="218" t="str">
        <f t="shared" si="43"/>
        <v>AP21QR</v>
      </c>
      <c r="Q149" s="218" t="str">
        <f>"MBO"</f>
        <v>MBO</v>
      </c>
      <c r="R149" s="218" t="str">
        <f>""</f>
        <v/>
      </c>
      <c r="S149" s="218" t="str">
        <f t="shared" si="45"/>
        <v>056</v>
      </c>
      <c r="T149" s="218" t="str">
        <f t="shared" si="46"/>
        <v>D</v>
      </c>
      <c r="U149" s="218" t="str">
        <f t="shared" si="44"/>
        <v>AFR000</v>
      </c>
      <c r="V149" s="218" t="str">
        <f t="shared" si="39"/>
        <v>###</v>
      </c>
      <c r="W149" s="218">
        <v>1.48</v>
      </c>
      <c r="X149" s="218" t="str">
        <f t="shared" si="47"/>
        <v>USD</v>
      </c>
      <c r="Y149" s="218">
        <v>1.1499999999999999</v>
      </c>
      <c r="Z149" s="218">
        <v>1.48</v>
      </c>
      <c r="AA149" s="218">
        <v>1.35</v>
      </c>
    </row>
    <row r="150" spans="1:27">
      <c r="A150" s="218" t="s">
        <v>2592</v>
      </c>
      <c r="F150" s="219" t="str">
        <f>"""IntAlert Live"",""ALERT UK"",""17"",""1"",""540204"""</f>
        <v>"IntAlert Live","ALERT UK","17","1","540204"</v>
      </c>
      <c r="G150" s="223">
        <v>43916</v>
      </c>
      <c r="H150" s="223"/>
      <c r="I150" s="218" t="str">
        <f>"DRCBUK/CAISSE/2020/03/001"</f>
        <v>DRCBUK/CAISSE/2020/03/001</v>
      </c>
      <c r="K150" s="218" t="str">
        <f>"ONEM"</f>
        <v>ONEM</v>
      </c>
      <c r="L150" s="218" t="str">
        <f>"ONEM March20-Christian CISHIBANJI CIZUNGU"</f>
        <v>ONEM March20-Christian CISHIBANJI CIZUNGU</v>
      </c>
      <c r="M150" s="218" t="str">
        <f>"5160"</f>
        <v>5160</v>
      </c>
      <c r="N150" s="218" t="str">
        <f>"EMPLOYMENT BENEFITS COSTS"</f>
        <v>EMPLOYMENT BENEFITS COSTS</v>
      </c>
      <c r="O150" s="218" t="str">
        <f>"DRCBUK"</f>
        <v>DRCBUK</v>
      </c>
      <c r="P150" s="218" t="str">
        <f t="shared" si="43"/>
        <v>AP21QR</v>
      </c>
      <c r="Q150" s="218" t="str">
        <f>"CCI"</f>
        <v>CCI</v>
      </c>
      <c r="R150" s="218" t="str">
        <f>""</f>
        <v/>
      </c>
      <c r="S150" s="218" t="str">
        <f t="shared" si="45"/>
        <v>056</v>
      </c>
      <c r="T150" s="218" t="str">
        <f t="shared" si="46"/>
        <v>D</v>
      </c>
      <c r="U150" s="218" t="str">
        <f t="shared" si="44"/>
        <v>AFR000</v>
      </c>
      <c r="V150" s="218" t="str">
        <f t="shared" si="39"/>
        <v>###</v>
      </c>
      <c r="W150" s="218">
        <v>1.88</v>
      </c>
      <c r="X150" s="218" t="str">
        <f t="shared" si="47"/>
        <v>USD</v>
      </c>
      <c r="Y150" s="218">
        <v>1.47</v>
      </c>
      <c r="Z150" s="218">
        <v>1.88</v>
      </c>
      <c r="AA150" s="218">
        <v>1.73</v>
      </c>
    </row>
    <row r="151" spans="1:27">
      <c r="A151" s="218" t="s">
        <v>2592</v>
      </c>
      <c r="F151" s="219" t="str">
        <f>"""IntAlert Live"",""ALERT UK"",""17"",""1"",""537279"""</f>
        <v>"IntAlert Live","ALERT UK","17","1","537279"</v>
      </c>
      <c r="G151" s="223">
        <v>43921</v>
      </c>
      <c r="H151" s="223"/>
      <c r="I151" s="218" t="str">
        <f>"DRCGOM/BANQUE/2020/003/019"</f>
        <v>DRCGOM/BANQUE/2020/003/019</v>
      </c>
      <c r="K151" s="218" t="str">
        <f>"SALAIRE-JEROME MONDO KAMBERE"</f>
        <v>SALAIRE-JEROME MONDO KAMBERE</v>
      </c>
      <c r="L151" s="218" t="str">
        <f>"Salaire-March20-Jerome Mondo Kambere 10%"</f>
        <v>Salaire-March20-Jerome Mondo Kambere 10%</v>
      </c>
      <c r="M151" s="218" t="str">
        <f>"5100"</f>
        <v>5100</v>
      </c>
      <c r="N151" s="218" t="str">
        <f>"BASIC EMPLOYMENT COSTS"</f>
        <v>BASIC EMPLOYMENT COSTS</v>
      </c>
      <c r="O151" s="218" t="str">
        <f>"DRCGOM"</f>
        <v>DRCGOM</v>
      </c>
      <c r="P151" s="218" t="str">
        <f t="shared" si="43"/>
        <v>AP21QR</v>
      </c>
      <c r="Q151" s="218" t="str">
        <f>"KAE"</f>
        <v>KAE</v>
      </c>
      <c r="R151" s="218" t="str">
        <f>""</f>
        <v/>
      </c>
      <c r="S151" s="218" t="str">
        <f t="shared" si="45"/>
        <v>056</v>
      </c>
      <c r="T151" s="218" t="str">
        <f t="shared" si="46"/>
        <v>D</v>
      </c>
      <c r="U151" s="218" t="str">
        <f t="shared" si="44"/>
        <v>AFR000</v>
      </c>
      <c r="V151" s="218" t="str">
        <f t="shared" si="39"/>
        <v>###</v>
      </c>
      <c r="W151" s="218">
        <v>216.26</v>
      </c>
      <c r="X151" s="218" t="str">
        <f t="shared" si="47"/>
        <v>USD</v>
      </c>
      <c r="Y151" s="218">
        <v>168.69</v>
      </c>
      <c r="Z151" s="218">
        <v>216.26</v>
      </c>
      <c r="AA151" s="218">
        <v>198.47</v>
      </c>
    </row>
    <row r="152" spans="1:27">
      <c r="A152" s="218" t="s">
        <v>2592</v>
      </c>
      <c r="F152" s="219" t="str">
        <f>"""IntAlert Live"",""ALERT UK"",""17"",""1"",""537343"""</f>
        <v>"IntAlert Live","ALERT UK","17","1","537343"</v>
      </c>
      <c r="G152" s="223">
        <v>43921</v>
      </c>
      <c r="H152" s="223"/>
      <c r="I152" s="218" t="str">
        <f>"DRCGOM/BANQUE/2020/003/020"</f>
        <v>DRCGOM/BANQUE/2020/003/020</v>
      </c>
      <c r="K152" s="218" t="str">
        <f>"CNSS MARCH 2020"</f>
        <v>CNSS MARCH 2020</v>
      </c>
      <c r="L152" s="218" t="str">
        <f>"CNSS-MARCH20--Jerome Mondo Kambere 10%"</f>
        <v>CNSS-MARCH20--Jerome Mondo Kambere 10%</v>
      </c>
      <c r="M152" s="218" t="str">
        <f>"5110"</f>
        <v>5110</v>
      </c>
      <c r="N152" s="218" t="str">
        <f>"EMPLOYER'S PENSION COSTS"</f>
        <v>EMPLOYER'S PENSION COSTS</v>
      </c>
      <c r="O152" s="218" t="str">
        <f>"DRCGOM"</f>
        <v>DRCGOM</v>
      </c>
      <c r="P152" s="218" t="str">
        <f t="shared" si="43"/>
        <v>AP21QR</v>
      </c>
      <c r="Q152" s="218" t="str">
        <f>"KAE"</f>
        <v>KAE</v>
      </c>
      <c r="R152" s="218" t="str">
        <f>""</f>
        <v/>
      </c>
      <c r="S152" s="218" t="str">
        <f t="shared" si="45"/>
        <v>056</v>
      </c>
      <c r="T152" s="218" t="str">
        <f t="shared" si="46"/>
        <v>D</v>
      </c>
      <c r="U152" s="218" t="str">
        <f t="shared" si="44"/>
        <v>AFR000</v>
      </c>
      <c r="V152" s="218" t="str">
        <f t="shared" si="39"/>
        <v>###</v>
      </c>
      <c r="W152" s="218">
        <v>29.81</v>
      </c>
      <c r="X152" s="218" t="str">
        <f t="shared" si="47"/>
        <v>USD</v>
      </c>
      <c r="Y152" s="218">
        <v>23.25</v>
      </c>
      <c r="Z152" s="218">
        <v>29.81</v>
      </c>
      <c r="AA152" s="218">
        <v>27.35</v>
      </c>
    </row>
    <row r="153" spans="1:27">
      <c r="A153" s="218" t="s">
        <v>2592</v>
      </c>
      <c r="F153" s="219" t="str">
        <f>"""IntAlert Live"",""ALERT UK"",""17"",""1"",""537406"""</f>
        <v>"IntAlert Live","ALERT UK","17","1","537406"</v>
      </c>
      <c r="G153" s="223">
        <v>43921</v>
      </c>
      <c r="H153" s="223"/>
      <c r="I153" s="218" t="str">
        <f>"DRCGOM/BANQUE/2020/003/021"</f>
        <v>DRCGOM/BANQUE/2020/003/021</v>
      </c>
      <c r="K153" s="218" t="str">
        <f>"INPP MARCH 2020"</f>
        <v>INPP MARCH 2020</v>
      </c>
      <c r="L153" s="218" t="str">
        <f>"INPP-March20-Jerome Mondo Kambere 10%"</f>
        <v>INPP-March20-Jerome Mondo Kambere 10%</v>
      </c>
      <c r="M153" s="218" t="str">
        <f>"5150"</f>
        <v>5150</v>
      </c>
      <c r="N153" s="218" t="str">
        <f>"EMPLOYMENT RELOCATION COSTS"</f>
        <v>EMPLOYMENT RELOCATION COSTS</v>
      </c>
      <c r="O153" s="218" t="str">
        <f>"DRCGOM"</f>
        <v>DRCGOM</v>
      </c>
      <c r="P153" s="218" t="str">
        <f t="shared" si="43"/>
        <v>AP21QR</v>
      </c>
      <c r="Q153" s="218" t="str">
        <f>"KAE"</f>
        <v>KAE</v>
      </c>
      <c r="R153" s="218" t="str">
        <f>""</f>
        <v/>
      </c>
      <c r="S153" s="218" t="str">
        <f t="shared" si="45"/>
        <v>056</v>
      </c>
      <c r="T153" s="218" t="str">
        <f t="shared" si="46"/>
        <v>D</v>
      </c>
      <c r="U153" s="218" t="str">
        <f t="shared" si="44"/>
        <v>AFR000</v>
      </c>
      <c r="V153" s="218" t="str">
        <f t="shared" si="39"/>
        <v>###</v>
      </c>
      <c r="W153" s="218">
        <v>4.97</v>
      </c>
      <c r="X153" s="218" t="str">
        <f t="shared" si="47"/>
        <v>USD</v>
      </c>
      <c r="Y153" s="218">
        <v>3.88</v>
      </c>
      <c r="Z153" s="218">
        <v>4.97</v>
      </c>
      <c r="AA153" s="218">
        <v>4.5599999999999996</v>
      </c>
    </row>
    <row r="154" spans="1:27">
      <c r="A154" s="218" t="s">
        <v>2592</v>
      </c>
      <c r="F154" s="219" t="str">
        <f>"""IntAlert Live"",""ALERT UK"",""17"",""1"",""537777"""</f>
        <v>"IntAlert Live","ALERT UK","17","1","537777"</v>
      </c>
      <c r="G154" s="223">
        <v>43921</v>
      </c>
      <c r="H154" s="223"/>
      <c r="I154" s="218" t="str">
        <f>"DRCGOM/ CAISSE/2020/003/003"</f>
        <v>DRCGOM/ CAISSE/2020/003/003</v>
      </c>
      <c r="K154" s="218" t="str">
        <f>"ONEM MARCH 2020"</f>
        <v>ONEM MARCH 2020</v>
      </c>
      <c r="L154" s="218" t="str">
        <f>"ONEM-Jerome Mondo Kambere"</f>
        <v>ONEM-Jerome Mondo Kambere</v>
      </c>
      <c r="M154" s="218" t="str">
        <f>"5150"</f>
        <v>5150</v>
      </c>
      <c r="N154" s="218" t="str">
        <f>"EMPLOYMENT RELOCATION COSTS"</f>
        <v>EMPLOYMENT RELOCATION COSTS</v>
      </c>
      <c r="O154" s="218" t="str">
        <f>"DRCGOM"</f>
        <v>DRCGOM</v>
      </c>
      <c r="P154" s="218" t="str">
        <f t="shared" si="43"/>
        <v>AP21QR</v>
      </c>
      <c r="Q154" s="218" t="str">
        <f>"KAE"</f>
        <v>KAE</v>
      </c>
      <c r="R154" s="218" t="str">
        <f>""</f>
        <v/>
      </c>
      <c r="S154" s="218" t="str">
        <f t="shared" si="45"/>
        <v>056</v>
      </c>
      <c r="T154" s="218" t="str">
        <f t="shared" si="46"/>
        <v>D</v>
      </c>
      <c r="U154" s="218" t="str">
        <f t="shared" si="44"/>
        <v>AFR000</v>
      </c>
      <c r="V154" s="218" t="str">
        <f t="shared" ref="V154:V187" si="48">"###"</f>
        <v>###</v>
      </c>
      <c r="W154" s="218">
        <v>0.33</v>
      </c>
      <c r="X154" s="218" t="str">
        <f t="shared" si="47"/>
        <v>USD</v>
      </c>
      <c r="Y154" s="218">
        <v>0.26</v>
      </c>
      <c r="Z154" s="218">
        <v>0.33</v>
      </c>
      <c r="AA154" s="218">
        <v>0.31</v>
      </c>
    </row>
    <row r="155" spans="1:27">
      <c r="A155" s="218" t="s">
        <v>2592</v>
      </c>
      <c r="F155" s="219" t="str">
        <f>"""IntAlert Live"",""ALERT UK"",""17"",""1"",""539856"""</f>
        <v>"IntAlert Live","ALERT UK","17","1","539856"</v>
      </c>
      <c r="G155" s="223">
        <v>43921</v>
      </c>
      <c r="H155" s="223"/>
      <c r="I155" s="218" t="str">
        <f>"DRCBUK/BANK/2020/03/029"</f>
        <v>DRCBUK/BANK/2020/03/029</v>
      </c>
      <c r="K155" s="218" t="str">
        <f>"CHRISTIAN MUTOKAMBALI MBONEKUBE"</f>
        <v>CHRISTIAN MUTOKAMBALI MBONEKUBE</v>
      </c>
      <c r="L155" s="218" t="str">
        <f>"Salaire Mars20-Christian MUTOKAMBALI MBONEKUBE"</f>
        <v>Salaire Mars20-Christian MUTOKAMBALI MBONEKUBE</v>
      </c>
      <c r="M155" s="218" t="str">
        <f>"5100"</f>
        <v>5100</v>
      </c>
      <c r="N155" s="218" t="str">
        <f>"BASIC EMPLOYMENT COSTS"</f>
        <v>BASIC EMPLOYMENT COSTS</v>
      </c>
      <c r="O155" s="218" t="str">
        <f t="shared" ref="O155:O162" si="49">"DRCBUK"</f>
        <v>DRCBUK</v>
      </c>
      <c r="P155" s="218" t="str">
        <f t="shared" si="43"/>
        <v>AP21QR</v>
      </c>
      <c r="Q155" s="218" t="str">
        <f>"MBO"</f>
        <v>MBO</v>
      </c>
      <c r="R155" s="218" t="str">
        <f>""</f>
        <v/>
      </c>
      <c r="S155" s="218" t="str">
        <f t="shared" si="45"/>
        <v>056</v>
      </c>
      <c r="T155" s="218" t="str">
        <f t="shared" si="46"/>
        <v>D</v>
      </c>
      <c r="U155" s="218" t="str">
        <f t="shared" si="44"/>
        <v>AFR000</v>
      </c>
      <c r="V155" s="218" t="str">
        <f t="shared" si="48"/>
        <v>###</v>
      </c>
      <c r="W155" s="218">
        <v>829.6</v>
      </c>
      <c r="X155" s="218" t="str">
        <f t="shared" si="47"/>
        <v>USD</v>
      </c>
      <c r="Y155" s="218">
        <v>647.13</v>
      </c>
      <c r="Z155" s="218">
        <v>829.6</v>
      </c>
      <c r="AA155" s="218">
        <v>761.37</v>
      </c>
    </row>
    <row r="156" spans="1:27">
      <c r="A156" s="218" t="s">
        <v>2592</v>
      </c>
      <c r="F156" s="219" t="str">
        <f>"""IntAlert Live"",""ALERT UK"",""17"",""1"",""539876"""</f>
        <v>"IntAlert Live","ALERT UK","17","1","539876"</v>
      </c>
      <c r="G156" s="223">
        <v>43921</v>
      </c>
      <c r="H156" s="223"/>
      <c r="I156" s="218" t="str">
        <f>"DRCBUK/BANK/2020/03/029"</f>
        <v>DRCBUK/BANK/2020/03/029</v>
      </c>
      <c r="K156" s="218" t="str">
        <f>"CHRISTIAN CISHIBANJI CIZUNGU"</f>
        <v>CHRISTIAN CISHIBANJI CIZUNGU</v>
      </c>
      <c r="L156" s="218" t="str">
        <f>"Salaire Mars20-Christian CISHIBANJI CIZUNGU"</f>
        <v>Salaire Mars20-Christian CISHIBANJI CIZUNGU</v>
      </c>
      <c r="M156" s="218" t="str">
        <f>"5100"</f>
        <v>5100</v>
      </c>
      <c r="N156" s="218" t="str">
        <f>"BASIC EMPLOYMENT COSTS"</f>
        <v>BASIC EMPLOYMENT COSTS</v>
      </c>
      <c r="O156" s="218" t="str">
        <f t="shared" si="49"/>
        <v>DRCBUK</v>
      </c>
      <c r="P156" s="218" t="str">
        <f t="shared" si="43"/>
        <v>AP21QR</v>
      </c>
      <c r="Q156" s="218" t="str">
        <f>"CCI"</f>
        <v>CCI</v>
      </c>
      <c r="R156" s="218" t="str">
        <f>""</f>
        <v/>
      </c>
      <c r="S156" s="218" t="str">
        <f t="shared" si="45"/>
        <v>056</v>
      </c>
      <c r="T156" s="218" t="str">
        <f t="shared" si="46"/>
        <v>D</v>
      </c>
      <c r="U156" s="218" t="str">
        <f t="shared" si="44"/>
        <v>AFR000</v>
      </c>
      <c r="V156" s="218" t="str">
        <f t="shared" si="48"/>
        <v>###</v>
      </c>
      <c r="W156" s="218">
        <v>1053.01</v>
      </c>
      <c r="X156" s="218" t="str">
        <f t="shared" si="47"/>
        <v>USD</v>
      </c>
      <c r="Y156" s="218">
        <v>821.4</v>
      </c>
      <c r="Z156" s="218">
        <v>1053.01</v>
      </c>
      <c r="AA156" s="218">
        <v>966.41</v>
      </c>
    </row>
    <row r="157" spans="1:27">
      <c r="A157" s="218" t="s">
        <v>2592</v>
      </c>
      <c r="F157" s="219" t="str">
        <f>"""IntAlert Live"",""ALERT UK"",""17"",""1"",""539892"""</f>
        <v>"IntAlert Live","ALERT UK","17","1","539892"</v>
      </c>
      <c r="G157" s="223">
        <v>43921</v>
      </c>
      <c r="H157" s="223"/>
      <c r="I157" s="218" t="str">
        <f>"DRCBUK/BANK/2020/03/030"</f>
        <v>DRCBUK/BANK/2020/03/030</v>
      </c>
      <c r="K157" s="218" t="str">
        <f>"DGI SUD-KIVU"</f>
        <v>DGI SUD-KIVU</v>
      </c>
      <c r="L157" s="218" t="str">
        <f>"IPR Mars20-Christian MUTOKAMBALI MBONEKUBE"</f>
        <v>IPR Mars20-Christian MUTOKAMBALI MBONEKUBE</v>
      </c>
      <c r="M157" s="218" t="str">
        <f>"5100"</f>
        <v>5100</v>
      </c>
      <c r="N157" s="218" t="str">
        <f>"BASIC EMPLOYMENT COSTS"</f>
        <v>BASIC EMPLOYMENT COSTS</v>
      </c>
      <c r="O157" s="218" t="str">
        <f t="shared" si="49"/>
        <v>DRCBUK</v>
      </c>
      <c r="P157" s="218" t="str">
        <f t="shared" si="43"/>
        <v>AP21QR</v>
      </c>
      <c r="Q157" s="218" t="str">
        <f>"MBO"</f>
        <v>MBO</v>
      </c>
      <c r="R157" s="218" t="str">
        <f>""</f>
        <v/>
      </c>
      <c r="S157" s="218" t="str">
        <f t="shared" si="45"/>
        <v>056</v>
      </c>
      <c r="T157" s="218" t="str">
        <f t="shared" si="46"/>
        <v>D</v>
      </c>
      <c r="U157" s="218" t="str">
        <f t="shared" si="44"/>
        <v>AFR000</v>
      </c>
      <c r="V157" s="218" t="str">
        <f t="shared" si="48"/>
        <v>###</v>
      </c>
      <c r="W157" s="218">
        <v>140.33000000000001</v>
      </c>
      <c r="X157" s="218" t="str">
        <f t="shared" si="47"/>
        <v>USD</v>
      </c>
      <c r="Y157" s="218">
        <v>109.46</v>
      </c>
      <c r="Z157" s="218">
        <v>140.33000000000001</v>
      </c>
      <c r="AA157" s="218">
        <v>128.78</v>
      </c>
    </row>
    <row r="158" spans="1:27">
      <c r="A158" s="218" t="s">
        <v>2592</v>
      </c>
      <c r="F158" s="219" t="str">
        <f>"""IntAlert Live"",""ALERT UK"",""17"",""1"",""539913"""</f>
        <v>"IntAlert Live","ALERT UK","17","1","539913"</v>
      </c>
      <c r="G158" s="223">
        <v>43921</v>
      </c>
      <c r="H158" s="223"/>
      <c r="I158" s="218" t="str">
        <f>"DRCBUK/BANK/2020/03/030"</f>
        <v>DRCBUK/BANK/2020/03/030</v>
      </c>
      <c r="K158" s="218" t="str">
        <f>"DGI SUD-KIVU"</f>
        <v>DGI SUD-KIVU</v>
      </c>
      <c r="L158" s="218" t="str">
        <f>"IPR Mars20-Christian CISHIBANJI CIZUNGU"</f>
        <v>IPR Mars20-Christian CISHIBANJI CIZUNGU</v>
      </c>
      <c r="M158" s="218" t="str">
        <f>"5100"</f>
        <v>5100</v>
      </c>
      <c r="N158" s="218" t="str">
        <f>"BASIC EMPLOYMENT COSTS"</f>
        <v>BASIC EMPLOYMENT COSTS</v>
      </c>
      <c r="O158" s="218" t="str">
        <f t="shared" si="49"/>
        <v>DRCBUK</v>
      </c>
      <c r="P158" s="218" t="str">
        <f t="shared" si="43"/>
        <v>AP21QR</v>
      </c>
      <c r="Q158" s="218" t="str">
        <f>"CCI"</f>
        <v>CCI</v>
      </c>
      <c r="R158" s="218" t="str">
        <f>""</f>
        <v/>
      </c>
      <c r="S158" s="218" t="str">
        <f t="shared" si="45"/>
        <v>056</v>
      </c>
      <c r="T158" s="218" t="str">
        <f t="shared" si="46"/>
        <v>D</v>
      </c>
      <c r="U158" s="218" t="str">
        <f t="shared" si="44"/>
        <v>AFR000</v>
      </c>
      <c r="V158" s="218" t="str">
        <f t="shared" si="48"/>
        <v>###</v>
      </c>
      <c r="W158" s="218">
        <v>179.53</v>
      </c>
      <c r="X158" s="218" t="str">
        <f t="shared" si="47"/>
        <v>USD</v>
      </c>
      <c r="Y158" s="218">
        <v>140.04</v>
      </c>
      <c r="Z158" s="218">
        <v>179.53</v>
      </c>
      <c r="AA158" s="218">
        <v>164.76</v>
      </c>
    </row>
    <row r="159" spans="1:27">
      <c r="A159" s="218" t="s">
        <v>2592</v>
      </c>
      <c r="F159" s="219" t="str">
        <f>"""IntAlert Live"",""ALERT UK"",""17"",""1"",""539930"""</f>
        <v>"IntAlert Live","ALERT UK","17","1","539930"</v>
      </c>
      <c r="G159" s="223">
        <v>43921</v>
      </c>
      <c r="H159" s="223"/>
      <c r="I159" s="218" t="str">
        <f>"DRCBUK/BANK/2020/03/031"</f>
        <v>DRCBUK/BANK/2020/03/031</v>
      </c>
      <c r="K159" s="218" t="str">
        <f>"CNSS SUD-KIVU"</f>
        <v>CNSS SUD-KIVU</v>
      </c>
      <c r="L159" s="218" t="str">
        <f>"CNSS Mars20-Christian MUTOKAMBALI MBONEKUBE"</f>
        <v>CNSS Mars20-Christian MUTOKAMBALI MBONEKUBE</v>
      </c>
      <c r="M159" s="218" t="str">
        <f>"5110"</f>
        <v>5110</v>
      </c>
      <c r="N159" s="218" t="str">
        <f>"EMPLOYER'S PENSION COSTS"</f>
        <v>EMPLOYER'S PENSION COSTS</v>
      </c>
      <c r="O159" s="218" t="str">
        <f t="shared" si="49"/>
        <v>DRCBUK</v>
      </c>
      <c r="P159" s="218" t="str">
        <f t="shared" si="43"/>
        <v>AP21QR</v>
      </c>
      <c r="Q159" s="218" t="str">
        <f>"MBO"</f>
        <v>MBO</v>
      </c>
      <c r="R159" s="218" t="str">
        <f>""</f>
        <v/>
      </c>
      <c r="S159" s="218" t="str">
        <f t="shared" si="45"/>
        <v>056</v>
      </c>
      <c r="T159" s="218" t="str">
        <f t="shared" si="46"/>
        <v>D</v>
      </c>
      <c r="U159" s="218" t="str">
        <f t="shared" si="44"/>
        <v>AFR000</v>
      </c>
      <c r="V159" s="218" t="str">
        <f t="shared" si="48"/>
        <v>###</v>
      </c>
      <c r="W159" s="218">
        <v>133.46</v>
      </c>
      <c r="X159" s="218" t="str">
        <f t="shared" si="47"/>
        <v>USD</v>
      </c>
      <c r="Y159" s="218">
        <v>104.1</v>
      </c>
      <c r="Z159" s="218">
        <v>133.46</v>
      </c>
      <c r="AA159" s="218">
        <v>122.48</v>
      </c>
    </row>
    <row r="160" spans="1:27">
      <c r="A160" s="218" t="s">
        <v>2592</v>
      </c>
      <c r="F160" s="219" t="str">
        <f>"""IntAlert Live"",""ALERT UK"",""17"",""1"",""539951"""</f>
        <v>"IntAlert Live","ALERT UK","17","1","539951"</v>
      </c>
      <c r="G160" s="223">
        <v>43921</v>
      </c>
      <c r="H160" s="223"/>
      <c r="I160" s="218" t="str">
        <f>"DRCBUK/BANK/2020/03/031"</f>
        <v>DRCBUK/BANK/2020/03/031</v>
      </c>
      <c r="K160" s="218" t="str">
        <f>"CNSS SUD-KIVU"</f>
        <v>CNSS SUD-KIVU</v>
      </c>
      <c r="L160" s="218" t="str">
        <f>"CNSS Mars20-Christian CISHIBANJI CIZUNGU"</f>
        <v>CNSS Mars20-Christian CISHIBANJI CIZUNGU</v>
      </c>
      <c r="M160" s="218" t="str">
        <f>"5110"</f>
        <v>5110</v>
      </c>
      <c r="N160" s="218" t="str">
        <f>"EMPLOYER'S PENSION COSTS"</f>
        <v>EMPLOYER'S PENSION COSTS</v>
      </c>
      <c r="O160" s="218" t="str">
        <f t="shared" si="49"/>
        <v>DRCBUK</v>
      </c>
      <c r="P160" s="218" t="str">
        <f t="shared" si="43"/>
        <v>AP21QR</v>
      </c>
      <c r="Q160" s="218" t="str">
        <f>"CCI"</f>
        <v>CCI</v>
      </c>
      <c r="R160" s="218" t="str">
        <f>""</f>
        <v/>
      </c>
      <c r="S160" s="218" t="str">
        <f t="shared" si="45"/>
        <v>056</v>
      </c>
      <c r="T160" s="218" t="str">
        <f t="shared" si="46"/>
        <v>D</v>
      </c>
      <c r="U160" s="218" t="str">
        <f t="shared" si="44"/>
        <v>AFR000</v>
      </c>
      <c r="V160" s="218" t="str">
        <f t="shared" si="48"/>
        <v>###</v>
      </c>
      <c r="W160" s="218">
        <v>168.82</v>
      </c>
      <c r="X160" s="218" t="str">
        <f t="shared" si="47"/>
        <v>USD</v>
      </c>
      <c r="Y160" s="218">
        <v>131.69</v>
      </c>
      <c r="Z160" s="218">
        <v>168.82</v>
      </c>
      <c r="AA160" s="218">
        <v>154.94</v>
      </c>
    </row>
    <row r="161" spans="1:27">
      <c r="A161" s="218" t="s">
        <v>2592</v>
      </c>
      <c r="F161" s="219" t="str">
        <f>"""IntAlert Live"",""ALERT UK"",""17"",""1"",""539967"""</f>
        <v>"IntAlert Live","ALERT UK","17","1","539967"</v>
      </c>
      <c r="G161" s="223">
        <v>43921</v>
      </c>
      <c r="H161" s="223"/>
      <c r="I161" s="218" t="str">
        <f>"DRCBUK/BANK/2020/03/032"</f>
        <v>DRCBUK/BANK/2020/03/032</v>
      </c>
      <c r="K161" s="218" t="str">
        <f>"INPP SUD-KIVU"</f>
        <v>INPP SUD-KIVU</v>
      </c>
      <c r="L161" s="218" t="str">
        <f>"INPP Mars20-Christian MUTOKAMBALI MBONEKUBE"</f>
        <v>INPP Mars20-Christian MUTOKAMBALI MBONEKUBE</v>
      </c>
      <c r="M161" s="218" t="str">
        <f>"5160"</f>
        <v>5160</v>
      </c>
      <c r="N161" s="218" t="str">
        <f>"EMPLOYMENT BENEFITS COSTS"</f>
        <v>EMPLOYMENT BENEFITS COSTS</v>
      </c>
      <c r="O161" s="218" t="str">
        <f t="shared" si="49"/>
        <v>DRCBUK</v>
      </c>
      <c r="P161" s="218" t="str">
        <f t="shared" si="43"/>
        <v>AP21QR</v>
      </c>
      <c r="Q161" s="218" t="str">
        <f>"MBO"</f>
        <v>MBO</v>
      </c>
      <c r="R161" s="218" t="str">
        <f>""</f>
        <v/>
      </c>
      <c r="S161" s="218" t="str">
        <f t="shared" si="45"/>
        <v>056</v>
      </c>
      <c r="T161" s="218" t="str">
        <f t="shared" si="46"/>
        <v>D</v>
      </c>
      <c r="U161" s="218" t="str">
        <f t="shared" si="44"/>
        <v>AFR000</v>
      </c>
      <c r="V161" s="218" t="str">
        <f t="shared" si="48"/>
        <v>###</v>
      </c>
      <c r="W161" s="218">
        <v>22.24</v>
      </c>
      <c r="X161" s="218" t="str">
        <f t="shared" si="47"/>
        <v>USD</v>
      </c>
      <c r="Y161" s="218">
        <v>17.350000000000001</v>
      </c>
      <c r="Z161" s="218">
        <v>22.24</v>
      </c>
      <c r="AA161" s="218">
        <v>20.41</v>
      </c>
    </row>
    <row r="162" spans="1:27">
      <c r="A162" s="218" t="s">
        <v>2592</v>
      </c>
      <c r="F162" s="219" t="str">
        <f>"""IntAlert Live"",""ALERT UK"",""17"",""1"",""539988"""</f>
        <v>"IntAlert Live","ALERT UK","17","1","539988"</v>
      </c>
      <c r="G162" s="223">
        <v>43921</v>
      </c>
      <c r="H162" s="223"/>
      <c r="I162" s="218" t="str">
        <f>"DRCBUK/BANK/2020/03/032"</f>
        <v>DRCBUK/BANK/2020/03/032</v>
      </c>
      <c r="K162" s="218" t="str">
        <f>"INPP SUD-KIVU"</f>
        <v>INPP SUD-KIVU</v>
      </c>
      <c r="L162" s="218" t="str">
        <f>"INPP Mars20-Christian CISHIBANJI CIZUNGU"</f>
        <v>INPP Mars20-Christian CISHIBANJI CIZUNGU</v>
      </c>
      <c r="M162" s="218" t="str">
        <f>"5160"</f>
        <v>5160</v>
      </c>
      <c r="N162" s="218" t="str">
        <f>"EMPLOYMENT BENEFITS COSTS"</f>
        <v>EMPLOYMENT BENEFITS COSTS</v>
      </c>
      <c r="O162" s="218" t="str">
        <f t="shared" si="49"/>
        <v>DRCBUK</v>
      </c>
      <c r="P162" s="218" t="str">
        <f t="shared" si="43"/>
        <v>AP21QR</v>
      </c>
      <c r="Q162" s="218" t="str">
        <f>"CCI"</f>
        <v>CCI</v>
      </c>
      <c r="R162" s="218" t="str">
        <f>""</f>
        <v/>
      </c>
      <c r="S162" s="218" t="str">
        <f t="shared" si="45"/>
        <v>056</v>
      </c>
      <c r="T162" s="218" t="str">
        <f t="shared" si="46"/>
        <v>D</v>
      </c>
      <c r="U162" s="218" t="str">
        <f t="shared" si="44"/>
        <v>AFR000</v>
      </c>
      <c r="V162" s="218" t="str">
        <f t="shared" si="48"/>
        <v>###</v>
      </c>
      <c r="W162" s="218">
        <v>28.14</v>
      </c>
      <c r="X162" s="218" t="str">
        <f t="shared" si="47"/>
        <v>USD</v>
      </c>
      <c r="Y162" s="218">
        <v>21.95</v>
      </c>
      <c r="Z162" s="218">
        <v>28.14</v>
      </c>
      <c r="AA162" s="218">
        <v>25.83</v>
      </c>
    </row>
    <row r="163" spans="1:27">
      <c r="A163" s="218" t="s">
        <v>2592</v>
      </c>
      <c r="F163" s="219" t="str">
        <f>"""IntAlert Live"",""ALERT UK"",""17"",""1"",""541371"""</f>
        <v>"IntAlert Live","ALERT UK","17","1","541371"</v>
      </c>
      <c r="G163" s="223">
        <v>43921</v>
      </c>
      <c r="H163" s="223"/>
      <c r="I163" s="218" t="str">
        <f>""</f>
        <v/>
      </c>
      <c r="K163" s="218" t="str">
        <f>"PR MAR JNL"</f>
        <v>PR MAR JNL</v>
      </c>
      <c r="L163" s="218" t="str">
        <f>"S Jeanbosco  10%"</f>
        <v>S Jeanbosco  10%</v>
      </c>
      <c r="M163" s="218" t="str">
        <f>"5100"</f>
        <v>5100</v>
      </c>
      <c r="N163" s="218" t="str">
        <f>"BASIC EMPLOYMENT COSTS"</f>
        <v>BASIC EMPLOYMENT COSTS</v>
      </c>
      <c r="O163" s="218" t="str">
        <f>"UNILON"</f>
        <v>UNILON</v>
      </c>
      <c r="P163" s="218" t="str">
        <f t="shared" si="43"/>
        <v>AP21QR</v>
      </c>
      <c r="Q163" s="218" t="str">
        <f>"SIB"</f>
        <v>SIB</v>
      </c>
      <c r="R163" s="218" t="str">
        <f>""</f>
        <v/>
      </c>
      <c r="S163" s="218" t="str">
        <f t="shared" si="45"/>
        <v>056</v>
      </c>
      <c r="T163" s="218" t="str">
        <f t="shared" si="46"/>
        <v>D</v>
      </c>
      <c r="U163" s="218" t="str">
        <f t="shared" si="44"/>
        <v>AFR000</v>
      </c>
      <c r="V163" s="218" t="str">
        <f t="shared" si="48"/>
        <v>###</v>
      </c>
      <c r="W163" s="218">
        <v>0</v>
      </c>
      <c r="X163" s="218" t="str">
        <f>""</f>
        <v/>
      </c>
      <c r="Y163" s="218">
        <v>348.66</v>
      </c>
      <c r="Z163" s="218">
        <v>446.97</v>
      </c>
      <c r="AA163" s="218">
        <v>410.21</v>
      </c>
    </row>
    <row r="164" spans="1:27">
      <c r="A164" s="218" t="s">
        <v>2592</v>
      </c>
      <c r="F164" s="219" t="str">
        <f>"""IntAlert Live"",""ALERT UK"",""17"",""1"",""541657"""</f>
        <v>"IntAlert Live","ALERT UK","17","1","541657"</v>
      </c>
      <c r="G164" s="223">
        <v>43921</v>
      </c>
      <c r="H164" s="223"/>
      <c r="I164" s="218" t="str">
        <f>""</f>
        <v/>
      </c>
      <c r="K164" s="218" t="str">
        <f>"PR MAR JNL"</f>
        <v>PR MAR JNL</v>
      </c>
      <c r="L164" s="218" t="str">
        <f>"S Jeanbosco  10%"</f>
        <v>S Jeanbosco  10%</v>
      </c>
      <c r="M164" s="218" t="str">
        <f>"5110"</f>
        <v>5110</v>
      </c>
      <c r="N164" s="218" t="str">
        <f>"EMPLOYER'S PENSION COSTS"</f>
        <v>EMPLOYER'S PENSION COSTS</v>
      </c>
      <c r="O164" s="218" t="str">
        <f>"UNILON"</f>
        <v>UNILON</v>
      </c>
      <c r="P164" s="218" t="str">
        <f t="shared" si="43"/>
        <v>AP21QR</v>
      </c>
      <c r="Q164" s="218" t="str">
        <f>"SIB"</f>
        <v>SIB</v>
      </c>
      <c r="R164" s="218" t="str">
        <f>""</f>
        <v/>
      </c>
      <c r="S164" s="218" t="str">
        <f t="shared" si="45"/>
        <v>056</v>
      </c>
      <c r="T164" s="218" t="str">
        <f t="shared" si="46"/>
        <v>D</v>
      </c>
      <c r="U164" s="218" t="str">
        <f t="shared" si="44"/>
        <v>AFR000</v>
      </c>
      <c r="V164" s="218" t="str">
        <f t="shared" si="48"/>
        <v>###</v>
      </c>
      <c r="W164" s="218">
        <v>0</v>
      </c>
      <c r="X164" s="218" t="str">
        <f>""</f>
        <v/>
      </c>
      <c r="Y164" s="218">
        <v>34.869999999999997</v>
      </c>
      <c r="Z164" s="218">
        <v>44.7</v>
      </c>
      <c r="AA164" s="218">
        <v>41.03</v>
      </c>
    </row>
    <row r="165" spans="1:27">
      <c r="A165" s="218" t="s">
        <v>2592</v>
      </c>
      <c r="F165" s="219" t="str">
        <f>"""IntAlert Live"",""ALERT UK"",""17"",""1"",""541802"""</f>
        <v>"IntAlert Live","ALERT UK","17","1","541802"</v>
      </c>
      <c r="G165" s="223">
        <v>43921</v>
      </c>
      <c r="H165" s="223"/>
      <c r="I165" s="218" t="str">
        <f>""</f>
        <v/>
      </c>
      <c r="K165" s="218" t="str">
        <f>"HR CHG MAR20"</f>
        <v>HR CHG MAR20</v>
      </c>
      <c r="L165" s="218" t="str">
        <f>"S Jeanbosco  10%"</f>
        <v>S Jeanbosco  10%</v>
      </c>
      <c r="M165" s="218" t="str">
        <f>"5100"</f>
        <v>5100</v>
      </c>
      <c r="N165" s="218" t="str">
        <f>"BASIC EMPLOYMENT COSTS"</f>
        <v>BASIC EMPLOYMENT COSTS</v>
      </c>
      <c r="O165" s="218" t="str">
        <f>"UNILON"</f>
        <v>UNILON</v>
      </c>
      <c r="P165" s="218" t="str">
        <f t="shared" si="43"/>
        <v>AP21QR</v>
      </c>
      <c r="Q165" s="218" t="str">
        <f>"SIB"</f>
        <v>SIB</v>
      </c>
      <c r="R165" s="218" t="str">
        <f>""</f>
        <v/>
      </c>
      <c r="S165" s="218" t="str">
        <f t="shared" si="45"/>
        <v>056</v>
      </c>
      <c r="T165" s="218" t="str">
        <f>"S"</f>
        <v>S</v>
      </c>
      <c r="U165" s="218" t="str">
        <f t="shared" si="44"/>
        <v>AFR000</v>
      </c>
      <c r="V165" s="218" t="str">
        <f t="shared" si="48"/>
        <v>###</v>
      </c>
      <c r="W165" s="218">
        <v>0</v>
      </c>
      <c r="X165" s="218" t="str">
        <f>""</f>
        <v/>
      </c>
      <c r="Y165" s="218">
        <v>17.43</v>
      </c>
      <c r="Z165" s="218">
        <v>22.34</v>
      </c>
      <c r="AA165" s="218">
        <v>20.51</v>
      </c>
    </row>
    <row r="166" spans="1:27">
      <c r="A166" s="218" t="s">
        <v>2592</v>
      </c>
      <c r="F166" s="219" t="str">
        <f>"""IntAlert Live"",""ALERT UK"",""17"",""1"",""541937"""</f>
        <v>"IntAlert Live","ALERT UK","17","1","541937"</v>
      </c>
      <c r="G166" s="223">
        <v>43921</v>
      </c>
      <c r="H166" s="223"/>
      <c r="I166" s="218" t="str">
        <f>""</f>
        <v/>
      </c>
      <c r="K166" s="218" t="str">
        <f>"HR SCF CHG MAR20"</f>
        <v>HR SCF CHG MAR20</v>
      </c>
      <c r="L166" s="218" t="str">
        <f>"S Jeanbosco  10%"</f>
        <v>S Jeanbosco  10%</v>
      </c>
      <c r="M166" s="218" t="str">
        <f>"5100"</f>
        <v>5100</v>
      </c>
      <c r="N166" s="218" t="str">
        <f>"BASIC EMPLOYMENT COSTS"</f>
        <v>BASIC EMPLOYMENT COSTS</v>
      </c>
      <c r="O166" s="218" t="str">
        <f>"UNILON"</f>
        <v>UNILON</v>
      </c>
      <c r="P166" s="218" t="str">
        <f t="shared" si="43"/>
        <v>AP21QR</v>
      </c>
      <c r="Q166" s="218" t="str">
        <f>"SIB"</f>
        <v>SIB</v>
      </c>
      <c r="R166" s="218" t="str">
        <f>""</f>
        <v/>
      </c>
      <c r="S166" s="218" t="str">
        <f t="shared" si="45"/>
        <v>056</v>
      </c>
      <c r="T166" s="218" t="str">
        <f>"C"</f>
        <v>C</v>
      </c>
      <c r="U166" s="218" t="str">
        <f t="shared" si="44"/>
        <v>AFR000</v>
      </c>
      <c r="V166" s="218" t="str">
        <f t="shared" si="48"/>
        <v>###</v>
      </c>
      <c r="W166" s="218">
        <v>0</v>
      </c>
      <c r="X166" s="218" t="str">
        <f>""</f>
        <v/>
      </c>
      <c r="Y166" s="218">
        <v>10.46</v>
      </c>
      <c r="Z166" s="218">
        <v>13.41</v>
      </c>
      <c r="AA166" s="218">
        <v>12.31</v>
      </c>
    </row>
    <row r="167" spans="1:27">
      <c r="A167" s="218" t="s">
        <v>2592</v>
      </c>
      <c r="F167" s="219" t="str">
        <f>"""IntAlert Live"",""ALERT UK"",""17"",""1"",""516834"""</f>
        <v>"IntAlert Live","ALERT UK","17","1","516834"</v>
      </c>
      <c r="G167" s="223">
        <v>43843</v>
      </c>
      <c r="H167" s="223"/>
      <c r="I167" s="218" t="str">
        <f>"DRCBUK/BANK/2020/01/005"</f>
        <v>DRCBUK/BANK/2020/01/005</v>
      </c>
      <c r="K167" s="218" t="str">
        <f>"DGI"</f>
        <v>DGI</v>
      </c>
      <c r="L167" s="218" t="str">
        <f>"IPR Occasionnel Consultante Cleaner Déc19 5%"</f>
        <v>IPR Occasionnel Consultante Cleaner Déc19 5%</v>
      </c>
      <c r="M167" s="218" t="str">
        <f>"6190"</f>
        <v>6190</v>
      </c>
      <c r="N167" s="218" t="str">
        <f>"CONSULTANT  FEES"</f>
        <v>CONSULTANT  FEES</v>
      </c>
      <c r="O167" s="218" t="str">
        <f>"DRCBUK"</f>
        <v>DRCBUK</v>
      </c>
      <c r="P167" s="218" t="str">
        <f t="shared" si="43"/>
        <v>AP21QR</v>
      </c>
      <c r="Q167" s="218" t="str">
        <f>""</f>
        <v/>
      </c>
      <c r="R167" s="218" t="str">
        <f>""</f>
        <v/>
      </c>
      <c r="S167" s="218" t="str">
        <f t="shared" ref="S167:S198" si="50">"057"</f>
        <v>057</v>
      </c>
      <c r="T167" s="218" t="str">
        <f t="shared" ref="T167:T198" si="51">"D"</f>
        <v>D</v>
      </c>
      <c r="U167" s="218" t="str">
        <f t="shared" ref="U167:U187" si="52">"AFR000"</f>
        <v>AFR000</v>
      </c>
      <c r="V167" s="218" t="str">
        <f t="shared" si="48"/>
        <v>###</v>
      </c>
      <c r="W167" s="218">
        <v>1.22</v>
      </c>
      <c r="X167" s="218" t="str">
        <f t="shared" ref="X167:X198" si="53">"USD"</f>
        <v>USD</v>
      </c>
      <c r="Y167" s="218">
        <v>0.92</v>
      </c>
      <c r="Z167" s="218">
        <v>1.22</v>
      </c>
      <c r="AA167" s="218">
        <v>1.08</v>
      </c>
    </row>
    <row r="168" spans="1:27">
      <c r="A168" s="218" t="s">
        <v>2592</v>
      </c>
      <c r="F168" s="219" t="str">
        <f>"""IntAlert Live"",""ALERT UK"",""17"",""1"",""516854"""</f>
        <v>"IntAlert Live","ALERT UK","17","1","516854"</v>
      </c>
      <c r="G168" s="223">
        <v>43843</v>
      </c>
      <c r="H168" s="223"/>
      <c r="I168" s="218" t="str">
        <f>"DRCBUK/BANK/2020/01/006"</f>
        <v>DRCBUK/BANK/2020/01/006</v>
      </c>
      <c r="K168" s="218" t="str">
        <f>"CNSS"</f>
        <v>CNSS</v>
      </c>
      <c r="L168" s="218" t="str">
        <f>"CNSS Occasionnel Consultante Cleaner Déc19 5%"</f>
        <v>CNSS Occasionnel Consultante Cleaner Déc19 5%</v>
      </c>
      <c r="M168" s="218" t="str">
        <f>"6190"</f>
        <v>6190</v>
      </c>
      <c r="N168" s="218" t="str">
        <f>"CONSULTANT  FEES"</f>
        <v>CONSULTANT  FEES</v>
      </c>
      <c r="O168" s="218" t="str">
        <f>"DRCBUK"</f>
        <v>DRCBUK</v>
      </c>
      <c r="P168" s="218" t="str">
        <f t="shared" si="43"/>
        <v>AP21QR</v>
      </c>
      <c r="Q168" s="218" t="str">
        <f>""</f>
        <v/>
      </c>
      <c r="R168" s="218" t="str">
        <f>""</f>
        <v/>
      </c>
      <c r="S168" s="218" t="str">
        <f t="shared" si="50"/>
        <v>057</v>
      </c>
      <c r="T168" s="218" t="str">
        <f t="shared" si="51"/>
        <v>D</v>
      </c>
      <c r="U168" s="218" t="str">
        <f t="shared" si="52"/>
        <v>AFR000</v>
      </c>
      <c r="V168" s="218" t="str">
        <f t="shared" si="48"/>
        <v>###</v>
      </c>
      <c r="W168" s="218">
        <v>1.67</v>
      </c>
      <c r="X168" s="218" t="str">
        <f t="shared" si="53"/>
        <v>USD</v>
      </c>
      <c r="Y168" s="218">
        <v>1.26</v>
      </c>
      <c r="Z168" s="218">
        <v>1.67</v>
      </c>
      <c r="AA168" s="218">
        <v>1.48</v>
      </c>
    </row>
    <row r="169" spans="1:27">
      <c r="A169" s="218" t="s">
        <v>2592</v>
      </c>
      <c r="F169" s="219" t="str">
        <f>"""IntAlert Live"",""ALERT UK"",""17"",""1"",""515866"""</f>
        <v>"IntAlert Live","ALERT UK","17","1","515866"</v>
      </c>
      <c r="G169" s="223">
        <v>43859</v>
      </c>
      <c r="H169" s="223"/>
      <c r="I169" s="218" t="str">
        <f>"DRCGOM/ BANQUE/2020/001/018"</f>
        <v>DRCGOM/ BANQUE/2020/001/018</v>
      </c>
      <c r="K169" s="218" t="str">
        <f>"SALAIRE ADOLPHINE JANVIER 2020"</f>
        <v>SALAIRE ADOLPHINE JANVIER 2020</v>
      </c>
      <c r="L169" s="218" t="str">
        <f>"Salaire-Adolphine KAVIRA KAMBASU 10%"</f>
        <v>Salaire-Adolphine KAVIRA KAMBASU 10%</v>
      </c>
      <c r="M169" s="218" t="str">
        <f>"5100"</f>
        <v>5100</v>
      </c>
      <c r="N169" s="218" t="str">
        <f>"BASIC EMPLOYMENT COSTS"</f>
        <v>BASIC EMPLOYMENT COSTS</v>
      </c>
      <c r="O169" s="218" t="str">
        <f t="shared" ref="O169:O184" si="54">"DRCGOM"</f>
        <v>DRCGOM</v>
      </c>
      <c r="P169" s="218" t="str">
        <f t="shared" si="43"/>
        <v>AP21QR</v>
      </c>
      <c r="Q169" s="218" t="str">
        <f>"KAS"</f>
        <v>KAS</v>
      </c>
      <c r="R169" s="218" t="str">
        <f>""</f>
        <v/>
      </c>
      <c r="S169" s="218" t="str">
        <f t="shared" si="50"/>
        <v>057</v>
      </c>
      <c r="T169" s="218" t="str">
        <f t="shared" si="51"/>
        <v>D</v>
      </c>
      <c r="U169" s="218" t="str">
        <f t="shared" si="52"/>
        <v>AFR000</v>
      </c>
      <c r="V169" s="218" t="str">
        <f t="shared" si="48"/>
        <v>###</v>
      </c>
      <c r="W169" s="218">
        <v>60.41</v>
      </c>
      <c r="X169" s="218" t="str">
        <f t="shared" si="53"/>
        <v>USD</v>
      </c>
      <c r="Y169" s="218">
        <v>45.53</v>
      </c>
      <c r="Z169" s="218">
        <v>60.41</v>
      </c>
      <c r="AA169" s="218">
        <v>53.43</v>
      </c>
    </row>
    <row r="170" spans="1:27">
      <c r="A170" s="218" t="s">
        <v>2592</v>
      </c>
      <c r="F170" s="219" t="str">
        <f>"""IntAlert Live"",""ALERT UK"",""17"",""1"",""515873"""</f>
        <v>"IntAlert Live","ALERT UK","17","1","515873"</v>
      </c>
      <c r="G170" s="223">
        <v>43859</v>
      </c>
      <c r="H170" s="223"/>
      <c r="I170" s="218" t="str">
        <f>"DRCGOM/ BANQUE/2020/001/018"</f>
        <v>DRCGOM/ BANQUE/2020/001/018</v>
      </c>
      <c r="K170" s="218" t="str">
        <f>"SALAIRE ESPERANCE  JANVIER 2020"</f>
        <v>SALAIRE ESPERANCE  JANVIER 2020</v>
      </c>
      <c r="L170" s="218" t="str">
        <f>"Salaire-Esperance CHIDOROMI SIFA 10%"</f>
        <v>Salaire-Esperance CHIDOROMI SIFA 10%</v>
      </c>
      <c r="M170" s="218" t="str">
        <f>"5100"</f>
        <v>5100</v>
      </c>
      <c r="N170" s="218" t="str">
        <f>"BASIC EMPLOYMENT COSTS"</f>
        <v>BASIC EMPLOYMENT COSTS</v>
      </c>
      <c r="O170" s="218" t="str">
        <f t="shared" si="54"/>
        <v>DRCGOM</v>
      </c>
      <c r="P170" s="218" t="str">
        <f t="shared" si="43"/>
        <v>AP21QR</v>
      </c>
      <c r="Q170" s="218" t="str">
        <f>"SIF"</f>
        <v>SIF</v>
      </c>
      <c r="R170" s="218" t="str">
        <f>""</f>
        <v/>
      </c>
      <c r="S170" s="218" t="str">
        <f t="shared" si="50"/>
        <v>057</v>
      </c>
      <c r="T170" s="218" t="str">
        <f t="shared" si="51"/>
        <v>D</v>
      </c>
      <c r="U170" s="218" t="str">
        <f t="shared" si="52"/>
        <v>AFR000</v>
      </c>
      <c r="V170" s="218" t="str">
        <f t="shared" si="48"/>
        <v>###</v>
      </c>
      <c r="W170" s="218">
        <v>184.04</v>
      </c>
      <c r="X170" s="218" t="str">
        <f t="shared" si="53"/>
        <v>USD</v>
      </c>
      <c r="Y170" s="218">
        <v>138.71</v>
      </c>
      <c r="Z170" s="218">
        <v>184.04</v>
      </c>
      <c r="AA170" s="218">
        <v>162.79</v>
      </c>
    </row>
    <row r="171" spans="1:27">
      <c r="A171" s="218" t="s">
        <v>2592</v>
      </c>
      <c r="F171" s="219" t="str">
        <f>"""IntAlert Live"",""ALERT UK"",""17"",""1"",""515886"""</f>
        <v>"IntAlert Live","ALERT UK","17","1","515886"</v>
      </c>
      <c r="G171" s="223">
        <v>43859</v>
      </c>
      <c r="H171" s="223"/>
      <c r="I171" s="218" t="str">
        <f>"DRCGOM/ BANQUE/2020/001/018"</f>
        <v>DRCGOM/ BANQUE/2020/001/018</v>
      </c>
      <c r="K171" s="218" t="str">
        <f>"SALAIRE BARNABE JANVIER 2020"</f>
        <v>SALAIRE BARNABE JANVIER 2020</v>
      </c>
      <c r="L171" s="218" t="str">
        <f>"Salaire-Barnabe Wangu 5%"</f>
        <v>Salaire-Barnabe Wangu 5%</v>
      </c>
      <c r="M171" s="218" t="str">
        <f>"5100"</f>
        <v>5100</v>
      </c>
      <c r="N171" s="218" t="str">
        <f>"BASIC EMPLOYMENT COSTS"</f>
        <v>BASIC EMPLOYMENT COSTS</v>
      </c>
      <c r="O171" s="218" t="str">
        <f t="shared" si="54"/>
        <v>DRCGOM</v>
      </c>
      <c r="P171" s="218" t="str">
        <f t="shared" si="43"/>
        <v>AP21QR</v>
      </c>
      <c r="Q171" s="218" t="str">
        <f>"BRB"</f>
        <v>BRB</v>
      </c>
      <c r="R171" s="218" t="str">
        <f>""</f>
        <v/>
      </c>
      <c r="S171" s="218" t="str">
        <f t="shared" si="50"/>
        <v>057</v>
      </c>
      <c r="T171" s="218" t="str">
        <f t="shared" si="51"/>
        <v>D</v>
      </c>
      <c r="U171" s="218" t="str">
        <f t="shared" si="52"/>
        <v>AFR000</v>
      </c>
      <c r="V171" s="218" t="str">
        <f t="shared" si="48"/>
        <v>###</v>
      </c>
      <c r="W171" s="218">
        <v>240.34</v>
      </c>
      <c r="X171" s="218" t="str">
        <f t="shared" si="53"/>
        <v>USD</v>
      </c>
      <c r="Y171" s="218">
        <v>181.15</v>
      </c>
      <c r="Z171" s="218">
        <v>240.34</v>
      </c>
      <c r="AA171" s="218">
        <v>212.6</v>
      </c>
    </row>
    <row r="172" spans="1:27">
      <c r="A172" s="218" t="s">
        <v>2592</v>
      </c>
      <c r="F172" s="219" t="str">
        <f>"""IntAlert Live"",""ALERT UK"",""17"",""1"",""515905"""</f>
        <v>"IntAlert Live","ALERT UK","17","1","515905"</v>
      </c>
      <c r="G172" s="223">
        <v>43859</v>
      </c>
      <c r="H172" s="223"/>
      <c r="I172" s="218" t="str">
        <f>"DRCGOM/ BANQUE/2020/001/018"</f>
        <v>DRCGOM/ BANQUE/2020/001/018</v>
      </c>
      <c r="K172" s="218" t="str">
        <f>"SALAIRE BIENVENU JANVIER 2020"</f>
        <v>SALAIRE BIENVENU JANVIER 2020</v>
      </c>
      <c r="L172" s="218" t="str">
        <f>"Salaire-Bienvenu MAKURU AMANI 5%"</f>
        <v>Salaire-Bienvenu MAKURU AMANI 5%</v>
      </c>
      <c r="M172" s="218" t="str">
        <f>"5100"</f>
        <v>5100</v>
      </c>
      <c r="N172" s="218" t="str">
        <f>"BASIC EMPLOYMENT COSTS"</f>
        <v>BASIC EMPLOYMENT COSTS</v>
      </c>
      <c r="O172" s="218" t="str">
        <f t="shared" si="54"/>
        <v>DRCGOM</v>
      </c>
      <c r="P172" s="218" t="str">
        <f t="shared" si="43"/>
        <v>AP21QR</v>
      </c>
      <c r="Q172" s="218" t="str">
        <f>"SEN"</f>
        <v>SEN</v>
      </c>
      <c r="R172" s="218" t="str">
        <f>""</f>
        <v/>
      </c>
      <c r="S172" s="218" t="str">
        <f t="shared" si="50"/>
        <v>057</v>
      </c>
      <c r="T172" s="218" t="str">
        <f t="shared" si="51"/>
        <v>D</v>
      </c>
      <c r="U172" s="218" t="str">
        <f t="shared" si="52"/>
        <v>AFR000</v>
      </c>
      <c r="V172" s="218" t="str">
        <f t="shared" si="48"/>
        <v>###</v>
      </c>
      <c r="W172" s="218">
        <v>67.62</v>
      </c>
      <c r="X172" s="218" t="str">
        <f t="shared" si="53"/>
        <v>USD</v>
      </c>
      <c r="Y172" s="218">
        <v>50.97</v>
      </c>
      <c r="Z172" s="218">
        <v>67.62</v>
      </c>
      <c r="AA172" s="218">
        <v>59.82</v>
      </c>
    </row>
    <row r="173" spans="1:27">
      <c r="A173" s="218" t="s">
        <v>2592</v>
      </c>
      <c r="F173" s="219" t="str">
        <f>"""IntAlert Live"",""ALERT UK"",""17"",""1"",""515916"""</f>
        <v>"IntAlert Live","ALERT UK","17","1","515916"</v>
      </c>
      <c r="G173" s="223">
        <v>43859</v>
      </c>
      <c r="H173" s="223"/>
      <c r="I173" s="218" t="str">
        <f>"DRCGOM/ BANQUE/2020/001/018"</f>
        <v>DRCGOM/ BANQUE/2020/001/018</v>
      </c>
      <c r="K173" s="218" t="str">
        <f>"SALAIRE JACQUES JANVIER 2020"</f>
        <v>SALAIRE JACQUES JANVIER 2020</v>
      </c>
      <c r="L173" s="218" t="str">
        <f>"Salaire-Jacques Zigabe Buhendwa 25%"</f>
        <v>Salaire-Jacques Zigabe Buhendwa 25%</v>
      </c>
      <c r="M173" s="218" t="str">
        <f>"5100"</f>
        <v>5100</v>
      </c>
      <c r="N173" s="218" t="str">
        <f>"BASIC EMPLOYMENT COSTS"</f>
        <v>BASIC EMPLOYMENT COSTS</v>
      </c>
      <c r="O173" s="218" t="str">
        <f t="shared" si="54"/>
        <v>DRCGOM</v>
      </c>
      <c r="P173" s="218" t="str">
        <f t="shared" si="43"/>
        <v>AP21QR</v>
      </c>
      <c r="Q173" s="218" t="str">
        <f>"BUE"</f>
        <v>BUE</v>
      </c>
      <c r="R173" s="218" t="str">
        <f>""</f>
        <v/>
      </c>
      <c r="S173" s="218" t="str">
        <f t="shared" si="50"/>
        <v>057</v>
      </c>
      <c r="T173" s="218" t="str">
        <f t="shared" si="51"/>
        <v>D</v>
      </c>
      <c r="U173" s="218" t="str">
        <f t="shared" si="52"/>
        <v>AFR000</v>
      </c>
      <c r="V173" s="218" t="str">
        <f t="shared" si="48"/>
        <v>###</v>
      </c>
      <c r="W173" s="218">
        <v>137.91999999999999</v>
      </c>
      <c r="X173" s="218" t="str">
        <f t="shared" si="53"/>
        <v>USD</v>
      </c>
      <c r="Y173" s="218">
        <v>103.95</v>
      </c>
      <c r="Z173" s="218">
        <v>137.91999999999999</v>
      </c>
      <c r="AA173" s="218">
        <v>122</v>
      </c>
    </row>
    <row r="174" spans="1:27">
      <c r="A174" s="218" t="s">
        <v>2592</v>
      </c>
      <c r="F174" s="219" t="str">
        <f>"""IntAlert Live"",""ALERT UK"",""17"",""1"",""515928"""</f>
        <v>"IntAlert Live","ALERT UK","17","1","515928"</v>
      </c>
      <c r="G174" s="223">
        <v>43859</v>
      </c>
      <c r="H174" s="223"/>
      <c r="I174" s="218" t="str">
        <f t="shared" ref="I174:I179" si="55">"DRCGOM/ BANQUE/2020/001/019"</f>
        <v>DRCGOM/ BANQUE/2020/001/019</v>
      </c>
      <c r="K174" s="218" t="str">
        <f t="shared" ref="K174:K179" si="56">"CNSS JANVIER 2020"</f>
        <v>CNSS JANVIER 2020</v>
      </c>
      <c r="L174" s="218" t="str">
        <f>"CNSS-Adolphine KAVIRA KAMBASU 10%"</f>
        <v>CNSS-Adolphine KAVIRA KAMBASU 10%</v>
      </c>
      <c r="M174" s="218" t="str">
        <f t="shared" ref="M174:M179" si="57">"5110"</f>
        <v>5110</v>
      </c>
      <c r="N174" s="218" t="str">
        <f t="shared" ref="N174:N179" si="58">"EMPLOYER'S PENSION COSTS"</f>
        <v>EMPLOYER'S PENSION COSTS</v>
      </c>
      <c r="O174" s="218" t="str">
        <f t="shared" si="54"/>
        <v>DRCGOM</v>
      </c>
      <c r="P174" s="218" t="str">
        <f t="shared" si="43"/>
        <v>AP21QR</v>
      </c>
      <c r="Q174" s="218" t="str">
        <f>"KAS"</f>
        <v>KAS</v>
      </c>
      <c r="R174" s="218" t="str">
        <f>""</f>
        <v/>
      </c>
      <c r="S174" s="218" t="str">
        <f t="shared" si="50"/>
        <v>057</v>
      </c>
      <c r="T174" s="218" t="str">
        <f t="shared" si="51"/>
        <v>D</v>
      </c>
      <c r="U174" s="218" t="str">
        <f t="shared" si="52"/>
        <v>AFR000</v>
      </c>
      <c r="V174" s="218" t="str">
        <f t="shared" si="48"/>
        <v>###</v>
      </c>
      <c r="W174" s="218">
        <v>7.6</v>
      </c>
      <c r="X174" s="218" t="str">
        <f t="shared" si="53"/>
        <v>USD</v>
      </c>
      <c r="Y174" s="218">
        <v>5.73</v>
      </c>
      <c r="Z174" s="218">
        <v>7.6</v>
      </c>
      <c r="AA174" s="218">
        <v>6.72</v>
      </c>
    </row>
    <row r="175" spans="1:27">
      <c r="A175" s="218" t="s">
        <v>2592</v>
      </c>
      <c r="F175" s="219" t="str">
        <f>"""IntAlert Live"",""ALERT UK"",""17"",""1"",""515929"""</f>
        <v>"IntAlert Live","ALERT UK","17","1","515929"</v>
      </c>
      <c r="G175" s="223">
        <v>43859</v>
      </c>
      <c r="H175" s="223"/>
      <c r="I175" s="218" t="str">
        <f t="shared" si="55"/>
        <v>DRCGOM/ BANQUE/2020/001/019</v>
      </c>
      <c r="K175" s="218" t="str">
        <f t="shared" si="56"/>
        <v>CNSS JANVIER 2020</v>
      </c>
      <c r="L175" s="218" t="str">
        <f>"CNSS-Adolphine KAVIRA KAMBASU 15%"</f>
        <v>CNSS-Adolphine KAVIRA KAMBASU 15%</v>
      </c>
      <c r="M175" s="218" t="str">
        <f t="shared" si="57"/>
        <v>5110</v>
      </c>
      <c r="N175" s="218" t="str">
        <f t="shared" si="58"/>
        <v>EMPLOYER'S PENSION COSTS</v>
      </c>
      <c r="O175" s="218" t="str">
        <f t="shared" si="54"/>
        <v>DRCGOM</v>
      </c>
      <c r="P175" s="218" t="str">
        <f t="shared" si="43"/>
        <v>AP21QR</v>
      </c>
      <c r="Q175" s="218" t="str">
        <f>"KAS"</f>
        <v>KAS</v>
      </c>
      <c r="R175" s="218" t="str">
        <f>""</f>
        <v/>
      </c>
      <c r="S175" s="218" t="str">
        <f t="shared" si="50"/>
        <v>057</v>
      </c>
      <c r="T175" s="218" t="str">
        <f t="shared" si="51"/>
        <v>D</v>
      </c>
      <c r="U175" s="218" t="str">
        <f t="shared" si="52"/>
        <v>AFR000</v>
      </c>
      <c r="V175" s="218" t="str">
        <f t="shared" si="48"/>
        <v>###</v>
      </c>
      <c r="W175" s="218">
        <v>11.4</v>
      </c>
      <c r="X175" s="218" t="str">
        <f t="shared" si="53"/>
        <v>USD</v>
      </c>
      <c r="Y175" s="218">
        <v>8.59</v>
      </c>
      <c r="Z175" s="218">
        <v>11.4</v>
      </c>
      <c r="AA175" s="218">
        <v>10.08</v>
      </c>
    </row>
    <row r="176" spans="1:27">
      <c r="A176" s="218" t="s">
        <v>2592</v>
      </c>
      <c r="F176" s="219" t="str">
        <f>"""IntAlert Live"",""ALERT UK"",""17"",""1"",""515935"""</f>
        <v>"IntAlert Live","ALERT UK","17","1","515935"</v>
      </c>
      <c r="G176" s="223">
        <v>43859</v>
      </c>
      <c r="H176" s="223"/>
      <c r="I176" s="218" t="str">
        <f t="shared" si="55"/>
        <v>DRCGOM/ BANQUE/2020/001/019</v>
      </c>
      <c r="K176" s="218" t="str">
        <f t="shared" si="56"/>
        <v>CNSS JANVIER 2020</v>
      </c>
      <c r="L176" s="218" t="str">
        <f>"CNSS-Esperance CHIDOROMI SIFA 10%"</f>
        <v>CNSS-Esperance CHIDOROMI SIFA 10%</v>
      </c>
      <c r="M176" s="218" t="str">
        <f t="shared" si="57"/>
        <v>5110</v>
      </c>
      <c r="N176" s="218" t="str">
        <f t="shared" si="58"/>
        <v>EMPLOYER'S PENSION COSTS</v>
      </c>
      <c r="O176" s="218" t="str">
        <f t="shared" si="54"/>
        <v>DRCGOM</v>
      </c>
      <c r="P176" s="218" t="str">
        <f t="shared" si="43"/>
        <v>AP21QR</v>
      </c>
      <c r="Q176" s="218" t="str">
        <f>"SIF"</f>
        <v>SIF</v>
      </c>
      <c r="R176" s="218" t="str">
        <f>""</f>
        <v/>
      </c>
      <c r="S176" s="218" t="str">
        <f t="shared" si="50"/>
        <v>057</v>
      </c>
      <c r="T176" s="218" t="str">
        <f t="shared" si="51"/>
        <v>D</v>
      </c>
      <c r="U176" s="218" t="str">
        <f t="shared" si="52"/>
        <v>AFR000</v>
      </c>
      <c r="V176" s="218" t="str">
        <f t="shared" si="48"/>
        <v>###</v>
      </c>
      <c r="W176" s="218">
        <v>25.04</v>
      </c>
      <c r="X176" s="218" t="str">
        <f t="shared" si="53"/>
        <v>USD</v>
      </c>
      <c r="Y176" s="218">
        <v>18.87</v>
      </c>
      <c r="Z176" s="218">
        <v>25.04</v>
      </c>
      <c r="AA176" s="218">
        <v>22.15</v>
      </c>
    </row>
    <row r="177" spans="1:27">
      <c r="A177" s="218" t="s">
        <v>2592</v>
      </c>
      <c r="F177" s="219" t="str">
        <f>"""IntAlert Live"",""ALERT UK"",""17"",""1"",""515948"""</f>
        <v>"IntAlert Live","ALERT UK","17","1","515948"</v>
      </c>
      <c r="G177" s="223">
        <v>43859</v>
      </c>
      <c r="H177" s="223"/>
      <c r="I177" s="218" t="str">
        <f t="shared" si="55"/>
        <v>DRCGOM/ BANQUE/2020/001/019</v>
      </c>
      <c r="K177" s="218" t="str">
        <f t="shared" si="56"/>
        <v>CNSS JANVIER 2020</v>
      </c>
      <c r="L177" s="218" t="str">
        <f>"CNSS-Barnabe Wangu 5%"</f>
        <v>CNSS-Barnabe Wangu 5%</v>
      </c>
      <c r="M177" s="218" t="str">
        <f t="shared" si="57"/>
        <v>5110</v>
      </c>
      <c r="N177" s="218" t="str">
        <f t="shared" si="58"/>
        <v>EMPLOYER'S PENSION COSTS</v>
      </c>
      <c r="O177" s="218" t="str">
        <f t="shared" si="54"/>
        <v>DRCGOM</v>
      </c>
      <c r="P177" s="218" t="str">
        <f t="shared" si="43"/>
        <v>AP21QR</v>
      </c>
      <c r="Q177" s="218" t="str">
        <f>"BRB"</f>
        <v>BRB</v>
      </c>
      <c r="R177" s="218" t="str">
        <f>""</f>
        <v/>
      </c>
      <c r="S177" s="218" t="str">
        <f t="shared" si="50"/>
        <v>057</v>
      </c>
      <c r="T177" s="218" t="str">
        <f t="shared" si="51"/>
        <v>D</v>
      </c>
      <c r="U177" s="218" t="str">
        <f t="shared" si="52"/>
        <v>AFR000</v>
      </c>
      <c r="V177" s="218" t="str">
        <f t="shared" si="48"/>
        <v>###</v>
      </c>
      <c r="W177" s="218">
        <v>34.119999999999997</v>
      </c>
      <c r="X177" s="218" t="str">
        <f t="shared" si="53"/>
        <v>USD</v>
      </c>
      <c r="Y177" s="218">
        <v>25.72</v>
      </c>
      <c r="Z177" s="218">
        <v>34.119999999999997</v>
      </c>
      <c r="AA177" s="218">
        <v>30.18</v>
      </c>
    </row>
    <row r="178" spans="1:27">
      <c r="A178" s="218" t="s">
        <v>2592</v>
      </c>
      <c r="F178" s="219" t="str">
        <f>"""IntAlert Live"",""ALERT UK"",""17"",""1"",""515967"""</f>
        <v>"IntAlert Live","ALERT UK","17","1","515967"</v>
      </c>
      <c r="G178" s="223">
        <v>43859</v>
      </c>
      <c r="H178" s="223"/>
      <c r="I178" s="218" t="str">
        <f t="shared" si="55"/>
        <v>DRCGOM/ BANQUE/2020/001/019</v>
      </c>
      <c r="K178" s="218" t="str">
        <f t="shared" si="56"/>
        <v>CNSS JANVIER 2020</v>
      </c>
      <c r="L178" s="218" t="str">
        <f>"CNSS-Bienvenu MAKURU AMANI 5%"</f>
        <v>CNSS-Bienvenu MAKURU AMANI 5%</v>
      </c>
      <c r="M178" s="218" t="str">
        <f t="shared" si="57"/>
        <v>5110</v>
      </c>
      <c r="N178" s="218" t="str">
        <f t="shared" si="58"/>
        <v>EMPLOYER'S PENSION COSTS</v>
      </c>
      <c r="O178" s="218" t="str">
        <f t="shared" si="54"/>
        <v>DRCGOM</v>
      </c>
      <c r="P178" s="218" t="str">
        <f t="shared" si="43"/>
        <v>AP21QR</v>
      </c>
      <c r="Q178" s="218" t="str">
        <f>"SEN"</f>
        <v>SEN</v>
      </c>
      <c r="R178" s="218" t="str">
        <f>""</f>
        <v/>
      </c>
      <c r="S178" s="218" t="str">
        <f t="shared" si="50"/>
        <v>057</v>
      </c>
      <c r="T178" s="218" t="str">
        <f t="shared" si="51"/>
        <v>D</v>
      </c>
      <c r="U178" s="218" t="str">
        <f t="shared" si="52"/>
        <v>AFR000</v>
      </c>
      <c r="V178" s="218" t="str">
        <f t="shared" si="48"/>
        <v>###</v>
      </c>
      <c r="W178" s="218">
        <v>9.25</v>
      </c>
      <c r="X178" s="218" t="str">
        <f t="shared" si="53"/>
        <v>USD</v>
      </c>
      <c r="Y178" s="218">
        <v>6.97</v>
      </c>
      <c r="Z178" s="218">
        <v>9.25</v>
      </c>
      <c r="AA178" s="218">
        <v>8.18</v>
      </c>
    </row>
    <row r="179" spans="1:27">
      <c r="A179" s="218" t="s">
        <v>2592</v>
      </c>
      <c r="F179" s="219" t="str">
        <f>"""IntAlert Live"",""ALERT UK"",""17"",""1"",""515978"""</f>
        <v>"IntAlert Live","ALERT UK","17","1","515978"</v>
      </c>
      <c r="G179" s="223">
        <v>43859</v>
      </c>
      <c r="H179" s="223"/>
      <c r="I179" s="218" t="str">
        <f t="shared" si="55"/>
        <v>DRCGOM/ BANQUE/2020/001/019</v>
      </c>
      <c r="K179" s="218" t="str">
        <f t="shared" si="56"/>
        <v>CNSS JANVIER 2020</v>
      </c>
      <c r="L179" s="218" t="str">
        <f>"CNSS-Jacques Zigabe Buhendwa 25%"</f>
        <v>CNSS-Jacques Zigabe Buhendwa 25%</v>
      </c>
      <c r="M179" s="218" t="str">
        <f t="shared" si="57"/>
        <v>5110</v>
      </c>
      <c r="N179" s="218" t="str">
        <f t="shared" si="58"/>
        <v>EMPLOYER'S PENSION COSTS</v>
      </c>
      <c r="O179" s="218" t="str">
        <f t="shared" si="54"/>
        <v>DRCGOM</v>
      </c>
      <c r="P179" s="218" t="str">
        <f t="shared" si="43"/>
        <v>AP21QR</v>
      </c>
      <c r="Q179" s="218" t="str">
        <f>"BUE"</f>
        <v>BUE</v>
      </c>
      <c r="R179" s="218" t="str">
        <f>""</f>
        <v/>
      </c>
      <c r="S179" s="218" t="str">
        <f t="shared" si="50"/>
        <v>057</v>
      </c>
      <c r="T179" s="218" t="str">
        <f t="shared" si="51"/>
        <v>D</v>
      </c>
      <c r="U179" s="218" t="str">
        <f t="shared" si="52"/>
        <v>AFR000</v>
      </c>
      <c r="V179" s="218" t="str">
        <f t="shared" si="48"/>
        <v>###</v>
      </c>
      <c r="W179" s="218">
        <v>16.21</v>
      </c>
      <c r="X179" s="218" t="str">
        <f t="shared" si="53"/>
        <v>USD</v>
      </c>
      <c r="Y179" s="218">
        <v>12.22</v>
      </c>
      <c r="Z179" s="218">
        <v>16.21</v>
      </c>
      <c r="AA179" s="218">
        <v>14.34</v>
      </c>
    </row>
    <row r="180" spans="1:27">
      <c r="A180" s="218" t="s">
        <v>2592</v>
      </c>
      <c r="F180" s="219" t="str">
        <f>"""IntAlert Live"",""ALERT UK"",""17"",""1"",""515989"""</f>
        <v>"IntAlert Live","ALERT UK","17","1","515989"</v>
      </c>
      <c r="G180" s="223">
        <v>43859</v>
      </c>
      <c r="H180" s="223"/>
      <c r="I180" s="218" t="str">
        <f>"DRCGOM/ BANQUE/2020/001/020"</f>
        <v>DRCGOM/ BANQUE/2020/001/020</v>
      </c>
      <c r="K180" s="218" t="str">
        <f>"INPP JANVIER 2020"</f>
        <v>INPP JANVIER 2020</v>
      </c>
      <c r="L180" s="218" t="str">
        <f>"INPP-Adolphine KAVIRA KAMBASU 10%"</f>
        <v>INPP-Adolphine KAVIRA KAMBASU 10%</v>
      </c>
      <c r="M180" s="218" t="str">
        <f>"5150"</f>
        <v>5150</v>
      </c>
      <c r="N180" s="218" t="str">
        <f>"EMPLOYMENT RELOCATION COSTS"</f>
        <v>EMPLOYMENT RELOCATION COSTS</v>
      </c>
      <c r="O180" s="218" t="str">
        <f t="shared" si="54"/>
        <v>DRCGOM</v>
      </c>
      <c r="P180" s="218" t="str">
        <f t="shared" si="43"/>
        <v>AP21QR</v>
      </c>
      <c r="Q180" s="218" t="str">
        <f>"KAS"</f>
        <v>KAS</v>
      </c>
      <c r="R180" s="218" t="str">
        <f>""</f>
        <v/>
      </c>
      <c r="S180" s="218" t="str">
        <f t="shared" si="50"/>
        <v>057</v>
      </c>
      <c r="T180" s="218" t="str">
        <f t="shared" si="51"/>
        <v>D</v>
      </c>
      <c r="U180" s="218" t="str">
        <f t="shared" si="52"/>
        <v>AFR000</v>
      </c>
      <c r="V180" s="218" t="str">
        <f t="shared" si="48"/>
        <v>###</v>
      </c>
      <c r="W180" s="218">
        <v>1.27</v>
      </c>
      <c r="X180" s="218" t="str">
        <f t="shared" si="53"/>
        <v>USD</v>
      </c>
      <c r="Y180" s="218">
        <v>0.96</v>
      </c>
      <c r="Z180" s="218">
        <v>1.27</v>
      </c>
      <c r="AA180" s="218">
        <v>1.1299999999999999</v>
      </c>
    </row>
    <row r="181" spans="1:27">
      <c r="A181" s="218" t="s">
        <v>2592</v>
      </c>
      <c r="F181" s="219" t="str">
        <f>"""IntAlert Live"",""ALERT UK"",""17"",""1"",""515996"""</f>
        <v>"IntAlert Live","ALERT UK","17","1","515996"</v>
      </c>
      <c r="G181" s="223">
        <v>43859</v>
      </c>
      <c r="H181" s="223"/>
      <c r="I181" s="218" t="str">
        <f>"DRCGOM/ BANQUE/2020/001/020"</f>
        <v>DRCGOM/ BANQUE/2020/001/020</v>
      </c>
      <c r="K181" s="218" t="str">
        <f>"INPP JANVIER 2020"</f>
        <v>INPP JANVIER 2020</v>
      </c>
      <c r="L181" s="218" t="str">
        <f>"INPP-Esperance CHIDOROMI SIFA 10%"</f>
        <v>INPP-Esperance CHIDOROMI SIFA 10%</v>
      </c>
      <c r="M181" s="218" t="str">
        <f>"5150"</f>
        <v>5150</v>
      </c>
      <c r="N181" s="218" t="str">
        <f>"EMPLOYMENT RELOCATION COSTS"</f>
        <v>EMPLOYMENT RELOCATION COSTS</v>
      </c>
      <c r="O181" s="218" t="str">
        <f t="shared" si="54"/>
        <v>DRCGOM</v>
      </c>
      <c r="P181" s="218" t="str">
        <f t="shared" si="43"/>
        <v>AP21QR</v>
      </c>
      <c r="Q181" s="218" t="str">
        <f>"SIF"</f>
        <v>SIF</v>
      </c>
      <c r="R181" s="218" t="str">
        <f>""</f>
        <v/>
      </c>
      <c r="S181" s="218" t="str">
        <f t="shared" si="50"/>
        <v>057</v>
      </c>
      <c r="T181" s="218" t="str">
        <f t="shared" si="51"/>
        <v>D</v>
      </c>
      <c r="U181" s="218" t="str">
        <f t="shared" si="52"/>
        <v>AFR000</v>
      </c>
      <c r="V181" s="218" t="str">
        <f t="shared" si="48"/>
        <v>###</v>
      </c>
      <c r="W181" s="218">
        <v>4.17</v>
      </c>
      <c r="X181" s="218" t="str">
        <f t="shared" si="53"/>
        <v>USD</v>
      </c>
      <c r="Y181" s="218">
        <v>3.14</v>
      </c>
      <c r="Z181" s="218">
        <v>4.17</v>
      </c>
      <c r="AA181" s="218">
        <v>3.69</v>
      </c>
    </row>
    <row r="182" spans="1:27">
      <c r="A182" s="218" t="s">
        <v>2592</v>
      </c>
      <c r="F182" s="219" t="str">
        <f>"""IntAlert Live"",""ALERT UK"",""17"",""1"",""516009"""</f>
        <v>"IntAlert Live","ALERT UK","17","1","516009"</v>
      </c>
      <c r="G182" s="223">
        <v>43859</v>
      </c>
      <c r="H182" s="223"/>
      <c r="I182" s="218" t="str">
        <f>"DRCGOM/ BANQUE/2020/001/020"</f>
        <v>DRCGOM/ BANQUE/2020/001/020</v>
      </c>
      <c r="K182" s="218" t="str">
        <f>"INPP JANVIER 2020"</f>
        <v>INPP JANVIER 2020</v>
      </c>
      <c r="L182" s="218" t="str">
        <f>"INPP-Barnabe Wangu 5%"</f>
        <v>INPP-Barnabe Wangu 5%</v>
      </c>
      <c r="M182" s="218" t="str">
        <f>"5150"</f>
        <v>5150</v>
      </c>
      <c r="N182" s="218" t="str">
        <f>"EMPLOYMENT RELOCATION COSTS"</f>
        <v>EMPLOYMENT RELOCATION COSTS</v>
      </c>
      <c r="O182" s="218" t="str">
        <f t="shared" si="54"/>
        <v>DRCGOM</v>
      </c>
      <c r="P182" s="218" t="str">
        <f t="shared" si="43"/>
        <v>AP21QR</v>
      </c>
      <c r="Q182" s="218" t="str">
        <f>"BRB"</f>
        <v>BRB</v>
      </c>
      <c r="R182" s="218" t="str">
        <f>""</f>
        <v/>
      </c>
      <c r="S182" s="218" t="str">
        <f t="shared" si="50"/>
        <v>057</v>
      </c>
      <c r="T182" s="218" t="str">
        <f t="shared" si="51"/>
        <v>D</v>
      </c>
      <c r="U182" s="218" t="str">
        <f t="shared" si="52"/>
        <v>AFR000</v>
      </c>
      <c r="V182" s="218" t="str">
        <f t="shared" si="48"/>
        <v>###</v>
      </c>
      <c r="W182" s="218">
        <v>5.69</v>
      </c>
      <c r="X182" s="218" t="str">
        <f t="shared" si="53"/>
        <v>USD</v>
      </c>
      <c r="Y182" s="218">
        <v>4.29</v>
      </c>
      <c r="Z182" s="218">
        <v>5.69</v>
      </c>
      <c r="AA182" s="218">
        <v>5.03</v>
      </c>
    </row>
    <row r="183" spans="1:27">
      <c r="A183" s="218" t="s">
        <v>2592</v>
      </c>
      <c r="F183" s="219" t="str">
        <f>"""IntAlert Live"",""ALERT UK"",""17"",""1"",""516028"""</f>
        <v>"IntAlert Live","ALERT UK","17","1","516028"</v>
      </c>
      <c r="G183" s="223">
        <v>43859</v>
      </c>
      <c r="H183" s="223"/>
      <c r="I183" s="218" t="str">
        <f>"DRCGOM/ BANQUE/2020/001/020"</f>
        <v>DRCGOM/ BANQUE/2020/001/020</v>
      </c>
      <c r="K183" s="218" t="str">
        <f>"INPP JANVIER 2020"</f>
        <v>INPP JANVIER 2020</v>
      </c>
      <c r="L183" s="218" t="str">
        <f>"INPP-Bienvenu MAKURU AMANI 5%"</f>
        <v>INPP-Bienvenu MAKURU AMANI 5%</v>
      </c>
      <c r="M183" s="218" t="str">
        <f>"5150"</f>
        <v>5150</v>
      </c>
      <c r="N183" s="218" t="str">
        <f>"EMPLOYMENT RELOCATION COSTS"</f>
        <v>EMPLOYMENT RELOCATION COSTS</v>
      </c>
      <c r="O183" s="218" t="str">
        <f t="shared" si="54"/>
        <v>DRCGOM</v>
      </c>
      <c r="P183" s="218" t="str">
        <f t="shared" si="43"/>
        <v>AP21QR</v>
      </c>
      <c r="Q183" s="218" t="str">
        <f>"SEN"</f>
        <v>SEN</v>
      </c>
      <c r="R183" s="218" t="str">
        <f>""</f>
        <v/>
      </c>
      <c r="S183" s="218" t="str">
        <f t="shared" si="50"/>
        <v>057</v>
      </c>
      <c r="T183" s="218" t="str">
        <f t="shared" si="51"/>
        <v>D</v>
      </c>
      <c r="U183" s="218" t="str">
        <f t="shared" si="52"/>
        <v>AFR000</v>
      </c>
      <c r="V183" s="218" t="str">
        <f t="shared" si="48"/>
        <v>###</v>
      </c>
      <c r="W183" s="218">
        <v>1.54</v>
      </c>
      <c r="X183" s="218" t="str">
        <f t="shared" si="53"/>
        <v>USD</v>
      </c>
      <c r="Y183" s="218">
        <v>1.1599999999999999</v>
      </c>
      <c r="Z183" s="218">
        <v>1.54</v>
      </c>
      <c r="AA183" s="218">
        <v>1.36</v>
      </c>
    </row>
    <row r="184" spans="1:27">
      <c r="A184" s="218" t="s">
        <v>2592</v>
      </c>
      <c r="F184" s="219" t="str">
        <f>"""IntAlert Live"",""ALERT UK"",""17"",""1"",""516039"""</f>
        <v>"IntAlert Live","ALERT UK","17","1","516039"</v>
      </c>
      <c r="G184" s="223">
        <v>43859</v>
      </c>
      <c r="H184" s="223"/>
      <c r="I184" s="218" t="str">
        <f>"DRCGOM/ BANQUE/2020/001/020"</f>
        <v>DRCGOM/ BANQUE/2020/001/020</v>
      </c>
      <c r="K184" s="218" t="str">
        <f>"INPP JANVIER 2020"</f>
        <v>INPP JANVIER 2020</v>
      </c>
      <c r="L184" s="218" t="str">
        <f>"INPP-Jacques Zigabe Buhendwa 25%"</f>
        <v>INPP-Jacques Zigabe Buhendwa 25%</v>
      </c>
      <c r="M184" s="218" t="str">
        <f>"5150"</f>
        <v>5150</v>
      </c>
      <c r="N184" s="218" t="str">
        <f>"EMPLOYMENT RELOCATION COSTS"</f>
        <v>EMPLOYMENT RELOCATION COSTS</v>
      </c>
      <c r="O184" s="218" t="str">
        <f t="shared" si="54"/>
        <v>DRCGOM</v>
      </c>
      <c r="P184" s="218" t="str">
        <f t="shared" si="43"/>
        <v>AP21QR</v>
      </c>
      <c r="Q184" s="218" t="str">
        <f>"BUE"</f>
        <v>BUE</v>
      </c>
      <c r="R184" s="218" t="str">
        <f>""</f>
        <v/>
      </c>
      <c r="S184" s="218" t="str">
        <f t="shared" si="50"/>
        <v>057</v>
      </c>
      <c r="T184" s="218" t="str">
        <f t="shared" si="51"/>
        <v>D</v>
      </c>
      <c r="U184" s="218" t="str">
        <f t="shared" si="52"/>
        <v>AFR000</v>
      </c>
      <c r="V184" s="218" t="str">
        <f t="shared" si="48"/>
        <v>###</v>
      </c>
      <c r="W184" s="218">
        <v>2.7</v>
      </c>
      <c r="X184" s="218" t="str">
        <f t="shared" si="53"/>
        <v>USD</v>
      </c>
      <c r="Y184" s="218">
        <v>2.04</v>
      </c>
      <c r="Z184" s="218">
        <v>2.7</v>
      </c>
      <c r="AA184" s="218">
        <v>2.39</v>
      </c>
    </row>
    <row r="185" spans="1:27">
      <c r="A185" s="218" t="s">
        <v>2592</v>
      </c>
      <c r="F185" s="219" t="str">
        <f>"""IntAlert Live"",""ALERT UK"",""17"",""1"",""516946"""</f>
        <v>"IntAlert Live","ALERT UK","17","1","516946"</v>
      </c>
      <c r="G185" s="223">
        <v>43859</v>
      </c>
      <c r="H185" s="223"/>
      <c r="I185" s="218" t="str">
        <f>"DRCBUK/BANK/2020/01/016"</f>
        <v>DRCBUK/BANK/2020/01/016</v>
      </c>
      <c r="K185" s="218" t="str">
        <f>"MARINA FURAHA"</f>
        <v>MARINA FURAHA</v>
      </c>
      <c r="L185" s="218" t="str">
        <f>"Jan'20 Salary-Marina FURAHA AMANI"</f>
        <v>Jan'20 Salary-Marina FURAHA AMANI</v>
      </c>
      <c r="M185" s="218" t="str">
        <f t="shared" ref="M185:M192" si="59">"5100"</f>
        <v>5100</v>
      </c>
      <c r="N185" s="218" t="str">
        <f t="shared" ref="N185:N192" si="60">"BASIC EMPLOYMENT COSTS"</f>
        <v>BASIC EMPLOYMENT COSTS</v>
      </c>
      <c r="O185" s="218" t="str">
        <f t="shared" ref="O185:O200" si="61">"DRCBUK"</f>
        <v>DRCBUK</v>
      </c>
      <c r="P185" s="218" t="str">
        <f t="shared" si="43"/>
        <v>AP21QR</v>
      </c>
      <c r="Q185" s="218" t="str">
        <f>"FUR"</f>
        <v>FUR</v>
      </c>
      <c r="R185" s="218" t="str">
        <f>""</f>
        <v/>
      </c>
      <c r="S185" s="218" t="str">
        <f t="shared" si="50"/>
        <v>057</v>
      </c>
      <c r="T185" s="218" t="str">
        <f t="shared" si="51"/>
        <v>D</v>
      </c>
      <c r="U185" s="218" t="str">
        <f t="shared" si="52"/>
        <v>AFR000</v>
      </c>
      <c r="V185" s="218" t="str">
        <f t="shared" si="48"/>
        <v>###</v>
      </c>
      <c r="W185" s="218">
        <v>93.13</v>
      </c>
      <c r="X185" s="218" t="str">
        <f t="shared" si="53"/>
        <v>USD</v>
      </c>
      <c r="Y185" s="218">
        <v>70.19</v>
      </c>
      <c r="Z185" s="218">
        <v>93.13</v>
      </c>
      <c r="AA185" s="218">
        <v>82.37</v>
      </c>
    </row>
    <row r="186" spans="1:27">
      <c r="A186" s="218" t="s">
        <v>2592</v>
      </c>
      <c r="F186" s="219" t="str">
        <f>"""IntAlert Live"",""ALERT UK"",""17"",""1"",""516961"""</f>
        <v>"IntAlert Live","ALERT UK","17","1","516961"</v>
      </c>
      <c r="G186" s="223">
        <v>43859</v>
      </c>
      <c r="H186" s="223"/>
      <c r="I186" s="218" t="str">
        <f>"DRCBUK/BANK/2020/01/016"</f>
        <v>DRCBUK/BANK/2020/01/016</v>
      </c>
      <c r="K186" s="218" t="str">
        <f>"GEORGINE BAMUNOBA"</f>
        <v>GEORGINE BAMUNOBA</v>
      </c>
      <c r="L186" s="218" t="str">
        <f>"Jan'20 Salary-Georgine BAMUNOBA TIBANAGWA"</f>
        <v>Jan'20 Salary-Georgine BAMUNOBA TIBANAGWA</v>
      </c>
      <c r="M186" s="218" t="str">
        <f t="shared" si="59"/>
        <v>5100</v>
      </c>
      <c r="N186" s="218" t="str">
        <f t="shared" si="60"/>
        <v>BASIC EMPLOYMENT COSTS</v>
      </c>
      <c r="O186" s="218" t="str">
        <f t="shared" si="61"/>
        <v>DRCBUK</v>
      </c>
      <c r="P186" s="218" t="str">
        <f t="shared" si="43"/>
        <v>AP21QR</v>
      </c>
      <c r="Q186" s="218" t="str">
        <f>"BAM"</f>
        <v>BAM</v>
      </c>
      <c r="R186" s="218" t="str">
        <f>""</f>
        <v/>
      </c>
      <c r="S186" s="218" t="str">
        <f t="shared" si="50"/>
        <v>057</v>
      </c>
      <c r="T186" s="218" t="str">
        <f t="shared" si="51"/>
        <v>D</v>
      </c>
      <c r="U186" s="218" t="str">
        <f t="shared" si="52"/>
        <v>AFR000</v>
      </c>
      <c r="V186" s="218" t="str">
        <f t="shared" si="48"/>
        <v>###</v>
      </c>
      <c r="W186" s="218">
        <v>58.01</v>
      </c>
      <c r="X186" s="218" t="str">
        <f t="shared" si="53"/>
        <v>USD</v>
      </c>
      <c r="Y186" s="218">
        <v>43.72</v>
      </c>
      <c r="Z186" s="218">
        <v>58.01</v>
      </c>
      <c r="AA186" s="218">
        <v>51.31</v>
      </c>
    </row>
    <row r="187" spans="1:27">
      <c r="A187" s="218" t="s">
        <v>2592</v>
      </c>
      <c r="F187" s="219" t="str">
        <f>"""IntAlert Live"",""ALERT UK"",""17"",""1"",""516973"""</f>
        <v>"IntAlert Live","ALERT UK","17","1","516973"</v>
      </c>
      <c r="G187" s="223">
        <v>43859</v>
      </c>
      <c r="H187" s="223"/>
      <c r="I187" s="218" t="str">
        <f>"DRCBUK/BANK/2020/01/016"</f>
        <v>DRCBUK/BANK/2020/01/016</v>
      </c>
      <c r="K187" s="218" t="str">
        <f>"VERRE KILAURI"</f>
        <v>VERRE KILAURI</v>
      </c>
      <c r="L187" s="218" t="str">
        <f>"Jan'20 Salary-Verre KILAURI  BANYWESIZE"</f>
        <v>Jan'20 Salary-Verre KILAURI  BANYWESIZE</v>
      </c>
      <c r="M187" s="218" t="str">
        <f t="shared" si="59"/>
        <v>5100</v>
      </c>
      <c r="N187" s="218" t="str">
        <f t="shared" si="60"/>
        <v>BASIC EMPLOYMENT COSTS</v>
      </c>
      <c r="O187" s="218" t="str">
        <f t="shared" si="61"/>
        <v>DRCBUK</v>
      </c>
      <c r="P187" s="218" t="str">
        <f t="shared" si="43"/>
        <v>AP21QR</v>
      </c>
      <c r="Q187" s="218" t="str">
        <f>"KIA"</f>
        <v>KIA</v>
      </c>
      <c r="R187" s="218" t="str">
        <f>""</f>
        <v/>
      </c>
      <c r="S187" s="218" t="str">
        <f t="shared" si="50"/>
        <v>057</v>
      </c>
      <c r="T187" s="218" t="str">
        <f t="shared" si="51"/>
        <v>D</v>
      </c>
      <c r="U187" s="218" t="str">
        <f t="shared" si="52"/>
        <v>AFR000</v>
      </c>
      <c r="V187" s="218" t="str">
        <f t="shared" si="48"/>
        <v>###</v>
      </c>
      <c r="W187" s="218">
        <v>69.67</v>
      </c>
      <c r="X187" s="218" t="str">
        <f t="shared" si="53"/>
        <v>USD</v>
      </c>
      <c r="Y187" s="218">
        <v>52.51</v>
      </c>
      <c r="Z187" s="218">
        <v>69.67</v>
      </c>
      <c r="AA187" s="218">
        <v>61.63</v>
      </c>
    </row>
    <row r="188" spans="1:27">
      <c r="A188" s="218" t="s">
        <v>2592</v>
      </c>
      <c r="F188" s="219" t="str">
        <f>"""IntAlert Live"",""ALERT UK"",""17"",""1"",""516983"""</f>
        <v>"IntAlert Live","ALERT UK","17","1","516983"</v>
      </c>
      <c r="G188" s="223">
        <v>43859</v>
      </c>
      <c r="H188" s="223"/>
      <c r="I188" s="218" t="str">
        <f>"DRCBUK/BANK/2020/01/016"</f>
        <v>DRCBUK/BANK/2020/01/016</v>
      </c>
      <c r="K188" s="218" t="str">
        <f>"MICHEL MIRINDI"</f>
        <v>MICHEL MIRINDI</v>
      </c>
      <c r="L188" s="218" t="str">
        <f>"Jan'20 Salary-Michel MIRINDI BASHWERE"</f>
        <v>Jan'20 Salary-Michel MIRINDI BASHWERE</v>
      </c>
      <c r="M188" s="218" t="str">
        <f t="shared" si="59"/>
        <v>5100</v>
      </c>
      <c r="N188" s="218" t="str">
        <f t="shared" si="60"/>
        <v>BASIC EMPLOYMENT COSTS</v>
      </c>
      <c r="O188" s="218" t="str">
        <f t="shared" si="61"/>
        <v>DRCBUK</v>
      </c>
      <c r="P188" s="218" t="str">
        <f t="shared" si="43"/>
        <v>AP21QR</v>
      </c>
      <c r="Q188" s="218" t="str">
        <f>"MRI"</f>
        <v>MRI</v>
      </c>
      <c r="R188" s="218" t="str">
        <f>""</f>
        <v/>
      </c>
      <c r="S188" s="218" t="str">
        <f t="shared" si="50"/>
        <v>057</v>
      </c>
      <c r="T188" s="218" t="str">
        <f t="shared" si="51"/>
        <v>D</v>
      </c>
      <c r="U188" s="218" t="str">
        <f>"AFR021"</f>
        <v>AFR021</v>
      </c>
      <c r="V188" s="218" t="str">
        <f>"057"</f>
        <v>057</v>
      </c>
      <c r="W188" s="218">
        <v>47.61</v>
      </c>
      <c r="X188" s="218" t="str">
        <f t="shared" si="53"/>
        <v>USD</v>
      </c>
      <c r="Y188" s="218">
        <v>35.880000000000003</v>
      </c>
      <c r="Z188" s="218">
        <v>47.61</v>
      </c>
      <c r="AA188" s="218">
        <v>42.11</v>
      </c>
    </row>
    <row r="189" spans="1:27">
      <c r="A189" s="218" t="s">
        <v>2592</v>
      </c>
      <c r="F189" s="219" t="str">
        <f>"""IntAlert Live"",""ALERT UK"",""17"",""1"",""516997"""</f>
        <v>"IntAlert Live","ALERT UK","17","1","516997"</v>
      </c>
      <c r="G189" s="223">
        <v>43859</v>
      </c>
      <c r="H189" s="223"/>
      <c r="I189" s="218" t="str">
        <f>"DRCBUK/BANK/2020/01/017"</f>
        <v>DRCBUK/BANK/2020/01/017</v>
      </c>
      <c r="K189" s="218" t="str">
        <f>"DGI SUD-KIVU"</f>
        <v>DGI SUD-KIVU</v>
      </c>
      <c r="L189" s="218" t="str">
        <f>"IPR Jan'20 -Marina FURAHA AMANI"</f>
        <v>IPR Jan'20 -Marina FURAHA AMANI</v>
      </c>
      <c r="M189" s="218" t="str">
        <f t="shared" si="59"/>
        <v>5100</v>
      </c>
      <c r="N189" s="218" t="str">
        <f t="shared" si="60"/>
        <v>BASIC EMPLOYMENT COSTS</v>
      </c>
      <c r="O189" s="218" t="str">
        <f t="shared" si="61"/>
        <v>DRCBUK</v>
      </c>
      <c r="P189" s="218" t="str">
        <f t="shared" si="43"/>
        <v>AP21QR</v>
      </c>
      <c r="Q189" s="218" t="str">
        <f>"FUR"</f>
        <v>FUR</v>
      </c>
      <c r="R189" s="218" t="str">
        <f>""</f>
        <v/>
      </c>
      <c r="S189" s="218" t="str">
        <f t="shared" si="50"/>
        <v>057</v>
      </c>
      <c r="T189" s="218" t="str">
        <f t="shared" si="51"/>
        <v>D</v>
      </c>
      <c r="U189" s="218" t="str">
        <f>"AFR000"</f>
        <v>AFR000</v>
      </c>
      <c r="V189" s="218" t="str">
        <f>"###"</f>
        <v>###</v>
      </c>
      <c r="W189" s="218">
        <v>14.21</v>
      </c>
      <c r="X189" s="218" t="str">
        <f t="shared" si="53"/>
        <v>USD</v>
      </c>
      <c r="Y189" s="218">
        <v>10.71</v>
      </c>
      <c r="Z189" s="218">
        <v>14.21</v>
      </c>
      <c r="AA189" s="218">
        <v>12.57</v>
      </c>
    </row>
    <row r="190" spans="1:27">
      <c r="A190" s="218" t="s">
        <v>2592</v>
      </c>
      <c r="F190" s="219" t="str">
        <f>"""IntAlert Live"",""ALERT UK"",""17"",""1"",""517012"""</f>
        <v>"IntAlert Live","ALERT UK","17","1","517012"</v>
      </c>
      <c r="G190" s="223">
        <v>43859</v>
      </c>
      <c r="H190" s="223"/>
      <c r="I190" s="218" t="str">
        <f>"DRCBUK/BANK/2020/01/017"</f>
        <v>DRCBUK/BANK/2020/01/017</v>
      </c>
      <c r="K190" s="218" t="str">
        <f>"DGI SUD-KIVU"</f>
        <v>DGI SUD-KIVU</v>
      </c>
      <c r="L190" s="218" t="str">
        <f>"IPR Jan'20 -Georgine BAMUNOBA TIBANAGWA"</f>
        <v>IPR Jan'20 -Georgine BAMUNOBA TIBANAGWA</v>
      </c>
      <c r="M190" s="218" t="str">
        <f t="shared" si="59"/>
        <v>5100</v>
      </c>
      <c r="N190" s="218" t="str">
        <f t="shared" si="60"/>
        <v>BASIC EMPLOYMENT COSTS</v>
      </c>
      <c r="O190" s="218" t="str">
        <f t="shared" si="61"/>
        <v>DRCBUK</v>
      </c>
      <c r="P190" s="218" t="str">
        <f t="shared" si="43"/>
        <v>AP21QR</v>
      </c>
      <c r="Q190" s="218" t="str">
        <f>"BAM"</f>
        <v>BAM</v>
      </c>
      <c r="R190" s="218" t="str">
        <f>""</f>
        <v/>
      </c>
      <c r="S190" s="218" t="str">
        <f t="shared" si="50"/>
        <v>057</v>
      </c>
      <c r="T190" s="218" t="str">
        <f t="shared" si="51"/>
        <v>D</v>
      </c>
      <c r="U190" s="218" t="str">
        <f>"AFR000"</f>
        <v>AFR000</v>
      </c>
      <c r="V190" s="218" t="str">
        <f>"###"</f>
        <v>###</v>
      </c>
      <c r="W190" s="218">
        <v>4.99</v>
      </c>
      <c r="X190" s="218" t="str">
        <f t="shared" si="53"/>
        <v>USD</v>
      </c>
      <c r="Y190" s="218">
        <v>3.76</v>
      </c>
      <c r="Z190" s="218">
        <v>4.99</v>
      </c>
      <c r="AA190" s="218">
        <v>4.41</v>
      </c>
    </row>
    <row r="191" spans="1:27">
      <c r="A191" s="218" t="s">
        <v>2592</v>
      </c>
      <c r="F191" s="219" t="str">
        <f>"""IntAlert Live"",""ALERT UK"",""17"",""1"",""517024"""</f>
        <v>"IntAlert Live","ALERT UK","17","1","517024"</v>
      </c>
      <c r="G191" s="223">
        <v>43859</v>
      </c>
      <c r="H191" s="223"/>
      <c r="I191" s="218" t="str">
        <f>"DRCBUK/BANK/2020/01/017"</f>
        <v>DRCBUK/BANK/2020/01/017</v>
      </c>
      <c r="K191" s="218" t="str">
        <f>"DGI SUD-KIVU"</f>
        <v>DGI SUD-KIVU</v>
      </c>
      <c r="L191" s="218" t="str">
        <f>"IPR Jan'20 -Verre KILAURI  BANYWESIZE"</f>
        <v>IPR Jan'20 -Verre KILAURI  BANYWESIZE</v>
      </c>
      <c r="M191" s="218" t="str">
        <f t="shared" si="59"/>
        <v>5100</v>
      </c>
      <c r="N191" s="218" t="str">
        <f t="shared" si="60"/>
        <v>BASIC EMPLOYMENT COSTS</v>
      </c>
      <c r="O191" s="218" t="str">
        <f t="shared" si="61"/>
        <v>DRCBUK</v>
      </c>
      <c r="P191" s="218" t="str">
        <f t="shared" si="43"/>
        <v>AP21QR</v>
      </c>
      <c r="Q191" s="218" t="str">
        <f>"KIA"</f>
        <v>KIA</v>
      </c>
      <c r="R191" s="218" t="str">
        <f>""</f>
        <v/>
      </c>
      <c r="S191" s="218" t="str">
        <f t="shared" si="50"/>
        <v>057</v>
      </c>
      <c r="T191" s="218" t="str">
        <f t="shared" si="51"/>
        <v>D</v>
      </c>
      <c r="U191" s="218" t="str">
        <f>"AFR000"</f>
        <v>AFR000</v>
      </c>
      <c r="V191" s="218" t="str">
        <f>"###"</f>
        <v>###</v>
      </c>
      <c r="W191" s="218">
        <v>8.84</v>
      </c>
      <c r="X191" s="218" t="str">
        <f t="shared" si="53"/>
        <v>USD</v>
      </c>
      <c r="Y191" s="218">
        <v>6.66</v>
      </c>
      <c r="Z191" s="218">
        <v>8.84</v>
      </c>
      <c r="AA191" s="218">
        <v>7.82</v>
      </c>
    </row>
    <row r="192" spans="1:27">
      <c r="A192" s="218" t="s">
        <v>2592</v>
      </c>
      <c r="F192" s="219" t="str">
        <f>"""IntAlert Live"",""ALERT UK"",""17"",""1"",""517034"""</f>
        <v>"IntAlert Live","ALERT UK","17","1","517034"</v>
      </c>
      <c r="G192" s="223">
        <v>43859</v>
      </c>
      <c r="H192" s="223"/>
      <c r="I192" s="218" t="str">
        <f>"DRCBUK/BANK/2020/01/017"</f>
        <v>DRCBUK/BANK/2020/01/017</v>
      </c>
      <c r="K192" s="218" t="str">
        <f>"DGI SUD-KIVU"</f>
        <v>DGI SUD-KIVU</v>
      </c>
      <c r="L192" s="218" t="str">
        <f>"IPR Jan'20 -Michel MIRINDI BASHWERE"</f>
        <v>IPR Jan'20 -Michel MIRINDI BASHWERE</v>
      </c>
      <c r="M192" s="218" t="str">
        <f t="shared" si="59"/>
        <v>5100</v>
      </c>
      <c r="N192" s="218" t="str">
        <f t="shared" si="60"/>
        <v>BASIC EMPLOYMENT COSTS</v>
      </c>
      <c r="O192" s="218" t="str">
        <f t="shared" si="61"/>
        <v>DRCBUK</v>
      </c>
      <c r="P192" s="218" t="str">
        <f t="shared" si="43"/>
        <v>AP21QR</v>
      </c>
      <c r="Q192" s="218" t="str">
        <f>"MRI"</f>
        <v>MRI</v>
      </c>
      <c r="R192" s="218" t="str">
        <f>""</f>
        <v/>
      </c>
      <c r="S192" s="218" t="str">
        <f t="shared" si="50"/>
        <v>057</v>
      </c>
      <c r="T192" s="218" t="str">
        <f t="shared" si="51"/>
        <v>D</v>
      </c>
      <c r="U192" s="218" t="str">
        <f>"AFR021"</f>
        <v>AFR021</v>
      </c>
      <c r="V192" s="218" t="str">
        <f>"057"</f>
        <v>057</v>
      </c>
      <c r="W192" s="218">
        <v>3.86</v>
      </c>
      <c r="X192" s="218" t="str">
        <f t="shared" si="53"/>
        <v>USD</v>
      </c>
      <c r="Y192" s="218">
        <v>2.91</v>
      </c>
      <c r="Z192" s="218">
        <v>3.86</v>
      </c>
      <c r="AA192" s="218">
        <v>3.42</v>
      </c>
    </row>
    <row r="193" spans="1:27">
      <c r="A193" s="218" t="s">
        <v>2592</v>
      </c>
      <c r="F193" s="219" t="str">
        <f>"""IntAlert Live"",""ALERT UK"",""17"",""1"",""517049"""</f>
        <v>"IntAlert Live","ALERT UK","17","1","517049"</v>
      </c>
      <c r="G193" s="223">
        <v>43859</v>
      </c>
      <c r="H193" s="223"/>
      <c r="I193" s="218" t="str">
        <f>"DRCBUK/BANK/2020/01/018"</f>
        <v>DRCBUK/BANK/2020/01/018</v>
      </c>
      <c r="K193" s="218" t="str">
        <f>"CNSS SUD-KIVU"</f>
        <v>CNSS SUD-KIVU</v>
      </c>
      <c r="L193" s="218" t="str">
        <f>"CNSS-Marina FURAHA AMANI"</f>
        <v>CNSS-Marina FURAHA AMANI</v>
      </c>
      <c r="M193" s="218" t="str">
        <f>"5110"</f>
        <v>5110</v>
      </c>
      <c r="N193" s="218" t="str">
        <f>"EMPLOYER'S PENSION COSTS"</f>
        <v>EMPLOYER'S PENSION COSTS</v>
      </c>
      <c r="O193" s="218" t="str">
        <f t="shared" si="61"/>
        <v>DRCBUK</v>
      </c>
      <c r="P193" s="218" t="str">
        <f t="shared" si="43"/>
        <v>AP21QR</v>
      </c>
      <c r="Q193" s="218" t="str">
        <f>"FUR"</f>
        <v>FUR</v>
      </c>
      <c r="R193" s="218" t="str">
        <f>""</f>
        <v/>
      </c>
      <c r="S193" s="218" t="str">
        <f t="shared" si="50"/>
        <v>057</v>
      </c>
      <c r="T193" s="218" t="str">
        <f t="shared" si="51"/>
        <v>D</v>
      </c>
      <c r="U193" s="218" t="str">
        <f>"AFR000"</f>
        <v>AFR000</v>
      </c>
      <c r="V193" s="218" t="str">
        <f>"###"</f>
        <v>###</v>
      </c>
      <c r="W193" s="218">
        <v>14.83</v>
      </c>
      <c r="X193" s="218" t="str">
        <f t="shared" si="53"/>
        <v>USD</v>
      </c>
      <c r="Y193" s="218">
        <v>11.18</v>
      </c>
      <c r="Z193" s="218">
        <v>14.83</v>
      </c>
      <c r="AA193" s="218">
        <v>13.12</v>
      </c>
    </row>
    <row r="194" spans="1:27">
      <c r="A194" s="218" t="s">
        <v>2592</v>
      </c>
      <c r="F194" s="219" t="str">
        <f>"""IntAlert Live"",""ALERT UK"",""17"",""1"",""517064"""</f>
        <v>"IntAlert Live","ALERT UK","17","1","517064"</v>
      </c>
      <c r="G194" s="223">
        <v>43859</v>
      </c>
      <c r="H194" s="223"/>
      <c r="I194" s="218" t="str">
        <f>"DRCBUK/BANK/2020/01/018"</f>
        <v>DRCBUK/BANK/2020/01/018</v>
      </c>
      <c r="K194" s="218" t="str">
        <f>"CNSS SUD-KIVU"</f>
        <v>CNSS SUD-KIVU</v>
      </c>
      <c r="L194" s="218" t="str">
        <f>"CNSS-Georgine BAMUNOBA TIBANAGWA"</f>
        <v>CNSS-Georgine BAMUNOBA TIBANAGWA</v>
      </c>
      <c r="M194" s="218" t="str">
        <f>"5110"</f>
        <v>5110</v>
      </c>
      <c r="N194" s="218" t="str">
        <f>"EMPLOYER'S PENSION COSTS"</f>
        <v>EMPLOYER'S PENSION COSTS</v>
      </c>
      <c r="O194" s="218" t="str">
        <f t="shared" si="61"/>
        <v>DRCBUK</v>
      </c>
      <c r="P194" s="218" t="str">
        <f t="shared" si="43"/>
        <v>AP21QR</v>
      </c>
      <c r="Q194" s="218" t="str">
        <f>"BAM"</f>
        <v>BAM</v>
      </c>
      <c r="R194" s="218" t="str">
        <f>""</f>
        <v/>
      </c>
      <c r="S194" s="218" t="str">
        <f t="shared" si="50"/>
        <v>057</v>
      </c>
      <c r="T194" s="218" t="str">
        <f t="shared" si="51"/>
        <v>D</v>
      </c>
      <c r="U194" s="218" t="str">
        <f>"AFR000"</f>
        <v>AFR000</v>
      </c>
      <c r="V194" s="218" t="str">
        <f>"###"</f>
        <v>###</v>
      </c>
      <c r="W194" s="218">
        <v>7.76</v>
      </c>
      <c r="X194" s="218" t="str">
        <f t="shared" si="53"/>
        <v>USD</v>
      </c>
      <c r="Y194" s="218">
        <v>5.85</v>
      </c>
      <c r="Z194" s="218">
        <v>7.76</v>
      </c>
      <c r="AA194" s="218">
        <v>6.87</v>
      </c>
    </row>
    <row r="195" spans="1:27">
      <c r="A195" s="218" t="s">
        <v>2592</v>
      </c>
      <c r="F195" s="219" t="str">
        <f>"""IntAlert Live"",""ALERT UK"",""17"",""1"",""517076"""</f>
        <v>"IntAlert Live","ALERT UK","17","1","517076"</v>
      </c>
      <c r="G195" s="223">
        <v>43859</v>
      </c>
      <c r="H195" s="223"/>
      <c r="I195" s="218" t="str">
        <f>"DRCBUK/BANK/2020/01/018"</f>
        <v>DRCBUK/BANK/2020/01/018</v>
      </c>
      <c r="K195" s="218" t="str">
        <f>"CNSS SUD-KIVU"</f>
        <v>CNSS SUD-KIVU</v>
      </c>
      <c r="L195" s="218" t="str">
        <f>"CNSS-Verre KILAURI  BANYWESIZE"</f>
        <v>CNSS-Verre KILAURI  BANYWESIZE</v>
      </c>
      <c r="M195" s="218" t="str">
        <f>"5110"</f>
        <v>5110</v>
      </c>
      <c r="N195" s="218" t="str">
        <f>"EMPLOYER'S PENSION COSTS"</f>
        <v>EMPLOYER'S PENSION COSTS</v>
      </c>
      <c r="O195" s="218" t="str">
        <f t="shared" si="61"/>
        <v>DRCBUK</v>
      </c>
      <c r="P195" s="218" t="str">
        <f t="shared" si="43"/>
        <v>AP21QR</v>
      </c>
      <c r="Q195" s="218" t="str">
        <f>"KIA"</f>
        <v>KIA</v>
      </c>
      <c r="R195" s="218" t="str">
        <f>""</f>
        <v/>
      </c>
      <c r="S195" s="218" t="str">
        <f t="shared" si="50"/>
        <v>057</v>
      </c>
      <c r="T195" s="218" t="str">
        <f t="shared" si="51"/>
        <v>D</v>
      </c>
      <c r="U195" s="218" t="str">
        <f>"AFR000"</f>
        <v>AFR000</v>
      </c>
      <c r="V195" s="218" t="str">
        <f>"###"</f>
        <v>###</v>
      </c>
      <c r="W195" s="218">
        <v>10.82</v>
      </c>
      <c r="X195" s="218" t="str">
        <f t="shared" si="53"/>
        <v>USD</v>
      </c>
      <c r="Y195" s="218">
        <v>8.16</v>
      </c>
      <c r="Z195" s="218">
        <v>10.82</v>
      </c>
      <c r="AA195" s="218">
        <v>9.58</v>
      </c>
    </row>
    <row r="196" spans="1:27">
      <c r="A196" s="218" t="s">
        <v>2592</v>
      </c>
      <c r="F196" s="219" t="str">
        <f>"""IntAlert Live"",""ALERT UK"",""17"",""1"",""517086"""</f>
        <v>"IntAlert Live","ALERT UK","17","1","517086"</v>
      </c>
      <c r="G196" s="223">
        <v>43859</v>
      </c>
      <c r="H196" s="223"/>
      <c r="I196" s="218" t="str">
        <f>"DRCBUK/BANK/2020/01/018"</f>
        <v>DRCBUK/BANK/2020/01/018</v>
      </c>
      <c r="K196" s="218" t="str">
        <f>"CNSS SUD-KIVU"</f>
        <v>CNSS SUD-KIVU</v>
      </c>
      <c r="L196" s="218" t="str">
        <f>"CNSS-Michel  MIRINDI BASHWERE"</f>
        <v>CNSS-Michel  MIRINDI BASHWERE</v>
      </c>
      <c r="M196" s="218" t="str">
        <f>"5110"</f>
        <v>5110</v>
      </c>
      <c r="N196" s="218" t="str">
        <f>"EMPLOYER'S PENSION COSTS"</f>
        <v>EMPLOYER'S PENSION COSTS</v>
      </c>
      <c r="O196" s="218" t="str">
        <f t="shared" si="61"/>
        <v>DRCBUK</v>
      </c>
      <c r="P196" s="218" t="str">
        <f t="shared" si="43"/>
        <v>AP21QR</v>
      </c>
      <c r="Q196" s="218" t="str">
        <f>"MRI"</f>
        <v>MRI</v>
      </c>
      <c r="R196" s="218" t="str">
        <f>""</f>
        <v/>
      </c>
      <c r="S196" s="218" t="str">
        <f t="shared" si="50"/>
        <v>057</v>
      </c>
      <c r="T196" s="218" t="str">
        <f t="shared" si="51"/>
        <v>D</v>
      </c>
      <c r="U196" s="218" t="str">
        <f>"AFR021"</f>
        <v>AFR021</v>
      </c>
      <c r="V196" s="218" t="str">
        <f>"057"</f>
        <v>057</v>
      </c>
      <c r="W196" s="218">
        <v>5.87</v>
      </c>
      <c r="X196" s="218" t="str">
        <f t="shared" si="53"/>
        <v>USD</v>
      </c>
      <c r="Y196" s="218">
        <v>4.42</v>
      </c>
      <c r="Z196" s="218">
        <v>5.87</v>
      </c>
      <c r="AA196" s="218">
        <v>5.19</v>
      </c>
    </row>
    <row r="197" spans="1:27">
      <c r="A197" s="218" t="s">
        <v>2592</v>
      </c>
      <c r="F197" s="219" t="str">
        <f>"""IntAlert Live"",""ALERT UK"",""17"",""1"",""517100"""</f>
        <v>"IntAlert Live","ALERT UK","17","1","517100"</v>
      </c>
      <c r="G197" s="223">
        <v>43860</v>
      </c>
      <c r="H197" s="223"/>
      <c r="I197" s="218" t="str">
        <f>"DRCBUK/BANK/2020/01/019"</f>
        <v>DRCBUK/BANK/2020/01/019</v>
      </c>
      <c r="K197" s="218" t="str">
        <f>"INPP SUD-KIVU"</f>
        <v>INPP SUD-KIVU</v>
      </c>
      <c r="L197" s="218" t="str">
        <f>"INPP-Marina FURAHA AMANI"</f>
        <v>INPP-Marina FURAHA AMANI</v>
      </c>
      <c r="M197" s="218" t="str">
        <f>"5160"</f>
        <v>5160</v>
      </c>
      <c r="N197" s="218" t="str">
        <f>"EMPLOYMENT BENEFITS COSTS"</f>
        <v>EMPLOYMENT BENEFITS COSTS</v>
      </c>
      <c r="O197" s="218" t="str">
        <f t="shared" si="61"/>
        <v>DRCBUK</v>
      </c>
      <c r="P197" s="218" t="str">
        <f t="shared" si="43"/>
        <v>AP21QR</v>
      </c>
      <c r="Q197" s="218" t="str">
        <f>"FUR"</f>
        <v>FUR</v>
      </c>
      <c r="R197" s="218" t="str">
        <f>""</f>
        <v/>
      </c>
      <c r="S197" s="218" t="str">
        <f t="shared" si="50"/>
        <v>057</v>
      </c>
      <c r="T197" s="218" t="str">
        <f t="shared" si="51"/>
        <v>D</v>
      </c>
      <c r="U197" s="218" t="str">
        <f>"AFR000"</f>
        <v>AFR000</v>
      </c>
      <c r="V197" s="218" t="str">
        <f>"###"</f>
        <v>###</v>
      </c>
      <c r="W197" s="218">
        <v>2.4700000000000002</v>
      </c>
      <c r="X197" s="218" t="str">
        <f t="shared" si="53"/>
        <v>USD</v>
      </c>
      <c r="Y197" s="218">
        <v>1.86</v>
      </c>
      <c r="Z197" s="218">
        <v>2.4700000000000002</v>
      </c>
      <c r="AA197" s="218">
        <v>2.1800000000000002</v>
      </c>
    </row>
    <row r="198" spans="1:27">
      <c r="A198" s="218" t="s">
        <v>2592</v>
      </c>
      <c r="F198" s="219" t="str">
        <f>"""IntAlert Live"",""ALERT UK"",""17"",""1"",""517115"""</f>
        <v>"IntAlert Live","ALERT UK","17","1","517115"</v>
      </c>
      <c r="G198" s="223">
        <v>43860</v>
      </c>
      <c r="H198" s="223"/>
      <c r="I198" s="218" t="str">
        <f>"DRCBUK/BANK/2020/01/019"</f>
        <v>DRCBUK/BANK/2020/01/019</v>
      </c>
      <c r="K198" s="218" t="str">
        <f>"INPP SUD-KIVU"</f>
        <v>INPP SUD-KIVU</v>
      </c>
      <c r="L198" s="218" t="str">
        <f>"INPP-Georgine BAMUNOBA TIBANAGWA"</f>
        <v>INPP-Georgine BAMUNOBA TIBANAGWA</v>
      </c>
      <c r="M198" s="218" t="str">
        <f>"5160"</f>
        <v>5160</v>
      </c>
      <c r="N198" s="218" t="str">
        <f>"EMPLOYMENT BENEFITS COSTS"</f>
        <v>EMPLOYMENT BENEFITS COSTS</v>
      </c>
      <c r="O198" s="218" t="str">
        <f t="shared" si="61"/>
        <v>DRCBUK</v>
      </c>
      <c r="P198" s="218" t="str">
        <f t="shared" si="43"/>
        <v>AP21QR</v>
      </c>
      <c r="Q198" s="218" t="str">
        <f>"BAM"</f>
        <v>BAM</v>
      </c>
      <c r="R198" s="218" t="str">
        <f>""</f>
        <v/>
      </c>
      <c r="S198" s="218" t="str">
        <f t="shared" si="50"/>
        <v>057</v>
      </c>
      <c r="T198" s="218" t="str">
        <f t="shared" si="51"/>
        <v>D</v>
      </c>
      <c r="U198" s="218" t="str">
        <f>"AFR000"</f>
        <v>AFR000</v>
      </c>
      <c r="V198" s="218" t="str">
        <f>"###"</f>
        <v>###</v>
      </c>
      <c r="W198" s="218">
        <v>1.29</v>
      </c>
      <c r="X198" s="218" t="str">
        <f t="shared" si="53"/>
        <v>USD</v>
      </c>
      <c r="Y198" s="218">
        <v>0.97</v>
      </c>
      <c r="Z198" s="218">
        <v>1.29</v>
      </c>
      <c r="AA198" s="218">
        <v>1.1399999999999999</v>
      </c>
    </row>
    <row r="199" spans="1:27">
      <c r="A199" s="218" t="s">
        <v>2592</v>
      </c>
      <c r="F199" s="219" t="str">
        <f>"""IntAlert Live"",""ALERT UK"",""17"",""1"",""517127"""</f>
        <v>"IntAlert Live","ALERT UK","17","1","517127"</v>
      </c>
      <c r="G199" s="223">
        <v>43860</v>
      </c>
      <c r="H199" s="223"/>
      <c r="I199" s="218" t="str">
        <f>"DRCBUK/BANK/2020/01/019"</f>
        <v>DRCBUK/BANK/2020/01/019</v>
      </c>
      <c r="K199" s="218" t="str">
        <f>"INPP SUD-KIVU"</f>
        <v>INPP SUD-KIVU</v>
      </c>
      <c r="L199" s="218" t="str">
        <f>"INPP-Verre KILAURI  BANYWESIZE"</f>
        <v>INPP-Verre KILAURI  BANYWESIZE</v>
      </c>
      <c r="M199" s="218" t="str">
        <f>"5160"</f>
        <v>5160</v>
      </c>
      <c r="N199" s="218" t="str">
        <f>"EMPLOYMENT BENEFITS COSTS"</f>
        <v>EMPLOYMENT BENEFITS COSTS</v>
      </c>
      <c r="O199" s="218" t="str">
        <f t="shared" si="61"/>
        <v>DRCBUK</v>
      </c>
      <c r="P199" s="218" t="str">
        <f t="shared" ref="P199:P262" si="62">"AP21QR"</f>
        <v>AP21QR</v>
      </c>
      <c r="Q199" s="218" t="str">
        <f>"KIA"</f>
        <v>KIA</v>
      </c>
      <c r="R199" s="218" t="str">
        <f>""</f>
        <v/>
      </c>
      <c r="S199" s="218" t="str">
        <f t="shared" ref="S199:S230" si="63">"057"</f>
        <v>057</v>
      </c>
      <c r="T199" s="218" t="str">
        <f t="shared" ref="T199:T230" si="64">"D"</f>
        <v>D</v>
      </c>
      <c r="U199" s="218" t="str">
        <f>"AFR000"</f>
        <v>AFR000</v>
      </c>
      <c r="V199" s="218" t="str">
        <f>"###"</f>
        <v>###</v>
      </c>
      <c r="W199" s="218">
        <v>1.8</v>
      </c>
      <c r="X199" s="218" t="str">
        <f t="shared" ref="X199:X230" si="65">"USD"</f>
        <v>USD</v>
      </c>
      <c r="Y199" s="218">
        <v>1.36</v>
      </c>
      <c r="Z199" s="218">
        <v>1.8</v>
      </c>
      <c r="AA199" s="218">
        <v>1.6</v>
      </c>
    </row>
    <row r="200" spans="1:27">
      <c r="A200" s="218" t="s">
        <v>2592</v>
      </c>
      <c r="F200" s="219" t="str">
        <f>"""IntAlert Live"",""ALERT UK"",""17"",""1"",""517137"""</f>
        <v>"IntAlert Live","ALERT UK","17","1","517137"</v>
      </c>
      <c r="G200" s="223">
        <v>43860</v>
      </c>
      <c r="H200" s="223"/>
      <c r="I200" s="218" t="str">
        <f>"DRCBUK/BANK/2020/01/019"</f>
        <v>DRCBUK/BANK/2020/01/019</v>
      </c>
      <c r="K200" s="218" t="str">
        <f>"INPP SUD-KIVU"</f>
        <v>INPP SUD-KIVU</v>
      </c>
      <c r="L200" s="218" t="str">
        <f>"INPP-Michel  MIRINDI BASHWERE"</f>
        <v>INPP-Michel  MIRINDI BASHWERE</v>
      </c>
      <c r="M200" s="218" t="str">
        <f>"5160"</f>
        <v>5160</v>
      </c>
      <c r="N200" s="218" t="str">
        <f>"EMPLOYMENT BENEFITS COSTS"</f>
        <v>EMPLOYMENT BENEFITS COSTS</v>
      </c>
      <c r="O200" s="218" t="str">
        <f t="shared" si="61"/>
        <v>DRCBUK</v>
      </c>
      <c r="P200" s="218" t="str">
        <f t="shared" si="62"/>
        <v>AP21QR</v>
      </c>
      <c r="Q200" s="218" t="str">
        <f>"MRI"</f>
        <v>MRI</v>
      </c>
      <c r="R200" s="218" t="str">
        <f>""</f>
        <v/>
      </c>
      <c r="S200" s="218" t="str">
        <f t="shared" si="63"/>
        <v>057</v>
      </c>
      <c r="T200" s="218" t="str">
        <f t="shared" si="64"/>
        <v>D</v>
      </c>
      <c r="U200" s="218" t="str">
        <f>"AFR021"</f>
        <v>AFR021</v>
      </c>
      <c r="V200" s="218" t="str">
        <f>"057"</f>
        <v>057</v>
      </c>
      <c r="W200" s="218">
        <v>0.98</v>
      </c>
      <c r="X200" s="218" t="str">
        <f t="shared" si="65"/>
        <v>USD</v>
      </c>
      <c r="Y200" s="218">
        <v>0.74</v>
      </c>
      <c r="Z200" s="218">
        <v>0.98</v>
      </c>
      <c r="AA200" s="218">
        <v>0.87</v>
      </c>
    </row>
    <row r="201" spans="1:27">
      <c r="A201" s="218" t="s">
        <v>2592</v>
      </c>
      <c r="F201" s="219" t="str">
        <f>"""IntAlert Live"",""ALERT UK"",""17"",""1"",""516238"""</f>
        <v>"IntAlert Live","ALERT UK","17","1","516238"</v>
      </c>
      <c r="G201" s="223">
        <v>43861</v>
      </c>
      <c r="H201" s="223"/>
      <c r="I201" s="218" t="str">
        <f>"DRCGOM/ CAISSE/2020/001/002"</f>
        <v>DRCGOM/ CAISSE/2020/001/002</v>
      </c>
      <c r="K201" s="218" t="str">
        <f>"ONEM-JANV 2020"</f>
        <v>ONEM-JANV 2020</v>
      </c>
      <c r="L201" s="218" t="str">
        <f>"ONEM-Adolphine KAVIRA KAMBASU"</f>
        <v>ONEM-Adolphine KAVIRA KAMBASU</v>
      </c>
      <c r="M201" s="218" t="str">
        <f>"5150"</f>
        <v>5150</v>
      </c>
      <c r="N201" s="218" t="str">
        <f>"EMPLOYMENT RELOCATION COSTS"</f>
        <v>EMPLOYMENT RELOCATION COSTS</v>
      </c>
      <c r="O201" s="218" t="str">
        <f>"DRCGOM"</f>
        <v>DRCGOM</v>
      </c>
      <c r="P201" s="218" t="str">
        <f t="shared" si="62"/>
        <v>AP21QR</v>
      </c>
      <c r="Q201" s="218" t="str">
        <f>"KAS"</f>
        <v>KAS</v>
      </c>
      <c r="R201" s="218" t="str">
        <f>""</f>
        <v/>
      </c>
      <c r="S201" s="218" t="str">
        <f t="shared" si="63"/>
        <v>057</v>
      </c>
      <c r="T201" s="218" t="str">
        <f t="shared" si="64"/>
        <v>D</v>
      </c>
      <c r="U201" s="218" t="str">
        <f t="shared" ref="U201:U208" si="66">"AFR000"</f>
        <v>AFR000</v>
      </c>
      <c r="V201" s="218" t="str">
        <f t="shared" ref="V201:V208" si="67">"###"</f>
        <v>###</v>
      </c>
      <c r="W201" s="218">
        <v>0.08</v>
      </c>
      <c r="X201" s="218" t="str">
        <f t="shared" si="65"/>
        <v>USD</v>
      </c>
      <c r="Y201" s="218">
        <v>0.06</v>
      </c>
      <c r="Z201" s="218">
        <v>0.08</v>
      </c>
      <c r="AA201" s="218">
        <v>7.0000000000000007E-2</v>
      </c>
    </row>
    <row r="202" spans="1:27">
      <c r="A202" s="218" t="s">
        <v>2592</v>
      </c>
      <c r="F202" s="219" t="str">
        <f>"""IntAlert Live"",""ALERT UK"",""17"",""1"",""516245"""</f>
        <v>"IntAlert Live","ALERT UK","17","1","516245"</v>
      </c>
      <c r="G202" s="223">
        <v>43861</v>
      </c>
      <c r="H202" s="223"/>
      <c r="I202" s="218" t="str">
        <f>"DRCGOM/ CAISSE/2020/001/002"</f>
        <v>DRCGOM/ CAISSE/2020/001/002</v>
      </c>
      <c r="K202" s="218" t="str">
        <f>"ONEM-JANV 2020"</f>
        <v>ONEM-JANV 2020</v>
      </c>
      <c r="L202" s="218" t="str">
        <f>"ONEM-Esperance CHIDOROMI SIFA"</f>
        <v>ONEM-Esperance CHIDOROMI SIFA</v>
      </c>
      <c r="M202" s="218" t="str">
        <f>"5150"</f>
        <v>5150</v>
      </c>
      <c r="N202" s="218" t="str">
        <f>"EMPLOYMENT RELOCATION COSTS"</f>
        <v>EMPLOYMENT RELOCATION COSTS</v>
      </c>
      <c r="O202" s="218" t="str">
        <f>"DRCGOM"</f>
        <v>DRCGOM</v>
      </c>
      <c r="P202" s="218" t="str">
        <f t="shared" si="62"/>
        <v>AP21QR</v>
      </c>
      <c r="Q202" s="218" t="str">
        <f>"SIF"</f>
        <v>SIF</v>
      </c>
      <c r="R202" s="218" t="str">
        <f>""</f>
        <v/>
      </c>
      <c r="S202" s="218" t="str">
        <f t="shared" si="63"/>
        <v>057</v>
      </c>
      <c r="T202" s="218" t="str">
        <f t="shared" si="64"/>
        <v>D</v>
      </c>
      <c r="U202" s="218" t="str">
        <f t="shared" si="66"/>
        <v>AFR000</v>
      </c>
      <c r="V202" s="218" t="str">
        <f t="shared" si="67"/>
        <v>###</v>
      </c>
      <c r="W202" s="218">
        <v>0.28000000000000003</v>
      </c>
      <c r="X202" s="218" t="str">
        <f t="shared" si="65"/>
        <v>USD</v>
      </c>
      <c r="Y202" s="218">
        <v>0.21</v>
      </c>
      <c r="Z202" s="218">
        <v>0.28000000000000003</v>
      </c>
      <c r="AA202" s="218">
        <v>0.25</v>
      </c>
    </row>
    <row r="203" spans="1:27">
      <c r="A203" s="218" t="s">
        <v>2592</v>
      </c>
      <c r="F203" s="219" t="str">
        <f>"""IntAlert Live"",""ALERT UK"",""17"",""1"",""516258"""</f>
        <v>"IntAlert Live","ALERT UK","17","1","516258"</v>
      </c>
      <c r="G203" s="223">
        <v>43861</v>
      </c>
      <c r="H203" s="223"/>
      <c r="I203" s="218" t="str">
        <f>"DRCGOM/ CAISSE/2020/001/002"</f>
        <v>DRCGOM/ CAISSE/2020/001/002</v>
      </c>
      <c r="K203" s="218" t="str">
        <f>"ONEM-JANV 2020"</f>
        <v>ONEM-JANV 2020</v>
      </c>
      <c r="L203" s="218" t="str">
        <f>"ONEM-Barnabe Wangu "</f>
        <v xml:space="preserve">ONEM-Barnabe Wangu </v>
      </c>
      <c r="M203" s="218" t="str">
        <f>"5150"</f>
        <v>5150</v>
      </c>
      <c r="N203" s="218" t="str">
        <f>"EMPLOYMENT RELOCATION COSTS"</f>
        <v>EMPLOYMENT RELOCATION COSTS</v>
      </c>
      <c r="O203" s="218" t="str">
        <f>"DRCGOM"</f>
        <v>DRCGOM</v>
      </c>
      <c r="P203" s="218" t="str">
        <f t="shared" si="62"/>
        <v>AP21QR</v>
      </c>
      <c r="Q203" s="218" t="str">
        <f>"BRB"</f>
        <v>BRB</v>
      </c>
      <c r="R203" s="218" t="str">
        <f>""</f>
        <v/>
      </c>
      <c r="S203" s="218" t="str">
        <f t="shared" si="63"/>
        <v>057</v>
      </c>
      <c r="T203" s="218" t="str">
        <f t="shared" si="64"/>
        <v>D</v>
      </c>
      <c r="U203" s="218" t="str">
        <f t="shared" si="66"/>
        <v>AFR000</v>
      </c>
      <c r="V203" s="218" t="str">
        <f t="shared" si="67"/>
        <v>###</v>
      </c>
      <c r="W203" s="218">
        <v>0.38</v>
      </c>
      <c r="X203" s="218" t="str">
        <f t="shared" si="65"/>
        <v>USD</v>
      </c>
      <c r="Y203" s="218">
        <v>0.28999999999999998</v>
      </c>
      <c r="Z203" s="218">
        <v>0.38</v>
      </c>
      <c r="AA203" s="218">
        <v>0.34</v>
      </c>
    </row>
    <row r="204" spans="1:27">
      <c r="A204" s="218" t="s">
        <v>2592</v>
      </c>
      <c r="F204" s="219" t="str">
        <f>"""IntAlert Live"",""ALERT UK"",""17"",""1"",""516277"""</f>
        <v>"IntAlert Live","ALERT UK","17","1","516277"</v>
      </c>
      <c r="G204" s="223">
        <v>43861</v>
      </c>
      <c r="H204" s="223"/>
      <c r="I204" s="218" t="str">
        <f>"DRCGOM/ CAISSE/2020/001/002"</f>
        <v>DRCGOM/ CAISSE/2020/001/002</v>
      </c>
      <c r="K204" s="218" t="str">
        <f>"ONEM-JANV 2020"</f>
        <v>ONEM-JANV 2020</v>
      </c>
      <c r="L204" s="218" t="str">
        <f>"ONEM-Bienvenu MAKURU AMANI"</f>
        <v>ONEM-Bienvenu MAKURU AMANI</v>
      </c>
      <c r="M204" s="218" t="str">
        <f>"5150"</f>
        <v>5150</v>
      </c>
      <c r="N204" s="218" t="str">
        <f>"EMPLOYMENT RELOCATION COSTS"</f>
        <v>EMPLOYMENT RELOCATION COSTS</v>
      </c>
      <c r="O204" s="218" t="str">
        <f>"DRCGOM"</f>
        <v>DRCGOM</v>
      </c>
      <c r="P204" s="218" t="str">
        <f t="shared" si="62"/>
        <v>AP21QR</v>
      </c>
      <c r="Q204" s="218" t="str">
        <f>"SEN"</f>
        <v>SEN</v>
      </c>
      <c r="R204" s="218" t="str">
        <f>""</f>
        <v/>
      </c>
      <c r="S204" s="218" t="str">
        <f t="shared" si="63"/>
        <v>057</v>
      </c>
      <c r="T204" s="218" t="str">
        <f t="shared" si="64"/>
        <v>D</v>
      </c>
      <c r="U204" s="218" t="str">
        <f t="shared" si="66"/>
        <v>AFR000</v>
      </c>
      <c r="V204" s="218" t="str">
        <f t="shared" si="67"/>
        <v>###</v>
      </c>
      <c r="W204" s="218">
        <v>0.1</v>
      </c>
      <c r="X204" s="218" t="str">
        <f t="shared" si="65"/>
        <v>USD</v>
      </c>
      <c r="Y204" s="218">
        <v>0.08</v>
      </c>
      <c r="Z204" s="218">
        <v>0.1</v>
      </c>
      <c r="AA204" s="218">
        <v>0.09</v>
      </c>
    </row>
    <row r="205" spans="1:27">
      <c r="A205" s="218" t="s">
        <v>2592</v>
      </c>
      <c r="F205" s="219" t="str">
        <f>"""IntAlert Live"",""ALERT UK"",""17"",""1"",""516288"""</f>
        <v>"IntAlert Live","ALERT UK","17","1","516288"</v>
      </c>
      <c r="G205" s="223">
        <v>43861</v>
      </c>
      <c r="H205" s="223"/>
      <c r="I205" s="218" t="str">
        <f>"DRCGOM/ CAISSE/2020/001/002"</f>
        <v>DRCGOM/ CAISSE/2020/001/002</v>
      </c>
      <c r="K205" s="218" t="str">
        <f>"ONEM-JANV 2020"</f>
        <v>ONEM-JANV 2020</v>
      </c>
      <c r="L205" s="218" t="str">
        <f>"ONEM-Jacques Zigabe Buhendwa"</f>
        <v>ONEM-Jacques Zigabe Buhendwa</v>
      </c>
      <c r="M205" s="218" t="str">
        <f>"5150"</f>
        <v>5150</v>
      </c>
      <c r="N205" s="218" t="str">
        <f>"EMPLOYMENT RELOCATION COSTS"</f>
        <v>EMPLOYMENT RELOCATION COSTS</v>
      </c>
      <c r="O205" s="218" t="str">
        <f>"DRCGOM"</f>
        <v>DRCGOM</v>
      </c>
      <c r="P205" s="218" t="str">
        <f t="shared" si="62"/>
        <v>AP21QR</v>
      </c>
      <c r="Q205" s="218" t="str">
        <f>"BUE"</f>
        <v>BUE</v>
      </c>
      <c r="R205" s="218" t="str">
        <f>""</f>
        <v/>
      </c>
      <c r="S205" s="218" t="str">
        <f t="shared" si="63"/>
        <v>057</v>
      </c>
      <c r="T205" s="218" t="str">
        <f t="shared" si="64"/>
        <v>D</v>
      </c>
      <c r="U205" s="218" t="str">
        <f t="shared" si="66"/>
        <v>AFR000</v>
      </c>
      <c r="V205" s="218" t="str">
        <f t="shared" si="67"/>
        <v>###</v>
      </c>
      <c r="W205" s="218">
        <v>0.18</v>
      </c>
      <c r="X205" s="218" t="str">
        <f t="shared" si="65"/>
        <v>USD</v>
      </c>
      <c r="Y205" s="218">
        <v>0.14000000000000001</v>
      </c>
      <c r="Z205" s="218">
        <v>0.18</v>
      </c>
      <c r="AA205" s="218">
        <v>0.16</v>
      </c>
    </row>
    <row r="206" spans="1:27">
      <c r="A206" s="218" t="s">
        <v>2592</v>
      </c>
      <c r="F206" s="219" t="str">
        <f>"""IntAlert Live"",""ALERT UK"",""17"",""1"",""532781"""</f>
        <v>"IntAlert Live","ALERT UK","17","1","532781"</v>
      </c>
      <c r="G206" s="223">
        <v>43865</v>
      </c>
      <c r="H206" s="223"/>
      <c r="I206" s="218" t="str">
        <f>"DRCBUK/CAISSE/2020/02/001"</f>
        <v>DRCBUK/CAISSE/2020/02/001</v>
      </c>
      <c r="K206" s="218" t="str">
        <f>"ONEM"</f>
        <v>ONEM</v>
      </c>
      <c r="L206" s="218" t="str">
        <f>"ONEM JANV 020-Marina FURAHA AMANI"</f>
        <v>ONEM JANV 020-Marina FURAHA AMANI</v>
      </c>
      <c r="M206" s="218" t="str">
        <f>"5160"</f>
        <v>5160</v>
      </c>
      <c r="N206" s="218" t="str">
        <f>"EMPLOYMENT BENEFITS COSTS"</f>
        <v>EMPLOYMENT BENEFITS COSTS</v>
      </c>
      <c r="O206" s="218" t="str">
        <f t="shared" ref="O206:O225" si="68">"DRCBUK"</f>
        <v>DRCBUK</v>
      </c>
      <c r="P206" s="218" t="str">
        <f t="shared" si="62"/>
        <v>AP21QR</v>
      </c>
      <c r="Q206" s="218" t="str">
        <f>"FUR"</f>
        <v>FUR</v>
      </c>
      <c r="R206" s="218" t="str">
        <f>""</f>
        <v/>
      </c>
      <c r="S206" s="218" t="str">
        <f t="shared" si="63"/>
        <v>057</v>
      </c>
      <c r="T206" s="218" t="str">
        <f t="shared" si="64"/>
        <v>D</v>
      </c>
      <c r="U206" s="218" t="str">
        <f t="shared" si="66"/>
        <v>AFR000</v>
      </c>
      <c r="V206" s="218" t="str">
        <f t="shared" si="67"/>
        <v>###</v>
      </c>
      <c r="W206" s="218">
        <v>0.16</v>
      </c>
      <c r="X206" s="218" t="str">
        <f t="shared" si="65"/>
        <v>USD</v>
      </c>
      <c r="Y206" s="218">
        <v>0.12</v>
      </c>
      <c r="Z206" s="218">
        <v>0.16</v>
      </c>
      <c r="AA206" s="218">
        <v>0.14000000000000001</v>
      </c>
    </row>
    <row r="207" spans="1:27">
      <c r="A207" s="218" t="s">
        <v>2592</v>
      </c>
      <c r="F207" s="219" t="str">
        <f>"""IntAlert Live"",""ALERT UK"",""17"",""1"",""532795"""</f>
        <v>"IntAlert Live","ALERT UK","17","1","532795"</v>
      </c>
      <c r="G207" s="223">
        <v>43865</v>
      </c>
      <c r="H207" s="223"/>
      <c r="I207" s="218" t="str">
        <f>"DRCBUK/CAISSE/2020/02/001"</f>
        <v>DRCBUK/CAISSE/2020/02/001</v>
      </c>
      <c r="K207" s="218" t="str">
        <f>"ONEM"</f>
        <v>ONEM</v>
      </c>
      <c r="L207" s="218" t="str">
        <f>"ONEM JANV 020-Georgine BAMUNOBA"</f>
        <v>ONEM JANV 020-Georgine BAMUNOBA</v>
      </c>
      <c r="M207" s="218" t="str">
        <f>"5160"</f>
        <v>5160</v>
      </c>
      <c r="N207" s="218" t="str">
        <f>"EMPLOYMENT BENEFITS COSTS"</f>
        <v>EMPLOYMENT BENEFITS COSTS</v>
      </c>
      <c r="O207" s="218" t="str">
        <f t="shared" si="68"/>
        <v>DRCBUK</v>
      </c>
      <c r="P207" s="218" t="str">
        <f t="shared" si="62"/>
        <v>AP21QR</v>
      </c>
      <c r="Q207" s="218" t="str">
        <f>"BAM"</f>
        <v>BAM</v>
      </c>
      <c r="R207" s="218" t="str">
        <f>""</f>
        <v/>
      </c>
      <c r="S207" s="218" t="str">
        <f t="shared" si="63"/>
        <v>057</v>
      </c>
      <c r="T207" s="218" t="str">
        <f t="shared" si="64"/>
        <v>D</v>
      </c>
      <c r="U207" s="218" t="str">
        <f t="shared" si="66"/>
        <v>AFR000</v>
      </c>
      <c r="V207" s="218" t="str">
        <f t="shared" si="67"/>
        <v>###</v>
      </c>
      <c r="W207" s="218">
        <v>0.13</v>
      </c>
      <c r="X207" s="218" t="str">
        <f t="shared" si="65"/>
        <v>USD</v>
      </c>
      <c r="Y207" s="218">
        <v>0.1</v>
      </c>
      <c r="Z207" s="218">
        <v>0.13</v>
      </c>
      <c r="AA207" s="218">
        <v>0.12</v>
      </c>
    </row>
    <row r="208" spans="1:27">
      <c r="A208" s="218" t="s">
        <v>2592</v>
      </c>
      <c r="F208" s="219" t="str">
        <f>"""IntAlert Live"",""ALERT UK"",""17"",""1"",""532806"""</f>
        <v>"IntAlert Live","ALERT UK","17","1","532806"</v>
      </c>
      <c r="G208" s="223">
        <v>43865</v>
      </c>
      <c r="H208" s="223"/>
      <c r="I208" s="218" t="str">
        <f>"DRCBUK/CAISSE/2020/02/001"</f>
        <v>DRCBUK/CAISSE/2020/02/001</v>
      </c>
      <c r="K208" s="218" t="str">
        <f>"ONEM"</f>
        <v>ONEM</v>
      </c>
      <c r="L208" s="218" t="str">
        <f>"ONEM JANV 020-Verre KILAURI  BANYWESIZE"</f>
        <v>ONEM JANV 020-Verre KILAURI  BANYWESIZE</v>
      </c>
      <c r="M208" s="218" t="str">
        <f>"5160"</f>
        <v>5160</v>
      </c>
      <c r="N208" s="218" t="str">
        <f>"EMPLOYMENT BENEFITS COSTS"</f>
        <v>EMPLOYMENT BENEFITS COSTS</v>
      </c>
      <c r="O208" s="218" t="str">
        <f t="shared" si="68"/>
        <v>DRCBUK</v>
      </c>
      <c r="P208" s="218" t="str">
        <f t="shared" si="62"/>
        <v>AP21QR</v>
      </c>
      <c r="Q208" s="218" t="str">
        <f>"KIA"</f>
        <v>KIA</v>
      </c>
      <c r="R208" s="218" t="str">
        <f>""</f>
        <v/>
      </c>
      <c r="S208" s="218" t="str">
        <f t="shared" si="63"/>
        <v>057</v>
      </c>
      <c r="T208" s="218" t="str">
        <f t="shared" si="64"/>
        <v>D</v>
      </c>
      <c r="U208" s="218" t="str">
        <f t="shared" si="66"/>
        <v>AFR000</v>
      </c>
      <c r="V208" s="218" t="str">
        <f t="shared" si="67"/>
        <v>###</v>
      </c>
      <c r="W208" s="218">
        <v>0.17</v>
      </c>
      <c r="X208" s="218" t="str">
        <f t="shared" si="65"/>
        <v>USD</v>
      </c>
      <c r="Y208" s="218">
        <v>0.13</v>
      </c>
      <c r="Z208" s="218">
        <v>0.17</v>
      </c>
      <c r="AA208" s="218">
        <v>0.15</v>
      </c>
    </row>
    <row r="209" spans="1:27">
      <c r="A209" s="218" t="s">
        <v>2592</v>
      </c>
      <c r="F209" s="219" t="str">
        <f>"""IntAlert Live"",""ALERT UK"",""17"",""1"",""532816"""</f>
        <v>"IntAlert Live","ALERT UK","17","1","532816"</v>
      </c>
      <c r="G209" s="223">
        <v>43865</v>
      </c>
      <c r="H209" s="223"/>
      <c r="I209" s="218" t="str">
        <f>"DRCBUK/CAISSE/2020/02/001"</f>
        <v>DRCBUK/CAISSE/2020/02/001</v>
      </c>
      <c r="K209" s="218" t="str">
        <f>"ONEM"</f>
        <v>ONEM</v>
      </c>
      <c r="L209" s="218" t="str">
        <f>"ONEM JANV 020-Michel  MIRINDI BASHWERE"</f>
        <v>ONEM JANV 020-Michel  MIRINDI BASHWERE</v>
      </c>
      <c r="M209" s="218" t="str">
        <f>"5160"</f>
        <v>5160</v>
      </c>
      <c r="N209" s="218" t="str">
        <f>"EMPLOYMENT BENEFITS COSTS"</f>
        <v>EMPLOYMENT BENEFITS COSTS</v>
      </c>
      <c r="O209" s="218" t="str">
        <f t="shared" si="68"/>
        <v>DRCBUK</v>
      </c>
      <c r="P209" s="218" t="str">
        <f t="shared" si="62"/>
        <v>AP21QR</v>
      </c>
      <c r="Q209" s="218" t="str">
        <f>"MRI"</f>
        <v>MRI</v>
      </c>
      <c r="R209" s="218" t="str">
        <f>""</f>
        <v/>
      </c>
      <c r="S209" s="218" t="str">
        <f t="shared" si="63"/>
        <v>057</v>
      </c>
      <c r="T209" s="218" t="str">
        <f t="shared" si="64"/>
        <v>D</v>
      </c>
      <c r="U209" s="218" t="str">
        <f>"AFR021"</f>
        <v>AFR021</v>
      </c>
      <c r="V209" s="218" t="str">
        <f>"057"</f>
        <v>057</v>
      </c>
      <c r="W209" s="218">
        <v>0.03</v>
      </c>
      <c r="X209" s="218" t="str">
        <f t="shared" si="65"/>
        <v>USD</v>
      </c>
      <c r="Y209" s="218">
        <v>0.02</v>
      </c>
      <c r="Z209" s="218">
        <v>0.03</v>
      </c>
      <c r="AA209" s="218">
        <v>0.02</v>
      </c>
    </row>
    <row r="210" spans="1:27">
      <c r="A210" s="218" t="s">
        <v>2592</v>
      </c>
      <c r="F210" s="219" t="str">
        <f>"""IntAlert Live"",""ALERT UK"",""17"",""1"",""532449"""</f>
        <v>"IntAlert Live","ALERT UK","17","1","532449"</v>
      </c>
      <c r="G210" s="223">
        <v>43887</v>
      </c>
      <c r="H210" s="223"/>
      <c r="I210" s="218" t="str">
        <f>"DRCBUK/BANK/2020/02/031"</f>
        <v>DRCBUK/BANK/2020/02/031</v>
      </c>
      <c r="K210" s="218" t="str">
        <f>"MARINA FURAHA"</f>
        <v>MARINA FURAHA</v>
      </c>
      <c r="L210" s="218" t="str">
        <f>"Salaire-Février 020-Marina FURAHA AMANI 5%"</f>
        <v>Salaire-Février 020-Marina FURAHA AMANI 5%</v>
      </c>
      <c r="M210" s="218" t="str">
        <f t="shared" ref="M210:M217" si="69">"5100"</f>
        <v>5100</v>
      </c>
      <c r="N210" s="218" t="str">
        <f t="shared" ref="N210:N217" si="70">"BASIC EMPLOYMENT COSTS"</f>
        <v>BASIC EMPLOYMENT COSTS</v>
      </c>
      <c r="O210" s="218" t="str">
        <f t="shared" si="68"/>
        <v>DRCBUK</v>
      </c>
      <c r="P210" s="218" t="str">
        <f t="shared" si="62"/>
        <v>AP21QR</v>
      </c>
      <c r="Q210" s="218" t="str">
        <f>"FUR"</f>
        <v>FUR</v>
      </c>
      <c r="R210" s="218" t="str">
        <f>""</f>
        <v/>
      </c>
      <c r="S210" s="218" t="str">
        <f t="shared" si="63"/>
        <v>057</v>
      </c>
      <c r="T210" s="218" t="str">
        <f t="shared" si="64"/>
        <v>D</v>
      </c>
      <c r="U210" s="218" t="str">
        <f>"AFR000"</f>
        <v>AFR000</v>
      </c>
      <c r="V210" s="218" t="str">
        <f>"###"</f>
        <v>###</v>
      </c>
      <c r="W210" s="218">
        <v>94.27</v>
      </c>
      <c r="X210" s="218" t="str">
        <f t="shared" si="65"/>
        <v>USD</v>
      </c>
      <c r="Y210" s="218">
        <v>71.45</v>
      </c>
      <c r="Z210" s="218">
        <v>94.27</v>
      </c>
      <c r="AA210" s="218">
        <v>84.87</v>
      </c>
    </row>
    <row r="211" spans="1:27">
      <c r="A211" s="218" t="s">
        <v>2592</v>
      </c>
      <c r="F211" s="219" t="str">
        <f>"""IntAlert Live"",""ALERT UK"",""17"",""1"",""532461"""</f>
        <v>"IntAlert Live","ALERT UK","17","1","532461"</v>
      </c>
      <c r="G211" s="223">
        <v>43887</v>
      </c>
      <c r="H211" s="223"/>
      <c r="I211" s="218" t="str">
        <f>"DRCBUK/BANK/2020/02/031"</f>
        <v>DRCBUK/BANK/2020/02/031</v>
      </c>
      <c r="K211" s="218" t="str">
        <f>"GEORGINE BAMUNOBA"</f>
        <v>GEORGINE BAMUNOBA</v>
      </c>
      <c r="L211" s="218" t="str">
        <f>"Salaire-Février 020-Georgine BAMUNOBA 10%"</f>
        <v>Salaire-Février 020-Georgine BAMUNOBA 10%</v>
      </c>
      <c r="M211" s="218" t="str">
        <f t="shared" si="69"/>
        <v>5100</v>
      </c>
      <c r="N211" s="218" t="str">
        <f t="shared" si="70"/>
        <v>BASIC EMPLOYMENT COSTS</v>
      </c>
      <c r="O211" s="218" t="str">
        <f t="shared" si="68"/>
        <v>DRCBUK</v>
      </c>
      <c r="P211" s="218" t="str">
        <f t="shared" si="62"/>
        <v>AP21QR</v>
      </c>
      <c r="Q211" s="218" t="str">
        <f>"BAM"</f>
        <v>BAM</v>
      </c>
      <c r="R211" s="218" t="str">
        <f>""</f>
        <v/>
      </c>
      <c r="S211" s="218" t="str">
        <f t="shared" si="63"/>
        <v>057</v>
      </c>
      <c r="T211" s="218" t="str">
        <f t="shared" si="64"/>
        <v>D</v>
      </c>
      <c r="U211" s="218" t="str">
        <f>"AFR000"</f>
        <v>AFR000</v>
      </c>
      <c r="V211" s="218" t="str">
        <f>"###"</f>
        <v>###</v>
      </c>
      <c r="W211" s="218">
        <v>60.43</v>
      </c>
      <c r="X211" s="218" t="str">
        <f t="shared" si="65"/>
        <v>USD</v>
      </c>
      <c r="Y211" s="218">
        <v>45.8</v>
      </c>
      <c r="Z211" s="218">
        <v>60.43</v>
      </c>
      <c r="AA211" s="218">
        <v>54.41</v>
      </c>
    </row>
    <row r="212" spans="1:27">
      <c r="A212" s="218" t="s">
        <v>2592</v>
      </c>
      <c r="F212" s="219" t="str">
        <f>"""IntAlert Live"",""ALERT UK"",""17"",""1"",""532470"""</f>
        <v>"IntAlert Live","ALERT UK","17","1","532470"</v>
      </c>
      <c r="G212" s="223">
        <v>43887</v>
      </c>
      <c r="H212" s="223"/>
      <c r="I212" s="218" t="str">
        <f>"DRCBUK/BANK/2020/02/031"</f>
        <v>DRCBUK/BANK/2020/02/031</v>
      </c>
      <c r="K212" s="218" t="str">
        <f>"VERRE KILAURI"</f>
        <v>VERRE KILAURI</v>
      </c>
      <c r="L212" s="218" t="str">
        <f>"Salaire-Février 020-Verre KILAURI  5%"</f>
        <v>Salaire-Février 020-Verre KILAURI  5%</v>
      </c>
      <c r="M212" s="218" t="str">
        <f t="shared" si="69"/>
        <v>5100</v>
      </c>
      <c r="N212" s="218" t="str">
        <f t="shared" si="70"/>
        <v>BASIC EMPLOYMENT COSTS</v>
      </c>
      <c r="O212" s="218" t="str">
        <f t="shared" si="68"/>
        <v>DRCBUK</v>
      </c>
      <c r="P212" s="218" t="str">
        <f t="shared" si="62"/>
        <v>AP21QR</v>
      </c>
      <c r="Q212" s="218" t="str">
        <f>"KIA"</f>
        <v>KIA</v>
      </c>
      <c r="R212" s="218" t="str">
        <f>""</f>
        <v/>
      </c>
      <c r="S212" s="218" t="str">
        <f t="shared" si="63"/>
        <v>057</v>
      </c>
      <c r="T212" s="218" t="str">
        <f t="shared" si="64"/>
        <v>D</v>
      </c>
      <c r="U212" s="218" t="str">
        <f>"AFR000"</f>
        <v>AFR000</v>
      </c>
      <c r="V212" s="218" t="str">
        <f>"###"</f>
        <v>###</v>
      </c>
      <c r="W212" s="218">
        <v>70.64</v>
      </c>
      <c r="X212" s="218" t="str">
        <f t="shared" si="65"/>
        <v>USD</v>
      </c>
      <c r="Y212" s="218">
        <v>53.54</v>
      </c>
      <c r="Z212" s="218">
        <v>70.64</v>
      </c>
      <c r="AA212" s="218">
        <v>63.6</v>
      </c>
    </row>
    <row r="213" spans="1:27">
      <c r="A213" s="218" t="s">
        <v>2592</v>
      </c>
      <c r="F213" s="219" t="str">
        <f>"""IntAlert Live"",""ALERT UK"",""17"",""1"",""532477"""</f>
        <v>"IntAlert Live","ALERT UK","17","1","532477"</v>
      </c>
      <c r="G213" s="223">
        <v>43887</v>
      </c>
      <c r="H213" s="223"/>
      <c r="I213" s="218" t="str">
        <f>"DRCBUK/BANK/2020/02/031"</f>
        <v>DRCBUK/BANK/2020/02/031</v>
      </c>
      <c r="K213" s="218" t="str">
        <f>"MICHE MIRINDI"</f>
        <v>MICHE MIRINDI</v>
      </c>
      <c r="L213" s="218" t="str">
        <f>"Salaire-Février 020-Michel MIRINDI BASHWERE 20%"</f>
        <v>Salaire-Février 020-Michel MIRINDI BASHWERE 20%</v>
      </c>
      <c r="M213" s="218" t="str">
        <f t="shared" si="69"/>
        <v>5100</v>
      </c>
      <c r="N213" s="218" t="str">
        <f t="shared" si="70"/>
        <v>BASIC EMPLOYMENT COSTS</v>
      </c>
      <c r="O213" s="218" t="str">
        <f t="shared" si="68"/>
        <v>DRCBUK</v>
      </c>
      <c r="P213" s="218" t="str">
        <f t="shared" si="62"/>
        <v>AP21QR</v>
      </c>
      <c r="Q213" s="218" t="str">
        <f>"MRI"</f>
        <v>MRI</v>
      </c>
      <c r="R213" s="218" t="str">
        <f>""</f>
        <v/>
      </c>
      <c r="S213" s="218" t="str">
        <f t="shared" si="63"/>
        <v>057</v>
      </c>
      <c r="T213" s="218" t="str">
        <f t="shared" si="64"/>
        <v>D</v>
      </c>
      <c r="U213" s="218" t="str">
        <f>"AFR021"</f>
        <v>AFR021</v>
      </c>
      <c r="V213" s="218" t="str">
        <f>"057"</f>
        <v>057</v>
      </c>
      <c r="W213" s="218">
        <v>98.67</v>
      </c>
      <c r="X213" s="218" t="str">
        <f t="shared" si="65"/>
        <v>USD</v>
      </c>
      <c r="Y213" s="218">
        <v>74.790000000000006</v>
      </c>
      <c r="Z213" s="218">
        <v>98.67</v>
      </c>
      <c r="AA213" s="218">
        <v>88.84</v>
      </c>
    </row>
    <row r="214" spans="1:27">
      <c r="A214" s="218" t="s">
        <v>2592</v>
      </c>
      <c r="F214" s="219" t="str">
        <f>"""IntAlert Live"",""ALERT UK"",""17"",""1"",""532493"""</f>
        <v>"IntAlert Live","ALERT UK","17","1","532493"</v>
      </c>
      <c r="G214" s="223">
        <v>43888</v>
      </c>
      <c r="H214" s="223"/>
      <c r="I214" s="218" t="str">
        <f>"DRCBUK/BANK/2020/02/032"</f>
        <v>DRCBUK/BANK/2020/02/032</v>
      </c>
      <c r="K214" s="218" t="str">
        <f>"DGI/DPI SUD KIVU"</f>
        <v>DGI/DPI SUD KIVU</v>
      </c>
      <c r="L214" s="218" t="str">
        <f>"IPR-Février 020-Marina FURAHA AMANI 5%"</f>
        <v>IPR-Février 020-Marina FURAHA AMANI 5%</v>
      </c>
      <c r="M214" s="218" t="str">
        <f t="shared" si="69"/>
        <v>5100</v>
      </c>
      <c r="N214" s="218" t="str">
        <f t="shared" si="70"/>
        <v>BASIC EMPLOYMENT COSTS</v>
      </c>
      <c r="O214" s="218" t="str">
        <f t="shared" si="68"/>
        <v>DRCBUK</v>
      </c>
      <c r="P214" s="218" t="str">
        <f t="shared" si="62"/>
        <v>AP21QR</v>
      </c>
      <c r="Q214" s="218" t="str">
        <f>"FUR"</f>
        <v>FUR</v>
      </c>
      <c r="R214" s="218" t="str">
        <f>""</f>
        <v/>
      </c>
      <c r="S214" s="218" t="str">
        <f t="shared" si="63"/>
        <v>057</v>
      </c>
      <c r="T214" s="218" t="str">
        <f t="shared" si="64"/>
        <v>D</v>
      </c>
      <c r="U214" s="218" t="str">
        <f>"AFR000"</f>
        <v>AFR000</v>
      </c>
      <c r="V214" s="218" t="str">
        <f>"###"</f>
        <v>###</v>
      </c>
      <c r="W214" s="218">
        <v>14.67</v>
      </c>
      <c r="X214" s="218" t="str">
        <f t="shared" si="65"/>
        <v>USD</v>
      </c>
      <c r="Y214" s="218">
        <v>11.12</v>
      </c>
      <c r="Z214" s="218">
        <v>14.67</v>
      </c>
      <c r="AA214" s="218">
        <v>13.21</v>
      </c>
    </row>
    <row r="215" spans="1:27">
      <c r="A215" s="218" t="s">
        <v>2592</v>
      </c>
      <c r="F215" s="219" t="str">
        <f>"""IntAlert Live"",""ALERT UK"",""17"",""1"",""532505"""</f>
        <v>"IntAlert Live","ALERT UK","17","1","532505"</v>
      </c>
      <c r="G215" s="223">
        <v>43888</v>
      </c>
      <c r="H215" s="223"/>
      <c r="I215" s="218" t="str">
        <f>"DRCBUK/BANK/2020/02/032"</f>
        <v>DRCBUK/BANK/2020/02/032</v>
      </c>
      <c r="K215" s="218" t="str">
        <f>"DGI/DPI SUD KIVU"</f>
        <v>DGI/DPI SUD KIVU</v>
      </c>
      <c r="L215" s="218" t="str">
        <f>"IPR-Février 020-Georgine BAMUNOBA 10%"</f>
        <v>IPR-Février 020-Georgine BAMUNOBA 10%</v>
      </c>
      <c r="M215" s="218" t="str">
        <f t="shared" si="69"/>
        <v>5100</v>
      </c>
      <c r="N215" s="218" t="str">
        <f t="shared" si="70"/>
        <v>BASIC EMPLOYMENT COSTS</v>
      </c>
      <c r="O215" s="218" t="str">
        <f t="shared" si="68"/>
        <v>DRCBUK</v>
      </c>
      <c r="P215" s="218" t="str">
        <f t="shared" si="62"/>
        <v>AP21QR</v>
      </c>
      <c r="Q215" s="218" t="str">
        <f>"BAM"</f>
        <v>BAM</v>
      </c>
      <c r="R215" s="218" t="str">
        <f>""</f>
        <v/>
      </c>
      <c r="S215" s="218" t="str">
        <f t="shared" si="63"/>
        <v>057</v>
      </c>
      <c r="T215" s="218" t="str">
        <f t="shared" si="64"/>
        <v>D</v>
      </c>
      <c r="U215" s="218" t="str">
        <f>"AFR000"</f>
        <v>AFR000</v>
      </c>
      <c r="V215" s="218" t="str">
        <f>"###"</f>
        <v>###</v>
      </c>
      <c r="W215" s="218">
        <v>5.37</v>
      </c>
      <c r="X215" s="218" t="str">
        <f t="shared" si="65"/>
        <v>USD</v>
      </c>
      <c r="Y215" s="218">
        <v>4.07</v>
      </c>
      <c r="Z215" s="218">
        <v>5.37</v>
      </c>
      <c r="AA215" s="218">
        <v>4.83</v>
      </c>
    </row>
    <row r="216" spans="1:27">
      <c r="A216" s="218" t="s">
        <v>2592</v>
      </c>
      <c r="F216" s="219" t="str">
        <f>"""IntAlert Live"",""ALERT UK"",""17"",""1"",""532514"""</f>
        <v>"IntAlert Live","ALERT UK","17","1","532514"</v>
      </c>
      <c r="G216" s="223">
        <v>43888</v>
      </c>
      <c r="H216" s="223"/>
      <c r="I216" s="218" t="str">
        <f>"DRCBUK/BANK/2020/02/032"</f>
        <v>DRCBUK/BANK/2020/02/032</v>
      </c>
      <c r="K216" s="218" t="str">
        <f>"DGI/DPI SUD KIVU"</f>
        <v>DGI/DPI SUD KIVU</v>
      </c>
      <c r="L216" s="218" t="str">
        <f>"IPR-Février 020-Verre KILAURI  5%"</f>
        <v>IPR-Février 020-Verre KILAURI  5%</v>
      </c>
      <c r="M216" s="218" t="str">
        <f t="shared" si="69"/>
        <v>5100</v>
      </c>
      <c r="N216" s="218" t="str">
        <f t="shared" si="70"/>
        <v>BASIC EMPLOYMENT COSTS</v>
      </c>
      <c r="O216" s="218" t="str">
        <f t="shared" si="68"/>
        <v>DRCBUK</v>
      </c>
      <c r="P216" s="218" t="str">
        <f t="shared" si="62"/>
        <v>AP21QR</v>
      </c>
      <c r="Q216" s="218" t="str">
        <f>"KIA"</f>
        <v>KIA</v>
      </c>
      <c r="R216" s="218" t="str">
        <f>""</f>
        <v/>
      </c>
      <c r="S216" s="218" t="str">
        <f t="shared" si="63"/>
        <v>057</v>
      </c>
      <c r="T216" s="218" t="str">
        <f t="shared" si="64"/>
        <v>D</v>
      </c>
      <c r="U216" s="218" t="str">
        <f>"AFR000"</f>
        <v>AFR000</v>
      </c>
      <c r="V216" s="218" t="str">
        <f>"###"</f>
        <v>###</v>
      </c>
      <c r="W216" s="218">
        <v>9.2799999999999994</v>
      </c>
      <c r="X216" s="218" t="str">
        <f t="shared" si="65"/>
        <v>USD</v>
      </c>
      <c r="Y216" s="218">
        <v>7.03</v>
      </c>
      <c r="Z216" s="218">
        <v>9.2799999999999994</v>
      </c>
      <c r="AA216" s="218">
        <v>8.35</v>
      </c>
    </row>
    <row r="217" spans="1:27">
      <c r="A217" s="218" t="s">
        <v>2592</v>
      </c>
      <c r="F217" s="219" t="str">
        <f>"""IntAlert Live"",""ALERT UK"",""17"",""1"",""532521"""</f>
        <v>"IntAlert Live","ALERT UK","17","1","532521"</v>
      </c>
      <c r="G217" s="223">
        <v>43888</v>
      </c>
      <c r="H217" s="223"/>
      <c r="I217" s="218" t="str">
        <f>"DRCBUK/BANK/2020/02/032"</f>
        <v>DRCBUK/BANK/2020/02/032</v>
      </c>
      <c r="K217" s="218" t="str">
        <f>"DGI/DPI SUD KIVU"</f>
        <v>DGI/DPI SUD KIVU</v>
      </c>
      <c r="L217" s="218" t="str">
        <f>"IPR-Février 020-Michel MIRINDI BASHWERE 20%"</f>
        <v>IPR-Février 020-Michel MIRINDI BASHWERE 20%</v>
      </c>
      <c r="M217" s="218" t="str">
        <f t="shared" si="69"/>
        <v>5100</v>
      </c>
      <c r="N217" s="218" t="str">
        <f t="shared" si="70"/>
        <v>BASIC EMPLOYMENT COSTS</v>
      </c>
      <c r="O217" s="218" t="str">
        <f t="shared" si="68"/>
        <v>DRCBUK</v>
      </c>
      <c r="P217" s="218" t="str">
        <f t="shared" si="62"/>
        <v>AP21QR</v>
      </c>
      <c r="Q217" s="218" t="str">
        <f>"MRI"</f>
        <v>MRI</v>
      </c>
      <c r="R217" s="218" t="str">
        <f>""</f>
        <v/>
      </c>
      <c r="S217" s="218" t="str">
        <f t="shared" si="63"/>
        <v>057</v>
      </c>
      <c r="T217" s="218" t="str">
        <f t="shared" si="64"/>
        <v>D</v>
      </c>
      <c r="U217" s="218" t="str">
        <f>"AFR021"</f>
        <v>AFR021</v>
      </c>
      <c r="V217" s="218" t="str">
        <f>"057"</f>
        <v>057</v>
      </c>
      <c r="W217" s="218">
        <v>8.26</v>
      </c>
      <c r="X217" s="218" t="str">
        <f t="shared" si="65"/>
        <v>USD</v>
      </c>
      <c r="Y217" s="218">
        <v>6.26</v>
      </c>
      <c r="Z217" s="218">
        <v>8.26</v>
      </c>
      <c r="AA217" s="218">
        <v>7.44</v>
      </c>
    </row>
    <row r="218" spans="1:27">
      <c r="A218" s="218" t="s">
        <v>2592</v>
      </c>
      <c r="F218" s="219" t="str">
        <f>"""IntAlert Live"",""ALERT UK"",""17"",""1"",""532539"""</f>
        <v>"IntAlert Live","ALERT UK","17","1","532539"</v>
      </c>
      <c r="G218" s="223">
        <v>43888</v>
      </c>
      <c r="H218" s="223"/>
      <c r="I218" s="218" t="str">
        <f>"DRCBUK/BANK/2020/02/033"</f>
        <v>DRCBUK/BANK/2020/02/033</v>
      </c>
      <c r="K218" s="218" t="str">
        <f>"CNSS SUD KIVU"</f>
        <v>CNSS SUD KIVU</v>
      </c>
      <c r="L218" s="218" t="str">
        <f>"CNSS-Février 020-Marina FURAHA AMANI 5%"</f>
        <v>CNSS-Février 020-Marina FURAHA AMANI 5%</v>
      </c>
      <c r="M218" s="218" t="str">
        <f t="shared" ref="M218:M225" si="71">"5160"</f>
        <v>5160</v>
      </c>
      <c r="N218" s="218" t="str">
        <f t="shared" ref="N218:N225" si="72">"EMPLOYMENT BENEFITS COSTS"</f>
        <v>EMPLOYMENT BENEFITS COSTS</v>
      </c>
      <c r="O218" s="218" t="str">
        <f t="shared" si="68"/>
        <v>DRCBUK</v>
      </c>
      <c r="P218" s="218" t="str">
        <f t="shared" si="62"/>
        <v>AP21QR</v>
      </c>
      <c r="Q218" s="218" t="str">
        <f>"FUR"</f>
        <v>FUR</v>
      </c>
      <c r="R218" s="218" t="str">
        <f>""</f>
        <v/>
      </c>
      <c r="S218" s="218" t="str">
        <f t="shared" si="63"/>
        <v>057</v>
      </c>
      <c r="T218" s="218" t="str">
        <f t="shared" si="64"/>
        <v>D</v>
      </c>
      <c r="U218" s="218" t="str">
        <f>"AFR000"</f>
        <v>AFR000</v>
      </c>
      <c r="V218" s="218" t="str">
        <f>"###"</f>
        <v>###</v>
      </c>
      <c r="W218" s="218">
        <v>14.83</v>
      </c>
      <c r="X218" s="218" t="str">
        <f t="shared" si="65"/>
        <v>USD</v>
      </c>
      <c r="Y218" s="218">
        <v>11.24</v>
      </c>
      <c r="Z218" s="218">
        <v>14.83</v>
      </c>
      <c r="AA218" s="218">
        <v>13.35</v>
      </c>
    </row>
    <row r="219" spans="1:27">
      <c r="A219" s="218" t="s">
        <v>2592</v>
      </c>
      <c r="F219" s="219" t="str">
        <f>"""IntAlert Live"",""ALERT UK"",""17"",""1"",""532551"""</f>
        <v>"IntAlert Live","ALERT UK","17","1","532551"</v>
      </c>
      <c r="G219" s="223">
        <v>43888</v>
      </c>
      <c r="H219" s="223"/>
      <c r="I219" s="218" t="str">
        <f>"DRCBUK/BANK/2020/02/033"</f>
        <v>DRCBUK/BANK/2020/02/033</v>
      </c>
      <c r="K219" s="218" t="str">
        <f>"CNSS SUD KIVU"</f>
        <v>CNSS SUD KIVU</v>
      </c>
      <c r="L219" s="218" t="str">
        <f>"CNSS-Février 020-Georgine BAMUNOBA 10%"</f>
        <v>CNSS-Février 020-Georgine BAMUNOBA 10%</v>
      </c>
      <c r="M219" s="218" t="str">
        <f t="shared" si="71"/>
        <v>5160</v>
      </c>
      <c r="N219" s="218" t="str">
        <f t="shared" si="72"/>
        <v>EMPLOYMENT BENEFITS COSTS</v>
      </c>
      <c r="O219" s="218" t="str">
        <f t="shared" si="68"/>
        <v>DRCBUK</v>
      </c>
      <c r="P219" s="218" t="str">
        <f t="shared" si="62"/>
        <v>AP21QR</v>
      </c>
      <c r="Q219" s="218" t="str">
        <f>"BAM"</f>
        <v>BAM</v>
      </c>
      <c r="R219" s="218" t="str">
        <f>""</f>
        <v/>
      </c>
      <c r="S219" s="218" t="str">
        <f t="shared" si="63"/>
        <v>057</v>
      </c>
      <c r="T219" s="218" t="str">
        <f t="shared" si="64"/>
        <v>D</v>
      </c>
      <c r="U219" s="218" t="str">
        <f>"AFR000"</f>
        <v>AFR000</v>
      </c>
      <c r="V219" s="218" t="str">
        <f>"###"</f>
        <v>###</v>
      </c>
      <c r="W219" s="218">
        <v>7.76</v>
      </c>
      <c r="X219" s="218" t="str">
        <f t="shared" si="65"/>
        <v>USD</v>
      </c>
      <c r="Y219" s="218">
        <v>5.88</v>
      </c>
      <c r="Z219" s="218">
        <v>7.76</v>
      </c>
      <c r="AA219" s="218">
        <v>6.98</v>
      </c>
    </row>
    <row r="220" spans="1:27">
      <c r="A220" s="218" t="s">
        <v>2592</v>
      </c>
      <c r="F220" s="219" t="str">
        <f>"""IntAlert Live"",""ALERT UK"",""17"",""1"",""532560"""</f>
        <v>"IntAlert Live","ALERT UK","17","1","532560"</v>
      </c>
      <c r="G220" s="223">
        <v>43888</v>
      </c>
      <c r="H220" s="223"/>
      <c r="I220" s="218" t="str">
        <f>"DRCBUK/BANK/2020/02/033"</f>
        <v>DRCBUK/BANK/2020/02/033</v>
      </c>
      <c r="K220" s="218" t="str">
        <f>"CNSS SUD KIVU"</f>
        <v>CNSS SUD KIVU</v>
      </c>
      <c r="L220" s="218" t="str">
        <f>"CNSS-Février 020-Verre KILAURI  5%"</f>
        <v>CNSS-Février 020-Verre KILAURI  5%</v>
      </c>
      <c r="M220" s="218" t="str">
        <f t="shared" si="71"/>
        <v>5160</v>
      </c>
      <c r="N220" s="218" t="str">
        <f t="shared" si="72"/>
        <v>EMPLOYMENT BENEFITS COSTS</v>
      </c>
      <c r="O220" s="218" t="str">
        <f t="shared" si="68"/>
        <v>DRCBUK</v>
      </c>
      <c r="P220" s="218" t="str">
        <f t="shared" si="62"/>
        <v>AP21QR</v>
      </c>
      <c r="Q220" s="218" t="str">
        <f>"KIA"</f>
        <v>KIA</v>
      </c>
      <c r="R220" s="218" t="str">
        <f>""</f>
        <v/>
      </c>
      <c r="S220" s="218" t="str">
        <f t="shared" si="63"/>
        <v>057</v>
      </c>
      <c r="T220" s="218" t="str">
        <f t="shared" si="64"/>
        <v>D</v>
      </c>
      <c r="U220" s="218" t="str">
        <f>"AFR000"</f>
        <v>AFR000</v>
      </c>
      <c r="V220" s="218" t="str">
        <f>"###"</f>
        <v>###</v>
      </c>
      <c r="W220" s="218">
        <v>10.82</v>
      </c>
      <c r="X220" s="218" t="str">
        <f t="shared" si="65"/>
        <v>USD</v>
      </c>
      <c r="Y220" s="218">
        <v>8.1999999999999993</v>
      </c>
      <c r="Z220" s="218">
        <v>10.82</v>
      </c>
      <c r="AA220" s="218">
        <v>9.74</v>
      </c>
    </row>
    <row r="221" spans="1:27">
      <c r="A221" s="218" t="s">
        <v>2592</v>
      </c>
      <c r="F221" s="219" t="str">
        <f>"""IntAlert Live"",""ALERT UK"",""17"",""1"",""532567"""</f>
        <v>"IntAlert Live","ALERT UK","17","1","532567"</v>
      </c>
      <c r="G221" s="223">
        <v>43888</v>
      </c>
      <c r="H221" s="223"/>
      <c r="I221" s="218" t="str">
        <f>"DRCBUK/BANK/2020/02/033"</f>
        <v>DRCBUK/BANK/2020/02/033</v>
      </c>
      <c r="K221" s="218" t="str">
        <f>"CNSS SUD KIVU"</f>
        <v>CNSS SUD KIVU</v>
      </c>
      <c r="L221" s="218" t="str">
        <f>"CNSS-Février 020-Michel MIRINDI BASHWERE 20%"</f>
        <v>CNSS-Février 020-Michel MIRINDI BASHWERE 20%</v>
      </c>
      <c r="M221" s="218" t="str">
        <f t="shared" si="71"/>
        <v>5160</v>
      </c>
      <c r="N221" s="218" t="str">
        <f t="shared" si="72"/>
        <v>EMPLOYMENT BENEFITS COSTS</v>
      </c>
      <c r="O221" s="218" t="str">
        <f t="shared" si="68"/>
        <v>DRCBUK</v>
      </c>
      <c r="P221" s="218" t="str">
        <f t="shared" si="62"/>
        <v>AP21QR</v>
      </c>
      <c r="Q221" s="218" t="str">
        <f>"MRI"</f>
        <v>MRI</v>
      </c>
      <c r="R221" s="218" t="str">
        <f>""</f>
        <v/>
      </c>
      <c r="S221" s="218" t="str">
        <f t="shared" si="63"/>
        <v>057</v>
      </c>
      <c r="T221" s="218" t="str">
        <f t="shared" si="64"/>
        <v>D</v>
      </c>
      <c r="U221" s="218" t="str">
        <f>"AFR021"</f>
        <v>AFR021</v>
      </c>
      <c r="V221" s="218" t="str">
        <f>"057"</f>
        <v>057</v>
      </c>
      <c r="W221" s="218">
        <v>11.74</v>
      </c>
      <c r="X221" s="218" t="str">
        <f t="shared" si="65"/>
        <v>USD</v>
      </c>
      <c r="Y221" s="218">
        <v>8.9</v>
      </c>
      <c r="Z221" s="218">
        <v>11.74</v>
      </c>
      <c r="AA221" s="218">
        <v>10.57</v>
      </c>
    </row>
    <row r="222" spans="1:27">
      <c r="A222" s="218" t="s">
        <v>2592</v>
      </c>
      <c r="F222" s="219" t="str">
        <f>"""IntAlert Live"",""ALERT UK"",""17"",""1"",""532584"""</f>
        <v>"IntAlert Live","ALERT UK","17","1","532584"</v>
      </c>
      <c r="G222" s="223">
        <v>43888</v>
      </c>
      <c r="H222" s="223"/>
      <c r="I222" s="218" t="str">
        <f>"DRCBUK/BANK/2020/02/034"</f>
        <v>DRCBUK/BANK/2020/02/034</v>
      </c>
      <c r="K222" s="218" t="str">
        <f>"INPP SUD KIVU"</f>
        <v>INPP SUD KIVU</v>
      </c>
      <c r="L222" s="218" t="str">
        <f>"INPP-Février 020-Marina FURAHA AMANI 5%"</f>
        <v>INPP-Février 020-Marina FURAHA AMANI 5%</v>
      </c>
      <c r="M222" s="218" t="str">
        <f t="shared" si="71"/>
        <v>5160</v>
      </c>
      <c r="N222" s="218" t="str">
        <f t="shared" si="72"/>
        <v>EMPLOYMENT BENEFITS COSTS</v>
      </c>
      <c r="O222" s="218" t="str">
        <f t="shared" si="68"/>
        <v>DRCBUK</v>
      </c>
      <c r="P222" s="218" t="str">
        <f t="shared" si="62"/>
        <v>AP21QR</v>
      </c>
      <c r="Q222" s="218" t="str">
        <f>"FUR"</f>
        <v>FUR</v>
      </c>
      <c r="R222" s="218" t="str">
        <f>""</f>
        <v/>
      </c>
      <c r="S222" s="218" t="str">
        <f t="shared" si="63"/>
        <v>057</v>
      </c>
      <c r="T222" s="218" t="str">
        <f t="shared" si="64"/>
        <v>D</v>
      </c>
      <c r="U222" s="218" t="str">
        <f>"AFR000"</f>
        <v>AFR000</v>
      </c>
      <c r="V222" s="218" t="str">
        <f>"###"</f>
        <v>###</v>
      </c>
      <c r="W222" s="218">
        <v>2.4700000000000002</v>
      </c>
      <c r="X222" s="218" t="str">
        <f t="shared" si="65"/>
        <v>USD</v>
      </c>
      <c r="Y222" s="218">
        <v>1.87</v>
      </c>
      <c r="Z222" s="218">
        <v>2.4700000000000002</v>
      </c>
      <c r="AA222" s="218">
        <v>2.2200000000000002</v>
      </c>
    </row>
    <row r="223" spans="1:27">
      <c r="A223" s="218" t="s">
        <v>2592</v>
      </c>
      <c r="F223" s="219" t="str">
        <f>"""IntAlert Live"",""ALERT UK"",""17"",""1"",""532596"""</f>
        <v>"IntAlert Live","ALERT UK","17","1","532596"</v>
      </c>
      <c r="G223" s="223">
        <v>43888</v>
      </c>
      <c r="H223" s="223"/>
      <c r="I223" s="218" t="str">
        <f>"DRCBUK/BANK/2020/02/034"</f>
        <v>DRCBUK/BANK/2020/02/034</v>
      </c>
      <c r="K223" s="218" t="str">
        <f>"INPP SUD KIVU"</f>
        <v>INPP SUD KIVU</v>
      </c>
      <c r="L223" s="218" t="str">
        <f>"INPP-Février 020-Georgine BAMUNOBA 10%"</f>
        <v>INPP-Février 020-Georgine BAMUNOBA 10%</v>
      </c>
      <c r="M223" s="218" t="str">
        <f t="shared" si="71"/>
        <v>5160</v>
      </c>
      <c r="N223" s="218" t="str">
        <f t="shared" si="72"/>
        <v>EMPLOYMENT BENEFITS COSTS</v>
      </c>
      <c r="O223" s="218" t="str">
        <f t="shared" si="68"/>
        <v>DRCBUK</v>
      </c>
      <c r="P223" s="218" t="str">
        <f t="shared" si="62"/>
        <v>AP21QR</v>
      </c>
      <c r="Q223" s="218" t="str">
        <f>"BAM"</f>
        <v>BAM</v>
      </c>
      <c r="R223" s="218" t="str">
        <f>""</f>
        <v/>
      </c>
      <c r="S223" s="218" t="str">
        <f t="shared" si="63"/>
        <v>057</v>
      </c>
      <c r="T223" s="218" t="str">
        <f t="shared" si="64"/>
        <v>D</v>
      </c>
      <c r="U223" s="218" t="str">
        <f>"AFR000"</f>
        <v>AFR000</v>
      </c>
      <c r="V223" s="218" t="str">
        <f>"###"</f>
        <v>###</v>
      </c>
      <c r="W223" s="218">
        <v>1.29</v>
      </c>
      <c r="X223" s="218" t="str">
        <f t="shared" si="65"/>
        <v>USD</v>
      </c>
      <c r="Y223" s="218">
        <v>0.98</v>
      </c>
      <c r="Z223" s="218">
        <v>1.29</v>
      </c>
      <c r="AA223" s="218">
        <v>1.1599999999999999</v>
      </c>
    </row>
    <row r="224" spans="1:27">
      <c r="A224" s="218" t="s">
        <v>2592</v>
      </c>
      <c r="F224" s="219" t="str">
        <f>"""IntAlert Live"",""ALERT UK"",""17"",""1"",""532605"""</f>
        <v>"IntAlert Live","ALERT UK","17","1","532605"</v>
      </c>
      <c r="G224" s="223">
        <v>43888</v>
      </c>
      <c r="H224" s="223"/>
      <c r="I224" s="218" t="str">
        <f>"DRCBUK/BANK/2020/02/034"</f>
        <v>DRCBUK/BANK/2020/02/034</v>
      </c>
      <c r="K224" s="218" t="str">
        <f>"INPP SUD KIVU"</f>
        <v>INPP SUD KIVU</v>
      </c>
      <c r="L224" s="218" t="str">
        <f>"INPP-Février 020-Verre KILAURI  5%"</f>
        <v>INPP-Février 020-Verre KILAURI  5%</v>
      </c>
      <c r="M224" s="218" t="str">
        <f t="shared" si="71"/>
        <v>5160</v>
      </c>
      <c r="N224" s="218" t="str">
        <f t="shared" si="72"/>
        <v>EMPLOYMENT BENEFITS COSTS</v>
      </c>
      <c r="O224" s="218" t="str">
        <f t="shared" si="68"/>
        <v>DRCBUK</v>
      </c>
      <c r="P224" s="218" t="str">
        <f t="shared" si="62"/>
        <v>AP21QR</v>
      </c>
      <c r="Q224" s="218" t="str">
        <f>"KIA"</f>
        <v>KIA</v>
      </c>
      <c r="R224" s="218" t="str">
        <f>""</f>
        <v/>
      </c>
      <c r="S224" s="218" t="str">
        <f t="shared" si="63"/>
        <v>057</v>
      </c>
      <c r="T224" s="218" t="str">
        <f t="shared" si="64"/>
        <v>D</v>
      </c>
      <c r="U224" s="218" t="str">
        <f>"AFR000"</f>
        <v>AFR000</v>
      </c>
      <c r="V224" s="218" t="str">
        <f>"###"</f>
        <v>###</v>
      </c>
      <c r="W224" s="218">
        <v>1.8</v>
      </c>
      <c r="X224" s="218" t="str">
        <f t="shared" si="65"/>
        <v>USD</v>
      </c>
      <c r="Y224" s="218">
        <v>1.36</v>
      </c>
      <c r="Z224" s="218">
        <v>1.8</v>
      </c>
      <c r="AA224" s="218">
        <v>1.62</v>
      </c>
    </row>
    <row r="225" spans="1:27">
      <c r="A225" s="218" t="s">
        <v>2592</v>
      </c>
      <c r="F225" s="219" t="str">
        <f>"""IntAlert Live"",""ALERT UK"",""17"",""1"",""532612"""</f>
        <v>"IntAlert Live","ALERT UK","17","1","532612"</v>
      </c>
      <c r="G225" s="223">
        <v>43888</v>
      </c>
      <c r="H225" s="223"/>
      <c r="I225" s="218" t="str">
        <f>"DRCBUK/BANK/2020/02/034"</f>
        <v>DRCBUK/BANK/2020/02/034</v>
      </c>
      <c r="K225" s="218" t="str">
        <f>"INPP SUD KIVU"</f>
        <v>INPP SUD KIVU</v>
      </c>
      <c r="L225" s="218" t="str">
        <f>"INPP-Février 020-Michel MIRINDI BASHWERE 20%"</f>
        <v>INPP-Février 020-Michel MIRINDI BASHWERE 20%</v>
      </c>
      <c r="M225" s="218" t="str">
        <f t="shared" si="71"/>
        <v>5160</v>
      </c>
      <c r="N225" s="218" t="str">
        <f t="shared" si="72"/>
        <v>EMPLOYMENT BENEFITS COSTS</v>
      </c>
      <c r="O225" s="218" t="str">
        <f t="shared" si="68"/>
        <v>DRCBUK</v>
      </c>
      <c r="P225" s="218" t="str">
        <f t="shared" si="62"/>
        <v>AP21QR</v>
      </c>
      <c r="Q225" s="218" t="str">
        <f>"MRI"</f>
        <v>MRI</v>
      </c>
      <c r="R225" s="218" t="str">
        <f>""</f>
        <v/>
      </c>
      <c r="S225" s="218" t="str">
        <f t="shared" si="63"/>
        <v>057</v>
      </c>
      <c r="T225" s="218" t="str">
        <f t="shared" si="64"/>
        <v>D</v>
      </c>
      <c r="U225" s="218" t="str">
        <f>"AFR021"</f>
        <v>AFR021</v>
      </c>
      <c r="V225" s="218" t="str">
        <f>"057"</f>
        <v>057</v>
      </c>
      <c r="W225" s="218">
        <v>1.96</v>
      </c>
      <c r="X225" s="218" t="str">
        <f t="shared" si="65"/>
        <v>USD</v>
      </c>
      <c r="Y225" s="218">
        <v>1.49</v>
      </c>
      <c r="Z225" s="218">
        <v>1.96</v>
      </c>
      <c r="AA225" s="218">
        <v>1.77</v>
      </c>
    </row>
    <row r="226" spans="1:27">
      <c r="A226" s="218" t="s">
        <v>2592</v>
      </c>
      <c r="F226" s="219" t="str">
        <f>"""IntAlert Live"",""ALERT UK"",""17"",""1"",""531578"""</f>
        <v>"IntAlert Live","ALERT UK","17","1","531578"</v>
      </c>
      <c r="G226" s="223">
        <v>43889</v>
      </c>
      <c r="H226" s="223"/>
      <c r="I226" s="218" t="str">
        <f>"DRCGOM/ BANQUE/2020/002/020"</f>
        <v>DRCGOM/ BANQUE/2020/002/020</v>
      </c>
      <c r="K226" s="218" t="str">
        <f>"SALAIRE-ADOLPHINE KAVIRA KAMBASU"</f>
        <v>SALAIRE-ADOLPHINE KAVIRA KAMBASU</v>
      </c>
      <c r="L226" s="218" t="str">
        <f>"Salaire-Adolphine KAVIRA KAMBASU 5%"</f>
        <v>Salaire-Adolphine KAVIRA KAMBASU 5%</v>
      </c>
      <c r="M226" s="218" t="str">
        <f>"5100"</f>
        <v>5100</v>
      </c>
      <c r="N226" s="218" t="str">
        <f>"BASIC EMPLOYMENT COSTS"</f>
        <v>BASIC EMPLOYMENT COSTS</v>
      </c>
      <c r="O226" s="218" t="str">
        <f t="shared" ref="O226:O246" si="73">"DRCGOM"</f>
        <v>DRCGOM</v>
      </c>
      <c r="P226" s="218" t="str">
        <f t="shared" si="62"/>
        <v>AP21QR</v>
      </c>
      <c r="Q226" s="218" t="str">
        <f>"KAS"</f>
        <v>KAS</v>
      </c>
      <c r="R226" s="218" t="str">
        <f>""</f>
        <v/>
      </c>
      <c r="S226" s="218" t="str">
        <f t="shared" si="63"/>
        <v>057</v>
      </c>
      <c r="T226" s="218" t="str">
        <f t="shared" si="64"/>
        <v>D</v>
      </c>
      <c r="U226" s="218" t="str">
        <f t="shared" ref="U226:U250" si="74">"AFR000"</f>
        <v>AFR000</v>
      </c>
      <c r="V226" s="218" t="str">
        <f t="shared" ref="V226:V250" si="75">"###"</f>
        <v>###</v>
      </c>
      <c r="W226" s="218">
        <v>31.21</v>
      </c>
      <c r="X226" s="218" t="str">
        <f t="shared" si="65"/>
        <v>USD</v>
      </c>
      <c r="Y226" s="218">
        <v>23.66</v>
      </c>
      <c r="Z226" s="218">
        <v>31.21</v>
      </c>
      <c r="AA226" s="218">
        <v>28.11</v>
      </c>
    </row>
    <row r="227" spans="1:27">
      <c r="A227" s="218" t="s">
        <v>2592</v>
      </c>
      <c r="F227" s="219" t="str">
        <f>"""IntAlert Live"",""ALERT UK"",""17"",""1"",""531585"""</f>
        <v>"IntAlert Live","ALERT UK","17","1","531585"</v>
      </c>
      <c r="G227" s="223">
        <v>43889</v>
      </c>
      <c r="H227" s="223"/>
      <c r="I227" s="218" t="str">
        <f>"DRCGOM/ BANQUE/2020/002/020"</f>
        <v>DRCGOM/ BANQUE/2020/002/020</v>
      </c>
      <c r="K227" s="218" t="str">
        <f>"SALAIRE-ESPERANCE CHIDOROMI SIFA"</f>
        <v>SALAIRE-ESPERANCE CHIDOROMI SIFA</v>
      </c>
      <c r="L227" s="218" t="str">
        <f>"Salaire-Esperance CHIDOROMI SIFA 5%"</f>
        <v>Salaire-Esperance CHIDOROMI SIFA 5%</v>
      </c>
      <c r="M227" s="218" t="str">
        <f>"5100"</f>
        <v>5100</v>
      </c>
      <c r="N227" s="218" t="str">
        <f>"BASIC EMPLOYMENT COSTS"</f>
        <v>BASIC EMPLOYMENT COSTS</v>
      </c>
      <c r="O227" s="218" t="str">
        <f t="shared" si="73"/>
        <v>DRCGOM</v>
      </c>
      <c r="P227" s="218" t="str">
        <f t="shared" si="62"/>
        <v>AP21QR</v>
      </c>
      <c r="Q227" s="218" t="str">
        <f>"SIF"</f>
        <v>SIF</v>
      </c>
      <c r="R227" s="218" t="str">
        <f>""</f>
        <v/>
      </c>
      <c r="S227" s="218" t="str">
        <f t="shared" si="63"/>
        <v>057</v>
      </c>
      <c r="T227" s="218" t="str">
        <f t="shared" si="64"/>
        <v>D</v>
      </c>
      <c r="U227" s="218" t="str">
        <f t="shared" si="74"/>
        <v>AFR000</v>
      </c>
      <c r="V227" s="218" t="str">
        <f t="shared" si="75"/>
        <v>###</v>
      </c>
      <c r="W227" s="218">
        <v>92.62</v>
      </c>
      <c r="X227" s="218" t="str">
        <f t="shared" si="65"/>
        <v>USD</v>
      </c>
      <c r="Y227" s="218">
        <v>70.2</v>
      </c>
      <c r="Z227" s="218">
        <v>92.62</v>
      </c>
      <c r="AA227" s="218">
        <v>83.39</v>
      </c>
    </row>
    <row r="228" spans="1:27">
      <c r="A228" s="218" t="s">
        <v>2592</v>
      </c>
      <c r="F228" s="219" t="str">
        <f>"""IntAlert Live"",""ALERT UK"",""17"",""1"",""531597"""</f>
        <v>"IntAlert Live","ALERT UK","17","1","531597"</v>
      </c>
      <c r="G228" s="223">
        <v>43889</v>
      </c>
      <c r="H228" s="223"/>
      <c r="I228" s="218" t="str">
        <f>"DRCGOM/ BANQUE/2020/002/020"</f>
        <v>DRCGOM/ BANQUE/2020/002/020</v>
      </c>
      <c r="K228" s="218" t="str">
        <f>"SALAIRE-BARNABE WANGU"</f>
        <v>SALAIRE-BARNABE WANGU</v>
      </c>
      <c r="L228" s="218" t="str">
        <f>"Salaire-Barnabe Wangu 5%"</f>
        <v>Salaire-Barnabe Wangu 5%</v>
      </c>
      <c r="M228" s="218" t="str">
        <f>"5100"</f>
        <v>5100</v>
      </c>
      <c r="N228" s="218" t="str">
        <f>"BASIC EMPLOYMENT COSTS"</f>
        <v>BASIC EMPLOYMENT COSTS</v>
      </c>
      <c r="O228" s="218" t="str">
        <f t="shared" si="73"/>
        <v>DRCGOM</v>
      </c>
      <c r="P228" s="218" t="str">
        <f t="shared" si="62"/>
        <v>AP21QR</v>
      </c>
      <c r="Q228" s="218" t="str">
        <f>"BRB"</f>
        <v>BRB</v>
      </c>
      <c r="R228" s="218" t="str">
        <f>""</f>
        <v/>
      </c>
      <c r="S228" s="218" t="str">
        <f t="shared" si="63"/>
        <v>057</v>
      </c>
      <c r="T228" s="218" t="str">
        <f t="shared" si="64"/>
        <v>D</v>
      </c>
      <c r="U228" s="218" t="str">
        <f t="shared" si="74"/>
        <v>AFR000</v>
      </c>
      <c r="V228" s="218" t="str">
        <f t="shared" si="75"/>
        <v>###</v>
      </c>
      <c r="W228" s="218">
        <v>242.14</v>
      </c>
      <c r="X228" s="218" t="str">
        <f t="shared" si="65"/>
        <v>USD</v>
      </c>
      <c r="Y228" s="218">
        <v>183.54</v>
      </c>
      <c r="Z228" s="218">
        <v>242.14</v>
      </c>
      <c r="AA228" s="218">
        <v>218.03</v>
      </c>
    </row>
    <row r="229" spans="1:27">
      <c r="A229" s="218" t="s">
        <v>2592</v>
      </c>
      <c r="F229" s="219" t="str">
        <f>"""IntAlert Live"",""ALERT UK"",""17"",""1"",""531616"""</f>
        <v>"IntAlert Live","ALERT UK","17","1","531616"</v>
      </c>
      <c r="G229" s="223">
        <v>43889</v>
      </c>
      <c r="H229" s="223"/>
      <c r="I229" s="218" t="str">
        <f>"DRCGOM/ BANQUE/2020/002/020"</f>
        <v>DRCGOM/ BANQUE/2020/002/020</v>
      </c>
      <c r="K229" s="218" t="str">
        <f>"SALAIRE-BIENVENU MAKURU AMANI"</f>
        <v>SALAIRE-BIENVENU MAKURU AMANI</v>
      </c>
      <c r="L229" s="218" t="str">
        <f>"Salaire-Bienvenu MAKURU AMANI 5%"</f>
        <v>Salaire-Bienvenu MAKURU AMANI 5%</v>
      </c>
      <c r="M229" s="218" t="str">
        <f>"5100"</f>
        <v>5100</v>
      </c>
      <c r="N229" s="218" t="str">
        <f>"BASIC EMPLOYMENT COSTS"</f>
        <v>BASIC EMPLOYMENT COSTS</v>
      </c>
      <c r="O229" s="218" t="str">
        <f t="shared" si="73"/>
        <v>DRCGOM</v>
      </c>
      <c r="P229" s="218" t="str">
        <f t="shared" si="62"/>
        <v>AP21QR</v>
      </c>
      <c r="Q229" s="218" t="str">
        <f>"SEN"</f>
        <v>SEN</v>
      </c>
      <c r="R229" s="218" t="str">
        <f>""</f>
        <v/>
      </c>
      <c r="S229" s="218" t="str">
        <f t="shared" si="63"/>
        <v>057</v>
      </c>
      <c r="T229" s="218" t="str">
        <f t="shared" si="64"/>
        <v>D</v>
      </c>
      <c r="U229" s="218" t="str">
        <f t="shared" si="74"/>
        <v>AFR000</v>
      </c>
      <c r="V229" s="218" t="str">
        <f t="shared" si="75"/>
        <v>###</v>
      </c>
      <c r="W229" s="218">
        <v>68.62</v>
      </c>
      <c r="X229" s="218" t="str">
        <f t="shared" si="65"/>
        <v>USD</v>
      </c>
      <c r="Y229" s="218">
        <v>52.01</v>
      </c>
      <c r="Z229" s="218">
        <v>68.62</v>
      </c>
      <c r="AA229" s="218">
        <v>61.78</v>
      </c>
    </row>
    <row r="230" spans="1:27">
      <c r="A230" s="218" t="s">
        <v>2592</v>
      </c>
      <c r="F230" s="219" t="str">
        <f>"""IntAlert Live"",""ALERT UK"",""17"",""1"",""531625"""</f>
        <v>"IntAlert Live","ALERT UK","17","1","531625"</v>
      </c>
      <c r="G230" s="223">
        <v>43889</v>
      </c>
      <c r="H230" s="223"/>
      <c r="I230" s="218" t="str">
        <f>"DRCGOM/ BANQUE/2020/002/020"</f>
        <v>DRCGOM/ BANQUE/2020/002/020</v>
      </c>
      <c r="K230" s="218" t="str">
        <f>"SALAIRE-JACQUES ZIGABE BUHENDWA"</f>
        <v>SALAIRE-JACQUES ZIGABE BUHENDWA</v>
      </c>
      <c r="L230" s="218" t="str">
        <f>"Salaire-Jacques Zigabe Buhendwa 20%"</f>
        <v>Salaire-Jacques Zigabe Buhendwa 20%</v>
      </c>
      <c r="M230" s="218" t="str">
        <f>"5100"</f>
        <v>5100</v>
      </c>
      <c r="N230" s="218" t="str">
        <f>"BASIC EMPLOYMENT COSTS"</f>
        <v>BASIC EMPLOYMENT COSTS</v>
      </c>
      <c r="O230" s="218" t="str">
        <f t="shared" si="73"/>
        <v>DRCGOM</v>
      </c>
      <c r="P230" s="218" t="str">
        <f t="shared" si="62"/>
        <v>AP21QR</v>
      </c>
      <c r="Q230" s="218" t="str">
        <f>"BUE"</f>
        <v>BUE</v>
      </c>
      <c r="R230" s="218" t="str">
        <f>""</f>
        <v/>
      </c>
      <c r="S230" s="218" t="str">
        <f t="shared" si="63"/>
        <v>057</v>
      </c>
      <c r="T230" s="218" t="str">
        <f t="shared" si="64"/>
        <v>D</v>
      </c>
      <c r="U230" s="218" t="str">
        <f t="shared" si="74"/>
        <v>AFR000</v>
      </c>
      <c r="V230" s="218" t="str">
        <f t="shared" si="75"/>
        <v>###</v>
      </c>
      <c r="W230" s="218">
        <v>112.74</v>
      </c>
      <c r="X230" s="218" t="str">
        <f t="shared" si="65"/>
        <v>USD</v>
      </c>
      <c r="Y230" s="218">
        <v>85.45</v>
      </c>
      <c r="Z230" s="218">
        <v>112.74</v>
      </c>
      <c r="AA230" s="218">
        <v>101.51</v>
      </c>
    </row>
    <row r="231" spans="1:27">
      <c r="A231" s="218" t="s">
        <v>2592</v>
      </c>
      <c r="F231" s="219" t="str">
        <f>"""IntAlert Live"",""ALERT UK"",""17"",""1"",""531637"""</f>
        <v>"IntAlert Live","ALERT UK","17","1","531637"</v>
      </c>
      <c r="G231" s="223">
        <v>43889</v>
      </c>
      <c r="H231" s="223"/>
      <c r="I231" s="218" t="str">
        <f t="shared" ref="I231:I236" si="76">"DRCGOM/ BANQUE/2020/002/021"</f>
        <v>DRCGOM/ BANQUE/2020/002/021</v>
      </c>
      <c r="K231" s="218" t="str">
        <f t="shared" ref="K231:K236" si="77">"CNSS-FEB 2020"</f>
        <v>CNSS-FEB 2020</v>
      </c>
      <c r="L231" s="218" t="str">
        <f>"CNSS-Feb'20Adolphine KAVIRA KAMBASU 5%"</f>
        <v>CNSS-Feb'20Adolphine KAVIRA KAMBASU 5%</v>
      </c>
      <c r="M231" s="218" t="str">
        <f t="shared" ref="M231:M236" si="78">"5110"</f>
        <v>5110</v>
      </c>
      <c r="N231" s="218" t="str">
        <f t="shared" ref="N231:N236" si="79">"EMPLOYER'S PENSION COSTS"</f>
        <v>EMPLOYER'S PENSION COSTS</v>
      </c>
      <c r="O231" s="218" t="str">
        <f t="shared" si="73"/>
        <v>DRCGOM</v>
      </c>
      <c r="P231" s="218" t="str">
        <f t="shared" si="62"/>
        <v>AP21QR</v>
      </c>
      <c r="Q231" s="218" t="str">
        <f>"KAS"</f>
        <v>KAS</v>
      </c>
      <c r="R231" s="218" t="str">
        <f>""</f>
        <v/>
      </c>
      <c r="S231" s="218" t="str">
        <f t="shared" ref="S231:S262" si="80">"057"</f>
        <v>057</v>
      </c>
      <c r="T231" s="218" t="str">
        <f t="shared" ref="T231:T262" si="81">"D"</f>
        <v>D</v>
      </c>
      <c r="U231" s="218" t="str">
        <f t="shared" si="74"/>
        <v>AFR000</v>
      </c>
      <c r="V231" s="218" t="str">
        <f t="shared" si="75"/>
        <v>###</v>
      </c>
      <c r="W231" s="218">
        <v>3.8</v>
      </c>
      <c r="X231" s="218" t="str">
        <f t="shared" ref="X231:X262" si="82">"USD"</f>
        <v>USD</v>
      </c>
      <c r="Y231" s="218">
        <v>2.88</v>
      </c>
      <c r="Z231" s="218">
        <v>3.8</v>
      </c>
      <c r="AA231" s="218">
        <v>3.42</v>
      </c>
    </row>
    <row r="232" spans="1:27">
      <c r="A232" s="218" t="s">
        <v>2592</v>
      </c>
      <c r="F232" s="219" t="str">
        <f>"""IntAlert Live"",""ALERT UK"",""17"",""1"",""531638"""</f>
        <v>"IntAlert Live","ALERT UK","17","1","531638"</v>
      </c>
      <c r="G232" s="223">
        <v>43889</v>
      </c>
      <c r="H232" s="223"/>
      <c r="I232" s="218" t="str">
        <f t="shared" si="76"/>
        <v>DRCGOM/ BANQUE/2020/002/021</v>
      </c>
      <c r="K232" s="218" t="str">
        <f t="shared" si="77"/>
        <v>CNSS-FEB 2020</v>
      </c>
      <c r="L232" s="218" t="str">
        <f>"CNSS-Feb'20Adolphine KAVIRA KAMBASU 15%"</f>
        <v>CNSS-Feb'20Adolphine KAVIRA KAMBASU 15%</v>
      </c>
      <c r="M232" s="218" t="str">
        <f t="shared" si="78"/>
        <v>5110</v>
      </c>
      <c r="N232" s="218" t="str">
        <f t="shared" si="79"/>
        <v>EMPLOYER'S PENSION COSTS</v>
      </c>
      <c r="O232" s="218" t="str">
        <f t="shared" si="73"/>
        <v>DRCGOM</v>
      </c>
      <c r="P232" s="218" t="str">
        <f t="shared" si="62"/>
        <v>AP21QR</v>
      </c>
      <c r="Q232" s="218" t="str">
        <f>"KAS"</f>
        <v>KAS</v>
      </c>
      <c r="R232" s="218" t="str">
        <f>""</f>
        <v/>
      </c>
      <c r="S232" s="218" t="str">
        <f t="shared" si="80"/>
        <v>057</v>
      </c>
      <c r="T232" s="218" t="str">
        <f t="shared" si="81"/>
        <v>D</v>
      </c>
      <c r="U232" s="218" t="str">
        <f t="shared" si="74"/>
        <v>AFR000</v>
      </c>
      <c r="V232" s="218" t="str">
        <f t="shared" si="75"/>
        <v>###</v>
      </c>
      <c r="W232" s="218">
        <v>11.4</v>
      </c>
      <c r="X232" s="218" t="str">
        <f t="shared" si="82"/>
        <v>USD</v>
      </c>
      <c r="Y232" s="218">
        <v>8.64</v>
      </c>
      <c r="Z232" s="218">
        <v>11.4</v>
      </c>
      <c r="AA232" s="218">
        <v>10.26</v>
      </c>
    </row>
    <row r="233" spans="1:27">
      <c r="A233" s="218" t="s">
        <v>2592</v>
      </c>
      <c r="F233" s="219" t="str">
        <f>"""IntAlert Live"",""ALERT UK"",""17"",""1"",""531644"""</f>
        <v>"IntAlert Live","ALERT UK","17","1","531644"</v>
      </c>
      <c r="G233" s="223">
        <v>43889</v>
      </c>
      <c r="H233" s="223"/>
      <c r="I233" s="218" t="str">
        <f t="shared" si="76"/>
        <v>DRCGOM/ BANQUE/2020/002/021</v>
      </c>
      <c r="K233" s="218" t="str">
        <f t="shared" si="77"/>
        <v>CNSS-FEB 2020</v>
      </c>
      <c r="L233" s="218" t="str">
        <f>"CNSS-Feb'20Esperance CHIDOROMI SIFA 5%"</f>
        <v>CNSS-Feb'20Esperance CHIDOROMI SIFA 5%</v>
      </c>
      <c r="M233" s="218" t="str">
        <f t="shared" si="78"/>
        <v>5110</v>
      </c>
      <c r="N233" s="218" t="str">
        <f t="shared" si="79"/>
        <v>EMPLOYER'S PENSION COSTS</v>
      </c>
      <c r="O233" s="218" t="str">
        <f t="shared" si="73"/>
        <v>DRCGOM</v>
      </c>
      <c r="P233" s="218" t="str">
        <f t="shared" si="62"/>
        <v>AP21QR</v>
      </c>
      <c r="Q233" s="218" t="str">
        <f>"SIF"</f>
        <v>SIF</v>
      </c>
      <c r="R233" s="218" t="str">
        <f>""</f>
        <v/>
      </c>
      <c r="S233" s="218" t="str">
        <f t="shared" si="80"/>
        <v>057</v>
      </c>
      <c r="T233" s="218" t="str">
        <f t="shared" si="81"/>
        <v>D</v>
      </c>
      <c r="U233" s="218" t="str">
        <f t="shared" si="74"/>
        <v>AFR000</v>
      </c>
      <c r="V233" s="218" t="str">
        <f t="shared" si="75"/>
        <v>###</v>
      </c>
      <c r="W233" s="218">
        <v>12.52</v>
      </c>
      <c r="X233" s="218" t="str">
        <f t="shared" si="82"/>
        <v>USD</v>
      </c>
      <c r="Y233" s="218">
        <v>9.49</v>
      </c>
      <c r="Z233" s="218">
        <v>12.52</v>
      </c>
      <c r="AA233" s="218">
        <v>11.27</v>
      </c>
    </row>
    <row r="234" spans="1:27">
      <c r="A234" s="218" t="s">
        <v>2592</v>
      </c>
      <c r="F234" s="219" t="str">
        <f>"""IntAlert Live"",""ALERT UK"",""17"",""1"",""531656"""</f>
        <v>"IntAlert Live","ALERT UK","17","1","531656"</v>
      </c>
      <c r="G234" s="223">
        <v>43889</v>
      </c>
      <c r="H234" s="223"/>
      <c r="I234" s="218" t="str">
        <f t="shared" si="76"/>
        <v>DRCGOM/ BANQUE/2020/002/021</v>
      </c>
      <c r="K234" s="218" t="str">
        <f t="shared" si="77"/>
        <v>CNSS-FEB 2020</v>
      </c>
      <c r="L234" s="218" t="str">
        <f>"CNSS-Feb'20Barnabe Wangu 5%"</f>
        <v>CNSS-Feb'20Barnabe Wangu 5%</v>
      </c>
      <c r="M234" s="218" t="str">
        <f t="shared" si="78"/>
        <v>5110</v>
      </c>
      <c r="N234" s="218" t="str">
        <f t="shared" si="79"/>
        <v>EMPLOYER'S PENSION COSTS</v>
      </c>
      <c r="O234" s="218" t="str">
        <f t="shared" si="73"/>
        <v>DRCGOM</v>
      </c>
      <c r="P234" s="218" t="str">
        <f t="shared" si="62"/>
        <v>AP21QR</v>
      </c>
      <c r="Q234" s="218" t="str">
        <f>"BRB"</f>
        <v>BRB</v>
      </c>
      <c r="R234" s="218" t="str">
        <f>""</f>
        <v/>
      </c>
      <c r="S234" s="218" t="str">
        <f t="shared" si="80"/>
        <v>057</v>
      </c>
      <c r="T234" s="218" t="str">
        <f t="shared" si="81"/>
        <v>D</v>
      </c>
      <c r="U234" s="218" t="str">
        <f t="shared" si="74"/>
        <v>AFR000</v>
      </c>
      <c r="V234" s="218" t="str">
        <f t="shared" si="75"/>
        <v>###</v>
      </c>
      <c r="W234" s="218">
        <v>34.119999999999997</v>
      </c>
      <c r="X234" s="218" t="str">
        <f t="shared" si="82"/>
        <v>USD</v>
      </c>
      <c r="Y234" s="218">
        <v>25.86</v>
      </c>
      <c r="Z234" s="218">
        <v>34.119999999999997</v>
      </c>
      <c r="AA234" s="218">
        <v>30.72</v>
      </c>
    </row>
    <row r="235" spans="1:27">
      <c r="A235" s="218" t="s">
        <v>2592</v>
      </c>
      <c r="F235" s="219" t="str">
        <f>"""IntAlert Live"",""ALERT UK"",""17"",""1"",""531675"""</f>
        <v>"IntAlert Live","ALERT UK","17","1","531675"</v>
      </c>
      <c r="G235" s="223">
        <v>43889</v>
      </c>
      <c r="H235" s="223"/>
      <c r="I235" s="218" t="str">
        <f t="shared" si="76"/>
        <v>DRCGOM/ BANQUE/2020/002/021</v>
      </c>
      <c r="K235" s="218" t="str">
        <f t="shared" si="77"/>
        <v>CNSS-FEB 2020</v>
      </c>
      <c r="L235" s="218" t="str">
        <f>"CNSS-Feb'20Bienvenu MAKURU AMANI 5%"</f>
        <v>CNSS-Feb'20Bienvenu MAKURU AMANI 5%</v>
      </c>
      <c r="M235" s="218" t="str">
        <f t="shared" si="78"/>
        <v>5110</v>
      </c>
      <c r="N235" s="218" t="str">
        <f t="shared" si="79"/>
        <v>EMPLOYER'S PENSION COSTS</v>
      </c>
      <c r="O235" s="218" t="str">
        <f t="shared" si="73"/>
        <v>DRCGOM</v>
      </c>
      <c r="P235" s="218" t="str">
        <f t="shared" si="62"/>
        <v>AP21QR</v>
      </c>
      <c r="Q235" s="218" t="str">
        <f>"SEN"</f>
        <v>SEN</v>
      </c>
      <c r="R235" s="218" t="str">
        <f>""</f>
        <v/>
      </c>
      <c r="S235" s="218" t="str">
        <f t="shared" si="80"/>
        <v>057</v>
      </c>
      <c r="T235" s="218" t="str">
        <f t="shared" si="81"/>
        <v>D</v>
      </c>
      <c r="U235" s="218" t="str">
        <f t="shared" si="74"/>
        <v>AFR000</v>
      </c>
      <c r="V235" s="218" t="str">
        <f t="shared" si="75"/>
        <v>###</v>
      </c>
      <c r="W235" s="218">
        <v>9.25</v>
      </c>
      <c r="X235" s="218" t="str">
        <f t="shared" si="82"/>
        <v>USD</v>
      </c>
      <c r="Y235" s="218">
        <v>7.01</v>
      </c>
      <c r="Z235" s="218">
        <v>9.25</v>
      </c>
      <c r="AA235" s="218">
        <v>8.33</v>
      </c>
    </row>
    <row r="236" spans="1:27">
      <c r="A236" s="218" t="s">
        <v>2592</v>
      </c>
      <c r="F236" s="219" t="str">
        <f>"""IntAlert Live"",""ALERT UK"",""17"",""1"",""531684"""</f>
        <v>"IntAlert Live","ALERT UK","17","1","531684"</v>
      </c>
      <c r="G236" s="223">
        <v>43889</v>
      </c>
      <c r="H236" s="223"/>
      <c r="I236" s="218" t="str">
        <f t="shared" si="76"/>
        <v>DRCGOM/ BANQUE/2020/002/021</v>
      </c>
      <c r="K236" s="218" t="str">
        <f t="shared" si="77"/>
        <v>CNSS-FEB 2020</v>
      </c>
      <c r="L236" s="218" t="str">
        <f>"CNSS-Feb'20Jacques Zigabe Buhendwa 20%"</f>
        <v>CNSS-Feb'20Jacques Zigabe Buhendwa 20%</v>
      </c>
      <c r="M236" s="218" t="str">
        <f t="shared" si="78"/>
        <v>5110</v>
      </c>
      <c r="N236" s="218" t="str">
        <f t="shared" si="79"/>
        <v>EMPLOYER'S PENSION COSTS</v>
      </c>
      <c r="O236" s="218" t="str">
        <f t="shared" si="73"/>
        <v>DRCGOM</v>
      </c>
      <c r="P236" s="218" t="str">
        <f t="shared" si="62"/>
        <v>AP21QR</v>
      </c>
      <c r="Q236" s="218" t="str">
        <f>"BUE"</f>
        <v>BUE</v>
      </c>
      <c r="R236" s="218" t="str">
        <f>""</f>
        <v/>
      </c>
      <c r="S236" s="218" t="str">
        <f t="shared" si="80"/>
        <v>057</v>
      </c>
      <c r="T236" s="218" t="str">
        <f t="shared" si="81"/>
        <v>D</v>
      </c>
      <c r="U236" s="218" t="str">
        <f t="shared" si="74"/>
        <v>AFR000</v>
      </c>
      <c r="V236" s="218" t="str">
        <f t="shared" si="75"/>
        <v>###</v>
      </c>
      <c r="W236" s="218">
        <v>12.97</v>
      </c>
      <c r="X236" s="218" t="str">
        <f t="shared" si="82"/>
        <v>USD</v>
      </c>
      <c r="Y236" s="218">
        <v>9.83</v>
      </c>
      <c r="Z236" s="218">
        <v>12.97</v>
      </c>
      <c r="AA236" s="218">
        <v>11.68</v>
      </c>
    </row>
    <row r="237" spans="1:27">
      <c r="A237" s="218" t="s">
        <v>2592</v>
      </c>
      <c r="F237" s="219" t="str">
        <f>"""IntAlert Live"",""ALERT UK"",""17"",""1"",""531695"""</f>
        <v>"IntAlert Live","ALERT UK","17","1","531695"</v>
      </c>
      <c r="G237" s="223">
        <v>43889</v>
      </c>
      <c r="H237" s="223"/>
      <c r="I237" s="218" t="str">
        <f>"DRCGOM/ BANQUE/2020/002/022"</f>
        <v>DRCGOM/ BANQUE/2020/002/022</v>
      </c>
      <c r="K237" s="218" t="str">
        <f>"INPP FEBRUARY 2020"</f>
        <v>INPP FEBRUARY 2020</v>
      </c>
      <c r="L237" s="218" t="str">
        <f>"INPP--Feb'20Adolphine KAVIRA KAMBASU 5%"</f>
        <v>INPP--Feb'20Adolphine KAVIRA KAMBASU 5%</v>
      </c>
      <c r="M237" s="218" t="str">
        <f t="shared" ref="M237:M246" si="83">"5150"</f>
        <v>5150</v>
      </c>
      <c r="N237" s="218" t="str">
        <f t="shared" ref="N237:N246" si="84">"EMPLOYMENT RELOCATION COSTS"</f>
        <v>EMPLOYMENT RELOCATION COSTS</v>
      </c>
      <c r="O237" s="218" t="str">
        <f t="shared" si="73"/>
        <v>DRCGOM</v>
      </c>
      <c r="P237" s="218" t="str">
        <f t="shared" si="62"/>
        <v>AP21QR</v>
      </c>
      <c r="Q237" s="218" t="str">
        <f>"KAS"</f>
        <v>KAS</v>
      </c>
      <c r="R237" s="218" t="str">
        <f>""</f>
        <v/>
      </c>
      <c r="S237" s="218" t="str">
        <f t="shared" si="80"/>
        <v>057</v>
      </c>
      <c r="T237" s="218" t="str">
        <f t="shared" si="81"/>
        <v>D</v>
      </c>
      <c r="U237" s="218" t="str">
        <f t="shared" si="74"/>
        <v>AFR000</v>
      </c>
      <c r="V237" s="218" t="str">
        <f t="shared" si="75"/>
        <v>###</v>
      </c>
      <c r="W237" s="218">
        <v>0.63</v>
      </c>
      <c r="X237" s="218" t="str">
        <f t="shared" si="82"/>
        <v>USD</v>
      </c>
      <c r="Y237" s="218">
        <v>0.48</v>
      </c>
      <c r="Z237" s="218">
        <v>0.63</v>
      </c>
      <c r="AA237" s="218">
        <v>0.56999999999999995</v>
      </c>
    </row>
    <row r="238" spans="1:27">
      <c r="A238" s="218" t="s">
        <v>2592</v>
      </c>
      <c r="F238" s="219" t="str">
        <f>"""IntAlert Live"",""ALERT UK"",""17"",""1"",""531702"""</f>
        <v>"IntAlert Live","ALERT UK","17","1","531702"</v>
      </c>
      <c r="G238" s="223">
        <v>43889</v>
      </c>
      <c r="H238" s="223"/>
      <c r="I238" s="218" t="str">
        <f>"DRCGOM/ BANQUE/2020/002/022"</f>
        <v>DRCGOM/ BANQUE/2020/002/022</v>
      </c>
      <c r="K238" s="218" t="str">
        <f>"INPP FEBRUARY 2020"</f>
        <v>INPP FEBRUARY 2020</v>
      </c>
      <c r="L238" s="218" t="str">
        <f>"INPP--Feb'20Esperance CHIDOROMI SIFA 5%"</f>
        <v>INPP--Feb'20Esperance CHIDOROMI SIFA 5%</v>
      </c>
      <c r="M238" s="218" t="str">
        <f t="shared" si="83"/>
        <v>5150</v>
      </c>
      <c r="N238" s="218" t="str">
        <f t="shared" si="84"/>
        <v>EMPLOYMENT RELOCATION COSTS</v>
      </c>
      <c r="O238" s="218" t="str">
        <f t="shared" si="73"/>
        <v>DRCGOM</v>
      </c>
      <c r="P238" s="218" t="str">
        <f t="shared" si="62"/>
        <v>AP21QR</v>
      </c>
      <c r="Q238" s="218" t="str">
        <f>"SIF"</f>
        <v>SIF</v>
      </c>
      <c r="R238" s="218" t="str">
        <f>""</f>
        <v/>
      </c>
      <c r="S238" s="218" t="str">
        <f t="shared" si="80"/>
        <v>057</v>
      </c>
      <c r="T238" s="218" t="str">
        <f t="shared" si="81"/>
        <v>D</v>
      </c>
      <c r="U238" s="218" t="str">
        <f t="shared" si="74"/>
        <v>AFR000</v>
      </c>
      <c r="V238" s="218" t="str">
        <f t="shared" si="75"/>
        <v>###</v>
      </c>
      <c r="W238" s="218">
        <v>2.09</v>
      </c>
      <c r="X238" s="218" t="str">
        <f t="shared" si="82"/>
        <v>USD</v>
      </c>
      <c r="Y238" s="218">
        <v>1.58</v>
      </c>
      <c r="Z238" s="218">
        <v>2.09</v>
      </c>
      <c r="AA238" s="218">
        <v>1.88</v>
      </c>
    </row>
    <row r="239" spans="1:27">
      <c r="A239" s="218" t="s">
        <v>2592</v>
      </c>
      <c r="F239" s="219" t="str">
        <f>"""IntAlert Live"",""ALERT UK"",""17"",""1"",""531714"""</f>
        <v>"IntAlert Live","ALERT UK","17","1","531714"</v>
      </c>
      <c r="G239" s="223">
        <v>43889</v>
      </c>
      <c r="H239" s="223"/>
      <c r="I239" s="218" t="str">
        <f>"DRCGOM/ BANQUE/2020/002/022"</f>
        <v>DRCGOM/ BANQUE/2020/002/022</v>
      </c>
      <c r="K239" s="218" t="str">
        <f>"INPP FEBRUARY 2020"</f>
        <v>INPP FEBRUARY 2020</v>
      </c>
      <c r="L239" s="218" t="str">
        <f>"INPP--Feb'20Barnabe Wangu 5%"</f>
        <v>INPP--Feb'20Barnabe Wangu 5%</v>
      </c>
      <c r="M239" s="218" t="str">
        <f t="shared" si="83"/>
        <v>5150</v>
      </c>
      <c r="N239" s="218" t="str">
        <f t="shared" si="84"/>
        <v>EMPLOYMENT RELOCATION COSTS</v>
      </c>
      <c r="O239" s="218" t="str">
        <f t="shared" si="73"/>
        <v>DRCGOM</v>
      </c>
      <c r="P239" s="218" t="str">
        <f t="shared" si="62"/>
        <v>AP21QR</v>
      </c>
      <c r="Q239" s="218" t="str">
        <f>"BRB"</f>
        <v>BRB</v>
      </c>
      <c r="R239" s="218" t="str">
        <f>""</f>
        <v/>
      </c>
      <c r="S239" s="218" t="str">
        <f t="shared" si="80"/>
        <v>057</v>
      </c>
      <c r="T239" s="218" t="str">
        <f t="shared" si="81"/>
        <v>D</v>
      </c>
      <c r="U239" s="218" t="str">
        <f t="shared" si="74"/>
        <v>AFR000</v>
      </c>
      <c r="V239" s="218" t="str">
        <f t="shared" si="75"/>
        <v>###</v>
      </c>
      <c r="W239" s="218">
        <v>5.69</v>
      </c>
      <c r="X239" s="218" t="str">
        <f t="shared" si="82"/>
        <v>USD</v>
      </c>
      <c r="Y239" s="218">
        <v>4.3099999999999996</v>
      </c>
      <c r="Z239" s="218">
        <v>5.69</v>
      </c>
      <c r="AA239" s="218">
        <v>5.12</v>
      </c>
    </row>
    <row r="240" spans="1:27">
      <c r="A240" s="218" t="s">
        <v>2592</v>
      </c>
      <c r="F240" s="219" t="str">
        <f>"""IntAlert Live"",""ALERT UK"",""17"",""1"",""531733"""</f>
        <v>"IntAlert Live","ALERT UK","17","1","531733"</v>
      </c>
      <c r="G240" s="223">
        <v>43889</v>
      </c>
      <c r="H240" s="223"/>
      <c r="I240" s="218" t="str">
        <f>"DRCGOM/ BANQUE/2020/002/022"</f>
        <v>DRCGOM/ BANQUE/2020/002/022</v>
      </c>
      <c r="K240" s="218" t="str">
        <f>"INPP FEBRUARY 2020"</f>
        <v>INPP FEBRUARY 2020</v>
      </c>
      <c r="L240" s="218" t="str">
        <f>"INPP--Feb'20Bienvenu MAKURU AMANI 5%"</f>
        <v>INPP--Feb'20Bienvenu MAKURU AMANI 5%</v>
      </c>
      <c r="M240" s="218" t="str">
        <f t="shared" si="83"/>
        <v>5150</v>
      </c>
      <c r="N240" s="218" t="str">
        <f t="shared" si="84"/>
        <v>EMPLOYMENT RELOCATION COSTS</v>
      </c>
      <c r="O240" s="218" t="str">
        <f t="shared" si="73"/>
        <v>DRCGOM</v>
      </c>
      <c r="P240" s="218" t="str">
        <f t="shared" si="62"/>
        <v>AP21QR</v>
      </c>
      <c r="Q240" s="218" t="str">
        <f>"SEN"</f>
        <v>SEN</v>
      </c>
      <c r="R240" s="218" t="str">
        <f>""</f>
        <v/>
      </c>
      <c r="S240" s="218" t="str">
        <f t="shared" si="80"/>
        <v>057</v>
      </c>
      <c r="T240" s="218" t="str">
        <f t="shared" si="81"/>
        <v>D</v>
      </c>
      <c r="U240" s="218" t="str">
        <f t="shared" si="74"/>
        <v>AFR000</v>
      </c>
      <c r="V240" s="218" t="str">
        <f t="shared" si="75"/>
        <v>###</v>
      </c>
      <c r="W240" s="218">
        <v>1.54</v>
      </c>
      <c r="X240" s="218" t="str">
        <f t="shared" si="82"/>
        <v>USD</v>
      </c>
      <c r="Y240" s="218">
        <v>1.17</v>
      </c>
      <c r="Z240" s="218">
        <v>1.54</v>
      </c>
      <c r="AA240" s="218">
        <v>1.39</v>
      </c>
    </row>
    <row r="241" spans="1:27">
      <c r="A241" s="218" t="s">
        <v>2592</v>
      </c>
      <c r="F241" s="219" t="str">
        <f>"""IntAlert Live"",""ALERT UK"",""17"",""1"",""531742"""</f>
        <v>"IntAlert Live","ALERT UK","17","1","531742"</v>
      </c>
      <c r="G241" s="223">
        <v>43889</v>
      </c>
      <c r="H241" s="223"/>
      <c r="I241" s="218" t="str">
        <f>"DRCGOM/ BANQUE/2020/002/022"</f>
        <v>DRCGOM/ BANQUE/2020/002/022</v>
      </c>
      <c r="K241" s="218" t="str">
        <f>"INPP FEBRUARY 2020"</f>
        <v>INPP FEBRUARY 2020</v>
      </c>
      <c r="L241" s="218" t="str">
        <f>"INPP--Feb'20Jacques Zigabe Buhendwa 20%"</f>
        <v>INPP--Feb'20Jacques Zigabe Buhendwa 20%</v>
      </c>
      <c r="M241" s="218" t="str">
        <f t="shared" si="83"/>
        <v>5150</v>
      </c>
      <c r="N241" s="218" t="str">
        <f t="shared" si="84"/>
        <v>EMPLOYMENT RELOCATION COSTS</v>
      </c>
      <c r="O241" s="218" t="str">
        <f t="shared" si="73"/>
        <v>DRCGOM</v>
      </c>
      <c r="P241" s="218" t="str">
        <f t="shared" si="62"/>
        <v>AP21QR</v>
      </c>
      <c r="Q241" s="218" t="str">
        <f>"BUE"</f>
        <v>BUE</v>
      </c>
      <c r="R241" s="218" t="str">
        <f>""</f>
        <v/>
      </c>
      <c r="S241" s="218" t="str">
        <f t="shared" si="80"/>
        <v>057</v>
      </c>
      <c r="T241" s="218" t="str">
        <f t="shared" si="81"/>
        <v>D</v>
      </c>
      <c r="U241" s="218" t="str">
        <f t="shared" si="74"/>
        <v>AFR000</v>
      </c>
      <c r="V241" s="218" t="str">
        <f t="shared" si="75"/>
        <v>###</v>
      </c>
      <c r="W241" s="218">
        <v>2.16</v>
      </c>
      <c r="X241" s="218" t="str">
        <f t="shared" si="82"/>
        <v>USD</v>
      </c>
      <c r="Y241" s="218">
        <v>1.64</v>
      </c>
      <c r="Z241" s="218">
        <v>2.16</v>
      </c>
      <c r="AA241" s="218">
        <v>1.95</v>
      </c>
    </row>
    <row r="242" spans="1:27">
      <c r="A242" s="218" t="s">
        <v>2592</v>
      </c>
      <c r="F242" s="219" t="str">
        <f>"""IntAlert Live"",""ALERT UK"",""17"",""1"",""537581"""</f>
        <v>"IntAlert Live","ALERT UK","17","1","537581"</v>
      </c>
      <c r="G242" s="223">
        <v>43892</v>
      </c>
      <c r="H242" s="223"/>
      <c r="I242" s="218" t="str">
        <f>"DRCGOM/ CAISSE/2020/003/001"</f>
        <v>DRCGOM/ CAISSE/2020/003/001</v>
      </c>
      <c r="K242" s="218" t="str">
        <f>"ONEM FEB 2020"</f>
        <v>ONEM FEB 2020</v>
      </c>
      <c r="L242" s="218" t="str">
        <f>"ONEM-Adolphine KAVIRA KAMBASU"</f>
        <v>ONEM-Adolphine KAVIRA KAMBASU</v>
      </c>
      <c r="M242" s="218" t="str">
        <f t="shared" si="83"/>
        <v>5150</v>
      </c>
      <c r="N242" s="218" t="str">
        <f t="shared" si="84"/>
        <v>EMPLOYMENT RELOCATION COSTS</v>
      </c>
      <c r="O242" s="218" t="str">
        <f t="shared" si="73"/>
        <v>DRCGOM</v>
      </c>
      <c r="P242" s="218" t="str">
        <f t="shared" si="62"/>
        <v>AP21QR</v>
      </c>
      <c r="Q242" s="218" t="str">
        <f>"KAS"</f>
        <v>KAS</v>
      </c>
      <c r="R242" s="218" t="str">
        <f>""</f>
        <v/>
      </c>
      <c r="S242" s="218" t="str">
        <f t="shared" si="80"/>
        <v>057</v>
      </c>
      <c r="T242" s="218" t="str">
        <f t="shared" si="81"/>
        <v>D</v>
      </c>
      <c r="U242" s="218" t="str">
        <f t="shared" si="74"/>
        <v>AFR000</v>
      </c>
      <c r="V242" s="218" t="str">
        <f t="shared" si="75"/>
        <v>###</v>
      </c>
      <c r="W242" s="218">
        <v>0.04</v>
      </c>
      <c r="X242" s="218" t="str">
        <f t="shared" si="82"/>
        <v>USD</v>
      </c>
      <c r="Y242" s="218">
        <v>0.03</v>
      </c>
      <c r="Z242" s="218">
        <v>0.04</v>
      </c>
      <c r="AA242" s="218">
        <v>0.04</v>
      </c>
    </row>
    <row r="243" spans="1:27">
      <c r="A243" s="218" t="s">
        <v>2592</v>
      </c>
      <c r="F243" s="219" t="str">
        <f>"""IntAlert Live"",""ALERT UK"",""17"",""1"",""537588"""</f>
        <v>"IntAlert Live","ALERT UK","17","1","537588"</v>
      </c>
      <c r="G243" s="223">
        <v>43892</v>
      </c>
      <c r="H243" s="223"/>
      <c r="I243" s="218" t="str">
        <f>"DRCGOM/ CAISSE/2020/003/001"</f>
        <v>DRCGOM/ CAISSE/2020/003/001</v>
      </c>
      <c r="K243" s="218" t="str">
        <f>"ONEM FEB 2020"</f>
        <v>ONEM FEB 2020</v>
      </c>
      <c r="L243" s="218" t="str">
        <f>"ONEM-Esperance CHIDOROMI SIFA"</f>
        <v>ONEM-Esperance CHIDOROMI SIFA</v>
      </c>
      <c r="M243" s="218" t="str">
        <f t="shared" si="83"/>
        <v>5150</v>
      </c>
      <c r="N243" s="218" t="str">
        <f t="shared" si="84"/>
        <v>EMPLOYMENT RELOCATION COSTS</v>
      </c>
      <c r="O243" s="218" t="str">
        <f t="shared" si="73"/>
        <v>DRCGOM</v>
      </c>
      <c r="P243" s="218" t="str">
        <f t="shared" si="62"/>
        <v>AP21QR</v>
      </c>
      <c r="Q243" s="218" t="str">
        <f>"SIF"</f>
        <v>SIF</v>
      </c>
      <c r="R243" s="218" t="str">
        <f>""</f>
        <v/>
      </c>
      <c r="S243" s="218" t="str">
        <f t="shared" si="80"/>
        <v>057</v>
      </c>
      <c r="T243" s="218" t="str">
        <f t="shared" si="81"/>
        <v>D</v>
      </c>
      <c r="U243" s="218" t="str">
        <f t="shared" si="74"/>
        <v>AFR000</v>
      </c>
      <c r="V243" s="218" t="str">
        <f t="shared" si="75"/>
        <v>###</v>
      </c>
      <c r="W243" s="218">
        <v>0.14000000000000001</v>
      </c>
      <c r="X243" s="218" t="str">
        <f t="shared" si="82"/>
        <v>USD</v>
      </c>
      <c r="Y243" s="218">
        <v>0.11</v>
      </c>
      <c r="Z243" s="218">
        <v>0.14000000000000001</v>
      </c>
      <c r="AA243" s="218">
        <v>0.13</v>
      </c>
    </row>
    <row r="244" spans="1:27">
      <c r="A244" s="218" t="s">
        <v>2592</v>
      </c>
      <c r="F244" s="219" t="str">
        <f>"""IntAlert Live"",""ALERT UK"",""17"",""1"",""537600"""</f>
        <v>"IntAlert Live","ALERT UK","17","1","537600"</v>
      </c>
      <c r="G244" s="223">
        <v>43892</v>
      </c>
      <c r="H244" s="223"/>
      <c r="I244" s="218" t="str">
        <f>"DRCGOM/ CAISSE/2020/003/001"</f>
        <v>DRCGOM/ CAISSE/2020/003/001</v>
      </c>
      <c r="K244" s="218" t="str">
        <f>"ONEM FEB 2020"</f>
        <v>ONEM FEB 2020</v>
      </c>
      <c r="L244" s="218" t="str">
        <f>"ONEM-Barnabe Wangu "</f>
        <v xml:space="preserve">ONEM-Barnabe Wangu </v>
      </c>
      <c r="M244" s="218" t="str">
        <f t="shared" si="83"/>
        <v>5150</v>
      </c>
      <c r="N244" s="218" t="str">
        <f t="shared" si="84"/>
        <v>EMPLOYMENT RELOCATION COSTS</v>
      </c>
      <c r="O244" s="218" t="str">
        <f t="shared" si="73"/>
        <v>DRCGOM</v>
      </c>
      <c r="P244" s="218" t="str">
        <f t="shared" si="62"/>
        <v>AP21QR</v>
      </c>
      <c r="Q244" s="218" t="str">
        <f>"BRB"</f>
        <v>BRB</v>
      </c>
      <c r="R244" s="218" t="str">
        <f>""</f>
        <v/>
      </c>
      <c r="S244" s="218" t="str">
        <f t="shared" si="80"/>
        <v>057</v>
      </c>
      <c r="T244" s="218" t="str">
        <f t="shared" si="81"/>
        <v>D</v>
      </c>
      <c r="U244" s="218" t="str">
        <f t="shared" si="74"/>
        <v>AFR000</v>
      </c>
      <c r="V244" s="218" t="str">
        <f t="shared" si="75"/>
        <v>###</v>
      </c>
      <c r="W244" s="218">
        <v>0.38</v>
      </c>
      <c r="X244" s="218" t="str">
        <f t="shared" si="82"/>
        <v>USD</v>
      </c>
      <c r="Y244" s="218">
        <v>0.3</v>
      </c>
      <c r="Z244" s="218">
        <v>0.38</v>
      </c>
      <c r="AA244" s="218">
        <v>0.35</v>
      </c>
    </row>
    <row r="245" spans="1:27">
      <c r="A245" s="218" t="s">
        <v>2592</v>
      </c>
      <c r="F245" s="219" t="str">
        <f>"""IntAlert Live"",""ALERT UK"",""17"",""1"",""537619"""</f>
        <v>"IntAlert Live","ALERT UK","17","1","537619"</v>
      </c>
      <c r="G245" s="223">
        <v>43892</v>
      </c>
      <c r="H245" s="223"/>
      <c r="I245" s="218" t="str">
        <f>"DRCGOM/ CAISSE/2020/003/001"</f>
        <v>DRCGOM/ CAISSE/2020/003/001</v>
      </c>
      <c r="K245" s="218" t="str">
        <f>"ONEM FEB 2020"</f>
        <v>ONEM FEB 2020</v>
      </c>
      <c r="L245" s="218" t="str">
        <f>"ONEM-Bienvenu MAKURU AMANI"</f>
        <v>ONEM-Bienvenu MAKURU AMANI</v>
      </c>
      <c r="M245" s="218" t="str">
        <f t="shared" si="83"/>
        <v>5150</v>
      </c>
      <c r="N245" s="218" t="str">
        <f t="shared" si="84"/>
        <v>EMPLOYMENT RELOCATION COSTS</v>
      </c>
      <c r="O245" s="218" t="str">
        <f t="shared" si="73"/>
        <v>DRCGOM</v>
      </c>
      <c r="P245" s="218" t="str">
        <f t="shared" si="62"/>
        <v>AP21QR</v>
      </c>
      <c r="Q245" s="218" t="str">
        <f>"SEN"</f>
        <v>SEN</v>
      </c>
      <c r="R245" s="218" t="str">
        <f>""</f>
        <v/>
      </c>
      <c r="S245" s="218" t="str">
        <f t="shared" si="80"/>
        <v>057</v>
      </c>
      <c r="T245" s="218" t="str">
        <f t="shared" si="81"/>
        <v>D</v>
      </c>
      <c r="U245" s="218" t="str">
        <f t="shared" si="74"/>
        <v>AFR000</v>
      </c>
      <c r="V245" s="218" t="str">
        <f t="shared" si="75"/>
        <v>###</v>
      </c>
      <c r="W245" s="218">
        <v>0.1</v>
      </c>
      <c r="X245" s="218" t="str">
        <f t="shared" si="82"/>
        <v>USD</v>
      </c>
      <c r="Y245" s="218">
        <v>0.08</v>
      </c>
      <c r="Z245" s="218">
        <v>0.1</v>
      </c>
      <c r="AA245" s="218">
        <v>0.09</v>
      </c>
    </row>
    <row r="246" spans="1:27">
      <c r="A246" s="218" t="s">
        <v>2592</v>
      </c>
      <c r="F246" s="219" t="str">
        <f>"""IntAlert Live"",""ALERT UK"",""17"",""1"",""537628"""</f>
        <v>"IntAlert Live","ALERT UK","17","1","537628"</v>
      </c>
      <c r="G246" s="223">
        <v>43892</v>
      </c>
      <c r="H246" s="223"/>
      <c r="I246" s="218" t="str">
        <f>"DRCGOM/ CAISSE/2020/003/001"</f>
        <v>DRCGOM/ CAISSE/2020/003/001</v>
      </c>
      <c r="K246" s="218" t="str">
        <f>"ONEM FEB 2020"</f>
        <v>ONEM FEB 2020</v>
      </c>
      <c r="L246" s="218" t="str">
        <f>"ONEM-Jacques Zigabe Buhendwa"</f>
        <v>ONEM-Jacques Zigabe Buhendwa</v>
      </c>
      <c r="M246" s="218" t="str">
        <f t="shared" si="83"/>
        <v>5150</v>
      </c>
      <c r="N246" s="218" t="str">
        <f t="shared" si="84"/>
        <v>EMPLOYMENT RELOCATION COSTS</v>
      </c>
      <c r="O246" s="218" t="str">
        <f t="shared" si="73"/>
        <v>DRCGOM</v>
      </c>
      <c r="P246" s="218" t="str">
        <f t="shared" si="62"/>
        <v>AP21QR</v>
      </c>
      <c r="Q246" s="218" t="str">
        <f>"BUE"</f>
        <v>BUE</v>
      </c>
      <c r="R246" s="218" t="str">
        <f>""</f>
        <v/>
      </c>
      <c r="S246" s="218" t="str">
        <f t="shared" si="80"/>
        <v>057</v>
      </c>
      <c r="T246" s="218" t="str">
        <f t="shared" si="81"/>
        <v>D</v>
      </c>
      <c r="U246" s="218" t="str">
        <f t="shared" si="74"/>
        <v>AFR000</v>
      </c>
      <c r="V246" s="218" t="str">
        <f t="shared" si="75"/>
        <v>###</v>
      </c>
      <c r="W246" s="218">
        <v>0.14000000000000001</v>
      </c>
      <c r="X246" s="218" t="str">
        <f t="shared" si="82"/>
        <v>USD</v>
      </c>
      <c r="Y246" s="218">
        <v>0.11</v>
      </c>
      <c r="Z246" s="218">
        <v>0.14000000000000001</v>
      </c>
      <c r="AA246" s="218">
        <v>0.13</v>
      </c>
    </row>
    <row r="247" spans="1:27">
      <c r="A247" s="218" t="s">
        <v>2592</v>
      </c>
      <c r="F247" s="219" t="str">
        <f>"""IntAlert Live"",""ALERT UK"",""17"",""1"",""540120"""</f>
        <v>"IntAlert Live","ALERT UK","17","1","540120"</v>
      </c>
      <c r="G247" s="223">
        <v>43893</v>
      </c>
      <c r="H247" s="223"/>
      <c r="I247" s="218" t="str">
        <f t="shared" ref="I247:I252" si="85">"DRCBUK/CAISSE/2020/03/001"</f>
        <v>DRCBUK/CAISSE/2020/03/001</v>
      </c>
      <c r="K247" s="218" t="str">
        <f t="shared" ref="K247:K252" si="86">"ONEM"</f>
        <v>ONEM</v>
      </c>
      <c r="L247" s="218" t="str">
        <f>"ONEM Feb20-Marina FURAHA AMANI"</f>
        <v>ONEM Feb20-Marina FURAHA AMANI</v>
      </c>
      <c r="M247" s="218" t="str">
        <f t="shared" ref="M247:M252" si="87">"5160"</f>
        <v>5160</v>
      </c>
      <c r="N247" s="218" t="str">
        <f t="shared" ref="N247:N252" si="88">"EMPLOYMENT BENEFITS COSTS"</f>
        <v>EMPLOYMENT BENEFITS COSTS</v>
      </c>
      <c r="O247" s="218" t="str">
        <f t="shared" ref="O247:O252" si="89">"DRCBUK"</f>
        <v>DRCBUK</v>
      </c>
      <c r="P247" s="218" t="str">
        <f t="shared" si="62"/>
        <v>AP21QR</v>
      </c>
      <c r="Q247" s="218" t="str">
        <f>"FUR"</f>
        <v>FUR</v>
      </c>
      <c r="R247" s="218" t="str">
        <f>""</f>
        <v/>
      </c>
      <c r="S247" s="218" t="str">
        <f t="shared" si="80"/>
        <v>057</v>
      </c>
      <c r="T247" s="218" t="str">
        <f t="shared" si="81"/>
        <v>D</v>
      </c>
      <c r="U247" s="218" t="str">
        <f t="shared" si="74"/>
        <v>AFR000</v>
      </c>
      <c r="V247" s="218" t="str">
        <f t="shared" si="75"/>
        <v>###</v>
      </c>
      <c r="W247" s="218">
        <v>0.17</v>
      </c>
      <c r="X247" s="218" t="str">
        <f t="shared" si="82"/>
        <v>USD</v>
      </c>
      <c r="Y247" s="218">
        <v>0.13</v>
      </c>
      <c r="Z247" s="218">
        <v>0.17</v>
      </c>
      <c r="AA247" s="218">
        <v>0.15</v>
      </c>
    </row>
    <row r="248" spans="1:27">
      <c r="A248" s="218" t="s">
        <v>2592</v>
      </c>
      <c r="F248" s="219" t="str">
        <f>"""IntAlert Live"",""ALERT UK"",""17"",""1"",""540132"""</f>
        <v>"IntAlert Live","ALERT UK","17","1","540132"</v>
      </c>
      <c r="G248" s="223">
        <v>43893</v>
      </c>
      <c r="H248" s="223"/>
      <c r="I248" s="218" t="str">
        <f t="shared" si="85"/>
        <v>DRCBUK/CAISSE/2020/03/001</v>
      </c>
      <c r="K248" s="218" t="str">
        <f t="shared" si="86"/>
        <v>ONEM</v>
      </c>
      <c r="L248" s="218" t="str">
        <f>"ONEM Feb20-Georgine BAMUNOBA TIBANAGWA"</f>
        <v>ONEM Feb20-Georgine BAMUNOBA TIBANAGWA</v>
      </c>
      <c r="M248" s="218" t="str">
        <f t="shared" si="87"/>
        <v>5160</v>
      </c>
      <c r="N248" s="218" t="str">
        <f t="shared" si="88"/>
        <v>EMPLOYMENT BENEFITS COSTS</v>
      </c>
      <c r="O248" s="218" t="str">
        <f t="shared" si="89"/>
        <v>DRCBUK</v>
      </c>
      <c r="P248" s="218" t="str">
        <f t="shared" si="62"/>
        <v>AP21QR</v>
      </c>
      <c r="Q248" s="218" t="str">
        <f>"BAM"</f>
        <v>BAM</v>
      </c>
      <c r="R248" s="218" t="str">
        <f>""</f>
        <v/>
      </c>
      <c r="S248" s="218" t="str">
        <f t="shared" si="80"/>
        <v>057</v>
      </c>
      <c r="T248" s="218" t="str">
        <f t="shared" si="81"/>
        <v>D</v>
      </c>
      <c r="U248" s="218" t="str">
        <f t="shared" si="74"/>
        <v>AFR000</v>
      </c>
      <c r="V248" s="218" t="str">
        <f t="shared" si="75"/>
        <v>###</v>
      </c>
      <c r="W248" s="218">
        <v>0.09</v>
      </c>
      <c r="X248" s="218" t="str">
        <f t="shared" si="82"/>
        <v>USD</v>
      </c>
      <c r="Y248" s="218">
        <v>7.0000000000000007E-2</v>
      </c>
      <c r="Z248" s="218">
        <v>0.09</v>
      </c>
      <c r="AA248" s="218">
        <v>0.08</v>
      </c>
    </row>
    <row r="249" spans="1:27">
      <c r="A249" s="218" t="s">
        <v>2592</v>
      </c>
      <c r="F249" s="219" t="str">
        <f>"""IntAlert Live"",""ALERT UK"",""17"",""1"",""540141"""</f>
        <v>"IntAlert Live","ALERT UK","17","1","540141"</v>
      </c>
      <c r="G249" s="223">
        <v>43893</v>
      </c>
      <c r="H249" s="223"/>
      <c r="I249" s="218" t="str">
        <f t="shared" si="85"/>
        <v>DRCBUK/CAISSE/2020/03/001</v>
      </c>
      <c r="K249" s="218" t="str">
        <f t="shared" si="86"/>
        <v>ONEM</v>
      </c>
      <c r="L249" s="218" t="str">
        <f>"ONEM Feb20-Verre KILAURI  BANYWESIZE"</f>
        <v>ONEM Feb20-Verre KILAURI  BANYWESIZE</v>
      </c>
      <c r="M249" s="218" t="str">
        <f t="shared" si="87"/>
        <v>5160</v>
      </c>
      <c r="N249" s="218" t="str">
        <f t="shared" si="88"/>
        <v>EMPLOYMENT BENEFITS COSTS</v>
      </c>
      <c r="O249" s="218" t="str">
        <f t="shared" si="89"/>
        <v>DRCBUK</v>
      </c>
      <c r="P249" s="218" t="str">
        <f t="shared" si="62"/>
        <v>AP21QR</v>
      </c>
      <c r="Q249" s="218" t="str">
        <f>"KIA"</f>
        <v>KIA</v>
      </c>
      <c r="R249" s="218" t="str">
        <f>""</f>
        <v/>
      </c>
      <c r="S249" s="218" t="str">
        <f t="shared" si="80"/>
        <v>057</v>
      </c>
      <c r="T249" s="218" t="str">
        <f t="shared" si="81"/>
        <v>D</v>
      </c>
      <c r="U249" s="218" t="str">
        <f t="shared" si="74"/>
        <v>AFR000</v>
      </c>
      <c r="V249" s="218" t="str">
        <f t="shared" si="75"/>
        <v>###</v>
      </c>
      <c r="W249" s="218">
        <v>0.12</v>
      </c>
      <c r="X249" s="218" t="str">
        <f t="shared" si="82"/>
        <v>USD</v>
      </c>
      <c r="Y249" s="218">
        <v>0.09</v>
      </c>
      <c r="Z249" s="218">
        <v>0.12</v>
      </c>
      <c r="AA249" s="218">
        <v>0.11</v>
      </c>
    </row>
    <row r="250" spans="1:27">
      <c r="A250" s="218" t="s">
        <v>2592</v>
      </c>
      <c r="F250" s="219" t="str">
        <f>"""IntAlert Live"",""ALERT UK"",""17"",""1"",""540151"""</f>
        <v>"IntAlert Live","ALERT UK","17","1","540151"</v>
      </c>
      <c r="G250" s="223">
        <v>43893</v>
      </c>
      <c r="H250" s="223"/>
      <c r="I250" s="218" t="str">
        <f t="shared" si="85"/>
        <v>DRCBUK/CAISSE/2020/03/001</v>
      </c>
      <c r="K250" s="218" t="str">
        <f t="shared" si="86"/>
        <v>ONEM</v>
      </c>
      <c r="L250" s="218" t="str">
        <f>"ONEM Feb20-Michel  MIRINDI BASHWERE"</f>
        <v>ONEM Feb20-Michel  MIRINDI BASHWERE</v>
      </c>
      <c r="M250" s="218" t="str">
        <f t="shared" si="87"/>
        <v>5160</v>
      </c>
      <c r="N250" s="218" t="str">
        <f t="shared" si="88"/>
        <v>EMPLOYMENT BENEFITS COSTS</v>
      </c>
      <c r="O250" s="218" t="str">
        <f t="shared" si="89"/>
        <v>DRCBUK</v>
      </c>
      <c r="P250" s="218" t="str">
        <f t="shared" si="62"/>
        <v>AP21QR</v>
      </c>
      <c r="Q250" s="218" t="str">
        <f>"MRI"</f>
        <v>MRI</v>
      </c>
      <c r="R250" s="218" t="str">
        <f>""</f>
        <v/>
      </c>
      <c r="S250" s="218" t="str">
        <f t="shared" si="80"/>
        <v>057</v>
      </c>
      <c r="T250" s="218" t="str">
        <f t="shared" si="81"/>
        <v>D</v>
      </c>
      <c r="U250" s="218" t="str">
        <f t="shared" si="74"/>
        <v>AFR000</v>
      </c>
      <c r="V250" s="218" t="str">
        <f t="shared" si="75"/>
        <v>###</v>
      </c>
      <c r="W250" s="218">
        <v>0.13</v>
      </c>
      <c r="X250" s="218" t="str">
        <f t="shared" si="82"/>
        <v>USD</v>
      </c>
      <c r="Y250" s="218">
        <v>0.1</v>
      </c>
      <c r="Z250" s="218">
        <v>0.13</v>
      </c>
      <c r="AA250" s="218">
        <v>0.12</v>
      </c>
    </row>
    <row r="251" spans="1:27">
      <c r="A251" s="218" t="s">
        <v>2592</v>
      </c>
      <c r="F251" s="219" t="str">
        <f>"""IntAlert Live"",""ALERT UK"",""17"",""1"",""540189"""</f>
        <v>"IntAlert Live","ALERT UK","17","1","540189"</v>
      </c>
      <c r="G251" s="223">
        <v>43916</v>
      </c>
      <c r="H251" s="223"/>
      <c r="I251" s="218" t="str">
        <f t="shared" si="85"/>
        <v>DRCBUK/CAISSE/2020/03/001</v>
      </c>
      <c r="K251" s="218" t="str">
        <f t="shared" si="86"/>
        <v>ONEM</v>
      </c>
      <c r="L251" s="218" t="str">
        <f>"ONEM March20-Georgine BAMUNOBA TIBANAGWA"</f>
        <v>ONEM March20-Georgine BAMUNOBA TIBANAGWA</v>
      </c>
      <c r="M251" s="218" t="str">
        <f t="shared" si="87"/>
        <v>5160</v>
      </c>
      <c r="N251" s="218" t="str">
        <f t="shared" si="88"/>
        <v>EMPLOYMENT BENEFITS COSTS</v>
      </c>
      <c r="O251" s="218" t="str">
        <f t="shared" si="89"/>
        <v>DRCBUK</v>
      </c>
      <c r="P251" s="218" t="str">
        <f t="shared" si="62"/>
        <v>AP21QR</v>
      </c>
      <c r="Q251" s="218" t="str">
        <f>"BAM"</f>
        <v>BAM</v>
      </c>
      <c r="R251" s="218" t="str">
        <f>""</f>
        <v/>
      </c>
      <c r="S251" s="218" t="str">
        <f t="shared" si="80"/>
        <v>057</v>
      </c>
      <c r="T251" s="218" t="str">
        <f t="shared" si="81"/>
        <v>D</v>
      </c>
      <c r="U251" s="218" t="str">
        <f>"AFR022"</f>
        <v>AFR022</v>
      </c>
      <c r="V251" s="218" t="str">
        <f>"057"</f>
        <v>057</v>
      </c>
      <c r="W251" s="218">
        <v>0.09</v>
      </c>
      <c r="X251" s="218" t="str">
        <f t="shared" si="82"/>
        <v>USD</v>
      </c>
      <c r="Y251" s="218">
        <v>7.0000000000000007E-2</v>
      </c>
      <c r="Z251" s="218">
        <v>0.09</v>
      </c>
      <c r="AA251" s="218">
        <v>0.08</v>
      </c>
    </row>
    <row r="252" spans="1:27">
      <c r="A252" s="218" t="s">
        <v>2592</v>
      </c>
      <c r="F252" s="219" t="str">
        <f>"""IntAlert Live"",""ALERT UK"",""17"",""1"",""540198"""</f>
        <v>"IntAlert Live","ALERT UK","17","1","540198"</v>
      </c>
      <c r="G252" s="223">
        <v>43916</v>
      </c>
      <c r="H252" s="223"/>
      <c r="I252" s="218" t="str">
        <f t="shared" si="85"/>
        <v>DRCBUK/CAISSE/2020/03/001</v>
      </c>
      <c r="K252" s="218" t="str">
        <f t="shared" si="86"/>
        <v>ONEM</v>
      </c>
      <c r="L252" s="218" t="str">
        <f>"ONEM March20-Verre KILAURI  BANYWESIZE"</f>
        <v>ONEM March20-Verre KILAURI  BANYWESIZE</v>
      </c>
      <c r="M252" s="218" t="str">
        <f t="shared" si="87"/>
        <v>5160</v>
      </c>
      <c r="N252" s="218" t="str">
        <f t="shared" si="88"/>
        <v>EMPLOYMENT BENEFITS COSTS</v>
      </c>
      <c r="O252" s="218" t="str">
        <f t="shared" si="89"/>
        <v>DRCBUK</v>
      </c>
      <c r="P252" s="218" t="str">
        <f t="shared" si="62"/>
        <v>AP21QR</v>
      </c>
      <c r="Q252" s="218" t="str">
        <f>"KIA"</f>
        <v>KIA</v>
      </c>
      <c r="R252" s="218" t="str">
        <f>""</f>
        <v/>
      </c>
      <c r="S252" s="218" t="str">
        <f t="shared" si="80"/>
        <v>057</v>
      </c>
      <c r="T252" s="218" t="str">
        <f t="shared" si="81"/>
        <v>D</v>
      </c>
      <c r="U252" s="218" t="str">
        <f>"AFR022"</f>
        <v>AFR022</v>
      </c>
      <c r="V252" s="218" t="str">
        <f>"057"</f>
        <v>057</v>
      </c>
      <c r="W252" s="218">
        <v>0.1</v>
      </c>
      <c r="X252" s="218" t="str">
        <f t="shared" si="82"/>
        <v>USD</v>
      </c>
      <c r="Y252" s="218">
        <v>0.08</v>
      </c>
      <c r="Z252" s="218">
        <v>0.1</v>
      </c>
      <c r="AA252" s="218">
        <v>0.09</v>
      </c>
    </row>
    <row r="253" spans="1:27">
      <c r="A253" s="218" t="s">
        <v>2592</v>
      </c>
      <c r="F253" s="219" t="str">
        <f>"""IntAlert Live"",""ALERT UK"",""17"",""1"",""537224"""</f>
        <v>"IntAlert Live","ALERT UK","17","1","537224"</v>
      </c>
      <c r="G253" s="223">
        <v>43921</v>
      </c>
      <c r="H253" s="223"/>
      <c r="I253" s="218" t="str">
        <f>"DRCGOM/BANQUE/2020/003/019"</f>
        <v>DRCGOM/BANQUE/2020/003/019</v>
      </c>
      <c r="K253" s="218" t="str">
        <f>"SALAIRE-ADOLPHINE KAVIRA KAMBASU"</f>
        <v>SALAIRE-ADOLPHINE KAVIRA KAMBASU</v>
      </c>
      <c r="L253" s="218" t="str">
        <f>"Salaire-March20-Adolphine KAVIRA KAMBASU 5%"</f>
        <v>Salaire-March20-Adolphine KAVIRA KAMBASU 5%</v>
      </c>
      <c r="M253" s="218" t="str">
        <f>"5100"</f>
        <v>5100</v>
      </c>
      <c r="N253" s="218" t="str">
        <f>"BASIC EMPLOYMENT COSTS"</f>
        <v>BASIC EMPLOYMENT COSTS</v>
      </c>
      <c r="O253" s="218" t="str">
        <f t="shared" ref="O253:O273" si="90">"DRCGOM"</f>
        <v>DRCGOM</v>
      </c>
      <c r="P253" s="218" t="str">
        <f t="shared" si="62"/>
        <v>AP21QR</v>
      </c>
      <c r="Q253" s="218" t="str">
        <f>"KAS"</f>
        <v>KAS</v>
      </c>
      <c r="R253" s="218" t="str">
        <f>""</f>
        <v/>
      </c>
      <c r="S253" s="218" t="str">
        <f t="shared" si="80"/>
        <v>057</v>
      </c>
      <c r="T253" s="218" t="str">
        <f t="shared" si="81"/>
        <v>D</v>
      </c>
      <c r="U253" s="218" t="str">
        <f t="shared" ref="U253:U284" si="91">"AFR000"</f>
        <v>AFR000</v>
      </c>
      <c r="V253" s="218" t="str">
        <f t="shared" ref="V253:V316" si="92">"###"</f>
        <v>###</v>
      </c>
      <c r="W253" s="218">
        <v>31.01</v>
      </c>
      <c r="X253" s="218" t="str">
        <f t="shared" si="82"/>
        <v>USD</v>
      </c>
      <c r="Y253" s="218">
        <v>24.19</v>
      </c>
      <c r="Z253" s="218">
        <v>31.01</v>
      </c>
      <c r="AA253" s="218">
        <v>28.46</v>
      </c>
    </row>
    <row r="254" spans="1:27">
      <c r="A254" s="218" t="s">
        <v>2592</v>
      </c>
      <c r="F254" s="219" t="str">
        <f>"""IntAlert Live"",""ALERT UK"",""17"",""1"",""537231"""</f>
        <v>"IntAlert Live","ALERT UK","17","1","537231"</v>
      </c>
      <c r="G254" s="223">
        <v>43921</v>
      </c>
      <c r="H254" s="223"/>
      <c r="I254" s="218" t="str">
        <f>"DRCGOM/BANQUE/2020/003/019"</f>
        <v>DRCGOM/BANQUE/2020/003/019</v>
      </c>
      <c r="K254" s="218" t="str">
        <f>"SALAIRE-ESPERANCE CHIDOROMI SIFA"</f>
        <v>SALAIRE-ESPERANCE CHIDOROMI SIFA</v>
      </c>
      <c r="L254" s="218" t="str">
        <f>"Salaire-March20-Esperance CHIDOROMI SIFA 2%"</f>
        <v>Salaire-March20-Esperance CHIDOROMI SIFA 2%</v>
      </c>
      <c r="M254" s="218" t="str">
        <f>"5100"</f>
        <v>5100</v>
      </c>
      <c r="N254" s="218" t="str">
        <f>"BASIC EMPLOYMENT COSTS"</f>
        <v>BASIC EMPLOYMENT COSTS</v>
      </c>
      <c r="O254" s="218" t="str">
        <f t="shared" si="90"/>
        <v>DRCGOM</v>
      </c>
      <c r="P254" s="218" t="str">
        <f t="shared" si="62"/>
        <v>AP21QR</v>
      </c>
      <c r="Q254" s="218" t="str">
        <f>"SIF"</f>
        <v>SIF</v>
      </c>
      <c r="R254" s="218" t="str">
        <f>""</f>
        <v/>
      </c>
      <c r="S254" s="218" t="str">
        <f t="shared" si="80"/>
        <v>057</v>
      </c>
      <c r="T254" s="218" t="str">
        <f t="shared" si="81"/>
        <v>D</v>
      </c>
      <c r="U254" s="218" t="str">
        <f t="shared" si="91"/>
        <v>AFR000</v>
      </c>
      <c r="V254" s="218" t="str">
        <f t="shared" si="92"/>
        <v>###</v>
      </c>
      <c r="W254" s="218">
        <v>37.21</v>
      </c>
      <c r="X254" s="218" t="str">
        <f t="shared" si="82"/>
        <v>USD</v>
      </c>
      <c r="Y254" s="218">
        <v>29.03</v>
      </c>
      <c r="Z254" s="218">
        <v>37.21</v>
      </c>
      <c r="AA254" s="218">
        <v>34.15</v>
      </c>
    </row>
    <row r="255" spans="1:27">
      <c r="A255" s="218" t="s">
        <v>2592</v>
      </c>
      <c r="F255" s="219" t="str">
        <f>"""IntAlert Live"",""ALERT UK"",""17"",""1"",""537243"""</f>
        <v>"IntAlert Live","ALERT UK","17","1","537243"</v>
      </c>
      <c r="G255" s="223">
        <v>43921</v>
      </c>
      <c r="H255" s="223"/>
      <c r="I255" s="218" t="str">
        <f>"DRCGOM/BANQUE/2020/003/019"</f>
        <v>DRCGOM/BANQUE/2020/003/019</v>
      </c>
      <c r="K255" s="218" t="str">
        <f>"SALAIRE-BARNABE WANGU"</f>
        <v>SALAIRE-BARNABE WANGU</v>
      </c>
      <c r="L255" s="218" t="str">
        <f>"Salaire-March20-Barnabe Wangu 1%"</f>
        <v>Salaire-March20-Barnabe Wangu 1%</v>
      </c>
      <c r="M255" s="218" t="str">
        <f>"5100"</f>
        <v>5100</v>
      </c>
      <c r="N255" s="218" t="str">
        <f>"BASIC EMPLOYMENT COSTS"</f>
        <v>BASIC EMPLOYMENT COSTS</v>
      </c>
      <c r="O255" s="218" t="str">
        <f t="shared" si="90"/>
        <v>DRCGOM</v>
      </c>
      <c r="P255" s="218" t="str">
        <f t="shared" si="62"/>
        <v>AP21QR</v>
      </c>
      <c r="Q255" s="218" t="str">
        <f>"BRB"</f>
        <v>BRB</v>
      </c>
      <c r="R255" s="218" t="str">
        <f>""</f>
        <v/>
      </c>
      <c r="S255" s="218" t="str">
        <f t="shared" si="80"/>
        <v>057</v>
      </c>
      <c r="T255" s="218" t="str">
        <f t="shared" si="81"/>
        <v>D</v>
      </c>
      <c r="U255" s="218" t="str">
        <f t="shared" si="91"/>
        <v>AFR000</v>
      </c>
      <c r="V255" s="218" t="str">
        <f t="shared" si="92"/>
        <v>###</v>
      </c>
      <c r="W255" s="218">
        <v>48.43</v>
      </c>
      <c r="X255" s="218" t="str">
        <f t="shared" si="82"/>
        <v>USD</v>
      </c>
      <c r="Y255" s="218">
        <v>37.78</v>
      </c>
      <c r="Z255" s="218">
        <v>48.43</v>
      </c>
      <c r="AA255" s="218">
        <v>44.45</v>
      </c>
    </row>
    <row r="256" spans="1:27">
      <c r="A256" s="218" t="s">
        <v>2592</v>
      </c>
      <c r="F256" s="219" t="str">
        <f>"""IntAlert Live"",""ALERT UK"",""17"",""1"",""537261"""</f>
        <v>"IntAlert Live","ALERT UK","17","1","537261"</v>
      </c>
      <c r="G256" s="223">
        <v>43921</v>
      </c>
      <c r="H256" s="223"/>
      <c r="I256" s="218" t="str">
        <f>"DRCGOM/BANQUE/2020/003/019"</f>
        <v>DRCGOM/BANQUE/2020/003/019</v>
      </c>
      <c r="K256" s="218" t="str">
        <f>"SALAIRE-BIENVENU MAKURU AMANI"</f>
        <v>SALAIRE-BIENVENU MAKURU AMANI</v>
      </c>
      <c r="L256" s="218" t="str">
        <f>"Salaire-March20-Bienvenu MAKURU AMANI 5%"</f>
        <v>Salaire-March20-Bienvenu MAKURU AMANI 5%</v>
      </c>
      <c r="M256" s="218" t="str">
        <f>"5100"</f>
        <v>5100</v>
      </c>
      <c r="N256" s="218" t="str">
        <f>"BASIC EMPLOYMENT COSTS"</f>
        <v>BASIC EMPLOYMENT COSTS</v>
      </c>
      <c r="O256" s="218" t="str">
        <f t="shared" si="90"/>
        <v>DRCGOM</v>
      </c>
      <c r="P256" s="218" t="str">
        <f t="shared" si="62"/>
        <v>AP21QR</v>
      </c>
      <c r="Q256" s="218" t="str">
        <f>"SEN"</f>
        <v>SEN</v>
      </c>
      <c r="R256" s="218" t="str">
        <f>""</f>
        <v/>
      </c>
      <c r="S256" s="218" t="str">
        <f t="shared" si="80"/>
        <v>057</v>
      </c>
      <c r="T256" s="218" t="str">
        <f t="shared" si="81"/>
        <v>D</v>
      </c>
      <c r="U256" s="218" t="str">
        <f t="shared" si="91"/>
        <v>AFR000</v>
      </c>
      <c r="V256" s="218" t="str">
        <f t="shared" si="92"/>
        <v>###</v>
      </c>
      <c r="W256" s="218">
        <v>67.62</v>
      </c>
      <c r="X256" s="218" t="str">
        <f t="shared" si="82"/>
        <v>USD</v>
      </c>
      <c r="Y256" s="218">
        <v>52.75</v>
      </c>
      <c r="Z256" s="218">
        <v>67.62</v>
      </c>
      <c r="AA256" s="218">
        <v>62.06</v>
      </c>
    </row>
    <row r="257" spans="1:27">
      <c r="A257" s="218" t="s">
        <v>2592</v>
      </c>
      <c r="F257" s="219" t="str">
        <f>"""IntAlert Live"",""ALERT UK"",""17"",""1"",""537276"""</f>
        <v>"IntAlert Live","ALERT UK","17","1","537276"</v>
      </c>
      <c r="G257" s="223">
        <v>43921</v>
      </c>
      <c r="H257" s="223"/>
      <c r="I257" s="218" t="str">
        <f>"DRCGOM/BANQUE/2020/003/019"</f>
        <v>DRCGOM/BANQUE/2020/003/019</v>
      </c>
      <c r="K257" s="218" t="str">
        <f>"SALAIRE-JACQUES ZIGABE BUHENDWA"</f>
        <v>SALAIRE-JACQUES ZIGABE BUHENDWA</v>
      </c>
      <c r="L257" s="218" t="str">
        <f>"Salaire-March20-Jacques Zigabe Buhendwa 5%"</f>
        <v>Salaire-March20-Jacques Zigabe Buhendwa 5%</v>
      </c>
      <c r="M257" s="218" t="str">
        <f>"5100"</f>
        <v>5100</v>
      </c>
      <c r="N257" s="218" t="str">
        <f>"BASIC EMPLOYMENT COSTS"</f>
        <v>BASIC EMPLOYMENT COSTS</v>
      </c>
      <c r="O257" s="218" t="str">
        <f t="shared" si="90"/>
        <v>DRCGOM</v>
      </c>
      <c r="P257" s="218" t="str">
        <f t="shared" si="62"/>
        <v>AP21QR</v>
      </c>
      <c r="Q257" s="218" t="str">
        <f>"BUE"</f>
        <v>BUE</v>
      </c>
      <c r="R257" s="218" t="str">
        <f>""</f>
        <v/>
      </c>
      <c r="S257" s="218" t="str">
        <f t="shared" si="80"/>
        <v>057</v>
      </c>
      <c r="T257" s="218" t="str">
        <f t="shared" si="81"/>
        <v>D</v>
      </c>
      <c r="U257" s="218" t="str">
        <f t="shared" si="91"/>
        <v>AFR000</v>
      </c>
      <c r="V257" s="218" t="str">
        <f t="shared" si="92"/>
        <v>###</v>
      </c>
      <c r="W257" s="218">
        <v>28.58</v>
      </c>
      <c r="X257" s="218" t="str">
        <f t="shared" si="82"/>
        <v>USD</v>
      </c>
      <c r="Y257" s="218">
        <v>22.29</v>
      </c>
      <c r="Z257" s="218">
        <v>28.58</v>
      </c>
      <c r="AA257" s="218">
        <v>26.23</v>
      </c>
    </row>
    <row r="258" spans="1:27">
      <c r="A258" s="218" t="s">
        <v>2592</v>
      </c>
      <c r="F258" s="219" t="str">
        <f>"""IntAlert Live"",""ALERT UK"",""17"",""1"",""537288"""</f>
        <v>"IntAlert Live","ALERT UK","17","1","537288"</v>
      </c>
      <c r="G258" s="223">
        <v>43921</v>
      </c>
      <c r="H258" s="223"/>
      <c r="I258" s="218" t="str">
        <f t="shared" ref="I258:I263" si="93">"DRCGOM/BANQUE/2020/003/020"</f>
        <v>DRCGOM/BANQUE/2020/003/020</v>
      </c>
      <c r="K258" s="218" t="str">
        <f t="shared" ref="K258:K263" si="94">"CNSS MARCH 2020"</f>
        <v>CNSS MARCH 2020</v>
      </c>
      <c r="L258" s="218" t="str">
        <f>"CNSS-MARCH20--Adolphine KAVIRA KAMBASU 5%"</f>
        <v>CNSS-MARCH20--Adolphine KAVIRA KAMBASU 5%</v>
      </c>
      <c r="M258" s="218" t="str">
        <f t="shared" ref="M258:M263" si="95">"5110"</f>
        <v>5110</v>
      </c>
      <c r="N258" s="218" t="str">
        <f t="shared" ref="N258:N263" si="96">"EMPLOYER'S PENSION COSTS"</f>
        <v>EMPLOYER'S PENSION COSTS</v>
      </c>
      <c r="O258" s="218" t="str">
        <f t="shared" si="90"/>
        <v>DRCGOM</v>
      </c>
      <c r="P258" s="218" t="str">
        <f t="shared" si="62"/>
        <v>AP21QR</v>
      </c>
      <c r="Q258" s="218" t="str">
        <f>"KAS"</f>
        <v>KAS</v>
      </c>
      <c r="R258" s="218" t="str">
        <f>""</f>
        <v/>
      </c>
      <c r="S258" s="218" t="str">
        <f t="shared" si="80"/>
        <v>057</v>
      </c>
      <c r="T258" s="218" t="str">
        <f t="shared" si="81"/>
        <v>D</v>
      </c>
      <c r="U258" s="218" t="str">
        <f t="shared" si="91"/>
        <v>AFR000</v>
      </c>
      <c r="V258" s="218" t="str">
        <f t="shared" si="92"/>
        <v>###</v>
      </c>
      <c r="W258" s="218">
        <v>3.8</v>
      </c>
      <c r="X258" s="218" t="str">
        <f t="shared" si="82"/>
        <v>USD</v>
      </c>
      <c r="Y258" s="218">
        <v>2.96</v>
      </c>
      <c r="Z258" s="218">
        <v>3.8</v>
      </c>
      <c r="AA258" s="218">
        <v>3.48</v>
      </c>
    </row>
    <row r="259" spans="1:27">
      <c r="A259" s="218" t="s">
        <v>2592</v>
      </c>
      <c r="F259" s="219" t="str">
        <f>"""IntAlert Live"",""ALERT UK"",""17"",""1"",""537289"""</f>
        <v>"IntAlert Live","ALERT UK","17","1","537289"</v>
      </c>
      <c r="G259" s="223">
        <v>43921</v>
      </c>
      <c r="H259" s="223"/>
      <c r="I259" s="218" t="str">
        <f t="shared" si="93"/>
        <v>DRCGOM/BANQUE/2020/003/020</v>
      </c>
      <c r="K259" s="218" t="str">
        <f t="shared" si="94"/>
        <v>CNSS MARCH 2020</v>
      </c>
      <c r="L259" s="218" t="str">
        <f>"CNSS-MARCH20--Adolphine KAVIRA KAMBASU 15%"</f>
        <v>CNSS-MARCH20--Adolphine KAVIRA KAMBASU 15%</v>
      </c>
      <c r="M259" s="218" t="str">
        <f t="shared" si="95"/>
        <v>5110</v>
      </c>
      <c r="N259" s="218" t="str">
        <f t="shared" si="96"/>
        <v>EMPLOYER'S PENSION COSTS</v>
      </c>
      <c r="O259" s="218" t="str">
        <f t="shared" si="90"/>
        <v>DRCGOM</v>
      </c>
      <c r="P259" s="218" t="str">
        <f t="shared" si="62"/>
        <v>AP21QR</v>
      </c>
      <c r="Q259" s="218" t="str">
        <f>"KAS"</f>
        <v>KAS</v>
      </c>
      <c r="R259" s="218" t="str">
        <f>""</f>
        <v/>
      </c>
      <c r="S259" s="218" t="str">
        <f t="shared" si="80"/>
        <v>057</v>
      </c>
      <c r="T259" s="218" t="str">
        <f t="shared" si="81"/>
        <v>D</v>
      </c>
      <c r="U259" s="218" t="str">
        <f t="shared" si="91"/>
        <v>AFR000</v>
      </c>
      <c r="V259" s="218" t="str">
        <f t="shared" si="92"/>
        <v>###</v>
      </c>
      <c r="W259" s="218">
        <v>11.4</v>
      </c>
      <c r="X259" s="218" t="str">
        <f t="shared" si="82"/>
        <v>USD</v>
      </c>
      <c r="Y259" s="218">
        <v>8.89</v>
      </c>
      <c r="Z259" s="218">
        <v>11.4</v>
      </c>
      <c r="AA259" s="218">
        <v>10.46</v>
      </c>
    </row>
    <row r="260" spans="1:27">
      <c r="A260" s="218" t="s">
        <v>2592</v>
      </c>
      <c r="F260" s="219" t="str">
        <f>"""IntAlert Live"",""ALERT UK"",""17"",""1"",""537295"""</f>
        <v>"IntAlert Live","ALERT UK","17","1","537295"</v>
      </c>
      <c r="G260" s="223">
        <v>43921</v>
      </c>
      <c r="H260" s="223"/>
      <c r="I260" s="218" t="str">
        <f t="shared" si="93"/>
        <v>DRCGOM/BANQUE/2020/003/020</v>
      </c>
      <c r="K260" s="218" t="str">
        <f t="shared" si="94"/>
        <v>CNSS MARCH 2020</v>
      </c>
      <c r="L260" s="218" t="str">
        <f>"CNSS-MARCH20--Esperance CHIDOROMI SIFA 2%"</f>
        <v>CNSS-MARCH20--Esperance CHIDOROMI SIFA 2%</v>
      </c>
      <c r="M260" s="218" t="str">
        <f t="shared" si="95"/>
        <v>5110</v>
      </c>
      <c r="N260" s="218" t="str">
        <f t="shared" si="96"/>
        <v>EMPLOYER'S PENSION COSTS</v>
      </c>
      <c r="O260" s="218" t="str">
        <f t="shared" si="90"/>
        <v>DRCGOM</v>
      </c>
      <c r="P260" s="218" t="str">
        <f t="shared" si="62"/>
        <v>AP21QR</v>
      </c>
      <c r="Q260" s="218" t="str">
        <f>"SIF"</f>
        <v>SIF</v>
      </c>
      <c r="R260" s="218" t="str">
        <f>""</f>
        <v/>
      </c>
      <c r="S260" s="218" t="str">
        <f t="shared" si="80"/>
        <v>057</v>
      </c>
      <c r="T260" s="218" t="str">
        <f t="shared" si="81"/>
        <v>D</v>
      </c>
      <c r="U260" s="218" t="str">
        <f t="shared" si="91"/>
        <v>AFR000</v>
      </c>
      <c r="V260" s="218" t="str">
        <f t="shared" si="92"/>
        <v>###</v>
      </c>
      <c r="W260" s="218">
        <v>5.01</v>
      </c>
      <c r="X260" s="218" t="str">
        <f t="shared" si="82"/>
        <v>USD</v>
      </c>
      <c r="Y260" s="218">
        <v>3.91</v>
      </c>
      <c r="Z260" s="218">
        <v>5.01</v>
      </c>
      <c r="AA260" s="218">
        <v>4.5999999999999996</v>
      </c>
    </row>
    <row r="261" spans="1:27">
      <c r="A261" s="218" t="s">
        <v>2592</v>
      </c>
      <c r="F261" s="219" t="str">
        <f>"""IntAlert Live"",""ALERT UK"",""17"",""1"",""537307"""</f>
        <v>"IntAlert Live","ALERT UK","17","1","537307"</v>
      </c>
      <c r="G261" s="223">
        <v>43921</v>
      </c>
      <c r="H261" s="223"/>
      <c r="I261" s="218" t="str">
        <f t="shared" si="93"/>
        <v>DRCGOM/BANQUE/2020/003/020</v>
      </c>
      <c r="K261" s="218" t="str">
        <f t="shared" si="94"/>
        <v>CNSS MARCH 2020</v>
      </c>
      <c r="L261" s="218" t="str">
        <f>"CNSS-MARCH20--Barnabe Wangu 1%"</f>
        <v>CNSS-MARCH20--Barnabe Wangu 1%</v>
      </c>
      <c r="M261" s="218" t="str">
        <f t="shared" si="95"/>
        <v>5110</v>
      </c>
      <c r="N261" s="218" t="str">
        <f t="shared" si="96"/>
        <v>EMPLOYER'S PENSION COSTS</v>
      </c>
      <c r="O261" s="218" t="str">
        <f t="shared" si="90"/>
        <v>DRCGOM</v>
      </c>
      <c r="P261" s="218" t="str">
        <f t="shared" si="62"/>
        <v>AP21QR</v>
      </c>
      <c r="Q261" s="218" t="str">
        <f>"BRB"</f>
        <v>BRB</v>
      </c>
      <c r="R261" s="218" t="str">
        <f>""</f>
        <v/>
      </c>
      <c r="S261" s="218" t="str">
        <f t="shared" si="80"/>
        <v>057</v>
      </c>
      <c r="T261" s="218" t="str">
        <f t="shared" si="81"/>
        <v>D</v>
      </c>
      <c r="U261" s="218" t="str">
        <f t="shared" si="91"/>
        <v>AFR000</v>
      </c>
      <c r="V261" s="218" t="str">
        <f t="shared" si="92"/>
        <v>###</v>
      </c>
      <c r="W261" s="218">
        <v>6.82</v>
      </c>
      <c r="X261" s="218" t="str">
        <f t="shared" si="82"/>
        <v>USD</v>
      </c>
      <c r="Y261" s="218">
        <v>5.32</v>
      </c>
      <c r="Z261" s="218">
        <v>6.82</v>
      </c>
      <c r="AA261" s="218">
        <v>6.26</v>
      </c>
    </row>
    <row r="262" spans="1:27">
      <c r="A262" s="218" t="s">
        <v>2592</v>
      </c>
      <c r="F262" s="219" t="str">
        <f>"""IntAlert Live"",""ALERT UK"",""17"",""1"",""537325"""</f>
        <v>"IntAlert Live","ALERT UK","17","1","537325"</v>
      </c>
      <c r="G262" s="223">
        <v>43921</v>
      </c>
      <c r="H262" s="223"/>
      <c r="I262" s="218" t="str">
        <f t="shared" si="93"/>
        <v>DRCGOM/BANQUE/2020/003/020</v>
      </c>
      <c r="K262" s="218" t="str">
        <f t="shared" si="94"/>
        <v>CNSS MARCH 2020</v>
      </c>
      <c r="L262" s="218" t="str">
        <f>"CNSS-MARCH20--Bienvenu MAKURU AMANI 5%"</f>
        <v>CNSS-MARCH20--Bienvenu MAKURU AMANI 5%</v>
      </c>
      <c r="M262" s="218" t="str">
        <f t="shared" si="95"/>
        <v>5110</v>
      </c>
      <c r="N262" s="218" t="str">
        <f t="shared" si="96"/>
        <v>EMPLOYER'S PENSION COSTS</v>
      </c>
      <c r="O262" s="218" t="str">
        <f t="shared" si="90"/>
        <v>DRCGOM</v>
      </c>
      <c r="P262" s="218" t="str">
        <f t="shared" si="62"/>
        <v>AP21QR</v>
      </c>
      <c r="Q262" s="218" t="str">
        <f>"SEN"</f>
        <v>SEN</v>
      </c>
      <c r="R262" s="218" t="str">
        <f>""</f>
        <v/>
      </c>
      <c r="S262" s="218" t="str">
        <f t="shared" si="80"/>
        <v>057</v>
      </c>
      <c r="T262" s="218" t="str">
        <f t="shared" si="81"/>
        <v>D</v>
      </c>
      <c r="U262" s="218" t="str">
        <f t="shared" si="91"/>
        <v>AFR000</v>
      </c>
      <c r="V262" s="218" t="str">
        <f t="shared" si="92"/>
        <v>###</v>
      </c>
      <c r="W262" s="218">
        <v>9.25</v>
      </c>
      <c r="X262" s="218" t="str">
        <f t="shared" si="82"/>
        <v>USD</v>
      </c>
      <c r="Y262" s="218">
        <v>7.22</v>
      </c>
      <c r="Z262" s="218">
        <v>9.25</v>
      </c>
      <c r="AA262" s="218">
        <v>8.49</v>
      </c>
    </row>
    <row r="263" spans="1:27">
      <c r="A263" s="218" t="s">
        <v>2592</v>
      </c>
      <c r="F263" s="219" t="str">
        <f>"""IntAlert Live"",""ALERT UK"",""17"",""1"",""537340"""</f>
        <v>"IntAlert Live","ALERT UK","17","1","537340"</v>
      </c>
      <c r="G263" s="223">
        <v>43921</v>
      </c>
      <c r="H263" s="223"/>
      <c r="I263" s="218" t="str">
        <f t="shared" si="93"/>
        <v>DRCGOM/BANQUE/2020/003/020</v>
      </c>
      <c r="K263" s="218" t="str">
        <f t="shared" si="94"/>
        <v>CNSS MARCH 2020</v>
      </c>
      <c r="L263" s="218" t="str">
        <f>"CNSS-MARCH20--Jacques Zigabe Buhendwa 5%"</f>
        <v>CNSS-MARCH20--Jacques Zigabe Buhendwa 5%</v>
      </c>
      <c r="M263" s="218" t="str">
        <f t="shared" si="95"/>
        <v>5110</v>
      </c>
      <c r="N263" s="218" t="str">
        <f t="shared" si="96"/>
        <v>EMPLOYER'S PENSION COSTS</v>
      </c>
      <c r="O263" s="218" t="str">
        <f t="shared" si="90"/>
        <v>DRCGOM</v>
      </c>
      <c r="P263" s="218" t="str">
        <f t="shared" ref="P263:P326" si="97">"AP21QR"</f>
        <v>AP21QR</v>
      </c>
      <c r="Q263" s="218" t="str">
        <f>"BUE"</f>
        <v>BUE</v>
      </c>
      <c r="R263" s="218" t="str">
        <f>""</f>
        <v/>
      </c>
      <c r="S263" s="218" t="str">
        <f t="shared" ref="S263:S281" si="98">"057"</f>
        <v>057</v>
      </c>
      <c r="T263" s="218" t="str">
        <f t="shared" ref="T263:T294" si="99">"D"</f>
        <v>D</v>
      </c>
      <c r="U263" s="218" t="str">
        <f t="shared" si="91"/>
        <v>AFR000</v>
      </c>
      <c r="V263" s="218" t="str">
        <f t="shared" si="92"/>
        <v>###</v>
      </c>
      <c r="W263" s="218">
        <v>3.24</v>
      </c>
      <c r="X263" s="218" t="str">
        <f t="shared" ref="X263:X294" si="100">"USD"</f>
        <v>USD</v>
      </c>
      <c r="Y263" s="218">
        <v>2.5299999999999998</v>
      </c>
      <c r="Z263" s="218">
        <v>3.24</v>
      </c>
      <c r="AA263" s="218">
        <v>2.98</v>
      </c>
    </row>
    <row r="264" spans="1:27">
      <c r="A264" s="218" t="s">
        <v>2592</v>
      </c>
      <c r="F264" s="219" t="str">
        <f>"""IntAlert Live"",""ALERT UK"",""17"",""1"",""537351"""</f>
        <v>"IntAlert Live","ALERT UK","17","1","537351"</v>
      </c>
      <c r="G264" s="223">
        <v>43921</v>
      </c>
      <c r="H264" s="223"/>
      <c r="I264" s="218" t="str">
        <f>"DRCGOM/BANQUE/2020/003/021"</f>
        <v>DRCGOM/BANQUE/2020/003/021</v>
      </c>
      <c r="K264" s="218" t="str">
        <f>"INPP MARCH 2020"</f>
        <v>INPP MARCH 2020</v>
      </c>
      <c r="L264" s="218" t="str">
        <f>"INPP-March20-Adolphine KAVIRA KAMBASU 5%"</f>
        <v>INPP-March20-Adolphine KAVIRA KAMBASU 5%</v>
      </c>
      <c r="M264" s="218" t="str">
        <f t="shared" ref="M264:M273" si="101">"5150"</f>
        <v>5150</v>
      </c>
      <c r="N264" s="218" t="str">
        <f t="shared" ref="N264:N273" si="102">"EMPLOYMENT RELOCATION COSTS"</f>
        <v>EMPLOYMENT RELOCATION COSTS</v>
      </c>
      <c r="O264" s="218" t="str">
        <f t="shared" si="90"/>
        <v>DRCGOM</v>
      </c>
      <c r="P264" s="218" t="str">
        <f t="shared" si="97"/>
        <v>AP21QR</v>
      </c>
      <c r="Q264" s="218" t="str">
        <f>"KAS"</f>
        <v>KAS</v>
      </c>
      <c r="R264" s="218" t="str">
        <f>""</f>
        <v/>
      </c>
      <c r="S264" s="218" t="str">
        <f t="shared" si="98"/>
        <v>057</v>
      </c>
      <c r="T264" s="218" t="str">
        <f t="shared" si="99"/>
        <v>D</v>
      </c>
      <c r="U264" s="218" t="str">
        <f t="shared" si="91"/>
        <v>AFR000</v>
      </c>
      <c r="V264" s="218" t="str">
        <f t="shared" si="92"/>
        <v>###</v>
      </c>
      <c r="W264" s="218">
        <v>0.63</v>
      </c>
      <c r="X264" s="218" t="str">
        <f t="shared" si="100"/>
        <v>USD</v>
      </c>
      <c r="Y264" s="218">
        <v>0.49</v>
      </c>
      <c r="Z264" s="218">
        <v>0.63</v>
      </c>
      <c r="AA264" s="218">
        <v>0.57999999999999996</v>
      </c>
    </row>
    <row r="265" spans="1:27">
      <c r="A265" s="218" t="s">
        <v>2592</v>
      </c>
      <c r="F265" s="219" t="str">
        <f>"""IntAlert Live"",""ALERT UK"",""17"",""1"",""537358"""</f>
        <v>"IntAlert Live","ALERT UK","17","1","537358"</v>
      </c>
      <c r="G265" s="223">
        <v>43921</v>
      </c>
      <c r="H265" s="223"/>
      <c r="I265" s="218" t="str">
        <f>"DRCGOM/BANQUE/2020/003/021"</f>
        <v>DRCGOM/BANQUE/2020/003/021</v>
      </c>
      <c r="K265" s="218" t="str">
        <f>"INPP MARCH 2020"</f>
        <v>INPP MARCH 2020</v>
      </c>
      <c r="L265" s="218" t="str">
        <f>"INPP-March20-Esperance CHIDOROMI SIFA 2%"</f>
        <v>INPP-March20-Esperance CHIDOROMI SIFA 2%</v>
      </c>
      <c r="M265" s="218" t="str">
        <f t="shared" si="101"/>
        <v>5150</v>
      </c>
      <c r="N265" s="218" t="str">
        <f t="shared" si="102"/>
        <v>EMPLOYMENT RELOCATION COSTS</v>
      </c>
      <c r="O265" s="218" t="str">
        <f t="shared" si="90"/>
        <v>DRCGOM</v>
      </c>
      <c r="P265" s="218" t="str">
        <f t="shared" si="97"/>
        <v>AP21QR</v>
      </c>
      <c r="Q265" s="218" t="str">
        <f>"SIF"</f>
        <v>SIF</v>
      </c>
      <c r="R265" s="218" t="str">
        <f>""</f>
        <v/>
      </c>
      <c r="S265" s="218" t="str">
        <f t="shared" si="98"/>
        <v>057</v>
      </c>
      <c r="T265" s="218" t="str">
        <f t="shared" si="99"/>
        <v>D</v>
      </c>
      <c r="U265" s="218" t="str">
        <f t="shared" si="91"/>
        <v>AFR000</v>
      </c>
      <c r="V265" s="218" t="str">
        <f t="shared" si="92"/>
        <v>###</v>
      </c>
      <c r="W265" s="218">
        <v>0.83</v>
      </c>
      <c r="X265" s="218" t="str">
        <f t="shared" si="100"/>
        <v>USD</v>
      </c>
      <c r="Y265" s="218">
        <v>0.65</v>
      </c>
      <c r="Z265" s="218">
        <v>0.83</v>
      </c>
      <c r="AA265" s="218">
        <v>0.76</v>
      </c>
    </row>
    <row r="266" spans="1:27">
      <c r="A266" s="218" t="s">
        <v>2592</v>
      </c>
      <c r="F266" s="219" t="str">
        <f>"""IntAlert Live"",""ALERT UK"",""17"",""1"",""537370"""</f>
        <v>"IntAlert Live","ALERT UK","17","1","537370"</v>
      </c>
      <c r="G266" s="223">
        <v>43921</v>
      </c>
      <c r="H266" s="223"/>
      <c r="I266" s="218" t="str">
        <f>"DRCGOM/BANQUE/2020/003/021"</f>
        <v>DRCGOM/BANQUE/2020/003/021</v>
      </c>
      <c r="K266" s="218" t="str">
        <f>"INPP MARCH 2020"</f>
        <v>INPP MARCH 2020</v>
      </c>
      <c r="L266" s="218" t="str">
        <f>"INPP-March20-Barnabe Wangu 1%"</f>
        <v>INPP-March20-Barnabe Wangu 1%</v>
      </c>
      <c r="M266" s="218" t="str">
        <f t="shared" si="101"/>
        <v>5150</v>
      </c>
      <c r="N266" s="218" t="str">
        <f t="shared" si="102"/>
        <v>EMPLOYMENT RELOCATION COSTS</v>
      </c>
      <c r="O266" s="218" t="str">
        <f t="shared" si="90"/>
        <v>DRCGOM</v>
      </c>
      <c r="P266" s="218" t="str">
        <f t="shared" si="97"/>
        <v>AP21QR</v>
      </c>
      <c r="Q266" s="218" t="str">
        <f>"BRB"</f>
        <v>BRB</v>
      </c>
      <c r="R266" s="218" t="str">
        <f>""</f>
        <v/>
      </c>
      <c r="S266" s="218" t="str">
        <f t="shared" si="98"/>
        <v>057</v>
      </c>
      <c r="T266" s="218" t="str">
        <f t="shared" si="99"/>
        <v>D</v>
      </c>
      <c r="U266" s="218" t="str">
        <f t="shared" si="91"/>
        <v>AFR000</v>
      </c>
      <c r="V266" s="218" t="str">
        <f t="shared" si="92"/>
        <v>###</v>
      </c>
      <c r="W266" s="218">
        <v>1.1399999999999999</v>
      </c>
      <c r="X266" s="218" t="str">
        <f t="shared" si="100"/>
        <v>USD</v>
      </c>
      <c r="Y266" s="218">
        <v>0.89</v>
      </c>
      <c r="Z266" s="218">
        <v>1.1399999999999999</v>
      </c>
      <c r="AA266" s="218">
        <v>1.05</v>
      </c>
    </row>
    <row r="267" spans="1:27">
      <c r="A267" s="218" t="s">
        <v>2592</v>
      </c>
      <c r="F267" s="219" t="str">
        <f>"""IntAlert Live"",""ALERT UK"",""17"",""1"",""537388"""</f>
        <v>"IntAlert Live","ALERT UK","17","1","537388"</v>
      </c>
      <c r="G267" s="223">
        <v>43921</v>
      </c>
      <c r="H267" s="223"/>
      <c r="I267" s="218" t="str">
        <f>"DRCGOM/BANQUE/2020/003/021"</f>
        <v>DRCGOM/BANQUE/2020/003/021</v>
      </c>
      <c r="K267" s="218" t="str">
        <f>"INPP MARCH 2020"</f>
        <v>INPP MARCH 2020</v>
      </c>
      <c r="L267" s="218" t="str">
        <f>"INPP-March20-Bienvenu MAKURU AMANI 5%"</f>
        <v>INPP-March20-Bienvenu MAKURU AMANI 5%</v>
      </c>
      <c r="M267" s="218" t="str">
        <f t="shared" si="101"/>
        <v>5150</v>
      </c>
      <c r="N267" s="218" t="str">
        <f t="shared" si="102"/>
        <v>EMPLOYMENT RELOCATION COSTS</v>
      </c>
      <c r="O267" s="218" t="str">
        <f t="shared" si="90"/>
        <v>DRCGOM</v>
      </c>
      <c r="P267" s="218" t="str">
        <f t="shared" si="97"/>
        <v>AP21QR</v>
      </c>
      <c r="Q267" s="218" t="str">
        <f>"SEN"</f>
        <v>SEN</v>
      </c>
      <c r="R267" s="218" t="str">
        <f>""</f>
        <v/>
      </c>
      <c r="S267" s="218" t="str">
        <f t="shared" si="98"/>
        <v>057</v>
      </c>
      <c r="T267" s="218" t="str">
        <f t="shared" si="99"/>
        <v>D</v>
      </c>
      <c r="U267" s="218" t="str">
        <f t="shared" si="91"/>
        <v>AFR000</v>
      </c>
      <c r="V267" s="218" t="str">
        <f t="shared" si="92"/>
        <v>###</v>
      </c>
      <c r="W267" s="218">
        <v>1.54</v>
      </c>
      <c r="X267" s="218" t="str">
        <f t="shared" si="100"/>
        <v>USD</v>
      </c>
      <c r="Y267" s="218">
        <v>1.2</v>
      </c>
      <c r="Z267" s="218">
        <v>1.54</v>
      </c>
      <c r="AA267" s="218">
        <v>1.41</v>
      </c>
    </row>
    <row r="268" spans="1:27">
      <c r="A268" s="218" t="s">
        <v>2592</v>
      </c>
      <c r="F268" s="219" t="str">
        <f>"""IntAlert Live"",""ALERT UK"",""17"",""1"",""537403"""</f>
        <v>"IntAlert Live","ALERT UK","17","1","537403"</v>
      </c>
      <c r="G268" s="223">
        <v>43921</v>
      </c>
      <c r="H268" s="223"/>
      <c r="I268" s="218" t="str">
        <f>"DRCGOM/BANQUE/2020/003/021"</f>
        <v>DRCGOM/BANQUE/2020/003/021</v>
      </c>
      <c r="K268" s="218" t="str">
        <f>"INPP MARCH 2020"</f>
        <v>INPP MARCH 2020</v>
      </c>
      <c r="L268" s="218" t="str">
        <f>"INPP-March20-Jacques Zigabe Buhendwa 5%"</f>
        <v>INPP-March20-Jacques Zigabe Buhendwa 5%</v>
      </c>
      <c r="M268" s="218" t="str">
        <f t="shared" si="101"/>
        <v>5150</v>
      </c>
      <c r="N268" s="218" t="str">
        <f t="shared" si="102"/>
        <v>EMPLOYMENT RELOCATION COSTS</v>
      </c>
      <c r="O268" s="218" t="str">
        <f t="shared" si="90"/>
        <v>DRCGOM</v>
      </c>
      <c r="P268" s="218" t="str">
        <f t="shared" si="97"/>
        <v>AP21QR</v>
      </c>
      <c r="Q268" s="218" t="str">
        <f>"BUE"</f>
        <v>BUE</v>
      </c>
      <c r="R268" s="218" t="str">
        <f>""</f>
        <v/>
      </c>
      <c r="S268" s="218" t="str">
        <f t="shared" si="98"/>
        <v>057</v>
      </c>
      <c r="T268" s="218" t="str">
        <f t="shared" si="99"/>
        <v>D</v>
      </c>
      <c r="U268" s="218" t="str">
        <f t="shared" si="91"/>
        <v>AFR000</v>
      </c>
      <c r="V268" s="218" t="str">
        <f t="shared" si="92"/>
        <v>###</v>
      </c>
      <c r="W268" s="218">
        <v>0.54</v>
      </c>
      <c r="X268" s="218" t="str">
        <f t="shared" si="100"/>
        <v>USD</v>
      </c>
      <c r="Y268" s="218">
        <v>0.42</v>
      </c>
      <c r="Z268" s="218">
        <v>0.54</v>
      </c>
      <c r="AA268" s="218">
        <v>0.49</v>
      </c>
    </row>
    <row r="269" spans="1:27">
      <c r="A269" s="218" t="s">
        <v>2592</v>
      </c>
      <c r="F269" s="219" t="str">
        <f>"""IntAlert Live"",""ALERT UK"",""17"",""1"",""537722"""</f>
        <v>"IntAlert Live","ALERT UK","17","1","537722"</v>
      </c>
      <c r="G269" s="223">
        <v>43921</v>
      </c>
      <c r="H269" s="223"/>
      <c r="I269" s="218" t="str">
        <f>"DRCGOM/ CAISSE/2020/003/003"</f>
        <v>DRCGOM/ CAISSE/2020/003/003</v>
      </c>
      <c r="K269" s="218" t="str">
        <f>"ONEM MARCH 2020"</f>
        <v>ONEM MARCH 2020</v>
      </c>
      <c r="L269" s="218" t="str">
        <f>"ONEM-Adolphine KAVIRA KAMBASU"</f>
        <v>ONEM-Adolphine KAVIRA KAMBASU</v>
      </c>
      <c r="M269" s="218" t="str">
        <f t="shared" si="101"/>
        <v>5150</v>
      </c>
      <c r="N269" s="218" t="str">
        <f t="shared" si="102"/>
        <v>EMPLOYMENT RELOCATION COSTS</v>
      </c>
      <c r="O269" s="218" t="str">
        <f t="shared" si="90"/>
        <v>DRCGOM</v>
      </c>
      <c r="P269" s="218" t="str">
        <f t="shared" si="97"/>
        <v>AP21QR</v>
      </c>
      <c r="Q269" s="218" t="str">
        <f>"KAS"</f>
        <v>KAS</v>
      </c>
      <c r="R269" s="218" t="str">
        <f>""</f>
        <v/>
      </c>
      <c r="S269" s="218" t="str">
        <f t="shared" si="98"/>
        <v>057</v>
      </c>
      <c r="T269" s="218" t="str">
        <f t="shared" si="99"/>
        <v>D</v>
      </c>
      <c r="U269" s="218" t="str">
        <f t="shared" si="91"/>
        <v>AFR000</v>
      </c>
      <c r="V269" s="218" t="str">
        <f t="shared" si="92"/>
        <v>###</v>
      </c>
      <c r="W269" s="218">
        <v>0.04</v>
      </c>
      <c r="X269" s="218" t="str">
        <f t="shared" si="100"/>
        <v>USD</v>
      </c>
      <c r="Y269" s="218">
        <v>0.03</v>
      </c>
      <c r="Z269" s="218">
        <v>0.04</v>
      </c>
      <c r="AA269" s="218">
        <v>0.04</v>
      </c>
    </row>
    <row r="270" spans="1:27">
      <c r="A270" s="218" t="s">
        <v>2592</v>
      </c>
      <c r="F270" s="219" t="str">
        <f>"""IntAlert Live"",""ALERT UK"",""17"",""1"",""537729"""</f>
        <v>"IntAlert Live","ALERT UK","17","1","537729"</v>
      </c>
      <c r="G270" s="223">
        <v>43921</v>
      </c>
      <c r="H270" s="223"/>
      <c r="I270" s="218" t="str">
        <f>"DRCGOM/ CAISSE/2020/003/003"</f>
        <v>DRCGOM/ CAISSE/2020/003/003</v>
      </c>
      <c r="K270" s="218" t="str">
        <f>"ONEM MARCH 2020"</f>
        <v>ONEM MARCH 2020</v>
      </c>
      <c r="L270" s="218" t="str">
        <f>"ONEM-Esperance CHIDOROMI SIFA"</f>
        <v>ONEM-Esperance CHIDOROMI SIFA</v>
      </c>
      <c r="M270" s="218" t="str">
        <f t="shared" si="101"/>
        <v>5150</v>
      </c>
      <c r="N270" s="218" t="str">
        <f t="shared" si="102"/>
        <v>EMPLOYMENT RELOCATION COSTS</v>
      </c>
      <c r="O270" s="218" t="str">
        <f t="shared" si="90"/>
        <v>DRCGOM</v>
      </c>
      <c r="P270" s="218" t="str">
        <f t="shared" si="97"/>
        <v>AP21QR</v>
      </c>
      <c r="Q270" s="218" t="str">
        <f>"SIF"</f>
        <v>SIF</v>
      </c>
      <c r="R270" s="218" t="str">
        <f>""</f>
        <v/>
      </c>
      <c r="S270" s="218" t="str">
        <f t="shared" si="98"/>
        <v>057</v>
      </c>
      <c r="T270" s="218" t="str">
        <f t="shared" si="99"/>
        <v>D</v>
      </c>
      <c r="U270" s="218" t="str">
        <f t="shared" si="91"/>
        <v>AFR000</v>
      </c>
      <c r="V270" s="218" t="str">
        <f t="shared" si="92"/>
        <v>###</v>
      </c>
      <c r="W270" s="218">
        <v>0.06</v>
      </c>
      <c r="X270" s="218" t="str">
        <f t="shared" si="100"/>
        <v>USD</v>
      </c>
      <c r="Y270" s="218">
        <v>0.05</v>
      </c>
      <c r="Z270" s="218">
        <v>0.06</v>
      </c>
      <c r="AA270" s="218">
        <v>0.06</v>
      </c>
    </row>
    <row r="271" spans="1:27">
      <c r="A271" s="218" t="s">
        <v>2592</v>
      </c>
      <c r="F271" s="219" t="str">
        <f>"""IntAlert Live"",""ALERT UK"",""17"",""1"",""537741"""</f>
        <v>"IntAlert Live","ALERT UK","17","1","537741"</v>
      </c>
      <c r="G271" s="223">
        <v>43921</v>
      </c>
      <c r="H271" s="223"/>
      <c r="I271" s="218" t="str">
        <f>"DRCGOM/ CAISSE/2020/003/003"</f>
        <v>DRCGOM/ CAISSE/2020/003/003</v>
      </c>
      <c r="K271" s="218" t="str">
        <f>"ONEM MARCH 2020"</f>
        <v>ONEM MARCH 2020</v>
      </c>
      <c r="L271" s="218" t="str">
        <f>"ONEM-Barnabe Wangu "</f>
        <v xml:space="preserve">ONEM-Barnabe Wangu </v>
      </c>
      <c r="M271" s="218" t="str">
        <f t="shared" si="101"/>
        <v>5150</v>
      </c>
      <c r="N271" s="218" t="str">
        <f t="shared" si="102"/>
        <v>EMPLOYMENT RELOCATION COSTS</v>
      </c>
      <c r="O271" s="218" t="str">
        <f t="shared" si="90"/>
        <v>DRCGOM</v>
      </c>
      <c r="P271" s="218" t="str">
        <f t="shared" si="97"/>
        <v>AP21QR</v>
      </c>
      <c r="Q271" s="218" t="str">
        <f>"BRB"</f>
        <v>BRB</v>
      </c>
      <c r="R271" s="218" t="str">
        <f>""</f>
        <v/>
      </c>
      <c r="S271" s="218" t="str">
        <f t="shared" si="98"/>
        <v>057</v>
      </c>
      <c r="T271" s="218" t="str">
        <f t="shared" si="99"/>
        <v>D</v>
      </c>
      <c r="U271" s="218" t="str">
        <f t="shared" si="91"/>
        <v>AFR000</v>
      </c>
      <c r="V271" s="218" t="str">
        <f t="shared" si="92"/>
        <v>###</v>
      </c>
      <c r="W271" s="218">
        <v>0.08</v>
      </c>
      <c r="X271" s="218" t="str">
        <f t="shared" si="100"/>
        <v>USD</v>
      </c>
      <c r="Y271" s="218">
        <v>0.06</v>
      </c>
      <c r="Z271" s="218">
        <v>0.08</v>
      </c>
      <c r="AA271" s="218">
        <v>7.0000000000000007E-2</v>
      </c>
    </row>
    <row r="272" spans="1:27">
      <c r="A272" s="218" t="s">
        <v>2592</v>
      </c>
      <c r="F272" s="219" t="str">
        <f>"""IntAlert Live"",""ALERT UK"",""17"",""1"",""537759"""</f>
        <v>"IntAlert Live","ALERT UK","17","1","537759"</v>
      </c>
      <c r="G272" s="223">
        <v>43921</v>
      </c>
      <c r="H272" s="223"/>
      <c r="I272" s="218" t="str">
        <f>"DRCGOM/ CAISSE/2020/003/003"</f>
        <v>DRCGOM/ CAISSE/2020/003/003</v>
      </c>
      <c r="K272" s="218" t="str">
        <f>"ONEM MARCH 2020"</f>
        <v>ONEM MARCH 2020</v>
      </c>
      <c r="L272" s="218" t="str">
        <f>"ONEM-Bienvenu MAKURU AMANI"</f>
        <v>ONEM-Bienvenu MAKURU AMANI</v>
      </c>
      <c r="M272" s="218" t="str">
        <f t="shared" si="101"/>
        <v>5150</v>
      </c>
      <c r="N272" s="218" t="str">
        <f t="shared" si="102"/>
        <v>EMPLOYMENT RELOCATION COSTS</v>
      </c>
      <c r="O272" s="218" t="str">
        <f t="shared" si="90"/>
        <v>DRCGOM</v>
      </c>
      <c r="P272" s="218" t="str">
        <f t="shared" si="97"/>
        <v>AP21QR</v>
      </c>
      <c r="Q272" s="218" t="str">
        <f>"SEN"</f>
        <v>SEN</v>
      </c>
      <c r="R272" s="218" t="str">
        <f>""</f>
        <v/>
      </c>
      <c r="S272" s="218" t="str">
        <f t="shared" si="98"/>
        <v>057</v>
      </c>
      <c r="T272" s="218" t="str">
        <f t="shared" si="99"/>
        <v>D</v>
      </c>
      <c r="U272" s="218" t="str">
        <f t="shared" si="91"/>
        <v>AFR000</v>
      </c>
      <c r="V272" s="218" t="str">
        <f t="shared" si="92"/>
        <v>###</v>
      </c>
      <c r="W272" s="218">
        <v>0.1</v>
      </c>
      <c r="X272" s="218" t="str">
        <f t="shared" si="100"/>
        <v>USD</v>
      </c>
      <c r="Y272" s="218">
        <v>0.08</v>
      </c>
      <c r="Z272" s="218">
        <v>0.1</v>
      </c>
      <c r="AA272" s="218">
        <v>0.09</v>
      </c>
    </row>
    <row r="273" spans="1:27">
      <c r="A273" s="218" t="s">
        <v>2592</v>
      </c>
      <c r="F273" s="219" t="str">
        <f>"""IntAlert Live"",""ALERT UK"",""17"",""1"",""537774"""</f>
        <v>"IntAlert Live","ALERT UK","17","1","537774"</v>
      </c>
      <c r="G273" s="223">
        <v>43921</v>
      </c>
      <c r="H273" s="223"/>
      <c r="I273" s="218" t="str">
        <f>"DRCGOM/ CAISSE/2020/003/003"</f>
        <v>DRCGOM/ CAISSE/2020/003/003</v>
      </c>
      <c r="K273" s="218" t="str">
        <f>"ONEM MARCH 2020"</f>
        <v>ONEM MARCH 2020</v>
      </c>
      <c r="L273" s="218" t="str">
        <f>"ONEM-Jacques Zigabe Buhendwa"</f>
        <v>ONEM-Jacques Zigabe Buhendwa</v>
      </c>
      <c r="M273" s="218" t="str">
        <f t="shared" si="101"/>
        <v>5150</v>
      </c>
      <c r="N273" s="218" t="str">
        <f t="shared" si="102"/>
        <v>EMPLOYMENT RELOCATION COSTS</v>
      </c>
      <c r="O273" s="218" t="str">
        <f t="shared" si="90"/>
        <v>DRCGOM</v>
      </c>
      <c r="P273" s="218" t="str">
        <f t="shared" si="97"/>
        <v>AP21QR</v>
      </c>
      <c r="Q273" s="218" t="str">
        <f>"BUE"</f>
        <v>BUE</v>
      </c>
      <c r="R273" s="218" t="str">
        <f>""</f>
        <v/>
      </c>
      <c r="S273" s="218" t="str">
        <f t="shared" si="98"/>
        <v>057</v>
      </c>
      <c r="T273" s="218" t="str">
        <f t="shared" si="99"/>
        <v>D</v>
      </c>
      <c r="U273" s="218" t="str">
        <f t="shared" si="91"/>
        <v>AFR000</v>
      </c>
      <c r="V273" s="218" t="str">
        <f t="shared" si="92"/>
        <v>###</v>
      </c>
      <c r="W273" s="218">
        <v>0.04</v>
      </c>
      <c r="X273" s="218" t="str">
        <f t="shared" si="100"/>
        <v>USD</v>
      </c>
      <c r="Y273" s="218">
        <v>0.03</v>
      </c>
      <c r="Z273" s="218">
        <v>0.04</v>
      </c>
      <c r="AA273" s="218">
        <v>0.04</v>
      </c>
    </row>
    <row r="274" spans="1:27">
      <c r="A274" s="218" t="s">
        <v>2592</v>
      </c>
      <c r="F274" s="219" t="str">
        <f>"""IntAlert Live"",""ALERT UK"",""17"",""1"",""539862"""</f>
        <v>"IntAlert Live","ALERT UK","17","1","539862"</v>
      </c>
      <c r="G274" s="223">
        <v>43921</v>
      </c>
      <c r="H274" s="223"/>
      <c r="I274" s="218" t="str">
        <f>"DRCBUK/BANK/2020/03/029"</f>
        <v>DRCBUK/BANK/2020/03/029</v>
      </c>
      <c r="K274" s="218" t="str">
        <f>"GEORGINE BAMUNOBA TIBANAGWA"</f>
        <v>GEORGINE BAMUNOBA TIBANAGWA</v>
      </c>
      <c r="L274" s="218" t="str">
        <f>"Salaire Mars20-Georgine BAMUNOBA TIBANAGWA"</f>
        <v>Salaire Mars20-Georgine BAMUNOBA TIBANAGWA</v>
      </c>
      <c r="M274" s="218" t="str">
        <f>"5100"</f>
        <v>5100</v>
      </c>
      <c r="N274" s="218" t="str">
        <f>"BASIC EMPLOYMENT COSTS"</f>
        <v>BASIC EMPLOYMENT COSTS</v>
      </c>
      <c r="O274" s="218" t="str">
        <f t="shared" ref="O274:O299" si="103">"DRCBUK"</f>
        <v>DRCBUK</v>
      </c>
      <c r="P274" s="218" t="str">
        <f t="shared" si="97"/>
        <v>AP21QR</v>
      </c>
      <c r="Q274" s="218" t="str">
        <f>"BAM"</f>
        <v>BAM</v>
      </c>
      <c r="R274" s="218" t="str">
        <f>""</f>
        <v/>
      </c>
      <c r="S274" s="218" t="str">
        <f t="shared" si="98"/>
        <v>057</v>
      </c>
      <c r="T274" s="218" t="str">
        <f t="shared" si="99"/>
        <v>D</v>
      </c>
      <c r="U274" s="218" t="str">
        <f t="shared" si="91"/>
        <v>AFR000</v>
      </c>
      <c r="V274" s="218" t="str">
        <f t="shared" si="92"/>
        <v>###</v>
      </c>
      <c r="W274" s="218">
        <v>61.11</v>
      </c>
      <c r="X274" s="218" t="str">
        <f t="shared" si="100"/>
        <v>USD</v>
      </c>
      <c r="Y274" s="218">
        <v>47.67</v>
      </c>
      <c r="Z274" s="218">
        <v>61.11</v>
      </c>
      <c r="AA274" s="218">
        <v>56.09</v>
      </c>
    </row>
    <row r="275" spans="1:27">
      <c r="A275" s="218" t="s">
        <v>2592</v>
      </c>
      <c r="F275" s="219" t="str">
        <f>"""IntAlert Live"",""ALERT UK"",""17"",""1"",""539871"""</f>
        <v>"IntAlert Live","ALERT UK","17","1","539871"</v>
      </c>
      <c r="G275" s="223">
        <v>43921</v>
      </c>
      <c r="H275" s="223"/>
      <c r="I275" s="218" t="str">
        <f>"DRCBUK/BANK/2020/03/029"</f>
        <v>DRCBUK/BANK/2020/03/029</v>
      </c>
      <c r="K275" s="218" t="str">
        <f>"VERRE KILAURI  BANYWESIZE"</f>
        <v>VERRE KILAURI  BANYWESIZE</v>
      </c>
      <c r="L275" s="218" t="str">
        <f>"Salaire Mars20-Verre KILAURI  BANYWESIZE"</f>
        <v>Salaire Mars20-Verre KILAURI  BANYWESIZE</v>
      </c>
      <c r="M275" s="218" t="str">
        <f>"5100"</f>
        <v>5100</v>
      </c>
      <c r="N275" s="218" t="str">
        <f>"BASIC EMPLOYMENT COSTS"</f>
        <v>BASIC EMPLOYMENT COSTS</v>
      </c>
      <c r="O275" s="218" t="str">
        <f t="shared" si="103"/>
        <v>DRCBUK</v>
      </c>
      <c r="P275" s="218" t="str">
        <f t="shared" si="97"/>
        <v>AP21QR</v>
      </c>
      <c r="Q275" s="218" t="str">
        <f>"KIA"</f>
        <v>KIA</v>
      </c>
      <c r="R275" s="218" t="str">
        <f>""</f>
        <v/>
      </c>
      <c r="S275" s="218" t="str">
        <f t="shared" si="98"/>
        <v>057</v>
      </c>
      <c r="T275" s="218" t="str">
        <f t="shared" si="99"/>
        <v>D</v>
      </c>
      <c r="U275" s="218" t="str">
        <f t="shared" si="91"/>
        <v>AFR000</v>
      </c>
      <c r="V275" s="218" t="str">
        <f t="shared" si="92"/>
        <v>###</v>
      </c>
      <c r="W275" s="218">
        <v>56.1</v>
      </c>
      <c r="X275" s="218" t="str">
        <f t="shared" si="100"/>
        <v>USD</v>
      </c>
      <c r="Y275" s="218">
        <v>43.76</v>
      </c>
      <c r="Z275" s="218">
        <v>56.1</v>
      </c>
      <c r="AA275" s="218">
        <v>51.49</v>
      </c>
    </row>
    <row r="276" spans="1:27">
      <c r="A276" s="218" t="s">
        <v>2592</v>
      </c>
      <c r="F276" s="219" t="str">
        <f>"""IntAlert Live"",""ALERT UK"",""17"",""1"",""539898"""</f>
        <v>"IntAlert Live","ALERT UK","17","1","539898"</v>
      </c>
      <c r="G276" s="223">
        <v>43921</v>
      </c>
      <c r="H276" s="223"/>
      <c r="I276" s="218" t="str">
        <f>"DRCBUK/BANK/2020/03/030"</f>
        <v>DRCBUK/BANK/2020/03/030</v>
      </c>
      <c r="K276" s="218" t="str">
        <f>"DGI SUD-KIVU"</f>
        <v>DGI SUD-KIVU</v>
      </c>
      <c r="L276" s="218" t="str">
        <f>"IPR Mars20-Georgine BAMUNOBA TIBANAGWA"</f>
        <v>IPR Mars20-Georgine BAMUNOBA TIBANAGWA</v>
      </c>
      <c r="M276" s="218" t="str">
        <f>"5100"</f>
        <v>5100</v>
      </c>
      <c r="N276" s="218" t="str">
        <f>"BASIC EMPLOYMENT COSTS"</f>
        <v>BASIC EMPLOYMENT COSTS</v>
      </c>
      <c r="O276" s="218" t="str">
        <f t="shared" si="103"/>
        <v>DRCBUK</v>
      </c>
      <c r="P276" s="218" t="str">
        <f t="shared" si="97"/>
        <v>AP21QR</v>
      </c>
      <c r="Q276" s="218" t="str">
        <f>"BAM"</f>
        <v>BAM</v>
      </c>
      <c r="R276" s="218" t="str">
        <f>""</f>
        <v/>
      </c>
      <c r="S276" s="218" t="str">
        <f t="shared" si="98"/>
        <v>057</v>
      </c>
      <c r="T276" s="218" t="str">
        <f t="shared" si="99"/>
        <v>D</v>
      </c>
      <c r="U276" s="218" t="str">
        <f t="shared" si="91"/>
        <v>AFR000</v>
      </c>
      <c r="V276" s="218" t="str">
        <f t="shared" si="92"/>
        <v>###</v>
      </c>
      <c r="W276" s="218">
        <v>5.49</v>
      </c>
      <c r="X276" s="218" t="str">
        <f t="shared" si="100"/>
        <v>USD</v>
      </c>
      <c r="Y276" s="218">
        <v>4.28</v>
      </c>
      <c r="Z276" s="218">
        <v>5.49</v>
      </c>
      <c r="AA276" s="218">
        <v>5.04</v>
      </c>
    </row>
    <row r="277" spans="1:27">
      <c r="A277" s="218" t="s">
        <v>2592</v>
      </c>
      <c r="F277" s="219" t="str">
        <f>"""IntAlert Live"",""ALERT UK"",""17"",""1"",""539907"""</f>
        <v>"IntAlert Live","ALERT UK","17","1","539907"</v>
      </c>
      <c r="G277" s="223">
        <v>43921</v>
      </c>
      <c r="H277" s="223"/>
      <c r="I277" s="218" t="str">
        <f>"DRCBUK/BANK/2020/03/030"</f>
        <v>DRCBUK/BANK/2020/03/030</v>
      </c>
      <c r="K277" s="218" t="str">
        <f>"DGI SUD-KIVU"</f>
        <v>DGI SUD-KIVU</v>
      </c>
      <c r="L277" s="218" t="str">
        <f>"IPR Mars20-Verre KILAURI  BANYWESIZE"</f>
        <v>IPR Mars20-Verre KILAURI  BANYWESIZE</v>
      </c>
      <c r="M277" s="218" t="str">
        <f>"5100"</f>
        <v>5100</v>
      </c>
      <c r="N277" s="218" t="str">
        <f>"BASIC EMPLOYMENT COSTS"</f>
        <v>BASIC EMPLOYMENT COSTS</v>
      </c>
      <c r="O277" s="218" t="str">
        <f t="shared" si="103"/>
        <v>DRCBUK</v>
      </c>
      <c r="P277" s="218" t="str">
        <f t="shared" si="97"/>
        <v>AP21QR</v>
      </c>
      <c r="Q277" s="218" t="str">
        <f>"KIA"</f>
        <v>KIA</v>
      </c>
      <c r="R277" s="218" t="str">
        <f>""</f>
        <v/>
      </c>
      <c r="S277" s="218" t="str">
        <f t="shared" si="98"/>
        <v>057</v>
      </c>
      <c r="T277" s="218" t="str">
        <f t="shared" si="99"/>
        <v>D</v>
      </c>
      <c r="U277" s="218" t="str">
        <f t="shared" si="91"/>
        <v>AFR000</v>
      </c>
      <c r="V277" s="218" t="str">
        <f t="shared" si="92"/>
        <v>###</v>
      </c>
      <c r="W277" s="218">
        <v>7.35</v>
      </c>
      <c r="X277" s="218" t="str">
        <f t="shared" si="100"/>
        <v>USD</v>
      </c>
      <c r="Y277" s="218">
        <v>5.73</v>
      </c>
      <c r="Z277" s="218">
        <v>7.35</v>
      </c>
      <c r="AA277" s="218">
        <v>6.74</v>
      </c>
    </row>
    <row r="278" spans="1:27">
      <c r="A278" s="218" t="s">
        <v>2592</v>
      </c>
      <c r="F278" s="219" t="str">
        <f>"""IntAlert Live"",""ALERT UK"",""17"",""1"",""539936"""</f>
        <v>"IntAlert Live","ALERT UK","17","1","539936"</v>
      </c>
      <c r="G278" s="223">
        <v>43921</v>
      </c>
      <c r="H278" s="223"/>
      <c r="I278" s="218" t="str">
        <f>"DRCBUK/BANK/2020/03/031"</f>
        <v>DRCBUK/BANK/2020/03/031</v>
      </c>
      <c r="K278" s="218" t="str">
        <f>"CNSS SUD-KIVU"</f>
        <v>CNSS SUD-KIVU</v>
      </c>
      <c r="L278" s="218" t="str">
        <f>"CNSS Mars20-Georgine BAMUNOBA TIBANAGWA"</f>
        <v>CNSS Mars20-Georgine BAMUNOBA TIBANAGWA</v>
      </c>
      <c r="M278" s="218" t="str">
        <f>"5110"</f>
        <v>5110</v>
      </c>
      <c r="N278" s="218" t="str">
        <f>"EMPLOYER'S PENSION COSTS"</f>
        <v>EMPLOYER'S PENSION COSTS</v>
      </c>
      <c r="O278" s="218" t="str">
        <f t="shared" si="103"/>
        <v>DRCBUK</v>
      </c>
      <c r="P278" s="218" t="str">
        <f t="shared" si="97"/>
        <v>AP21QR</v>
      </c>
      <c r="Q278" s="218" t="str">
        <f>"BAM"</f>
        <v>BAM</v>
      </c>
      <c r="R278" s="218" t="str">
        <f>""</f>
        <v/>
      </c>
      <c r="S278" s="218" t="str">
        <f t="shared" si="98"/>
        <v>057</v>
      </c>
      <c r="T278" s="218" t="str">
        <f t="shared" si="99"/>
        <v>D</v>
      </c>
      <c r="U278" s="218" t="str">
        <f t="shared" si="91"/>
        <v>AFR000</v>
      </c>
      <c r="V278" s="218" t="str">
        <f t="shared" si="92"/>
        <v>###</v>
      </c>
      <c r="W278" s="218">
        <v>7.76</v>
      </c>
      <c r="X278" s="218" t="str">
        <f t="shared" si="100"/>
        <v>USD</v>
      </c>
      <c r="Y278" s="218">
        <v>6.05</v>
      </c>
      <c r="Z278" s="218">
        <v>7.76</v>
      </c>
      <c r="AA278" s="218">
        <v>7.12</v>
      </c>
    </row>
    <row r="279" spans="1:27">
      <c r="A279" s="218" t="s">
        <v>2592</v>
      </c>
      <c r="F279" s="219" t="str">
        <f>"""IntAlert Live"",""ALERT UK"",""17"",""1"",""539945"""</f>
        <v>"IntAlert Live","ALERT UK","17","1","539945"</v>
      </c>
      <c r="G279" s="223">
        <v>43921</v>
      </c>
      <c r="H279" s="223"/>
      <c r="I279" s="218" t="str">
        <f>"DRCBUK/BANK/2020/03/031"</f>
        <v>DRCBUK/BANK/2020/03/031</v>
      </c>
      <c r="K279" s="218" t="str">
        <f>"CNSS SUD-KIVU"</f>
        <v>CNSS SUD-KIVU</v>
      </c>
      <c r="L279" s="218" t="str">
        <f>"CNSS Mars20-Verre KILAURI  BANYWESIZE"</f>
        <v>CNSS Mars20-Verre KILAURI  BANYWESIZE</v>
      </c>
      <c r="M279" s="218" t="str">
        <f>"5110"</f>
        <v>5110</v>
      </c>
      <c r="N279" s="218" t="str">
        <f>"EMPLOYER'S PENSION COSTS"</f>
        <v>EMPLOYER'S PENSION COSTS</v>
      </c>
      <c r="O279" s="218" t="str">
        <f t="shared" si="103"/>
        <v>DRCBUK</v>
      </c>
      <c r="P279" s="218" t="str">
        <f t="shared" si="97"/>
        <v>AP21QR</v>
      </c>
      <c r="Q279" s="218" t="str">
        <f>"KIA"</f>
        <v>KIA</v>
      </c>
      <c r="R279" s="218" t="str">
        <f>""</f>
        <v/>
      </c>
      <c r="S279" s="218" t="str">
        <f t="shared" si="98"/>
        <v>057</v>
      </c>
      <c r="T279" s="218" t="str">
        <f t="shared" si="99"/>
        <v>D</v>
      </c>
      <c r="U279" s="218" t="str">
        <f t="shared" si="91"/>
        <v>AFR000</v>
      </c>
      <c r="V279" s="218" t="str">
        <f t="shared" si="92"/>
        <v>###</v>
      </c>
      <c r="W279" s="218">
        <v>8.65</v>
      </c>
      <c r="X279" s="218" t="str">
        <f t="shared" si="100"/>
        <v>USD</v>
      </c>
      <c r="Y279" s="218">
        <v>6.75</v>
      </c>
      <c r="Z279" s="218">
        <v>8.65</v>
      </c>
      <c r="AA279" s="218">
        <v>7.94</v>
      </c>
    </row>
    <row r="280" spans="1:27">
      <c r="A280" s="218" t="s">
        <v>2592</v>
      </c>
      <c r="F280" s="219" t="str">
        <f>"""IntAlert Live"",""ALERT UK"",""17"",""1"",""539973"""</f>
        <v>"IntAlert Live","ALERT UK","17","1","539973"</v>
      </c>
      <c r="G280" s="223">
        <v>43921</v>
      </c>
      <c r="H280" s="223"/>
      <c r="I280" s="218" t="str">
        <f>"DRCBUK/BANK/2020/03/032"</f>
        <v>DRCBUK/BANK/2020/03/032</v>
      </c>
      <c r="K280" s="218" t="str">
        <f>"INPP SUD-KIVU"</f>
        <v>INPP SUD-KIVU</v>
      </c>
      <c r="L280" s="218" t="str">
        <f>"INPP Mars20-Georgine BAMUNOBA TIBANAGWA"</f>
        <v>INPP Mars20-Georgine BAMUNOBA TIBANAGWA</v>
      </c>
      <c r="M280" s="218" t="str">
        <f>"5160"</f>
        <v>5160</v>
      </c>
      <c r="N280" s="218" t="str">
        <f>"EMPLOYMENT BENEFITS COSTS"</f>
        <v>EMPLOYMENT BENEFITS COSTS</v>
      </c>
      <c r="O280" s="218" t="str">
        <f t="shared" si="103"/>
        <v>DRCBUK</v>
      </c>
      <c r="P280" s="218" t="str">
        <f t="shared" si="97"/>
        <v>AP21QR</v>
      </c>
      <c r="Q280" s="218" t="str">
        <f>"BAM"</f>
        <v>BAM</v>
      </c>
      <c r="R280" s="218" t="str">
        <f>""</f>
        <v/>
      </c>
      <c r="S280" s="218" t="str">
        <f t="shared" si="98"/>
        <v>057</v>
      </c>
      <c r="T280" s="218" t="str">
        <f t="shared" si="99"/>
        <v>D</v>
      </c>
      <c r="U280" s="218" t="str">
        <f t="shared" si="91"/>
        <v>AFR000</v>
      </c>
      <c r="V280" s="218" t="str">
        <f t="shared" si="92"/>
        <v>###</v>
      </c>
      <c r="W280" s="218">
        <v>1.29</v>
      </c>
      <c r="X280" s="218" t="str">
        <f t="shared" si="100"/>
        <v>USD</v>
      </c>
      <c r="Y280" s="218">
        <v>1.01</v>
      </c>
      <c r="Z280" s="218">
        <v>1.29</v>
      </c>
      <c r="AA280" s="218">
        <v>1.19</v>
      </c>
    </row>
    <row r="281" spans="1:27">
      <c r="A281" s="218" t="s">
        <v>2592</v>
      </c>
      <c r="F281" s="219" t="str">
        <f>"""IntAlert Live"",""ALERT UK"",""17"",""1"",""539982"""</f>
        <v>"IntAlert Live","ALERT UK","17","1","539982"</v>
      </c>
      <c r="G281" s="223">
        <v>43921</v>
      </c>
      <c r="H281" s="223"/>
      <c r="I281" s="218" t="str">
        <f>"DRCBUK/BANK/2020/03/032"</f>
        <v>DRCBUK/BANK/2020/03/032</v>
      </c>
      <c r="K281" s="218" t="str">
        <f>"INPP SUD-KIVU"</f>
        <v>INPP SUD-KIVU</v>
      </c>
      <c r="L281" s="218" t="str">
        <f>"INPP Mars20-Verre KILAURI  BANYWESIZE"</f>
        <v>INPP Mars20-Verre KILAURI  BANYWESIZE</v>
      </c>
      <c r="M281" s="218" t="str">
        <f>"5160"</f>
        <v>5160</v>
      </c>
      <c r="N281" s="218" t="str">
        <f>"EMPLOYMENT BENEFITS COSTS"</f>
        <v>EMPLOYMENT BENEFITS COSTS</v>
      </c>
      <c r="O281" s="218" t="str">
        <f t="shared" si="103"/>
        <v>DRCBUK</v>
      </c>
      <c r="P281" s="218" t="str">
        <f t="shared" si="97"/>
        <v>AP21QR</v>
      </c>
      <c r="Q281" s="218" t="str">
        <f>"KIA"</f>
        <v>KIA</v>
      </c>
      <c r="R281" s="218" t="str">
        <f>""</f>
        <v/>
      </c>
      <c r="S281" s="218" t="str">
        <f t="shared" si="98"/>
        <v>057</v>
      </c>
      <c r="T281" s="218" t="str">
        <f t="shared" si="99"/>
        <v>D</v>
      </c>
      <c r="U281" s="218" t="str">
        <f t="shared" si="91"/>
        <v>AFR000</v>
      </c>
      <c r="V281" s="218" t="str">
        <f t="shared" si="92"/>
        <v>###</v>
      </c>
      <c r="W281" s="218">
        <v>1.44</v>
      </c>
      <c r="X281" s="218" t="str">
        <f t="shared" si="100"/>
        <v>USD</v>
      </c>
      <c r="Y281" s="218">
        <v>1.1200000000000001</v>
      </c>
      <c r="Z281" s="218">
        <v>1.44</v>
      </c>
      <c r="AA281" s="218">
        <v>1.32</v>
      </c>
    </row>
    <row r="282" spans="1:27">
      <c r="A282" s="218" t="s">
        <v>2592</v>
      </c>
      <c r="F282" s="219" t="str">
        <f>"""IntAlert Live"",""ALERT UK"",""17"",""1"",""516884"""</f>
        <v>"IntAlert Live","ALERT UK","17","1","516884"</v>
      </c>
      <c r="G282" s="223">
        <v>43844</v>
      </c>
      <c r="H282" s="223"/>
      <c r="I282" s="218" t="str">
        <f>"DRCBUK/BANK/2020/01/010"</f>
        <v>DRCBUK/BANK/2020/01/010</v>
      </c>
      <c r="K282" s="218" t="str">
        <f>"HOPITAL DE PANZI"</f>
        <v>HOPITAL DE PANZI</v>
      </c>
      <c r="L282" s="218" t="str">
        <f>"Soins med BAFAKUKURA Décembre'19 5%"</f>
        <v>Soins med BAFAKUKURA Décembre'19 5%</v>
      </c>
      <c r="M282" s="218" t="str">
        <f t="shared" ref="M282:M308" si="104">"5140"</f>
        <v>5140</v>
      </c>
      <c r="N282" s="218" t="str">
        <f t="shared" ref="N282:N308" si="105">"EMPLOYMENT MEDICAL COSTS"</f>
        <v>EMPLOYMENT MEDICAL COSTS</v>
      </c>
      <c r="O282" s="218" t="str">
        <f t="shared" si="103"/>
        <v>DRCBUK</v>
      </c>
      <c r="P282" s="218" t="str">
        <f t="shared" si="97"/>
        <v>AP21QR</v>
      </c>
      <c r="Q282" s="218" t="str">
        <f>"BAF"</f>
        <v>BAF</v>
      </c>
      <c r="R282" s="218" t="str">
        <f>""</f>
        <v/>
      </c>
      <c r="S282" s="218" t="str">
        <f t="shared" ref="S282:S308" si="106">"058"</f>
        <v>058</v>
      </c>
      <c r="T282" s="218" t="str">
        <f t="shared" si="99"/>
        <v>D</v>
      </c>
      <c r="U282" s="218" t="str">
        <f t="shared" si="91"/>
        <v>AFR000</v>
      </c>
      <c r="V282" s="218" t="str">
        <f t="shared" si="92"/>
        <v>###</v>
      </c>
      <c r="W282" s="218">
        <v>24.24</v>
      </c>
      <c r="X282" s="218" t="str">
        <f t="shared" si="100"/>
        <v>USD</v>
      </c>
      <c r="Y282" s="218">
        <v>18.27</v>
      </c>
      <c r="Z282" s="218">
        <v>24.24</v>
      </c>
      <c r="AA282" s="218">
        <v>21.44</v>
      </c>
    </row>
    <row r="283" spans="1:27">
      <c r="A283" s="218" t="s">
        <v>2592</v>
      </c>
      <c r="F283" s="219" t="str">
        <f>"""IntAlert Live"",""ALERT UK"",""17"",""1"",""516888"""</f>
        <v>"IntAlert Live","ALERT UK","17","1","516888"</v>
      </c>
      <c r="G283" s="223">
        <v>43844</v>
      </c>
      <c r="H283" s="223"/>
      <c r="I283" s="218" t="str">
        <f>"DRCBUK/BANK/2020/01/010"</f>
        <v>DRCBUK/BANK/2020/01/010</v>
      </c>
      <c r="K283" s="218" t="str">
        <f>"HOPITAL DE PANZI"</f>
        <v>HOPITAL DE PANZI</v>
      </c>
      <c r="L283" s="218" t="str">
        <f>"Soins Méd-KILAURI Verre-Décembre  '19 10%"</f>
        <v>Soins Méd-KILAURI Verre-Décembre  '19 10%</v>
      </c>
      <c r="M283" s="218" t="str">
        <f t="shared" si="104"/>
        <v>5140</v>
      </c>
      <c r="N283" s="218" t="str">
        <f t="shared" si="105"/>
        <v>EMPLOYMENT MEDICAL COSTS</v>
      </c>
      <c r="O283" s="218" t="str">
        <f t="shared" si="103"/>
        <v>DRCBUK</v>
      </c>
      <c r="P283" s="218" t="str">
        <f t="shared" si="97"/>
        <v>AP21QR</v>
      </c>
      <c r="Q283" s="218" t="str">
        <f>"KIA"</f>
        <v>KIA</v>
      </c>
      <c r="R283" s="218" t="str">
        <f>""</f>
        <v/>
      </c>
      <c r="S283" s="218" t="str">
        <f t="shared" si="106"/>
        <v>058</v>
      </c>
      <c r="T283" s="218" t="str">
        <f t="shared" si="99"/>
        <v>D</v>
      </c>
      <c r="U283" s="218" t="str">
        <f t="shared" si="91"/>
        <v>AFR000</v>
      </c>
      <c r="V283" s="218" t="str">
        <f t="shared" si="92"/>
        <v>###</v>
      </c>
      <c r="W283" s="218">
        <v>3.57</v>
      </c>
      <c r="X283" s="218" t="str">
        <f t="shared" si="100"/>
        <v>USD</v>
      </c>
      <c r="Y283" s="218">
        <v>2.69</v>
      </c>
      <c r="Z283" s="218">
        <v>3.57</v>
      </c>
      <c r="AA283" s="218">
        <v>3.16</v>
      </c>
    </row>
    <row r="284" spans="1:27">
      <c r="A284" s="218" t="s">
        <v>2592</v>
      </c>
      <c r="F284" s="219" t="str">
        <f>"""IntAlert Live"",""ALERT UK"",""17"",""1"",""516894"""</f>
        <v>"IntAlert Live","ALERT UK","17","1","516894"</v>
      </c>
      <c r="G284" s="223">
        <v>43859</v>
      </c>
      <c r="H284" s="223"/>
      <c r="I284" s="218" t="str">
        <f>"DRCBUK/BANK/2020/01/011"</f>
        <v>DRCBUK/BANK/2020/01/011</v>
      </c>
      <c r="K284" s="218" t="str">
        <f>"SKYBORNE HOSPITAL"</f>
        <v>SKYBORNE HOSPITAL</v>
      </c>
      <c r="L284" s="218" t="str">
        <f>"Soins Med Mutokambali Christian Déc'19 30%"</f>
        <v>Soins Med Mutokambali Christian Déc'19 30%</v>
      </c>
      <c r="M284" s="218" t="str">
        <f t="shared" si="104"/>
        <v>5140</v>
      </c>
      <c r="N284" s="218" t="str">
        <f t="shared" si="105"/>
        <v>EMPLOYMENT MEDICAL COSTS</v>
      </c>
      <c r="O284" s="218" t="str">
        <f t="shared" si="103"/>
        <v>DRCBUK</v>
      </c>
      <c r="P284" s="218" t="str">
        <f t="shared" si="97"/>
        <v>AP21QR</v>
      </c>
      <c r="Q284" s="218" t="str">
        <f>"MBO"</f>
        <v>MBO</v>
      </c>
      <c r="R284" s="218" t="str">
        <f>""</f>
        <v/>
      </c>
      <c r="S284" s="218" t="str">
        <f t="shared" si="106"/>
        <v>058</v>
      </c>
      <c r="T284" s="218" t="str">
        <f t="shared" si="99"/>
        <v>D</v>
      </c>
      <c r="U284" s="218" t="str">
        <f t="shared" si="91"/>
        <v>AFR000</v>
      </c>
      <c r="V284" s="218" t="str">
        <f t="shared" si="92"/>
        <v>###</v>
      </c>
      <c r="W284" s="218">
        <v>42.85</v>
      </c>
      <c r="X284" s="218" t="str">
        <f t="shared" si="100"/>
        <v>USD</v>
      </c>
      <c r="Y284" s="218">
        <v>32.299999999999997</v>
      </c>
      <c r="Z284" s="218">
        <v>42.85</v>
      </c>
      <c r="AA284" s="218">
        <v>37.909999999999997</v>
      </c>
    </row>
    <row r="285" spans="1:27">
      <c r="A285" s="218" t="s">
        <v>2592</v>
      </c>
      <c r="F285" s="219" t="str">
        <f>"""IntAlert Live"",""ALERT UK"",""17"",""1"",""516900"""</f>
        <v>"IntAlert Live","ALERT UK","17","1","516900"</v>
      </c>
      <c r="G285" s="223">
        <v>43859</v>
      </c>
      <c r="H285" s="223"/>
      <c r="I285" s="218" t="str">
        <f>"DRCBUK/BANK/2020/01/011"</f>
        <v>DRCBUK/BANK/2020/01/011</v>
      </c>
      <c r="K285" s="218" t="str">
        <f>"SKYBORNE HOSPITAL"</f>
        <v>SKYBORNE HOSPITAL</v>
      </c>
      <c r="L285" s="218" t="str">
        <f>"Soins Med BARNABE -Déc'19 5%"</f>
        <v>Soins Med BARNABE -Déc'19 5%</v>
      </c>
      <c r="M285" s="218" t="str">
        <f t="shared" si="104"/>
        <v>5140</v>
      </c>
      <c r="N285" s="218" t="str">
        <f t="shared" si="105"/>
        <v>EMPLOYMENT MEDICAL COSTS</v>
      </c>
      <c r="O285" s="218" t="str">
        <f t="shared" si="103"/>
        <v>DRCBUK</v>
      </c>
      <c r="P285" s="218" t="str">
        <f t="shared" si="97"/>
        <v>AP21QR</v>
      </c>
      <c r="Q285" s="218" t="str">
        <f>"BRB"</f>
        <v>BRB</v>
      </c>
      <c r="R285" s="218" t="str">
        <f>""</f>
        <v/>
      </c>
      <c r="S285" s="218" t="str">
        <f t="shared" si="106"/>
        <v>058</v>
      </c>
      <c r="T285" s="218" t="str">
        <f t="shared" si="99"/>
        <v>D</v>
      </c>
      <c r="U285" s="218" t="str">
        <f t="shared" ref="U285:U316" si="107">"AFR000"</f>
        <v>AFR000</v>
      </c>
      <c r="V285" s="218" t="str">
        <f t="shared" si="92"/>
        <v>###</v>
      </c>
      <c r="W285" s="218">
        <v>6.15</v>
      </c>
      <c r="X285" s="218" t="str">
        <f t="shared" si="100"/>
        <v>USD</v>
      </c>
      <c r="Y285" s="218">
        <v>4.6399999999999997</v>
      </c>
      <c r="Z285" s="218">
        <v>6.15</v>
      </c>
      <c r="AA285" s="218">
        <v>5.45</v>
      </c>
    </row>
    <row r="286" spans="1:27">
      <c r="A286" s="218" t="s">
        <v>2592</v>
      </c>
      <c r="F286" s="219" t="str">
        <f>"""IntAlert Live"",""ALERT UK"",""17"",""1"",""516907"""</f>
        <v>"IntAlert Live","ALERT UK","17","1","516907"</v>
      </c>
      <c r="G286" s="223">
        <v>43859</v>
      </c>
      <c r="H286" s="223"/>
      <c r="I286" s="218" t="str">
        <f>"DRCBUK/BANK/2020/01/011"</f>
        <v>DRCBUK/BANK/2020/01/011</v>
      </c>
      <c r="K286" s="218" t="str">
        <f>"SKYBORNE HOSPITAL"</f>
        <v>SKYBORNE HOSPITAL</v>
      </c>
      <c r="L286" s="218" t="str">
        <f>"Soins Méd-CISHIBANJI-Déc'19 2%"</f>
        <v>Soins Méd-CISHIBANJI-Déc'19 2%</v>
      </c>
      <c r="M286" s="218" t="str">
        <f t="shared" si="104"/>
        <v>5140</v>
      </c>
      <c r="N286" s="218" t="str">
        <f t="shared" si="105"/>
        <v>EMPLOYMENT MEDICAL COSTS</v>
      </c>
      <c r="O286" s="218" t="str">
        <f t="shared" si="103"/>
        <v>DRCBUK</v>
      </c>
      <c r="P286" s="218" t="str">
        <f t="shared" si="97"/>
        <v>AP21QR</v>
      </c>
      <c r="Q286" s="218" t="str">
        <f>"CCI"</f>
        <v>CCI</v>
      </c>
      <c r="R286" s="218" t="str">
        <f>""</f>
        <v/>
      </c>
      <c r="S286" s="218" t="str">
        <f t="shared" si="106"/>
        <v>058</v>
      </c>
      <c r="T286" s="218" t="str">
        <f t="shared" si="99"/>
        <v>D</v>
      </c>
      <c r="U286" s="218" t="str">
        <f t="shared" si="107"/>
        <v>AFR000</v>
      </c>
      <c r="V286" s="218" t="str">
        <f t="shared" si="92"/>
        <v>###</v>
      </c>
      <c r="W286" s="218">
        <v>3.8</v>
      </c>
      <c r="X286" s="218" t="str">
        <f t="shared" si="100"/>
        <v>USD</v>
      </c>
      <c r="Y286" s="218">
        <v>2.86</v>
      </c>
      <c r="Z286" s="218">
        <v>3.8</v>
      </c>
      <c r="AA286" s="218">
        <v>3.36</v>
      </c>
    </row>
    <row r="287" spans="1:27">
      <c r="A287" s="218" t="s">
        <v>2592</v>
      </c>
      <c r="F287" s="219" t="str">
        <f>"""IntAlert Live"",""ALERT UK"",""17"",""1"",""516910"""</f>
        <v>"IntAlert Live","ALERT UK","17","1","516910"</v>
      </c>
      <c r="G287" s="223">
        <v>43859</v>
      </c>
      <c r="H287" s="223"/>
      <c r="I287" s="218" t="str">
        <f>"DRCBUK/BANK/2020/01/011"</f>
        <v>DRCBUK/BANK/2020/01/011</v>
      </c>
      <c r="K287" s="218" t="str">
        <f>"SKYBORNE HOSPITAL"</f>
        <v>SKYBORNE HOSPITAL</v>
      </c>
      <c r="L287" s="218" t="str">
        <f>"Soins Méd-BASHWERA Michel-Déc'19 10%"</f>
        <v>Soins Méd-BASHWERA Michel-Déc'19 10%</v>
      </c>
      <c r="M287" s="218" t="str">
        <f t="shared" si="104"/>
        <v>5140</v>
      </c>
      <c r="N287" s="218" t="str">
        <f t="shared" si="105"/>
        <v>EMPLOYMENT MEDICAL COSTS</v>
      </c>
      <c r="O287" s="218" t="str">
        <f t="shared" si="103"/>
        <v>DRCBUK</v>
      </c>
      <c r="P287" s="218" t="str">
        <f t="shared" si="97"/>
        <v>AP21QR</v>
      </c>
      <c r="Q287" s="218" t="str">
        <f>"MRI"</f>
        <v>MRI</v>
      </c>
      <c r="R287" s="218" t="str">
        <f>""</f>
        <v/>
      </c>
      <c r="S287" s="218" t="str">
        <f t="shared" si="106"/>
        <v>058</v>
      </c>
      <c r="T287" s="218" t="str">
        <f t="shared" si="99"/>
        <v>D</v>
      </c>
      <c r="U287" s="218" t="str">
        <f t="shared" si="107"/>
        <v>AFR000</v>
      </c>
      <c r="V287" s="218" t="str">
        <f t="shared" si="92"/>
        <v>###</v>
      </c>
      <c r="W287" s="218">
        <v>64.459999999999994</v>
      </c>
      <c r="X287" s="218" t="str">
        <f t="shared" si="100"/>
        <v>USD</v>
      </c>
      <c r="Y287" s="218">
        <v>48.58</v>
      </c>
      <c r="Z287" s="218">
        <v>64.459999999999994</v>
      </c>
      <c r="AA287" s="218">
        <v>57.01</v>
      </c>
    </row>
    <row r="288" spans="1:27">
      <c r="A288" s="218" t="s">
        <v>2592</v>
      </c>
      <c r="F288" s="219" t="str">
        <f>"""IntAlert Live"",""ALERT UK"",""17"",""1"",""516914"""</f>
        <v>"IntAlert Live","ALERT UK","17","1","516914"</v>
      </c>
      <c r="G288" s="223">
        <v>43859</v>
      </c>
      <c r="H288" s="223"/>
      <c r="I288" s="218" t="str">
        <f>"DRCBUK/BANK/2020/01/011"</f>
        <v>DRCBUK/BANK/2020/01/011</v>
      </c>
      <c r="K288" s="218" t="str">
        <f>"SKYBORNE HOSPITAL"</f>
        <v>SKYBORNE HOSPITAL</v>
      </c>
      <c r="L288" s="218" t="str">
        <f>"Soins Med Papson Nyamushala-Déc 019 100%"</f>
        <v>Soins Med Papson Nyamushala-Déc 019 100%</v>
      </c>
      <c r="M288" s="218" t="str">
        <f t="shared" si="104"/>
        <v>5140</v>
      </c>
      <c r="N288" s="218" t="str">
        <f t="shared" si="105"/>
        <v>EMPLOYMENT MEDICAL COSTS</v>
      </c>
      <c r="O288" s="218" t="str">
        <f t="shared" si="103"/>
        <v>DRCBUK</v>
      </c>
      <c r="P288" s="218" t="str">
        <f t="shared" si="97"/>
        <v>AP21QR</v>
      </c>
      <c r="Q288" s="218" t="str">
        <f>"MWA"</f>
        <v>MWA</v>
      </c>
      <c r="R288" s="218" t="str">
        <f>""</f>
        <v/>
      </c>
      <c r="S288" s="218" t="str">
        <f t="shared" si="106"/>
        <v>058</v>
      </c>
      <c r="T288" s="218" t="str">
        <f t="shared" si="99"/>
        <v>D</v>
      </c>
      <c r="U288" s="218" t="str">
        <f t="shared" si="107"/>
        <v>AFR000</v>
      </c>
      <c r="V288" s="218" t="str">
        <f t="shared" si="92"/>
        <v>###</v>
      </c>
      <c r="W288" s="218">
        <v>199.5</v>
      </c>
      <c r="X288" s="218" t="str">
        <f t="shared" si="100"/>
        <v>USD</v>
      </c>
      <c r="Y288" s="218">
        <v>150.37</v>
      </c>
      <c r="Z288" s="218">
        <v>199.5</v>
      </c>
      <c r="AA288" s="218">
        <v>176.47</v>
      </c>
    </row>
    <row r="289" spans="1:27">
      <c r="A289" s="218" t="s">
        <v>2592</v>
      </c>
      <c r="F289" s="219" t="str">
        <f>"""IntAlert Live"",""ALERT UK"",""17"",""1"",""532335"""</f>
        <v>"IntAlert Live","ALERT UK","17","1","532335"</v>
      </c>
      <c r="G289" s="223">
        <v>43886</v>
      </c>
      <c r="H289" s="223"/>
      <c r="I289" s="218" t="str">
        <f>"DRCBUK/BANK/2020/02/021"</f>
        <v>DRCBUK/BANK/2020/02/021</v>
      </c>
      <c r="K289" s="218" t="str">
        <f>"HOPITAL DE PANZI"</f>
        <v>HOPITAL DE PANZI</v>
      </c>
      <c r="L289" s="218" t="str">
        <f>"Soins Med Michel Mirindi -Janv'020"</f>
        <v>Soins Med Michel Mirindi -Janv'020</v>
      </c>
      <c r="M289" s="218" t="str">
        <f t="shared" si="104"/>
        <v>5140</v>
      </c>
      <c r="N289" s="218" t="str">
        <f t="shared" si="105"/>
        <v>EMPLOYMENT MEDICAL COSTS</v>
      </c>
      <c r="O289" s="218" t="str">
        <f t="shared" si="103"/>
        <v>DRCBUK</v>
      </c>
      <c r="P289" s="218" t="str">
        <f t="shared" si="97"/>
        <v>AP21QR</v>
      </c>
      <c r="Q289" s="218" t="str">
        <f>"MRI"</f>
        <v>MRI</v>
      </c>
      <c r="R289" s="218" t="str">
        <f>""</f>
        <v/>
      </c>
      <c r="S289" s="218" t="str">
        <f t="shared" si="106"/>
        <v>058</v>
      </c>
      <c r="T289" s="218" t="str">
        <f t="shared" si="99"/>
        <v>D</v>
      </c>
      <c r="U289" s="218" t="str">
        <f t="shared" si="107"/>
        <v>AFR000</v>
      </c>
      <c r="V289" s="218" t="str">
        <f t="shared" si="92"/>
        <v>###</v>
      </c>
      <c r="W289" s="218">
        <v>223.16</v>
      </c>
      <c r="X289" s="218" t="str">
        <f t="shared" si="100"/>
        <v>USD</v>
      </c>
      <c r="Y289" s="218">
        <v>169.15</v>
      </c>
      <c r="Z289" s="218">
        <v>223.16</v>
      </c>
      <c r="AA289" s="218">
        <v>200.93</v>
      </c>
    </row>
    <row r="290" spans="1:27">
      <c r="A290" s="218" t="s">
        <v>2592</v>
      </c>
      <c r="F290" s="219" t="str">
        <f>"""IntAlert Live"",""ALERT UK"",""17"",""1"",""532340"""</f>
        <v>"IntAlert Live","ALERT UK","17","1","532340"</v>
      </c>
      <c r="G290" s="223">
        <v>43886</v>
      </c>
      <c r="H290" s="223"/>
      <c r="I290" s="218" t="str">
        <f>"DRCBUK/BANK/2020/02/021"</f>
        <v>DRCBUK/BANK/2020/02/021</v>
      </c>
      <c r="K290" s="218" t="str">
        <f>"HOPITAL DE PANZI"</f>
        <v>HOPITAL DE PANZI</v>
      </c>
      <c r="L290" s="218" t="str">
        <f>"Soins Med  Daniel Mwendanga-Janv 020"</f>
        <v>Soins Med  Daniel Mwendanga-Janv 020</v>
      </c>
      <c r="M290" s="218" t="str">
        <f t="shared" si="104"/>
        <v>5140</v>
      </c>
      <c r="N290" s="218" t="str">
        <f t="shared" si="105"/>
        <v>EMPLOYMENT MEDICAL COSTS</v>
      </c>
      <c r="O290" s="218" t="str">
        <f t="shared" si="103"/>
        <v>DRCBUK</v>
      </c>
      <c r="P290" s="218" t="str">
        <f t="shared" si="97"/>
        <v>AP21QR</v>
      </c>
      <c r="Q290" s="218" t="str">
        <f>"MWN"</f>
        <v>MWN</v>
      </c>
      <c r="R290" s="218" t="str">
        <f>""</f>
        <v/>
      </c>
      <c r="S290" s="218" t="str">
        <f t="shared" si="106"/>
        <v>058</v>
      </c>
      <c r="T290" s="218" t="str">
        <f t="shared" si="99"/>
        <v>D</v>
      </c>
      <c r="U290" s="218" t="str">
        <f t="shared" si="107"/>
        <v>AFR000</v>
      </c>
      <c r="V290" s="218" t="str">
        <f t="shared" si="92"/>
        <v>###</v>
      </c>
      <c r="W290" s="218">
        <v>55.29</v>
      </c>
      <c r="X290" s="218" t="str">
        <f t="shared" si="100"/>
        <v>USD</v>
      </c>
      <c r="Y290" s="218">
        <v>41.91</v>
      </c>
      <c r="Z290" s="218">
        <v>55.29</v>
      </c>
      <c r="AA290" s="218">
        <v>49.78</v>
      </c>
    </row>
    <row r="291" spans="1:27">
      <c r="A291" s="218" t="s">
        <v>2592</v>
      </c>
      <c r="F291" s="219" t="str">
        <f>"""IntAlert Live"",""ALERT UK"",""17"",""1"",""532345"""</f>
        <v>"IntAlert Live","ALERT UK","17","1","532345"</v>
      </c>
      <c r="G291" s="223">
        <v>43886</v>
      </c>
      <c r="H291" s="223"/>
      <c r="I291" s="218" t="str">
        <f t="shared" ref="I291:I299" si="108">"DRCBUK/BANK/2020/02/022"</f>
        <v>DRCBUK/BANK/2020/02/022</v>
      </c>
      <c r="K291" s="218" t="str">
        <f t="shared" ref="K291:K299" si="109">"SKYBORNE HOSPITAL"</f>
        <v>SKYBORNE HOSPITAL</v>
      </c>
      <c r="L291" s="218" t="str">
        <f>"Soins Med Mutokambali Christian Janv '020"</f>
        <v>Soins Med Mutokambali Christian Janv '020</v>
      </c>
      <c r="M291" s="218" t="str">
        <f t="shared" si="104"/>
        <v>5140</v>
      </c>
      <c r="N291" s="218" t="str">
        <f t="shared" si="105"/>
        <v>EMPLOYMENT MEDICAL COSTS</v>
      </c>
      <c r="O291" s="218" t="str">
        <f t="shared" si="103"/>
        <v>DRCBUK</v>
      </c>
      <c r="P291" s="218" t="str">
        <f t="shared" si="97"/>
        <v>AP21QR</v>
      </c>
      <c r="Q291" s="218" t="str">
        <f>"MBO"</f>
        <v>MBO</v>
      </c>
      <c r="R291" s="218" t="str">
        <f>""</f>
        <v/>
      </c>
      <c r="S291" s="218" t="str">
        <f t="shared" si="106"/>
        <v>058</v>
      </c>
      <c r="T291" s="218" t="str">
        <f t="shared" si="99"/>
        <v>D</v>
      </c>
      <c r="U291" s="218" t="str">
        <f t="shared" si="107"/>
        <v>AFR000</v>
      </c>
      <c r="V291" s="218" t="str">
        <f t="shared" si="92"/>
        <v>###</v>
      </c>
      <c r="W291" s="218">
        <v>120.82</v>
      </c>
      <c r="X291" s="218" t="str">
        <f t="shared" si="100"/>
        <v>USD</v>
      </c>
      <c r="Y291" s="218">
        <v>91.58</v>
      </c>
      <c r="Z291" s="218">
        <v>120.82</v>
      </c>
      <c r="AA291" s="218">
        <v>108.79</v>
      </c>
    </row>
    <row r="292" spans="1:27">
      <c r="A292" s="218" t="s">
        <v>2592</v>
      </c>
      <c r="F292" s="219" t="str">
        <f>"""IntAlert Live"",""ALERT UK"",""17"",""1"",""532352"""</f>
        <v>"IntAlert Live","ALERT UK","17","1","532352"</v>
      </c>
      <c r="G292" s="223">
        <v>43886</v>
      </c>
      <c r="H292" s="223"/>
      <c r="I292" s="218" t="str">
        <f t="shared" si="108"/>
        <v>DRCBUK/BANK/2020/02/022</v>
      </c>
      <c r="K292" s="218" t="str">
        <f t="shared" si="109"/>
        <v>SKYBORNE HOSPITAL</v>
      </c>
      <c r="L292" s="218" t="str">
        <f>"Soins Med BARNABE -Janv  '020"</f>
        <v>Soins Med BARNABE -Janv  '020</v>
      </c>
      <c r="M292" s="218" t="str">
        <f t="shared" si="104"/>
        <v>5140</v>
      </c>
      <c r="N292" s="218" t="str">
        <f t="shared" si="105"/>
        <v>EMPLOYMENT MEDICAL COSTS</v>
      </c>
      <c r="O292" s="218" t="str">
        <f t="shared" si="103"/>
        <v>DRCBUK</v>
      </c>
      <c r="P292" s="218" t="str">
        <f t="shared" si="97"/>
        <v>AP21QR</v>
      </c>
      <c r="Q292" s="218" t="str">
        <f>"BRB"</f>
        <v>BRB</v>
      </c>
      <c r="R292" s="218" t="str">
        <f>""</f>
        <v/>
      </c>
      <c r="S292" s="218" t="str">
        <f t="shared" si="106"/>
        <v>058</v>
      </c>
      <c r="T292" s="218" t="str">
        <f t="shared" si="99"/>
        <v>D</v>
      </c>
      <c r="U292" s="218" t="str">
        <f t="shared" si="107"/>
        <v>AFR000</v>
      </c>
      <c r="V292" s="218" t="str">
        <f t="shared" si="92"/>
        <v>###</v>
      </c>
      <c r="W292" s="218">
        <v>4.28</v>
      </c>
      <c r="X292" s="218" t="str">
        <f t="shared" si="100"/>
        <v>USD</v>
      </c>
      <c r="Y292" s="218">
        <v>3.24</v>
      </c>
      <c r="Z292" s="218">
        <v>4.28</v>
      </c>
      <c r="AA292" s="218">
        <v>3.85</v>
      </c>
    </row>
    <row r="293" spans="1:27">
      <c r="A293" s="218" t="s">
        <v>2592</v>
      </c>
      <c r="F293" s="219" t="str">
        <f>"""IntAlert Live"",""ALERT UK"",""17"",""1"",""532357"""</f>
        <v>"IntAlert Live","ALERT UK","17","1","532357"</v>
      </c>
      <c r="G293" s="223">
        <v>43886</v>
      </c>
      <c r="H293" s="223"/>
      <c r="I293" s="218" t="str">
        <f t="shared" si="108"/>
        <v>DRCBUK/BANK/2020/02/022</v>
      </c>
      <c r="K293" s="218" t="str">
        <f t="shared" si="109"/>
        <v>SKYBORNE HOSPITAL</v>
      </c>
      <c r="L293" s="218" t="str">
        <f>"Soins Méd-CISHIBANJI-Janv  '020"</f>
        <v>Soins Méd-CISHIBANJI-Janv  '020</v>
      </c>
      <c r="M293" s="218" t="str">
        <f t="shared" si="104"/>
        <v>5140</v>
      </c>
      <c r="N293" s="218" t="str">
        <f t="shared" si="105"/>
        <v>EMPLOYMENT MEDICAL COSTS</v>
      </c>
      <c r="O293" s="218" t="str">
        <f t="shared" si="103"/>
        <v>DRCBUK</v>
      </c>
      <c r="P293" s="218" t="str">
        <f t="shared" si="97"/>
        <v>AP21QR</v>
      </c>
      <c r="Q293" s="218" t="str">
        <f>"CCI"</f>
        <v>CCI</v>
      </c>
      <c r="R293" s="218" t="str">
        <f>""</f>
        <v/>
      </c>
      <c r="S293" s="218" t="str">
        <f t="shared" si="106"/>
        <v>058</v>
      </c>
      <c r="T293" s="218" t="str">
        <f t="shared" si="99"/>
        <v>D</v>
      </c>
      <c r="U293" s="218" t="str">
        <f t="shared" si="107"/>
        <v>AFR000</v>
      </c>
      <c r="V293" s="218" t="str">
        <f t="shared" si="92"/>
        <v>###</v>
      </c>
      <c r="W293" s="218">
        <v>13.25</v>
      </c>
      <c r="X293" s="218" t="str">
        <f t="shared" si="100"/>
        <v>USD</v>
      </c>
      <c r="Y293" s="218">
        <v>10.039999999999999</v>
      </c>
      <c r="Z293" s="218">
        <v>13.25</v>
      </c>
      <c r="AA293" s="218">
        <v>11.93</v>
      </c>
    </row>
    <row r="294" spans="1:27">
      <c r="A294" s="218" t="s">
        <v>2592</v>
      </c>
      <c r="F294" s="219" t="str">
        <f>"""IntAlert Live"",""ALERT UK"",""17"",""1"",""532360"""</f>
        <v>"IntAlert Live","ALERT UK","17","1","532360"</v>
      </c>
      <c r="G294" s="223">
        <v>43886</v>
      </c>
      <c r="H294" s="223"/>
      <c r="I294" s="218" t="str">
        <f t="shared" si="108"/>
        <v>DRCBUK/BANK/2020/02/022</v>
      </c>
      <c r="K294" s="218" t="str">
        <f t="shared" si="109"/>
        <v>SKYBORNE HOSPITAL</v>
      </c>
      <c r="L294" s="218" t="str">
        <f>"Soins Méd-BASHWERA Michel-Janv '020"</f>
        <v>Soins Méd-BASHWERA Michel-Janv '020</v>
      </c>
      <c r="M294" s="218" t="str">
        <f t="shared" si="104"/>
        <v>5140</v>
      </c>
      <c r="N294" s="218" t="str">
        <f t="shared" si="105"/>
        <v>EMPLOYMENT MEDICAL COSTS</v>
      </c>
      <c r="O294" s="218" t="str">
        <f t="shared" si="103"/>
        <v>DRCBUK</v>
      </c>
      <c r="P294" s="218" t="str">
        <f t="shared" si="97"/>
        <v>AP21QR</v>
      </c>
      <c r="Q294" s="218" t="str">
        <f>"MRI"</f>
        <v>MRI</v>
      </c>
      <c r="R294" s="218" t="str">
        <f>""</f>
        <v/>
      </c>
      <c r="S294" s="218" t="str">
        <f t="shared" si="106"/>
        <v>058</v>
      </c>
      <c r="T294" s="218" t="str">
        <f t="shared" si="99"/>
        <v>D</v>
      </c>
      <c r="U294" s="218" t="str">
        <f t="shared" si="107"/>
        <v>AFR000</v>
      </c>
      <c r="V294" s="218" t="str">
        <f t="shared" si="92"/>
        <v>###</v>
      </c>
      <c r="W294" s="218">
        <v>25.21</v>
      </c>
      <c r="X294" s="218" t="str">
        <f t="shared" si="100"/>
        <v>USD</v>
      </c>
      <c r="Y294" s="218">
        <v>19.11</v>
      </c>
      <c r="Z294" s="218">
        <v>25.21</v>
      </c>
      <c r="AA294" s="218">
        <v>22.7</v>
      </c>
    </row>
    <row r="295" spans="1:27">
      <c r="A295" s="218" t="s">
        <v>2592</v>
      </c>
      <c r="F295" s="219" t="str">
        <f>"""IntAlert Live"",""ALERT UK"",""17"",""1"",""532364"""</f>
        <v>"IntAlert Live","ALERT UK","17","1","532364"</v>
      </c>
      <c r="G295" s="223">
        <v>43886</v>
      </c>
      <c r="H295" s="223"/>
      <c r="I295" s="218" t="str">
        <f t="shared" si="108"/>
        <v>DRCBUK/BANK/2020/02/022</v>
      </c>
      <c r="K295" s="218" t="str">
        <f t="shared" si="109"/>
        <v>SKYBORNE HOSPITAL</v>
      </c>
      <c r="L295" s="218" t="str">
        <f>"Soins Méd-Pascal BAFAKUKURA - Janv '020"</f>
        <v>Soins Méd-Pascal BAFAKUKURA - Janv '020</v>
      </c>
      <c r="M295" s="218" t="str">
        <f t="shared" si="104"/>
        <v>5140</v>
      </c>
      <c r="N295" s="218" t="str">
        <f t="shared" si="105"/>
        <v>EMPLOYMENT MEDICAL COSTS</v>
      </c>
      <c r="O295" s="218" t="str">
        <f t="shared" si="103"/>
        <v>DRCBUK</v>
      </c>
      <c r="P295" s="218" t="str">
        <f t="shared" si="97"/>
        <v>AP21QR</v>
      </c>
      <c r="Q295" s="218" t="str">
        <f>"BAF"</f>
        <v>BAF</v>
      </c>
      <c r="R295" s="218" t="str">
        <f>""</f>
        <v/>
      </c>
      <c r="S295" s="218" t="str">
        <f t="shared" si="106"/>
        <v>058</v>
      </c>
      <c r="T295" s="218" t="str">
        <f t="shared" ref="T295:T326" si="110">"D"</f>
        <v>D</v>
      </c>
      <c r="U295" s="218" t="str">
        <f t="shared" si="107"/>
        <v>AFR000</v>
      </c>
      <c r="V295" s="218" t="str">
        <f t="shared" si="92"/>
        <v>###</v>
      </c>
      <c r="W295" s="218">
        <v>24.77</v>
      </c>
      <c r="X295" s="218" t="str">
        <f t="shared" ref="X295:X315" si="111">"USD"</f>
        <v>USD</v>
      </c>
      <c r="Y295" s="218">
        <v>18.78</v>
      </c>
      <c r="Z295" s="218">
        <v>24.77</v>
      </c>
      <c r="AA295" s="218">
        <v>22.31</v>
      </c>
    </row>
    <row r="296" spans="1:27">
      <c r="A296" s="218" t="s">
        <v>2592</v>
      </c>
      <c r="F296" s="219" t="str">
        <f>"""IntAlert Live"",""ALERT UK"",""17"",""1"",""532367"""</f>
        <v>"IntAlert Live","ALERT UK","17","1","532367"</v>
      </c>
      <c r="G296" s="223">
        <v>43886</v>
      </c>
      <c r="H296" s="223"/>
      <c r="I296" s="218" t="str">
        <f t="shared" si="108"/>
        <v>DRCBUK/BANK/2020/02/022</v>
      </c>
      <c r="K296" s="218" t="str">
        <f t="shared" si="109"/>
        <v>SKYBORNE HOSPITAL</v>
      </c>
      <c r="L296" s="218" t="str">
        <f>"Soins Med Papson Namushala-Déc 019"</f>
        <v>Soins Med Papson Namushala-Déc 019</v>
      </c>
      <c r="M296" s="218" t="str">
        <f t="shared" si="104"/>
        <v>5140</v>
      </c>
      <c r="N296" s="218" t="str">
        <f t="shared" si="105"/>
        <v>EMPLOYMENT MEDICAL COSTS</v>
      </c>
      <c r="O296" s="218" t="str">
        <f t="shared" si="103"/>
        <v>DRCBUK</v>
      </c>
      <c r="P296" s="218" t="str">
        <f t="shared" si="97"/>
        <v>AP21QR</v>
      </c>
      <c r="Q296" s="218" t="str">
        <f>"MWA"</f>
        <v>MWA</v>
      </c>
      <c r="R296" s="218" t="str">
        <f>""</f>
        <v/>
      </c>
      <c r="S296" s="218" t="str">
        <f t="shared" si="106"/>
        <v>058</v>
      </c>
      <c r="T296" s="218" t="str">
        <f t="shared" si="110"/>
        <v>D</v>
      </c>
      <c r="U296" s="218" t="str">
        <f t="shared" si="107"/>
        <v>AFR000</v>
      </c>
      <c r="V296" s="218" t="str">
        <f t="shared" si="92"/>
        <v>###</v>
      </c>
      <c r="W296" s="218">
        <v>236.35</v>
      </c>
      <c r="X296" s="218" t="str">
        <f t="shared" si="111"/>
        <v>USD</v>
      </c>
      <c r="Y296" s="218">
        <v>179.15</v>
      </c>
      <c r="Z296" s="218">
        <v>236.35</v>
      </c>
      <c r="AA296" s="218">
        <v>212.81</v>
      </c>
    </row>
    <row r="297" spans="1:27">
      <c r="A297" s="218" t="s">
        <v>2592</v>
      </c>
      <c r="F297" s="219" t="str">
        <f>"""IntAlert Live"",""ALERT UK"",""17"",""1"",""532369"""</f>
        <v>"IntAlert Live","ALERT UK","17","1","532369"</v>
      </c>
      <c r="G297" s="223">
        <v>43886</v>
      </c>
      <c r="H297" s="223"/>
      <c r="I297" s="218" t="str">
        <f t="shared" si="108"/>
        <v>DRCBUK/BANK/2020/02/022</v>
      </c>
      <c r="K297" s="218" t="str">
        <f t="shared" si="109"/>
        <v>SKYBORNE HOSPITAL</v>
      </c>
      <c r="L297" s="218" t="str">
        <f>"Soins Med Daniel Mwendanga -Janv '020"</f>
        <v>Soins Med Daniel Mwendanga -Janv '020</v>
      </c>
      <c r="M297" s="218" t="str">
        <f t="shared" si="104"/>
        <v>5140</v>
      </c>
      <c r="N297" s="218" t="str">
        <f t="shared" si="105"/>
        <v>EMPLOYMENT MEDICAL COSTS</v>
      </c>
      <c r="O297" s="218" t="str">
        <f t="shared" si="103"/>
        <v>DRCBUK</v>
      </c>
      <c r="P297" s="218" t="str">
        <f t="shared" si="97"/>
        <v>AP21QR</v>
      </c>
      <c r="Q297" s="218" t="str">
        <f>"MWN"</f>
        <v>MWN</v>
      </c>
      <c r="R297" s="218" t="str">
        <f>""</f>
        <v/>
      </c>
      <c r="S297" s="218" t="str">
        <f t="shared" si="106"/>
        <v>058</v>
      </c>
      <c r="T297" s="218" t="str">
        <f t="shared" si="110"/>
        <v>D</v>
      </c>
      <c r="U297" s="218" t="str">
        <f t="shared" si="107"/>
        <v>AFR000</v>
      </c>
      <c r="V297" s="218" t="str">
        <f t="shared" si="92"/>
        <v>###</v>
      </c>
      <c r="W297" s="218">
        <v>5.03</v>
      </c>
      <c r="X297" s="218" t="str">
        <f t="shared" si="111"/>
        <v>USD</v>
      </c>
      <c r="Y297" s="218">
        <v>3.81</v>
      </c>
      <c r="Z297" s="218">
        <v>5.03</v>
      </c>
      <c r="AA297" s="218">
        <v>4.53</v>
      </c>
    </row>
    <row r="298" spans="1:27">
      <c r="A298" s="218" t="s">
        <v>2592</v>
      </c>
      <c r="F298" s="219" t="str">
        <f>"""IntAlert Live"",""ALERT UK"",""17"",""1"",""532373"""</f>
        <v>"IntAlert Live","ALERT UK","17","1","532373"</v>
      </c>
      <c r="G298" s="223">
        <v>43886</v>
      </c>
      <c r="H298" s="223"/>
      <c r="I298" s="218" t="str">
        <f t="shared" si="108"/>
        <v>DRCBUK/BANK/2020/02/022</v>
      </c>
      <c r="K298" s="218" t="str">
        <f t="shared" si="109"/>
        <v>SKYBORNE HOSPITAL</v>
      </c>
      <c r="L298" s="218" t="str">
        <f>"Soins Med Verre Kilauri -Janv '020"</f>
        <v>Soins Med Verre Kilauri -Janv '020</v>
      </c>
      <c r="M298" s="218" t="str">
        <f t="shared" si="104"/>
        <v>5140</v>
      </c>
      <c r="N298" s="218" t="str">
        <f t="shared" si="105"/>
        <v>EMPLOYMENT MEDICAL COSTS</v>
      </c>
      <c r="O298" s="218" t="str">
        <f t="shared" si="103"/>
        <v>DRCBUK</v>
      </c>
      <c r="P298" s="218" t="str">
        <f t="shared" si="97"/>
        <v>AP21QR</v>
      </c>
      <c r="Q298" s="218" t="str">
        <f>"KYA"</f>
        <v>KYA</v>
      </c>
      <c r="R298" s="218" t="str">
        <f>""</f>
        <v/>
      </c>
      <c r="S298" s="218" t="str">
        <f t="shared" si="106"/>
        <v>058</v>
      </c>
      <c r="T298" s="218" t="str">
        <f t="shared" si="110"/>
        <v>D</v>
      </c>
      <c r="U298" s="218" t="str">
        <f t="shared" si="107"/>
        <v>AFR000</v>
      </c>
      <c r="V298" s="218" t="str">
        <f t="shared" si="92"/>
        <v>###</v>
      </c>
      <c r="W298" s="218">
        <v>5.8</v>
      </c>
      <c r="X298" s="218" t="str">
        <f t="shared" si="111"/>
        <v>USD</v>
      </c>
      <c r="Y298" s="218">
        <v>4.4000000000000004</v>
      </c>
      <c r="Z298" s="218">
        <v>5.8</v>
      </c>
      <c r="AA298" s="218">
        <v>5.23</v>
      </c>
    </row>
    <row r="299" spans="1:27">
      <c r="A299" s="218" t="s">
        <v>2592</v>
      </c>
      <c r="F299" s="219" t="str">
        <f>"""IntAlert Live"",""ALERT UK"",""17"",""1"",""532378"""</f>
        <v>"IntAlert Live","ALERT UK","17","1","532378"</v>
      </c>
      <c r="G299" s="223">
        <v>43886</v>
      </c>
      <c r="H299" s="223"/>
      <c r="I299" s="218" t="str">
        <f t="shared" si="108"/>
        <v>DRCBUK/BANK/2020/02/022</v>
      </c>
      <c r="K299" s="218" t="str">
        <f t="shared" si="109"/>
        <v>SKYBORNE HOSPITAL</v>
      </c>
      <c r="L299" s="218" t="str">
        <f>"Soins Med Joseph - Mirindi - Janv'020"</f>
        <v>Soins Med Joseph - Mirindi - Janv'020</v>
      </c>
      <c r="M299" s="218" t="str">
        <f t="shared" si="104"/>
        <v>5140</v>
      </c>
      <c r="N299" s="218" t="str">
        <f t="shared" si="105"/>
        <v>EMPLOYMENT MEDICAL COSTS</v>
      </c>
      <c r="O299" s="218" t="str">
        <f t="shared" si="103"/>
        <v>DRCBUK</v>
      </c>
      <c r="P299" s="218" t="str">
        <f t="shared" si="97"/>
        <v>AP21QR</v>
      </c>
      <c r="Q299" s="218" t="str">
        <f>"MUN"</f>
        <v>MUN</v>
      </c>
      <c r="R299" s="218" t="str">
        <f>""</f>
        <v/>
      </c>
      <c r="S299" s="218" t="str">
        <f t="shared" si="106"/>
        <v>058</v>
      </c>
      <c r="T299" s="218" t="str">
        <f t="shared" si="110"/>
        <v>D</v>
      </c>
      <c r="U299" s="218" t="str">
        <f t="shared" si="107"/>
        <v>AFR000</v>
      </c>
      <c r="V299" s="218" t="str">
        <f t="shared" si="92"/>
        <v>###</v>
      </c>
      <c r="W299" s="218">
        <v>2.65</v>
      </c>
      <c r="X299" s="218" t="str">
        <f t="shared" si="111"/>
        <v>USD</v>
      </c>
      <c r="Y299" s="218">
        <v>2.0099999999999998</v>
      </c>
      <c r="Z299" s="218">
        <v>2.65</v>
      </c>
      <c r="AA299" s="218">
        <v>2.39</v>
      </c>
    </row>
    <row r="300" spans="1:27">
      <c r="A300" s="218" t="s">
        <v>2592</v>
      </c>
      <c r="F300" s="219" t="str">
        <f>"""IntAlert Live"",""ALERT UK"",""17"",""1"",""537180"""</f>
        <v>"IntAlert Live","ALERT UK","17","1","537180"</v>
      </c>
      <c r="G300" s="223">
        <v>43901</v>
      </c>
      <c r="H300" s="223"/>
      <c r="I300" s="218" t="str">
        <f>"DRCGOM/BANQUE/2020/003/010"</f>
        <v>DRCGOM/BANQUE/2020/003/010</v>
      </c>
      <c r="K300" s="218" t="str">
        <f>"CHARITE MATERNELLE"</f>
        <v>CHARITE MATERNELLE</v>
      </c>
      <c r="L300" s="218" t="str">
        <f>"Medical fees Jerome February 20 10%"</f>
        <v>Medical fees Jerome February 20 10%</v>
      </c>
      <c r="M300" s="218" t="str">
        <f t="shared" si="104"/>
        <v>5140</v>
      </c>
      <c r="N300" s="218" t="str">
        <f t="shared" si="105"/>
        <v>EMPLOYMENT MEDICAL COSTS</v>
      </c>
      <c r="O300" s="218" t="str">
        <f>"DRCGOM"</f>
        <v>DRCGOM</v>
      </c>
      <c r="P300" s="218" t="str">
        <f t="shared" si="97"/>
        <v>AP21QR</v>
      </c>
      <c r="Q300" s="218" t="str">
        <f>"KAE"</f>
        <v>KAE</v>
      </c>
      <c r="R300" s="218" t="str">
        <f>""</f>
        <v/>
      </c>
      <c r="S300" s="218" t="str">
        <f t="shared" si="106"/>
        <v>058</v>
      </c>
      <c r="T300" s="218" t="str">
        <f t="shared" si="110"/>
        <v>D</v>
      </c>
      <c r="U300" s="218" t="str">
        <f t="shared" si="107"/>
        <v>AFR000</v>
      </c>
      <c r="V300" s="218" t="str">
        <f t="shared" si="92"/>
        <v>###</v>
      </c>
      <c r="W300" s="218">
        <v>18.190000000000001</v>
      </c>
      <c r="X300" s="218" t="str">
        <f t="shared" si="111"/>
        <v>USD</v>
      </c>
      <c r="Y300" s="218">
        <v>14.19</v>
      </c>
      <c r="Z300" s="218">
        <v>18.190000000000001</v>
      </c>
      <c r="AA300" s="218">
        <v>16.7</v>
      </c>
    </row>
    <row r="301" spans="1:27">
      <c r="A301" s="218" t="s">
        <v>2592</v>
      </c>
      <c r="F301" s="219" t="str">
        <f>"""IntAlert Live"",""ALERT UK"",""17"",""1"",""539805"""</f>
        <v>"IntAlert Live","ALERT UK","17","1","539805"</v>
      </c>
      <c r="G301" s="223">
        <v>43917</v>
      </c>
      <c r="H301" s="223"/>
      <c r="I301" s="218" t="str">
        <f>"DRCBUK/BANK/2020/03/023"</f>
        <v>DRCBUK/BANK/2020/03/023</v>
      </c>
      <c r="K301" s="218" t="str">
        <f>"HOPITAL GENERAL DE PANZI"</f>
        <v>HOPITAL GENERAL DE PANZI</v>
      </c>
      <c r="L301" s="218" t="str">
        <f>"pmt soins medicaux Daniel Fev 2020 15%"</f>
        <v>pmt soins medicaux Daniel Fev 2020 15%</v>
      </c>
      <c r="M301" s="218" t="str">
        <f t="shared" si="104"/>
        <v>5140</v>
      </c>
      <c r="N301" s="218" t="str">
        <f t="shared" si="105"/>
        <v>EMPLOYMENT MEDICAL COSTS</v>
      </c>
      <c r="O301" s="218" t="str">
        <f t="shared" ref="O301:O312" si="112">"DRCBUK"</f>
        <v>DRCBUK</v>
      </c>
      <c r="P301" s="218" t="str">
        <f t="shared" si="97"/>
        <v>AP21QR</v>
      </c>
      <c r="Q301" s="218" t="str">
        <f>"MWN"</f>
        <v>MWN</v>
      </c>
      <c r="R301" s="218" t="str">
        <f>""</f>
        <v/>
      </c>
      <c r="S301" s="218" t="str">
        <f t="shared" si="106"/>
        <v>058</v>
      </c>
      <c r="T301" s="218" t="str">
        <f t="shared" si="110"/>
        <v>D</v>
      </c>
      <c r="U301" s="218" t="str">
        <f t="shared" si="107"/>
        <v>AFR000</v>
      </c>
      <c r="V301" s="218" t="str">
        <f t="shared" si="92"/>
        <v>###</v>
      </c>
      <c r="W301" s="218">
        <v>9.3000000000000007</v>
      </c>
      <c r="X301" s="218" t="str">
        <f t="shared" si="111"/>
        <v>USD</v>
      </c>
      <c r="Y301" s="218">
        <v>7.25</v>
      </c>
      <c r="Z301" s="218">
        <v>9.3000000000000007</v>
      </c>
      <c r="AA301" s="218">
        <v>8.5299999999999994</v>
      </c>
    </row>
    <row r="302" spans="1:27">
      <c r="A302" s="218" t="s">
        <v>2592</v>
      </c>
      <c r="F302" s="219" t="str">
        <f>"""IntAlert Live"",""ALERT UK"",""17"",""1"",""539819"""</f>
        <v>"IntAlert Live","ALERT UK","17","1","539819"</v>
      </c>
      <c r="G302" s="223">
        <v>43917</v>
      </c>
      <c r="H302" s="223"/>
      <c r="I302" s="218" t="str">
        <f t="shared" ref="I302:I308" si="113">"DRCBUK/BANK/2020/03/026"</f>
        <v>DRCBUK/BANK/2020/03/026</v>
      </c>
      <c r="K302" s="218" t="str">
        <f t="shared" ref="K302:K308" si="114">"SKYBORNE HOSPITAL"</f>
        <v>SKYBORNE HOSPITAL</v>
      </c>
      <c r="L302" s="218" t="str">
        <f>"Soins médicaux staffs Feb'20 - Verre Kilauri"</f>
        <v>Soins médicaux staffs Feb'20 - Verre Kilauri</v>
      </c>
      <c r="M302" s="218" t="str">
        <f t="shared" si="104"/>
        <v>5140</v>
      </c>
      <c r="N302" s="218" t="str">
        <f t="shared" si="105"/>
        <v>EMPLOYMENT MEDICAL COSTS</v>
      </c>
      <c r="O302" s="218" t="str">
        <f t="shared" si="112"/>
        <v>DRCBUK</v>
      </c>
      <c r="P302" s="218" t="str">
        <f t="shared" si="97"/>
        <v>AP21QR</v>
      </c>
      <c r="Q302" s="218" t="str">
        <f>"KIA"</f>
        <v>KIA</v>
      </c>
      <c r="R302" s="218" t="str">
        <f>""</f>
        <v/>
      </c>
      <c r="S302" s="218" t="str">
        <f t="shared" si="106"/>
        <v>058</v>
      </c>
      <c r="T302" s="218" t="str">
        <f t="shared" si="110"/>
        <v>D</v>
      </c>
      <c r="U302" s="218" t="str">
        <f t="shared" si="107"/>
        <v>AFR000</v>
      </c>
      <c r="V302" s="218" t="str">
        <f t="shared" si="92"/>
        <v>###</v>
      </c>
      <c r="W302" s="218">
        <v>5.2</v>
      </c>
      <c r="X302" s="218" t="str">
        <f t="shared" si="111"/>
        <v>USD</v>
      </c>
      <c r="Y302" s="218">
        <v>4.0599999999999996</v>
      </c>
      <c r="Z302" s="218">
        <v>5.2</v>
      </c>
      <c r="AA302" s="218">
        <v>4.78</v>
      </c>
    </row>
    <row r="303" spans="1:27">
      <c r="A303" s="218" t="s">
        <v>2592</v>
      </c>
      <c r="F303" s="219" t="str">
        <f>"""IntAlert Live"",""ALERT UK"",""17"",""1"",""539824"""</f>
        <v>"IntAlert Live","ALERT UK","17","1","539824"</v>
      </c>
      <c r="G303" s="223">
        <v>43917</v>
      </c>
      <c r="H303" s="223"/>
      <c r="I303" s="218" t="str">
        <f t="shared" si="113"/>
        <v>DRCBUK/BANK/2020/03/026</v>
      </c>
      <c r="K303" s="218" t="str">
        <f t="shared" si="114"/>
        <v>SKYBORNE HOSPITAL</v>
      </c>
      <c r="L303" s="218" t="str">
        <f>"Soins médicaux staffs Feb'20 - Cishibanji C"</f>
        <v>Soins médicaux staffs Feb'20 - Cishibanji C</v>
      </c>
      <c r="M303" s="218" t="str">
        <f t="shared" si="104"/>
        <v>5140</v>
      </c>
      <c r="N303" s="218" t="str">
        <f t="shared" si="105"/>
        <v>EMPLOYMENT MEDICAL COSTS</v>
      </c>
      <c r="O303" s="218" t="str">
        <f t="shared" si="112"/>
        <v>DRCBUK</v>
      </c>
      <c r="P303" s="218" t="str">
        <f t="shared" si="97"/>
        <v>AP21QR</v>
      </c>
      <c r="Q303" s="218" t="str">
        <f>"CCI"</f>
        <v>CCI</v>
      </c>
      <c r="R303" s="218" t="str">
        <f>""</f>
        <v/>
      </c>
      <c r="S303" s="218" t="str">
        <f t="shared" si="106"/>
        <v>058</v>
      </c>
      <c r="T303" s="218" t="str">
        <f t="shared" si="110"/>
        <v>D</v>
      </c>
      <c r="U303" s="218" t="str">
        <f t="shared" si="107"/>
        <v>AFR000</v>
      </c>
      <c r="V303" s="218" t="str">
        <f t="shared" si="92"/>
        <v>###</v>
      </c>
      <c r="W303" s="218">
        <v>62.84</v>
      </c>
      <c r="X303" s="218" t="str">
        <f t="shared" si="111"/>
        <v>USD</v>
      </c>
      <c r="Y303" s="218">
        <v>49.02</v>
      </c>
      <c r="Z303" s="218">
        <v>62.84</v>
      </c>
      <c r="AA303" s="218">
        <v>57.67</v>
      </c>
    </row>
    <row r="304" spans="1:27">
      <c r="A304" s="218" t="s">
        <v>2592</v>
      </c>
      <c r="F304" s="219" t="str">
        <f>"""IntAlert Live"",""ALERT UK"",""17"",""1"",""539830"""</f>
        <v>"IntAlert Live","ALERT UK","17","1","539830"</v>
      </c>
      <c r="G304" s="223">
        <v>43917</v>
      </c>
      <c r="H304" s="223"/>
      <c r="I304" s="218" t="str">
        <f t="shared" si="113"/>
        <v>DRCBUK/BANK/2020/03/026</v>
      </c>
      <c r="K304" s="218" t="str">
        <f t="shared" si="114"/>
        <v>SKYBORNE HOSPITAL</v>
      </c>
      <c r="L304" s="218" t="str">
        <f>"Soins médicaux staffs Feb'20 - Espee Chidoromi"</f>
        <v>Soins médicaux staffs Feb'20 - Espee Chidoromi</v>
      </c>
      <c r="M304" s="218" t="str">
        <f t="shared" si="104"/>
        <v>5140</v>
      </c>
      <c r="N304" s="218" t="str">
        <f t="shared" si="105"/>
        <v>EMPLOYMENT MEDICAL COSTS</v>
      </c>
      <c r="O304" s="218" t="str">
        <f t="shared" si="112"/>
        <v>DRCBUK</v>
      </c>
      <c r="P304" s="218" t="str">
        <f t="shared" si="97"/>
        <v>AP21QR</v>
      </c>
      <c r="Q304" s="218" t="str">
        <f>"SIF"</f>
        <v>SIF</v>
      </c>
      <c r="R304" s="218" t="str">
        <f>""</f>
        <v/>
      </c>
      <c r="S304" s="218" t="str">
        <f t="shared" si="106"/>
        <v>058</v>
      </c>
      <c r="T304" s="218" t="str">
        <f t="shared" si="110"/>
        <v>D</v>
      </c>
      <c r="U304" s="218" t="str">
        <f t="shared" si="107"/>
        <v>AFR000</v>
      </c>
      <c r="V304" s="218" t="str">
        <f t="shared" si="92"/>
        <v>###</v>
      </c>
      <c r="W304" s="218">
        <v>2.8</v>
      </c>
      <c r="X304" s="218" t="str">
        <f t="shared" si="111"/>
        <v>USD</v>
      </c>
      <c r="Y304" s="218">
        <v>2.1800000000000002</v>
      </c>
      <c r="Z304" s="218">
        <v>2.8</v>
      </c>
      <c r="AA304" s="218">
        <v>2.56</v>
      </c>
    </row>
    <row r="305" spans="1:27">
      <c r="A305" s="218" t="s">
        <v>2592</v>
      </c>
      <c r="F305" s="219" t="str">
        <f>"""IntAlert Live"",""ALERT UK"",""17"",""1"",""539831"""</f>
        <v>"IntAlert Live","ALERT UK","17","1","539831"</v>
      </c>
      <c r="G305" s="223">
        <v>43917</v>
      </c>
      <c r="H305" s="223"/>
      <c r="I305" s="218" t="str">
        <f t="shared" si="113"/>
        <v>DRCBUK/BANK/2020/03/026</v>
      </c>
      <c r="K305" s="218" t="str">
        <f t="shared" si="114"/>
        <v>SKYBORNE HOSPITAL</v>
      </c>
      <c r="L305" s="218" t="str">
        <f>"Soins médicaux staffs Feb'20 - Michel Mirindi"</f>
        <v>Soins médicaux staffs Feb'20 - Michel Mirindi</v>
      </c>
      <c r="M305" s="218" t="str">
        <f t="shared" si="104"/>
        <v>5140</v>
      </c>
      <c r="N305" s="218" t="str">
        <f t="shared" si="105"/>
        <v>EMPLOYMENT MEDICAL COSTS</v>
      </c>
      <c r="O305" s="218" t="str">
        <f t="shared" si="112"/>
        <v>DRCBUK</v>
      </c>
      <c r="P305" s="218" t="str">
        <f t="shared" si="97"/>
        <v>AP21QR</v>
      </c>
      <c r="Q305" s="218" t="str">
        <f>"MRI"</f>
        <v>MRI</v>
      </c>
      <c r="R305" s="218" t="str">
        <f>""</f>
        <v/>
      </c>
      <c r="S305" s="218" t="str">
        <f t="shared" si="106"/>
        <v>058</v>
      </c>
      <c r="T305" s="218" t="str">
        <f t="shared" si="110"/>
        <v>D</v>
      </c>
      <c r="U305" s="218" t="str">
        <f t="shared" si="107"/>
        <v>AFR000</v>
      </c>
      <c r="V305" s="218" t="str">
        <f t="shared" si="92"/>
        <v>###</v>
      </c>
      <c r="W305" s="218">
        <v>7.8</v>
      </c>
      <c r="X305" s="218" t="str">
        <f t="shared" si="111"/>
        <v>USD</v>
      </c>
      <c r="Y305" s="218">
        <v>6.08</v>
      </c>
      <c r="Z305" s="218">
        <v>7.8</v>
      </c>
      <c r="AA305" s="218">
        <v>7.15</v>
      </c>
    </row>
    <row r="306" spans="1:27">
      <c r="A306" s="218" t="s">
        <v>2592</v>
      </c>
      <c r="F306" s="219" t="str">
        <f>"""IntAlert Live"",""ALERT UK"",""17"",""1"",""539835"""</f>
        <v>"IntAlert Live","ALERT UK","17","1","539835"</v>
      </c>
      <c r="G306" s="223">
        <v>43917</v>
      </c>
      <c r="H306" s="223"/>
      <c r="I306" s="218" t="str">
        <f t="shared" si="113"/>
        <v>DRCBUK/BANK/2020/03/026</v>
      </c>
      <c r="K306" s="218" t="str">
        <f t="shared" si="114"/>
        <v>SKYBORNE HOSPITAL</v>
      </c>
      <c r="L306" s="218" t="str">
        <f>"Soins médicaux staffs Feb'20 - Georgine Bam."</f>
        <v>Soins médicaux staffs Feb'20 - Georgine Bam.</v>
      </c>
      <c r="M306" s="218" t="str">
        <f t="shared" si="104"/>
        <v>5140</v>
      </c>
      <c r="N306" s="218" t="str">
        <f t="shared" si="105"/>
        <v>EMPLOYMENT MEDICAL COSTS</v>
      </c>
      <c r="O306" s="218" t="str">
        <f t="shared" si="112"/>
        <v>DRCBUK</v>
      </c>
      <c r="P306" s="218" t="str">
        <f t="shared" si="97"/>
        <v>AP21QR</v>
      </c>
      <c r="Q306" s="218" t="str">
        <f>"BAM"</f>
        <v>BAM</v>
      </c>
      <c r="R306" s="218" t="str">
        <f>""</f>
        <v/>
      </c>
      <c r="S306" s="218" t="str">
        <f t="shared" si="106"/>
        <v>058</v>
      </c>
      <c r="T306" s="218" t="str">
        <f t="shared" si="110"/>
        <v>D</v>
      </c>
      <c r="U306" s="218" t="str">
        <f t="shared" si="107"/>
        <v>AFR000</v>
      </c>
      <c r="V306" s="218" t="str">
        <f t="shared" si="92"/>
        <v>###</v>
      </c>
      <c r="W306" s="218">
        <v>3.84</v>
      </c>
      <c r="X306" s="218" t="str">
        <f t="shared" si="111"/>
        <v>USD</v>
      </c>
      <c r="Y306" s="218">
        <v>3</v>
      </c>
      <c r="Z306" s="218">
        <v>3.84</v>
      </c>
      <c r="AA306" s="218">
        <v>3.53</v>
      </c>
    </row>
    <row r="307" spans="1:27">
      <c r="A307" s="218" t="s">
        <v>2592</v>
      </c>
      <c r="F307" s="219" t="str">
        <f>"""IntAlert Live"",""ALERT UK"",""17"",""1"",""539839"""</f>
        <v>"IntAlert Live","ALERT UK","17","1","539839"</v>
      </c>
      <c r="G307" s="223">
        <v>43917</v>
      </c>
      <c r="H307" s="223"/>
      <c r="I307" s="218" t="str">
        <f t="shared" si="113"/>
        <v>DRCBUK/BANK/2020/03/026</v>
      </c>
      <c r="K307" s="218" t="str">
        <f t="shared" si="114"/>
        <v>SKYBORNE HOSPITAL</v>
      </c>
      <c r="L307" s="218" t="str">
        <f>"Soins médicaux staffs Feb'20 - Pascal Buhashe"</f>
        <v>Soins médicaux staffs Feb'20 - Pascal Buhashe</v>
      </c>
      <c r="M307" s="218" t="str">
        <f t="shared" si="104"/>
        <v>5140</v>
      </c>
      <c r="N307" s="218" t="str">
        <f t="shared" si="105"/>
        <v>EMPLOYMENT MEDICAL COSTS</v>
      </c>
      <c r="O307" s="218" t="str">
        <f t="shared" si="112"/>
        <v>DRCBUK</v>
      </c>
      <c r="P307" s="218" t="str">
        <f t="shared" si="97"/>
        <v>AP21QR</v>
      </c>
      <c r="Q307" s="218" t="str">
        <f>"CIB"</f>
        <v>CIB</v>
      </c>
      <c r="R307" s="218" t="str">
        <f>""</f>
        <v/>
      </c>
      <c r="S307" s="218" t="str">
        <f t="shared" si="106"/>
        <v>058</v>
      </c>
      <c r="T307" s="218" t="str">
        <f t="shared" si="110"/>
        <v>D</v>
      </c>
      <c r="U307" s="218" t="str">
        <f t="shared" si="107"/>
        <v>AFR000</v>
      </c>
      <c r="V307" s="218" t="str">
        <f t="shared" si="92"/>
        <v>###</v>
      </c>
      <c r="W307" s="218">
        <v>36.65</v>
      </c>
      <c r="X307" s="218" t="str">
        <f t="shared" si="111"/>
        <v>USD</v>
      </c>
      <c r="Y307" s="218">
        <v>28.59</v>
      </c>
      <c r="Z307" s="218">
        <v>36.65</v>
      </c>
      <c r="AA307" s="218">
        <v>33.64</v>
      </c>
    </row>
    <row r="308" spans="1:27">
      <c r="A308" s="218" t="s">
        <v>2592</v>
      </c>
      <c r="F308" s="219" t="str">
        <f>"""IntAlert Live"",""ALERT UK"",""17"",""1"",""539845"""</f>
        <v>"IntAlert Live","ALERT UK","17","1","539845"</v>
      </c>
      <c r="G308" s="223">
        <v>43917</v>
      </c>
      <c r="H308" s="223"/>
      <c r="I308" s="218" t="str">
        <f t="shared" si="113"/>
        <v>DRCBUK/BANK/2020/03/026</v>
      </c>
      <c r="K308" s="218" t="str">
        <f t="shared" si="114"/>
        <v>SKYBORNE HOSPITAL</v>
      </c>
      <c r="L308" s="218" t="str">
        <f>"Soins médicaux staffs Feb'20 - Papson Nyamushala"</f>
        <v>Soins médicaux staffs Feb'20 - Papson Nyamushala</v>
      </c>
      <c r="M308" s="218" t="str">
        <f t="shared" si="104"/>
        <v>5140</v>
      </c>
      <c r="N308" s="218" t="str">
        <f t="shared" si="105"/>
        <v>EMPLOYMENT MEDICAL COSTS</v>
      </c>
      <c r="O308" s="218" t="str">
        <f t="shared" si="112"/>
        <v>DRCBUK</v>
      </c>
      <c r="P308" s="218" t="str">
        <f t="shared" si="97"/>
        <v>AP21QR</v>
      </c>
      <c r="Q308" s="218" t="str">
        <f>"MWA"</f>
        <v>MWA</v>
      </c>
      <c r="R308" s="218" t="str">
        <f>""</f>
        <v/>
      </c>
      <c r="S308" s="218" t="str">
        <f t="shared" si="106"/>
        <v>058</v>
      </c>
      <c r="T308" s="218" t="str">
        <f t="shared" si="110"/>
        <v>D</v>
      </c>
      <c r="U308" s="218" t="str">
        <f t="shared" si="107"/>
        <v>AFR000</v>
      </c>
      <c r="V308" s="218" t="str">
        <f t="shared" si="92"/>
        <v>###</v>
      </c>
      <c r="W308" s="218">
        <v>53.6</v>
      </c>
      <c r="X308" s="218" t="str">
        <f t="shared" si="111"/>
        <v>USD</v>
      </c>
      <c r="Y308" s="218">
        <v>41.81</v>
      </c>
      <c r="Z308" s="218">
        <v>53.6</v>
      </c>
      <c r="AA308" s="218">
        <v>49.19</v>
      </c>
    </row>
    <row r="309" spans="1:27">
      <c r="A309" s="218" t="s">
        <v>2592</v>
      </c>
      <c r="F309" s="219" t="str">
        <f>"""IntAlert Live"",""ALERT UK"",""17"",""1"",""539661"""</f>
        <v>"IntAlert Live","ALERT UK","17","1","539661"</v>
      </c>
      <c r="G309" s="223">
        <v>43892</v>
      </c>
      <c r="H309" s="223"/>
      <c r="I309" s="218" t="str">
        <f>"DRCBUK/BANK/2020/03/003"</f>
        <v>DRCBUK/BANK/2020/03/003</v>
      </c>
      <c r="K309" s="218" t="str">
        <f>"DPMER SUD-KIVU"</f>
        <v>DPMER SUD-KIVU</v>
      </c>
      <c r="L309" s="218" t="str">
        <f>"Pmt IRL Loyer George Déc19-Janvier 2020 15%"</f>
        <v>Pmt IRL Loyer George Déc19-Janvier 2020 15%</v>
      </c>
      <c r="M309" s="218" t="str">
        <f>"5130"</f>
        <v>5130</v>
      </c>
      <c r="N309" s="218" t="str">
        <f>"EMPLOYMENT HOUSING  COSTS"</f>
        <v>EMPLOYMENT HOUSING  COSTS</v>
      </c>
      <c r="O309" s="218" t="str">
        <f t="shared" si="112"/>
        <v>DRCBUK</v>
      </c>
      <c r="P309" s="218" t="str">
        <f t="shared" si="97"/>
        <v>AP21QR</v>
      </c>
      <c r="Q309" s="218" t="str">
        <f>"NDI"</f>
        <v>NDI</v>
      </c>
      <c r="R309" s="218" t="str">
        <f>""</f>
        <v/>
      </c>
      <c r="S309" s="218" t="str">
        <f>"061"</f>
        <v>061</v>
      </c>
      <c r="T309" s="218" t="str">
        <f t="shared" si="110"/>
        <v>D</v>
      </c>
      <c r="U309" s="218" t="str">
        <f t="shared" si="107"/>
        <v>AFR000</v>
      </c>
      <c r="V309" s="218" t="str">
        <f t="shared" si="92"/>
        <v>###</v>
      </c>
      <c r="W309" s="218">
        <v>112.5</v>
      </c>
      <c r="X309" s="218" t="str">
        <f t="shared" si="111"/>
        <v>USD</v>
      </c>
      <c r="Y309" s="218">
        <v>87.76</v>
      </c>
      <c r="Z309" s="218">
        <v>112.5</v>
      </c>
      <c r="AA309" s="218">
        <v>103.25</v>
      </c>
    </row>
    <row r="310" spans="1:27">
      <c r="A310" s="218" t="s">
        <v>2592</v>
      </c>
      <c r="F310" s="219" t="str">
        <f>"""IntAlert Live"",""ALERT UK"",""17"",""1"",""539682"""</f>
        <v>"IntAlert Live","ALERT UK","17","1","539682"</v>
      </c>
      <c r="G310" s="223">
        <v>43902</v>
      </c>
      <c r="H310" s="223"/>
      <c r="I310" s="218" t="str">
        <f>"DRCBUK/BANK/2020/03/013"</f>
        <v>DRCBUK/BANK/2020/03/013</v>
      </c>
      <c r="K310" s="218" t="str">
        <f>"CIFENDE KACIKO"</f>
        <v>CIFENDE KACIKO</v>
      </c>
      <c r="L310" s="218" t="str">
        <f>"Pmt  Loyer Residence Lucy Mars-31Mai 2020 15%"</f>
        <v>Pmt  Loyer Residence Lucy Mars-31Mai 2020 15%</v>
      </c>
      <c r="M310" s="218" t="str">
        <f>"5130"</f>
        <v>5130</v>
      </c>
      <c r="N310" s="218" t="str">
        <f>"EMPLOYMENT HOUSING  COSTS"</f>
        <v>EMPLOYMENT HOUSING  COSTS</v>
      </c>
      <c r="O310" s="218" t="str">
        <f t="shared" si="112"/>
        <v>DRCBUK</v>
      </c>
      <c r="P310" s="218" t="str">
        <f t="shared" si="97"/>
        <v>AP21QR</v>
      </c>
      <c r="Q310" s="218" t="str">
        <f>"WIA"</f>
        <v>WIA</v>
      </c>
      <c r="R310" s="218" t="str">
        <f>""</f>
        <v/>
      </c>
      <c r="S310" s="218" t="str">
        <f>"061"</f>
        <v>061</v>
      </c>
      <c r="T310" s="218" t="str">
        <f t="shared" si="110"/>
        <v>D</v>
      </c>
      <c r="U310" s="218" t="str">
        <f t="shared" si="107"/>
        <v>AFR000</v>
      </c>
      <c r="V310" s="218" t="str">
        <f t="shared" si="92"/>
        <v>###</v>
      </c>
      <c r="W310" s="218">
        <v>540</v>
      </c>
      <c r="X310" s="218" t="str">
        <f t="shared" si="111"/>
        <v>USD</v>
      </c>
      <c r="Y310" s="218">
        <v>421.22</v>
      </c>
      <c r="Z310" s="218">
        <v>540</v>
      </c>
      <c r="AA310" s="218">
        <v>495.58</v>
      </c>
    </row>
    <row r="311" spans="1:27">
      <c r="A311" s="218" t="s">
        <v>2592</v>
      </c>
      <c r="F311" s="219" t="str">
        <f>"""IntAlert Live"",""ALERT UK"",""17"",""1"",""540005"""</f>
        <v>"IntAlert Live","ALERT UK","17","1","540005"</v>
      </c>
      <c r="G311" s="223">
        <v>43921</v>
      </c>
      <c r="H311" s="223"/>
      <c r="I311" s="218" t="str">
        <f>"DRCBUK/BANK/2020/03/033"</f>
        <v>DRCBUK/BANK/2020/03/033</v>
      </c>
      <c r="K311" s="218" t="str">
        <f>"DPMER SUD-KIVU"</f>
        <v>DPMER SUD-KIVU</v>
      </c>
      <c r="L311" s="218" t="str">
        <f>"Pmt  IRL Loyer Res Lucy Mars-31Mai 2020 15%"</f>
        <v>Pmt  IRL Loyer Res Lucy Mars-31Mai 2020 15%</v>
      </c>
      <c r="M311" s="218" t="str">
        <f>"5130"</f>
        <v>5130</v>
      </c>
      <c r="N311" s="218" t="str">
        <f>"EMPLOYMENT HOUSING  COSTS"</f>
        <v>EMPLOYMENT HOUSING  COSTS</v>
      </c>
      <c r="O311" s="218" t="str">
        <f t="shared" si="112"/>
        <v>DRCBUK</v>
      </c>
      <c r="P311" s="218" t="str">
        <f t="shared" si="97"/>
        <v>AP21QR</v>
      </c>
      <c r="Q311" s="218" t="str">
        <f>"WIA"</f>
        <v>WIA</v>
      </c>
      <c r="R311" s="218" t="str">
        <f>""</f>
        <v/>
      </c>
      <c r="S311" s="218" t="str">
        <f>"061"</f>
        <v>061</v>
      </c>
      <c r="T311" s="218" t="str">
        <f t="shared" si="110"/>
        <v>D</v>
      </c>
      <c r="U311" s="218" t="str">
        <f t="shared" si="107"/>
        <v>AFR000</v>
      </c>
      <c r="V311" s="218" t="str">
        <f t="shared" si="92"/>
        <v>###</v>
      </c>
      <c r="W311" s="218">
        <v>135</v>
      </c>
      <c r="X311" s="218" t="str">
        <f t="shared" si="111"/>
        <v>USD</v>
      </c>
      <c r="Y311" s="218">
        <v>105.31</v>
      </c>
      <c r="Z311" s="218">
        <v>135</v>
      </c>
      <c r="AA311" s="218">
        <v>123.9</v>
      </c>
    </row>
    <row r="312" spans="1:27">
      <c r="A312" s="218" t="s">
        <v>2592</v>
      </c>
      <c r="F312" s="219" t="str">
        <f>"""IntAlert Live"",""ALERT UK"",""17"",""1"",""540239"""</f>
        <v>"IntAlert Live","ALERT UK","17","1","540239"</v>
      </c>
      <c r="G312" s="223">
        <v>43921</v>
      </c>
      <c r="H312" s="223"/>
      <c r="I312" s="218" t="str">
        <f>"DRCBUK/GENJNL/2020/03/005"</f>
        <v>DRCBUK/GENJNL/2020/03/005</v>
      </c>
      <c r="K312" s="218" t="str">
        <f>"QUINCAILEERIE LES BIENFAITS"</f>
        <v>QUINCAILEERIE LES BIENFAITS</v>
      </c>
      <c r="L312" s="218" t="str">
        <f>"Matériels de mainteance résidence George Ndikintum"</f>
        <v>Matériels de mainteance résidence George Ndikintum</v>
      </c>
      <c r="M312" s="218" t="str">
        <f>"5130"</f>
        <v>5130</v>
      </c>
      <c r="N312" s="218" t="str">
        <f>"EMPLOYMENT HOUSING  COSTS"</f>
        <v>EMPLOYMENT HOUSING  COSTS</v>
      </c>
      <c r="O312" s="218" t="str">
        <f t="shared" si="112"/>
        <v>DRCBUK</v>
      </c>
      <c r="P312" s="218" t="str">
        <f t="shared" si="97"/>
        <v>AP21QR</v>
      </c>
      <c r="Q312" s="218" t="str">
        <f>"KIA"</f>
        <v>KIA</v>
      </c>
      <c r="R312" s="218" t="str">
        <f>""</f>
        <v/>
      </c>
      <c r="S312" s="218" t="str">
        <f>"061"</f>
        <v>061</v>
      </c>
      <c r="T312" s="218" t="str">
        <f t="shared" si="110"/>
        <v>D</v>
      </c>
      <c r="U312" s="218" t="str">
        <f t="shared" si="107"/>
        <v>AFR000</v>
      </c>
      <c r="V312" s="218" t="str">
        <f t="shared" si="92"/>
        <v>###</v>
      </c>
      <c r="W312" s="218">
        <v>154</v>
      </c>
      <c r="X312" s="218" t="str">
        <f t="shared" si="111"/>
        <v>USD</v>
      </c>
      <c r="Y312" s="218">
        <v>120.13</v>
      </c>
      <c r="Z312" s="218">
        <v>154</v>
      </c>
      <c r="AA312" s="218">
        <v>141.34</v>
      </c>
    </row>
    <row r="313" spans="1:27">
      <c r="A313" s="218" t="s">
        <v>2592</v>
      </c>
      <c r="F313" s="219" t="str">
        <f>"""IntAlert Live"",""ALERT UK"",""17"",""1"",""516183"""</f>
        <v>"IntAlert Live","ALERT UK","17","1","516183"</v>
      </c>
      <c r="G313" s="223">
        <v>43838</v>
      </c>
      <c r="H313" s="223"/>
      <c r="I313" s="218" t="str">
        <f>"DRCGOM/ CAISSE/2020/001/001"</f>
        <v>DRCGOM/ CAISSE/2020/001/001</v>
      </c>
      <c r="K313" s="218" t="str">
        <f>"DGM"</f>
        <v>DGM</v>
      </c>
      <c r="L313" s="218" t="str">
        <f>"Prise en charge Susan McCready 20%"</f>
        <v>Prise en charge Susan McCready 20%</v>
      </c>
      <c r="M313" s="218" t="str">
        <f>"6050"</f>
        <v>6050</v>
      </c>
      <c r="N313" s="218" t="str">
        <f>"STAFF VISA APPLICATIONS"</f>
        <v>STAFF VISA APPLICATIONS</v>
      </c>
      <c r="O313" s="218" t="str">
        <f>"DRCGOM"</f>
        <v>DRCGOM</v>
      </c>
      <c r="P313" s="218" t="str">
        <f t="shared" si="97"/>
        <v>AP21QR</v>
      </c>
      <c r="Q313" s="218" t="str">
        <f>"MCC"</f>
        <v>MCC</v>
      </c>
      <c r="R313" s="218" t="str">
        <f>""</f>
        <v/>
      </c>
      <c r="S313" s="218" t="str">
        <f>"062"</f>
        <v>062</v>
      </c>
      <c r="T313" s="218" t="str">
        <f t="shared" si="110"/>
        <v>D</v>
      </c>
      <c r="U313" s="218" t="str">
        <f t="shared" si="107"/>
        <v>AFR000</v>
      </c>
      <c r="V313" s="218" t="str">
        <f t="shared" si="92"/>
        <v>###</v>
      </c>
      <c r="W313" s="218">
        <v>20</v>
      </c>
      <c r="X313" s="218" t="str">
        <f t="shared" si="111"/>
        <v>USD</v>
      </c>
      <c r="Y313" s="218">
        <v>15.07</v>
      </c>
      <c r="Z313" s="218">
        <v>20</v>
      </c>
      <c r="AA313" s="218">
        <v>17.690000000000001</v>
      </c>
    </row>
    <row r="314" spans="1:27">
      <c r="A314" s="218" t="s">
        <v>2592</v>
      </c>
      <c r="F314" s="219" t="str">
        <f>"""IntAlert Live"",""ALERT UK"",""17"",""1"",""516197"""</f>
        <v>"IntAlert Live","ALERT UK","17","1","516197"</v>
      </c>
      <c r="G314" s="223">
        <v>43840</v>
      </c>
      <c r="H314" s="223"/>
      <c r="I314" s="218" t="str">
        <f>"DRCGOM/ CAISSE/2020/001/001"</f>
        <v>DRCGOM/ CAISSE/2020/001/001</v>
      </c>
      <c r="K314" s="218" t="str">
        <f>"JB SIBORUREMA"</f>
        <v>JB SIBORUREMA</v>
      </c>
      <c r="L314" s="218" t="str">
        <f>"Sport center membership for May 2019 15%"</f>
        <v>Sport center membership for May 2019 15%</v>
      </c>
      <c r="M314" s="218" t="str">
        <f>"8110"</f>
        <v>8110</v>
      </c>
      <c r="N314" s="218" t="str">
        <f>"HEALTH AND SAFETY"</f>
        <v>HEALTH AND SAFETY</v>
      </c>
      <c r="O314" s="218" t="str">
        <f>"DRCGOM"</f>
        <v>DRCGOM</v>
      </c>
      <c r="P314" s="218" t="str">
        <f t="shared" si="97"/>
        <v>AP21QR</v>
      </c>
      <c r="Q314" s="218" t="str">
        <f>""</f>
        <v/>
      </c>
      <c r="R314" s="218" t="str">
        <f>""</f>
        <v/>
      </c>
      <c r="S314" s="218" t="str">
        <f>"062"</f>
        <v>062</v>
      </c>
      <c r="T314" s="218" t="str">
        <f t="shared" si="110"/>
        <v>D</v>
      </c>
      <c r="U314" s="218" t="str">
        <f t="shared" si="107"/>
        <v>AFR000</v>
      </c>
      <c r="V314" s="218" t="str">
        <f t="shared" si="92"/>
        <v>###</v>
      </c>
      <c r="W314" s="218">
        <v>6</v>
      </c>
      <c r="X314" s="218" t="str">
        <f t="shared" si="111"/>
        <v>USD</v>
      </c>
      <c r="Y314" s="218">
        <v>4.5199999999999996</v>
      </c>
      <c r="Z314" s="218">
        <v>6</v>
      </c>
      <c r="AA314" s="218">
        <v>5.3</v>
      </c>
    </row>
    <row r="315" spans="1:27">
      <c r="A315" s="218" t="s">
        <v>2592</v>
      </c>
      <c r="F315" s="219" t="str">
        <f>"""IntAlert Live"",""ALERT UK"",""17"",""1"",""537141"""</f>
        <v>"IntAlert Live","ALERT UK","17","1","537141"</v>
      </c>
      <c r="G315" s="223">
        <v>43893</v>
      </c>
      <c r="H315" s="223"/>
      <c r="I315" s="218" t="str">
        <f>"DRCGOM/ BANQUE/2020/003/003"</f>
        <v>DRCGOM/ BANQUE/2020/003/003</v>
      </c>
      <c r="K315" s="218" t="str">
        <f>"ETS KAKAL"</f>
        <v>ETS KAKAL</v>
      </c>
      <c r="L315" s="218" t="str">
        <f>"Rent JeanBosco 21/02-21/05/2020 25%"</f>
        <v>Rent JeanBosco 21/02-21/05/2020 25%</v>
      </c>
      <c r="M315" s="218" t="str">
        <f>"5130"</f>
        <v>5130</v>
      </c>
      <c r="N315" s="218" t="str">
        <f>"EMPLOYMENT HOUSING  COSTS"</f>
        <v>EMPLOYMENT HOUSING  COSTS</v>
      </c>
      <c r="O315" s="218" t="str">
        <f>"DRCGOM"</f>
        <v>DRCGOM</v>
      </c>
      <c r="P315" s="218" t="str">
        <f t="shared" si="97"/>
        <v>AP21QR</v>
      </c>
      <c r="Q315" s="218" t="str">
        <f>"SIB"</f>
        <v>SIB</v>
      </c>
      <c r="R315" s="218" t="str">
        <f>""</f>
        <v/>
      </c>
      <c r="S315" s="218" t="str">
        <f>"062"</f>
        <v>062</v>
      </c>
      <c r="T315" s="218" t="str">
        <f t="shared" si="110"/>
        <v>D</v>
      </c>
      <c r="U315" s="218" t="str">
        <f t="shared" si="107"/>
        <v>AFR000</v>
      </c>
      <c r="V315" s="218" t="str">
        <f t="shared" si="92"/>
        <v>###</v>
      </c>
      <c r="W315" s="218">
        <v>562.28</v>
      </c>
      <c r="X315" s="218" t="str">
        <f t="shared" si="111"/>
        <v>USD</v>
      </c>
      <c r="Y315" s="218">
        <v>438.6</v>
      </c>
      <c r="Z315" s="218">
        <v>562.28</v>
      </c>
      <c r="AA315" s="218">
        <v>516.03</v>
      </c>
    </row>
    <row r="316" spans="1:27">
      <c r="A316" s="218" t="s">
        <v>2592</v>
      </c>
      <c r="F316" s="219" t="str">
        <f>"""IntAlert Live"",""ALERT UK"",""17"",""1"",""531048"""</f>
        <v>"IntAlert Live","ALERT UK","17","1","531048"</v>
      </c>
      <c r="G316" s="223">
        <v>43880</v>
      </c>
      <c r="H316" s="223"/>
      <c r="I316" s="218" t="str">
        <f>""</f>
        <v/>
      </c>
      <c r="K316" s="218" t="str">
        <f>"10057701"</f>
        <v>10057701</v>
      </c>
      <c r="L316" s="218" t="str">
        <f>"Accommodation to CHUNGONG&amp;George Wanyu"</f>
        <v>Accommodation to CHUNGONG&amp;George Wanyu</v>
      </c>
      <c r="M316" s="218" t="str">
        <f>"6030"</f>
        <v>6030</v>
      </c>
      <c r="N316" s="218" t="str">
        <f>"STAFF ACCOMMODATION   HOTELS"</f>
        <v>STAFF ACCOMMODATION   HOTELS</v>
      </c>
      <c r="O316" s="218" t="str">
        <f>"RWAKIG"</f>
        <v>RWAKIG</v>
      </c>
      <c r="P316" s="218" t="str">
        <f t="shared" si="97"/>
        <v>AP21QR</v>
      </c>
      <c r="Q316" s="218" t="str">
        <f>"NDI"</f>
        <v>NDI</v>
      </c>
      <c r="R316" s="218" t="str">
        <f>""</f>
        <v/>
      </c>
      <c r="S316" s="218" t="str">
        <f>"063"</f>
        <v>063</v>
      </c>
      <c r="T316" s="218" t="str">
        <f t="shared" si="110"/>
        <v>D</v>
      </c>
      <c r="U316" s="218" t="str">
        <f t="shared" si="107"/>
        <v>AFR000</v>
      </c>
      <c r="V316" s="218" t="str">
        <f t="shared" si="92"/>
        <v>###</v>
      </c>
      <c r="W316" s="218">
        <v>10000</v>
      </c>
      <c r="X316" s="218" t="str">
        <f>"RWF"</f>
        <v>RWF</v>
      </c>
      <c r="Y316" s="218">
        <v>8.1</v>
      </c>
      <c r="Z316" s="218">
        <v>10.69</v>
      </c>
      <c r="AA316" s="218">
        <v>9.6199999999999992</v>
      </c>
    </row>
    <row r="317" spans="1:27">
      <c r="A317" s="218" t="s">
        <v>2592</v>
      </c>
      <c r="F317" s="219" t="str">
        <f>"""IntAlert Live"",""ALERT UK"",""17"",""1"",""532304"""</f>
        <v>"IntAlert Live","ALERT UK","17","1","532304"</v>
      </c>
      <c r="G317" s="223">
        <v>43880</v>
      </c>
      <c r="H317" s="223"/>
      <c r="I317" s="218" t="str">
        <f>"DRCBUK/BANK/2020/02/017"</f>
        <v>DRCBUK/BANK/2020/02/017</v>
      </c>
      <c r="K317" s="218" t="str">
        <f>"PETROX CONGO"</f>
        <v>PETROX CONGO</v>
      </c>
      <c r="L317" s="218" t="str">
        <f>"Carburant Véhicul Janv 020 38%"</f>
        <v>Carburant Véhicul Janv 020 38%</v>
      </c>
      <c r="M317" s="218" t="str">
        <f>"8250"</f>
        <v>8250</v>
      </c>
      <c r="N317" s="218" t="str">
        <f>"VEHICLE FUEL"</f>
        <v>VEHICLE FUEL</v>
      </c>
      <c r="O317" s="218" t="str">
        <f t="shared" ref="O317:O327" si="115">"DRCBUK"</f>
        <v>DRCBUK</v>
      </c>
      <c r="P317" s="218" t="str">
        <f t="shared" si="97"/>
        <v>AP21QR</v>
      </c>
      <c r="Q317" s="218" t="str">
        <f>""</f>
        <v/>
      </c>
      <c r="R317" s="218" t="str">
        <f>""</f>
        <v/>
      </c>
      <c r="S317" s="218" t="str">
        <f>"063"</f>
        <v>063</v>
      </c>
      <c r="T317" s="218" t="str">
        <f t="shared" si="110"/>
        <v>D</v>
      </c>
      <c r="U317" s="218" t="str">
        <f t="shared" ref="U317:U348" si="116">"AFR000"</f>
        <v>AFR000</v>
      </c>
      <c r="V317" s="218" t="str">
        <f t="shared" ref="V317:V380" si="117">"###"</f>
        <v>###</v>
      </c>
      <c r="W317" s="218">
        <v>245.23</v>
      </c>
      <c r="X317" s="218" t="str">
        <f t="shared" ref="X317:X348" si="118">"USD"</f>
        <v>USD</v>
      </c>
      <c r="Y317" s="218">
        <v>185.88</v>
      </c>
      <c r="Z317" s="218">
        <v>245.23</v>
      </c>
      <c r="AA317" s="218">
        <v>220.8</v>
      </c>
    </row>
    <row r="318" spans="1:27">
      <c r="A318" s="218" t="s">
        <v>2592</v>
      </c>
      <c r="F318" s="219" t="str">
        <f>"""IntAlert Live"",""ALERT UK"",""17"",""1"",""532662"""</f>
        <v>"IntAlert Live","ALERT UK","17","1","532662"</v>
      </c>
      <c r="G318" s="223">
        <v>43890</v>
      </c>
      <c r="H318" s="223"/>
      <c r="I318" s="218" t="str">
        <f>"DRCBUK/BANK/2020/02/059"</f>
        <v>DRCBUK/BANK/2020/02/059</v>
      </c>
      <c r="K318" s="218" t="str">
        <f>"PETROX CONGO"</f>
        <v>PETROX CONGO</v>
      </c>
      <c r="L318" s="218" t="str">
        <f>"Pmt Carburant Véhicul Fev 2020 40%"</f>
        <v>Pmt Carburant Véhicul Fev 2020 40%</v>
      </c>
      <c r="M318" s="218" t="str">
        <f>"8250"</f>
        <v>8250</v>
      </c>
      <c r="N318" s="218" t="str">
        <f>"VEHICLE FUEL"</f>
        <v>VEHICLE FUEL</v>
      </c>
      <c r="O318" s="218" t="str">
        <f t="shared" si="115"/>
        <v>DRCBUK</v>
      </c>
      <c r="P318" s="218" t="str">
        <f t="shared" si="97"/>
        <v>AP21QR</v>
      </c>
      <c r="Q318" s="218" t="str">
        <f>""</f>
        <v/>
      </c>
      <c r="R318" s="218" t="str">
        <f>""</f>
        <v/>
      </c>
      <c r="S318" s="218" t="str">
        <f>"063"</f>
        <v>063</v>
      </c>
      <c r="T318" s="218" t="str">
        <f t="shared" si="110"/>
        <v>D</v>
      </c>
      <c r="U318" s="218" t="str">
        <f t="shared" si="116"/>
        <v>AFR000</v>
      </c>
      <c r="V318" s="218" t="str">
        <f t="shared" si="117"/>
        <v>###</v>
      </c>
      <c r="W318" s="218">
        <v>303.07</v>
      </c>
      <c r="X318" s="218" t="str">
        <f t="shared" si="118"/>
        <v>USD</v>
      </c>
      <c r="Y318" s="218">
        <v>229.72</v>
      </c>
      <c r="Z318" s="218">
        <v>303.07</v>
      </c>
      <c r="AA318" s="218">
        <v>272.88</v>
      </c>
    </row>
    <row r="319" spans="1:27">
      <c r="A319" s="218" t="s">
        <v>2592</v>
      </c>
      <c r="F319" s="219" t="str">
        <f>"""IntAlert Live"",""ALERT UK"",""17"",""1"",""516818"""</f>
        <v>"IntAlert Live","ALERT UK","17","1","516818"</v>
      </c>
      <c r="G319" s="223">
        <v>43839</v>
      </c>
      <c r="H319" s="223"/>
      <c r="I319" s="218" t="str">
        <f>"DRCBUK/BANK/2020/01/003"</f>
        <v>DRCBUK/BANK/2020/01/003</v>
      </c>
      <c r="K319" s="218" t="str">
        <f>"SCCT"</f>
        <v>SCCT</v>
      </c>
      <c r="L319" s="218" t="str">
        <f>"Control Technique Ex. 2020 Mob 7077AC19"</f>
        <v>Control Technique Ex. 2020 Mob 7077AC19</v>
      </c>
      <c r="M319" s="218" t="str">
        <f>"8440"</f>
        <v>8440</v>
      </c>
      <c r="N319" s="218" t="str">
        <f>"MAINTENANCE OF VEHICLE"</f>
        <v>MAINTENANCE OF VEHICLE</v>
      </c>
      <c r="O319" s="218" t="str">
        <f t="shared" si="115"/>
        <v>DRCBUK</v>
      </c>
      <c r="P319" s="218" t="str">
        <f t="shared" si="97"/>
        <v>AP21QR</v>
      </c>
      <c r="Q319" s="218" t="str">
        <f>""</f>
        <v/>
      </c>
      <c r="R319" s="218" t="str">
        <f>""</f>
        <v/>
      </c>
      <c r="S319" s="218" t="str">
        <f>"064"</f>
        <v>064</v>
      </c>
      <c r="T319" s="218" t="str">
        <f t="shared" si="110"/>
        <v>D</v>
      </c>
      <c r="U319" s="218" t="str">
        <f t="shared" si="116"/>
        <v>AFR000</v>
      </c>
      <c r="V319" s="218" t="str">
        <f t="shared" si="117"/>
        <v>###</v>
      </c>
      <c r="W319" s="218">
        <v>53</v>
      </c>
      <c r="X319" s="218" t="str">
        <f t="shared" si="118"/>
        <v>USD</v>
      </c>
      <c r="Y319" s="218">
        <v>39.950000000000003</v>
      </c>
      <c r="Z319" s="218">
        <v>53</v>
      </c>
      <c r="AA319" s="218">
        <v>46.89</v>
      </c>
    </row>
    <row r="320" spans="1:27">
      <c r="A320" s="218" t="s">
        <v>2592</v>
      </c>
      <c r="F320" s="219" t="str">
        <f>"""IntAlert Live"",""ALERT UK"",""17"",""1"",""516825"""</f>
        <v>"IntAlert Live","ALERT UK","17","1","516825"</v>
      </c>
      <c r="G320" s="223">
        <v>43839</v>
      </c>
      <c r="H320" s="223"/>
      <c r="I320" s="218" t="str">
        <f>"DRCBUK/BANK/2020/01/004"</f>
        <v>DRCBUK/BANK/2020/01/004</v>
      </c>
      <c r="K320" s="218" t="str">
        <f>"DGDA"</f>
        <v>DGDA</v>
      </c>
      <c r="L320" s="218" t="str">
        <f>"Carte de Sortie DRC 10/1-09/4 Mob 7077AC19"</f>
        <v>Carte de Sortie DRC 10/1-09/4 Mob 7077AC19</v>
      </c>
      <c r="M320" s="218" t="str">
        <f>"9580"</f>
        <v>9580</v>
      </c>
      <c r="N320" s="218" t="str">
        <f>"INSURANCE VEHICLE"</f>
        <v>INSURANCE VEHICLE</v>
      </c>
      <c r="O320" s="218" t="str">
        <f t="shared" si="115"/>
        <v>DRCBUK</v>
      </c>
      <c r="P320" s="218" t="str">
        <f t="shared" si="97"/>
        <v>AP21QR</v>
      </c>
      <c r="Q320" s="218" t="str">
        <f>""</f>
        <v/>
      </c>
      <c r="R320" s="218" t="str">
        <f>""</f>
        <v/>
      </c>
      <c r="S320" s="218" t="str">
        <f>"064"</f>
        <v>064</v>
      </c>
      <c r="T320" s="218" t="str">
        <f t="shared" si="110"/>
        <v>D</v>
      </c>
      <c r="U320" s="218" t="str">
        <f t="shared" si="116"/>
        <v>AFR000</v>
      </c>
      <c r="V320" s="218" t="str">
        <f t="shared" si="117"/>
        <v>###</v>
      </c>
      <c r="W320" s="218">
        <v>90</v>
      </c>
      <c r="X320" s="218" t="str">
        <f t="shared" si="118"/>
        <v>USD</v>
      </c>
      <c r="Y320" s="218">
        <v>67.83</v>
      </c>
      <c r="Z320" s="218">
        <v>90</v>
      </c>
      <c r="AA320" s="218">
        <v>79.61</v>
      </c>
    </row>
    <row r="321" spans="1:27">
      <c r="A321" s="218" t="s">
        <v>2592</v>
      </c>
      <c r="F321" s="219" t="str">
        <f>"""IntAlert Live"",""ALERT UK"",""17"",""1"",""516826"""</f>
        <v>"IntAlert Live","ALERT UK","17","1","516826"</v>
      </c>
      <c r="G321" s="223">
        <v>43839</v>
      </c>
      <c r="H321" s="223"/>
      <c r="I321" s="218" t="str">
        <f>"DRCBUK/BANK/2020/01/004"</f>
        <v>DRCBUK/BANK/2020/01/004</v>
      </c>
      <c r="K321" s="218" t="str">
        <f>"RWANDA REVENUE A"</f>
        <v>RWANDA REVENUE A</v>
      </c>
      <c r="L321" s="218" t="str">
        <f>"Carte d'entrée RWANDA 10/1-09/4 Mob 7077AC19"</f>
        <v>Carte d'entrée RWANDA 10/1-09/4 Mob 7077AC19</v>
      </c>
      <c r="M321" s="218" t="str">
        <f>"9580"</f>
        <v>9580</v>
      </c>
      <c r="N321" s="218" t="str">
        <f>"INSURANCE VEHICLE"</f>
        <v>INSURANCE VEHICLE</v>
      </c>
      <c r="O321" s="218" t="str">
        <f t="shared" si="115"/>
        <v>DRCBUK</v>
      </c>
      <c r="P321" s="218" t="str">
        <f t="shared" si="97"/>
        <v>AP21QR</v>
      </c>
      <c r="Q321" s="218" t="str">
        <f>""</f>
        <v/>
      </c>
      <c r="R321" s="218" t="str">
        <f>""</f>
        <v/>
      </c>
      <c r="S321" s="218" t="str">
        <f>"064"</f>
        <v>064</v>
      </c>
      <c r="T321" s="218" t="str">
        <f t="shared" si="110"/>
        <v>D</v>
      </c>
      <c r="U321" s="218" t="str">
        <f t="shared" si="116"/>
        <v>AFR000</v>
      </c>
      <c r="V321" s="218" t="str">
        <f t="shared" si="117"/>
        <v>###</v>
      </c>
      <c r="W321" s="218">
        <v>150</v>
      </c>
      <c r="X321" s="218" t="str">
        <f t="shared" si="118"/>
        <v>USD</v>
      </c>
      <c r="Y321" s="218">
        <v>113.06</v>
      </c>
      <c r="Z321" s="218">
        <v>150</v>
      </c>
      <c r="AA321" s="218">
        <v>132.69</v>
      </c>
    </row>
    <row r="322" spans="1:27">
      <c r="A322" s="218" t="s">
        <v>2592</v>
      </c>
      <c r="F322" s="219" t="str">
        <f>"""IntAlert Live"",""ALERT UK"",""17"",""1"",""539801"""</f>
        <v>"IntAlert Live","ALERT UK","17","1","539801"</v>
      </c>
      <c r="G322" s="223">
        <v>43903</v>
      </c>
      <c r="H322" s="223"/>
      <c r="I322" s="218" t="str">
        <f>"DRCBUK/BANK/2020/03/021"</f>
        <v>DRCBUK/BANK/2020/03/021</v>
      </c>
      <c r="K322" s="218" t="str">
        <f>"SINGRAL AUTO"</f>
        <v>SINGRAL AUTO</v>
      </c>
      <c r="L322" s="218" t="str">
        <f>"Maintence de Vehicul CAM 100%"</f>
        <v>Maintence de Vehicul CAM 100%</v>
      </c>
      <c r="M322" s="218" t="str">
        <f>"8440"</f>
        <v>8440</v>
      </c>
      <c r="N322" s="218" t="str">
        <f>"MAINTENANCE OF VEHICLE"</f>
        <v>MAINTENANCE OF VEHICLE</v>
      </c>
      <c r="O322" s="218" t="str">
        <f t="shared" si="115"/>
        <v>DRCBUK</v>
      </c>
      <c r="P322" s="218" t="str">
        <f t="shared" si="97"/>
        <v>AP21QR</v>
      </c>
      <c r="Q322" s="218" t="str">
        <f>""</f>
        <v/>
      </c>
      <c r="R322" s="218" t="str">
        <f>""</f>
        <v/>
      </c>
      <c r="S322" s="218" t="str">
        <f>"064"</f>
        <v>064</v>
      </c>
      <c r="T322" s="218" t="str">
        <f t="shared" si="110"/>
        <v>D</v>
      </c>
      <c r="U322" s="218" t="str">
        <f t="shared" si="116"/>
        <v>AFR000</v>
      </c>
      <c r="V322" s="218" t="str">
        <f t="shared" si="117"/>
        <v>###</v>
      </c>
      <c r="W322" s="218">
        <v>80</v>
      </c>
      <c r="X322" s="218" t="str">
        <f t="shared" si="118"/>
        <v>USD</v>
      </c>
      <c r="Y322" s="218">
        <v>62.4</v>
      </c>
      <c r="Z322" s="218">
        <v>80</v>
      </c>
      <c r="AA322" s="218">
        <v>73.42</v>
      </c>
    </row>
    <row r="323" spans="1:27">
      <c r="A323" s="218" t="s">
        <v>2592</v>
      </c>
      <c r="F323" s="219" t="str">
        <f>"""IntAlert Live"",""ALERT UK"",""17"",""1"",""539851"""</f>
        <v>"IntAlert Live","ALERT UK","17","1","539851"</v>
      </c>
      <c r="G323" s="223">
        <v>43921</v>
      </c>
      <c r="H323" s="223"/>
      <c r="I323" s="218" t="str">
        <f>"DRCBUK/BANK/2020/03/027"</f>
        <v>DRCBUK/BANK/2020/03/027</v>
      </c>
      <c r="K323" s="218" t="str">
        <f>"SINGRAL AUTO"</f>
        <v>SINGRAL AUTO</v>
      </c>
      <c r="L323" s="218" t="str">
        <f>"Vehicle repairs 6241AE19"</f>
        <v>Vehicle repairs 6241AE19</v>
      </c>
      <c r="M323" s="218" t="str">
        <f>"8440"</f>
        <v>8440</v>
      </c>
      <c r="N323" s="218" t="str">
        <f>"MAINTENANCE OF VEHICLE"</f>
        <v>MAINTENANCE OF VEHICLE</v>
      </c>
      <c r="O323" s="218" t="str">
        <f t="shared" si="115"/>
        <v>DRCBUK</v>
      </c>
      <c r="P323" s="218" t="str">
        <f t="shared" si="97"/>
        <v>AP21QR</v>
      </c>
      <c r="Q323" s="218" t="str">
        <f>""</f>
        <v/>
      </c>
      <c r="R323" s="218" t="str">
        <f>""</f>
        <v/>
      </c>
      <c r="S323" s="218" t="str">
        <f>"064"</f>
        <v>064</v>
      </c>
      <c r="T323" s="218" t="str">
        <f t="shared" si="110"/>
        <v>D</v>
      </c>
      <c r="U323" s="218" t="str">
        <f t="shared" si="116"/>
        <v>AFR000</v>
      </c>
      <c r="V323" s="218" t="str">
        <f t="shared" si="117"/>
        <v>###</v>
      </c>
      <c r="W323" s="218">
        <v>545</v>
      </c>
      <c r="X323" s="218" t="str">
        <f t="shared" si="118"/>
        <v>USD</v>
      </c>
      <c r="Y323" s="218">
        <v>425.12</v>
      </c>
      <c r="Z323" s="218">
        <v>545</v>
      </c>
      <c r="AA323" s="218">
        <v>500.17</v>
      </c>
    </row>
    <row r="324" spans="1:27">
      <c r="A324" s="218" t="s">
        <v>2592</v>
      </c>
      <c r="F324" s="219" t="str">
        <f>"""IntAlert Live"",""ALERT UK"",""17"",""1"",""517302"""</f>
        <v>"IntAlert Live","ALERT UK","17","1","517302"</v>
      </c>
      <c r="G324" s="223">
        <v>43850</v>
      </c>
      <c r="H324" s="223"/>
      <c r="I324" s="218" t="str">
        <f>"DRCBUK/GENJNL/2020/01/001"</f>
        <v>DRCBUK/GENJNL/2020/01/001</v>
      </c>
      <c r="K324" s="218" t="str">
        <f>"JEAN BOSCO SIBORUREMA"</f>
        <v>JEAN BOSCO SIBORUREMA</v>
      </c>
      <c r="L324" s="218" t="str">
        <f>"Frais de voyage JB Siborurema à Bukavu"</f>
        <v>Frais de voyage JB Siborurema à Bukavu</v>
      </c>
      <c r="M324" s="218" t="str">
        <f>"6080"</f>
        <v>6080</v>
      </c>
      <c r="N324" s="218" t="str">
        <f>"STAFF PER DIEMS"</f>
        <v>STAFF PER DIEMS</v>
      </c>
      <c r="O324" s="218" t="str">
        <f t="shared" si="115"/>
        <v>DRCBUK</v>
      </c>
      <c r="P324" s="218" t="str">
        <f t="shared" si="97"/>
        <v>AP21QR</v>
      </c>
      <c r="Q324" s="218" t="str">
        <f>"SIB"</f>
        <v>SIB</v>
      </c>
      <c r="R324" s="218" t="str">
        <f>""</f>
        <v/>
      </c>
      <c r="S324" s="218" t="str">
        <f t="shared" ref="S324:S352" si="119">"066"</f>
        <v>066</v>
      </c>
      <c r="T324" s="218" t="str">
        <f t="shared" si="110"/>
        <v>D</v>
      </c>
      <c r="U324" s="218" t="str">
        <f t="shared" si="116"/>
        <v>AFR000</v>
      </c>
      <c r="V324" s="218" t="str">
        <f t="shared" si="117"/>
        <v>###</v>
      </c>
      <c r="W324" s="218">
        <v>47.25</v>
      </c>
      <c r="X324" s="218" t="str">
        <f t="shared" si="118"/>
        <v>USD</v>
      </c>
      <c r="Y324" s="218">
        <v>35.61</v>
      </c>
      <c r="Z324" s="218">
        <v>47.25</v>
      </c>
      <c r="AA324" s="218">
        <v>41.79</v>
      </c>
    </row>
    <row r="325" spans="1:27">
      <c r="A325" s="218" t="s">
        <v>2592</v>
      </c>
      <c r="F325" s="219" t="str">
        <f>"""IntAlert Live"",""ALERT UK"",""17"",""1"",""516939"""</f>
        <v>"IntAlert Live","ALERT UK","17","1","516939"</v>
      </c>
      <c r="G325" s="223">
        <v>43859</v>
      </c>
      <c r="H325" s="223"/>
      <c r="I325" s="218" t="str">
        <f>"DRCBUK/BANK/2020/01/015"</f>
        <v>DRCBUK/BANK/2020/01/015</v>
      </c>
      <c r="K325" s="218" t="str">
        <f>"BEGONIAS HOTEL"</f>
        <v>BEGONIAS HOTEL</v>
      </c>
      <c r="L325" s="218" t="str">
        <f>"Frs de logemnt Jean Bosco 24-28/01-BUK 25%"</f>
        <v>Frs de logemnt Jean Bosco 24-28/01-BUK 25%</v>
      </c>
      <c r="M325" s="218" t="str">
        <f>"6030"</f>
        <v>6030</v>
      </c>
      <c r="N325" s="218" t="str">
        <f>"STAFF ACCOMMODATION   HOTELS"</f>
        <v>STAFF ACCOMMODATION   HOTELS</v>
      </c>
      <c r="O325" s="218" t="str">
        <f t="shared" si="115"/>
        <v>DRCBUK</v>
      </c>
      <c r="P325" s="218" t="str">
        <f t="shared" si="97"/>
        <v>AP21QR</v>
      </c>
      <c r="Q325" s="218" t="str">
        <f>"SIB"</f>
        <v>SIB</v>
      </c>
      <c r="R325" s="218" t="str">
        <f>""</f>
        <v/>
      </c>
      <c r="S325" s="218" t="str">
        <f t="shared" si="119"/>
        <v>066</v>
      </c>
      <c r="T325" s="218" t="str">
        <f t="shared" si="110"/>
        <v>D</v>
      </c>
      <c r="U325" s="218" t="str">
        <f t="shared" si="116"/>
        <v>AFR000</v>
      </c>
      <c r="V325" s="218" t="str">
        <f t="shared" si="117"/>
        <v>###</v>
      </c>
      <c r="W325" s="218">
        <v>80</v>
      </c>
      <c r="X325" s="218" t="str">
        <f t="shared" si="118"/>
        <v>USD</v>
      </c>
      <c r="Y325" s="218">
        <v>60.3</v>
      </c>
      <c r="Z325" s="218">
        <v>80</v>
      </c>
      <c r="AA325" s="218">
        <v>70.77</v>
      </c>
    </row>
    <row r="326" spans="1:27">
      <c r="A326" s="218" t="s">
        <v>2592</v>
      </c>
      <c r="F326" s="219" t="str">
        <f>"""IntAlert Live"",""ALERT UK"",""17"",""1"",""532882"""</f>
        <v>"IntAlert Live","ALERT UK","17","1","532882"</v>
      </c>
      <c r="G326" s="223">
        <v>43867</v>
      </c>
      <c r="H326" s="223"/>
      <c r="I326" s="218" t="str">
        <f>"DRCBUK/GENJNL/2020/02/001"</f>
        <v>DRCBUK/GENJNL/2020/02/001</v>
      </c>
      <c r="K326" s="218" t="str">
        <f>"BARNABÉ WANGU"</f>
        <v>BARNABÉ WANGU</v>
      </c>
      <c r="L326" s="218" t="str">
        <f>"Frs de de voyage Barnabé 02-06/02-BUK 50%"</f>
        <v>Frs de de voyage Barnabé 02-06/02-BUK 50%</v>
      </c>
      <c r="M326" s="218" t="str">
        <f>"6080"</f>
        <v>6080</v>
      </c>
      <c r="N326" s="218" t="str">
        <f>"STAFF PER DIEMS"</f>
        <v>STAFF PER DIEMS</v>
      </c>
      <c r="O326" s="218" t="str">
        <f t="shared" si="115"/>
        <v>DRCBUK</v>
      </c>
      <c r="P326" s="218" t="str">
        <f t="shared" si="97"/>
        <v>AP21QR</v>
      </c>
      <c r="Q326" s="218" t="str">
        <f>"BRB"</f>
        <v>BRB</v>
      </c>
      <c r="R326" s="218" t="str">
        <f>""</f>
        <v/>
      </c>
      <c r="S326" s="218" t="str">
        <f t="shared" si="119"/>
        <v>066</v>
      </c>
      <c r="T326" s="218" t="str">
        <f t="shared" si="110"/>
        <v>D</v>
      </c>
      <c r="U326" s="218" t="str">
        <f t="shared" si="116"/>
        <v>AFR000</v>
      </c>
      <c r="V326" s="218" t="str">
        <f t="shared" si="117"/>
        <v>###</v>
      </c>
      <c r="W326" s="218">
        <v>70</v>
      </c>
      <c r="X326" s="218" t="str">
        <f t="shared" si="118"/>
        <v>USD</v>
      </c>
      <c r="Y326" s="218">
        <v>53.06</v>
      </c>
      <c r="Z326" s="218">
        <v>70</v>
      </c>
      <c r="AA326" s="218">
        <v>63.03</v>
      </c>
    </row>
    <row r="327" spans="1:27">
      <c r="A327" s="218" t="s">
        <v>2592</v>
      </c>
      <c r="F327" s="219" t="str">
        <f>"""IntAlert Live"",""ALERT UK"",""17"",""1"",""532884"""</f>
        <v>"IntAlert Live","ALERT UK","17","1","532884"</v>
      </c>
      <c r="G327" s="223">
        <v>43867</v>
      </c>
      <c r="H327" s="223"/>
      <c r="I327" s="218" t="str">
        <f>"DRCBUK/GENJNL/2020/02/001"</f>
        <v>DRCBUK/GENJNL/2020/02/001</v>
      </c>
      <c r="K327" s="218" t="str">
        <f>"DGM"</f>
        <v>DGM</v>
      </c>
      <c r="L327" s="218" t="str">
        <f>"Frs de taxes bateau barnabé BUK-GOM"</f>
        <v>Frs de taxes bateau barnabé BUK-GOM</v>
      </c>
      <c r="M327" s="218" t="str">
        <f>"6020"</f>
        <v>6020</v>
      </c>
      <c r="N327" s="218" t="str">
        <f>"STAFF TRAVEL LOCAL"</f>
        <v>STAFF TRAVEL LOCAL</v>
      </c>
      <c r="O327" s="218" t="str">
        <f t="shared" si="115"/>
        <v>DRCBUK</v>
      </c>
      <c r="P327" s="218" t="str">
        <f t="shared" ref="P327:P390" si="120">"AP21QR"</f>
        <v>AP21QR</v>
      </c>
      <c r="Q327" s="218" t="str">
        <f>"BRB"</f>
        <v>BRB</v>
      </c>
      <c r="R327" s="218" t="str">
        <f>""</f>
        <v/>
      </c>
      <c r="S327" s="218" t="str">
        <f t="shared" si="119"/>
        <v>066</v>
      </c>
      <c r="T327" s="218" t="str">
        <f t="shared" ref="T327:T358" si="121">"D"</f>
        <v>D</v>
      </c>
      <c r="U327" s="218" t="str">
        <f t="shared" si="116"/>
        <v>AFR000</v>
      </c>
      <c r="V327" s="218" t="str">
        <f t="shared" si="117"/>
        <v>###</v>
      </c>
      <c r="W327" s="218">
        <v>1</v>
      </c>
      <c r="X327" s="218" t="str">
        <f t="shared" si="118"/>
        <v>USD</v>
      </c>
      <c r="Y327" s="218">
        <v>0.76</v>
      </c>
      <c r="Z327" s="218">
        <v>1</v>
      </c>
      <c r="AA327" s="218">
        <v>0.9</v>
      </c>
    </row>
    <row r="328" spans="1:27">
      <c r="A328" s="218" t="s">
        <v>2592</v>
      </c>
      <c r="F328" s="219" t="str">
        <f>"""IntAlert Live"",""ALERT UK"",""17"",""1"",""531906"""</f>
        <v>"IntAlert Live","ALERT UK","17","1","531906"</v>
      </c>
      <c r="G328" s="223">
        <v>43868</v>
      </c>
      <c r="H328" s="223"/>
      <c r="I328" s="218" t="str">
        <f>"DRCGOM/ CAISSE/2020/002/001"</f>
        <v>DRCGOM/ CAISSE/2020/002/001</v>
      </c>
      <c r="K328" s="218" t="str">
        <f>"CHRISTINE BWESSER"</f>
        <v>CHRISTINE BWESSER</v>
      </c>
      <c r="L328" s="218" t="str">
        <f>"Frs voy Christine 28-30/01/2020 Bukavu "</f>
        <v xml:space="preserve">Frs voy Christine 28-30/01/2020 Bukavu </v>
      </c>
      <c r="M328" s="218" t="str">
        <f>"6080"</f>
        <v>6080</v>
      </c>
      <c r="N328" s="218" t="str">
        <f>"STAFF PER DIEMS"</f>
        <v>STAFF PER DIEMS</v>
      </c>
      <c r="O328" s="218" t="str">
        <f>"DRCGOM"</f>
        <v>DRCGOM</v>
      </c>
      <c r="P328" s="218" t="str">
        <f t="shared" si="120"/>
        <v>AP21QR</v>
      </c>
      <c r="Q328" s="218" t="str">
        <f>"BUU"</f>
        <v>BUU</v>
      </c>
      <c r="R328" s="218" t="str">
        <f>""</f>
        <v/>
      </c>
      <c r="S328" s="218" t="str">
        <f t="shared" si="119"/>
        <v>066</v>
      </c>
      <c r="T328" s="218" t="str">
        <f t="shared" si="121"/>
        <v>D</v>
      </c>
      <c r="U328" s="218" t="str">
        <f t="shared" si="116"/>
        <v>AFR000</v>
      </c>
      <c r="V328" s="218" t="str">
        <f t="shared" si="117"/>
        <v>###</v>
      </c>
      <c r="W328" s="218">
        <v>80</v>
      </c>
      <c r="X328" s="218" t="str">
        <f t="shared" si="118"/>
        <v>USD</v>
      </c>
      <c r="Y328" s="218">
        <v>60.64</v>
      </c>
      <c r="Z328" s="218">
        <v>80</v>
      </c>
      <c r="AA328" s="218">
        <v>72.03</v>
      </c>
    </row>
    <row r="329" spans="1:27">
      <c r="A329" s="218" t="s">
        <v>2592</v>
      </c>
      <c r="F329" s="219" t="str">
        <f>"""IntAlert Live"",""ALERT UK"",""17"",""1"",""531929"""</f>
        <v>"IntAlert Live","ALERT UK","17","1","531929"</v>
      </c>
      <c r="G329" s="223">
        <v>43874</v>
      </c>
      <c r="H329" s="223"/>
      <c r="I329" s="218" t="str">
        <f>"DRCGOM/ CAISSE/2020/002/001"</f>
        <v>DRCGOM/ CAISSE/2020/002/001</v>
      </c>
      <c r="K329" s="218" t="str">
        <f>"IHUSI EXPRESS"</f>
        <v>IHUSI EXPRESS</v>
      </c>
      <c r="L329" s="218" t="str">
        <f>"Boat TKT Pascal Goma-Bukavu "</f>
        <v xml:space="preserve">Boat TKT Pascal Goma-Bukavu </v>
      </c>
      <c r="M329" s="218" t="str">
        <f>"6020"</f>
        <v>6020</v>
      </c>
      <c r="N329" s="218" t="str">
        <f>"STAFF TRAVEL LOCAL"</f>
        <v>STAFF TRAVEL LOCAL</v>
      </c>
      <c r="O329" s="218" t="str">
        <f>"DRCGOM"</f>
        <v>DRCGOM</v>
      </c>
      <c r="P329" s="218" t="str">
        <f t="shared" si="120"/>
        <v>AP21QR</v>
      </c>
      <c r="Q329" s="218" t="str">
        <f>"CIB"</f>
        <v>CIB</v>
      </c>
      <c r="R329" s="218" t="str">
        <f>""</f>
        <v/>
      </c>
      <c r="S329" s="218" t="str">
        <f t="shared" si="119"/>
        <v>066</v>
      </c>
      <c r="T329" s="218" t="str">
        <f t="shared" si="121"/>
        <v>D</v>
      </c>
      <c r="U329" s="218" t="str">
        <f t="shared" si="116"/>
        <v>AFR000</v>
      </c>
      <c r="V329" s="218" t="str">
        <f t="shared" si="117"/>
        <v>###</v>
      </c>
      <c r="W329" s="218">
        <v>80</v>
      </c>
      <c r="X329" s="218" t="str">
        <f t="shared" si="118"/>
        <v>USD</v>
      </c>
      <c r="Y329" s="218">
        <v>60.64</v>
      </c>
      <c r="Z329" s="218">
        <v>80</v>
      </c>
      <c r="AA329" s="218">
        <v>72.03</v>
      </c>
    </row>
    <row r="330" spans="1:27">
      <c r="A330" s="218" t="s">
        <v>2592</v>
      </c>
      <c r="F330" s="219" t="str">
        <f>"""IntAlert Live"",""ALERT UK"",""17"",""1"",""532332"""</f>
        <v>"IntAlert Live","ALERT UK","17","1","532332"</v>
      </c>
      <c r="G330" s="223">
        <v>43885</v>
      </c>
      <c r="H330" s="223"/>
      <c r="I330" s="218" t="str">
        <f>"DRCBUK/BANK/2020/02/020"</f>
        <v>DRCBUK/BANK/2020/02/020</v>
      </c>
      <c r="K330" s="218" t="str">
        <f>"HOTEL BEGONIAS"</f>
        <v>HOTEL BEGONIAS</v>
      </c>
      <c r="L330" s="218" t="str">
        <f>"Location Salle pr réunion Skype christine avec H.O 40%"</f>
        <v>Location Salle pr réunion Skype christine avec H.O 40%</v>
      </c>
      <c r="M330" s="218" t="str">
        <f>"6640"</f>
        <v>6640</v>
      </c>
      <c r="N330" s="218" t="str">
        <f>"VENUE HIRE"</f>
        <v>VENUE HIRE</v>
      </c>
      <c r="O330" s="218" t="str">
        <f>"DRCBUK"</f>
        <v>DRCBUK</v>
      </c>
      <c r="P330" s="218" t="str">
        <f t="shared" si="120"/>
        <v>AP21QR</v>
      </c>
      <c r="Q330" s="218" t="str">
        <f>""</f>
        <v/>
      </c>
      <c r="R330" s="218" t="str">
        <f>""</f>
        <v/>
      </c>
      <c r="S330" s="218" t="str">
        <f t="shared" si="119"/>
        <v>066</v>
      </c>
      <c r="T330" s="218" t="str">
        <f t="shared" si="121"/>
        <v>D</v>
      </c>
      <c r="U330" s="218" t="str">
        <f t="shared" si="116"/>
        <v>AFR000</v>
      </c>
      <c r="V330" s="218" t="str">
        <f t="shared" si="117"/>
        <v>###</v>
      </c>
      <c r="W330" s="218">
        <v>32</v>
      </c>
      <c r="X330" s="218" t="str">
        <f t="shared" si="118"/>
        <v>USD</v>
      </c>
      <c r="Y330" s="218">
        <v>24.26</v>
      </c>
      <c r="Z330" s="218">
        <v>32</v>
      </c>
      <c r="AA330" s="218">
        <v>28.82</v>
      </c>
    </row>
    <row r="331" spans="1:27">
      <c r="A331" s="218" t="s">
        <v>2592</v>
      </c>
      <c r="F331" s="219" t="str">
        <f>"""IntAlert Live"",""ALERT UK"",""17"",""1"",""532865"""</f>
        <v>"IntAlert Live","ALERT UK","17","1","532865"</v>
      </c>
      <c r="G331" s="223">
        <v>43886</v>
      </c>
      <c r="H331" s="223"/>
      <c r="I331" s="218" t="str">
        <f>"DRCBUK/CAISSE/2020/02/002"</f>
        <v>DRCBUK/CAISSE/2020/02/002</v>
      </c>
      <c r="K331" s="218" t="str">
        <f>"IHUSI EXPRESS"</f>
        <v>IHUSI EXPRESS</v>
      </c>
      <c r="L331" s="218" t="str">
        <f>"Tick boat Jean boscoBUK-GOM Janv 2020 40%"</f>
        <v>Tick boat Jean boscoBUK-GOM Janv 2020 40%</v>
      </c>
      <c r="M331" s="218" t="str">
        <f>"6020"</f>
        <v>6020</v>
      </c>
      <c r="N331" s="218" t="str">
        <f>"STAFF TRAVEL LOCAL"</f>
        <v>STAFF TRAVEL LOCAL</v>
      </c>
      <c r="O331" s="218" t="str">
        <f>"DRCBUK"</f>
        <v>DRCBUK</v>
      </c>
      <c r="P331" s="218" t="str">
        <f t="shared" si="120"/>
        <v>AP21QR</v>
      </c>
      <c r="Q331" s="218" t="str">
        <f>"SIB"</f>
        <v>SIB</v>
      </c>
      <c r="R331" s="218" t="str">
        <f>""</f>
        <v/>
      </c>
      <c r="S331" s="218" t="str">
        <f t="shared" si="119"/>
        <v>066</v>
      </c>
      <c r="T331" s="218" t="str">
        <f t="shared" si="121"/>
        <v>D</v>
      </c>
      <c r="U331" s="218" t="str">
        <f t="shared" si="116"/>
        <v>AFR000</v>
      </c>
      <c r="V331" s="218" t="str">
        <f t="shared" si="117"/>
        <v>###</v>
      </c>
      <c r="W331" s="218">
        <v>16</v>
      </c>
      <c r="X331" s="218" t="str">
        <f t="shared" si="118"/>
        <v>USD</v>
      </c>
      <c r="Y331" s="218">
        <v>12.13</v>
      </c>
      <c r="Z331" s="218">
        <v>16</v>
      </c>
      <c r="AA331" s="218">
        <v>14.41</v>
      </c>
    </row>
    <row r="332" spans="1:27">
      <c r="A332" s="218" t="s">
        <v>2592</v>
      </c>
      <c r="F332" s="219" t="str">
        <f>"""IntAlert Live"",""ALERT UK"",""17"",""1"",""532867"""</f>
        <v>"IntAlert Live","ALERT UK","17","1","532867"</v>
      </c>
      <c r="G332" s="223">
        <v>43886</v>
      </c>
      <c r="H332" s="223"/>
      <c r="I332" s="218" t="str">
        <f>"DRCBUK/CAISSE/2020/02/002"</f>
        <v>DRCBUK/CAISSE/2020/02/002</v>
      </c>
      <c r="K332" s="218" t="str">
        <f>"IHUSI EXPRESS"</f>
        <v>IHUSI EXPRESS</v>
      </c>
      <c r="L332" s="218" t="str">
        <f>"Tick boat Christine BUK-GOM Janv 2020 30%"</f>
        <v>Tick boat Christine BUK-GOM Janv 2020 30%</v>
      </c>
      <c r="M332" s="218" t="str">
        <f>"6020"</f>
        <v>6020</v>
      </c>
      <c r="N332" s="218" t="str">
        <f>"STAFF TRAVEL LOCAL"</f>
        <v>STAFF TRAVEL LOCAL</v>
      </c>
      <c r="O332" s="218" t="str">
        <f>"DRCBUK"</f>
        <v>DRCBUK</v>
      </c>
      <c r="P332" s="218" t="str">
        <f t="shared" si="120"/>
        <v>AP21QR</v>
      </c>
      <c r="Q332" s="218" t="str">
        <f>"SIB"</f>
        <v>SIB</v>
      </c>
      <c r="R332" s="218" t="str">
        <f>""</f>
        <v/>
      </c>
      <c r="S332" s="218" t="str">
        <f t="shared" si="119"/>
        <v>066</v>
      </c>
      <c r="T332" s="218" t="str">
        <f t="shared" si="121"/>
        <v>D</v>
      </c>
      <c r="U332" s="218" t="str">
        <f t="shared" si="116"/>
        <v>AFR000</v>
      </c>
      <c r="V332" s="218" t="str">
        <f t="shared" si="117"/>
        <v>###</v>
      </c>
      <c r="W332" s="218">
        <v>12</v>
      </c>
      <c r="X332" s="218" t="str">
        <f t="shared" si="118"/>
        <v>USD</v>
      </c>
      <c r="Y332" s="218">
        <v>9.1</v>
      </c>
      <c r="Z332" s="218">
        <v>12</v>
      </c>
      <c r="AA332" s="218">
        <v>10.81</v>
      </c>
    </row>
    <row r="333" spans="1:27">
      <c r="A333" s="218" t="s">
        <v>2592</v>
      </c>
      <c r="F333" s="219" t="str">
        <f>"""IntAlert Live"",""ALERT UK"",""17"",""1"",""531999"""</f>
        <v>"IntAlert Live","ALERT UK","17","1","531999"</v>
      </c>
      <c r="G333" s="223">
        <v>43889</v>
      </c>
      <c r="H333" s="223"/>
      <c r="I333" s="218" t="str">
        <f>"DRCGOM/ AVANCE/2020/002/006"</f>
        <v>DRCGOM/ AVANCE/2020/002/006</v>
      </c>
      <c r="K333" s="218" t="str">
        <f>"JEANBOSCO SIBORUREMA"</f>
        <v>JEANBOSCO SIBORUREMA</v>
      </c>
      <c r="L333" s="218" t="str">
        <f>"Frs voyage Jeanbosco 12-13 Feb 2020 Bukavu "</f>
        <v xml:space="preserve">Frs voyage Jeanbosco 12-13 Feb 2020 Bukavu </v>
      </c>
      <c r="M333" s="218" t="str">
        <f>"6080"</f>
        <v>6080</v>
      </c>
      <c r="N333" s="218" t="str">
        <f>"STAFF PER DIEMS"</f>
        <v>STAFF PER DIEMS</v>
      </c>
      <c r="O333" s="218" t="str">
        <f t="shared" ref="O333:O343" si="122">"DRCGOM"</f>
        <v>DRCGOM</v>
      </c>
      <c r="P333" s="218" t="str">
        <f t="shared" si="120"/>
        <v>AP21QR</v>
      </c>
      <c r="Q333" s="218" t="str">
        <f>"SIB"</f>
        <v>SIB</v>
      </c>
      <c r="R333" s="218" t="str">
        <f>""</f>
        <v/>
      </c>
      <c r="S333" s="218" t="str">
        <f t="shared" si="119"/>
        <v>066</v>
      </c>
      <c r="T333" s="218" t="str">
        <f t="shared" si="121"/>
        <v>D</v>
      </c>
      <c r="U333" s="218" t="str">
        <f t="shared" si="116"/>
        <v>AFR000</v>
      </c>
      <c r="V333" s="218" t="str">
        <f t="shared" si="117"/>
        <v>###</v>
      </c>
      <c r="W333" s="218">
        <v>17.5</v>
      </c>
      <c r="X333" s="218" t="str">
        <f t="shared" si="118"/>
        <v>USD</v>
      </c>
      <c r="Y333" s="218">
        <v>13.26</v>
      </c>
      <c r="Z333" s="218">
        <v>17.5</v>
      </c>
      <c r="AA333" s="218">
        <v>15.75</v>
      </c>
    </row>
    <row r="334" spans="1:27">
      <c r="A334" s="218" t="s">
        <v>2592</v>
      </c>
      <c r="F334" s="219" t="str">
        <f>"""IntAlert Live"",""ALERT UK"",""17"",""1"",""532003"""</f>
        <v>"IntAlert Live","ALERT UK","17","1","532003"</v>
      </c>
      <c r="G334" s="223">
        <v>43889</v>
      </c>
      <c r="H334" s="223"/>
      <c r="I334" s="218" t="str">
        <f>"DRCGOM/ AVANCE/2020/002/007"</f>
        <v>DRCGOM/ AVANCE/2020/002/007</v>
      </c>
      <c r="K334" s="218" t="str">
        <f>"PASCAL BUHASHE"</f>
        <v>PASCAL BUHASHE</v>
      </c>
      <c r="L334" s="218" t="str">
        <f>"Frs voyage Pascal 21-31/01/2020"</f>
        <v>Frs voyage Pascal 21-31/01/2020</v>
      </c>
      <c r="M334" s="218" t="str">
        <f>"6080"</f>
        <v>6080</v>
      </c>
      <c r="N334" s="218" t="str">
        <f>"STAFF PER DIEMS"</f>
        <v>STAFF PER DIEMS</v>
      </c>
      <c r="O334" s="218" t="str">
        <f t="shared" si="122"/>
        <v>DRCGOM</v>
      </c>
      <c r="P334" s="218" t="str">
        <f t="shared" si="120"/>
        <v>AP21QR</v>
      </c>
      <c r="Q334" s="218" t="str">
        <f>"CIB"</f>
        <v>CIB</v>
      </c>
      <c r="R334" s="218" t="str">
        <f>""</f>
        <v/>
      </c>
      <c r="S334" s="218" t="str">
        <f t="shared" si="119"/>
        <v>066</v>
      </c>
      <c r="T334" s="218" t="str">
        <f t="shared" si="121"/>
        <v>D</v>
      </c>
      <c r="U334" s="218" t="str">
        <f t="shared" si="116"/>
        <v>AFR000</v>
      </c>
      <c r="V334" s="218" t="str">
        <f t="shared" si="117"/>
        <v>###</v>
      </c>
      <c r="W334" s="218">
        <v>364</v>
      </c>
      <c r="X334" s="218" t="str">
        <f t="shared" si="118"/>
        <v>USD</v>
      </c>
      <c r="Y334" s="218">
        <v>275.89999999999998</v>
      </c>
      <c r="Z334" s="218">
        <v>364</v>
      </c>
      <c r="AA334" s="218">
        <v>327.74</v>
      </c>
    </row>
    <row r="335" spans="1:27">
      <c r="A335" s="218" t="s">
        <v>2592</v>
      </c>
      <c r="F335" s="219" t="str">
        <f>"""IntAlert Live"",""ALERT UK"",""17"",""1"",""532004"""</f>
        <v>"IntAlert Live","ALERT UK","17","1","532004"</v>
      </c>
      <c r="G335" s="223">
        <v>43889</v>
      </c>
      <c r="H335" s="223"/>
      <c r="I335" s="218" t="str">
        <f>"DRCGOM/ AVANCE/2020/002/007"</f>
        <v>DRCGOM/ AVANCE/2020/002/007</v>
      </c>
      <c r="K335" s="218" t="str">
        <f>"DGRNK"</f>
        <v>DGRNK</v>
      </c>
      <c r="L335" s="218" t="str">
        <f>"Acces port Pascal "</f>
        <v xml:space="preserve">Acces port Pascal </v>
      </c>
      <c r="M335" s="218" t="str">
        <f>"6020"</f>
        <v>6020</v>
      </c>
      <c r="N335" s="218" t="str">
        <f>"STAFF TRAVEL LOCAL"</f>
        <v>STAFF TRAVEL LOCAL</v>
      </c>
      <c r="O335" s="218" t="str">
        <f t="shared" si="122"/>
        <v>DRCGOM</v>
      </c>
      <c r="P335" s="218" t="str">
        <f t="shared" si="120"/>
        <v>AP21QR</v>
      </c>
      <c r="Q335" s="218" t="str">
        <f>"CIB"</f>
        <v>CIB</v>
      </c>
      <c r="R335" s="218" t="str">
        <f>""</f>
        <v/>
      </c>
      <c r="S335" s="218" t="str">
        <f t="shared" si="119"/>
        <v>066</v>
      </c>
      <c r="T335" s="218" t="str">
        <f t="shared" si="121"/>
        <v>D</v>
      </c>
      <c r="U335" s="218" t="str">
        <f t="shared" si="116"/>
        <v>AFR000</v>
      </c>
      <c r="V335" s="218" t="str">
        <f t="shared" si="117"/>
        <v>###</v>
      </c>
      <c r="W335" s="218">
        <v>1</v>
      </c>
      <c r="X335" s="218" t="str">
        <f t="shared" si="118"/>
        <v>USD</v>
      </c>
      <c r="Y335" s="218">
        <v>0.76</v>
      </c>
      <c r="Z335" s="218">
        <v>1</v>
      </c>
      <c r="AA335" s="218">
        <v>0.9</v>
      </c>
    </row>
    <row r="336" spans="1:27">
      <c r="A336" s="218" t="s">
        <v>2592</v>
      </c>
      <c r="F336" s="219" t="str">
        <f>"""IntAlert Live"",""ALERT UK"",""17"",""1"",""537563"""</f>
        <v>"IntAlert Live","ALERT UK","17","1","537563"</v>
      </c>
      <c r="G336" s="223">
        <v>43891</v>
      </c>
      <c r="H336" s="223"/>
      <c r="I336" s="218" t="str">
        <f>"DRCGOM/ CAISSE/2020/003/001"</f>
        <v>DRCGOM/ CAISSE/2020/003/001</v>
      </c>
      <c r="K336" s="218" t="str">
        <f>"CHRISTINE BUESSER"</f>
        <v>CHRISTINE BUESSER</v>
      </c>
      <c r="L336" s="218" t="str">
        <f>"Frs voyage Christine 20-23/02 Bukavu "</f>
        <v xml:space="preserve">Frs voyage Christine 20-23/02 Bukavu </v>
      </c>
      <c r="M336" s="218" t="str">
        <f>"6080"</f>
        <v>6080</v>
      </c>
      <c r="N336" s="218" t="str">
        <f>"STAFF PER DIEMS"</f>
        <v>STAFF PER DIEMS</v>
      </c>
      <c r="O336" s="218" t="str">
        <f t="shared" si="122"/>
        <v>DRCGOM</v>
      </c>
      <c r="P336" s="218" t="str">
        <f t="shared" si="120"/>
        <v>AP21QR</v>
      </c>
      <c r="Q336" s="218" t="str">
        <f>"BUU"</f>
        <v>BUU</v>
      </c>
      <c r="R336" s="218" t="str">
        <f>""</f>
        <v/>
      </c>
      <c r="S336" s="218" t="str">
        <f t="shared" si="119"/>
        <v>066</v>
      </c>
      <c r="T336" s="218" t="str">
        <f t="shared" si="121"/>
        <v>D</v>
      </c>
      <c r="U336" s="218" t="str">
        <f t="shared" si="116"/>
        <v>AFR000</v>
      </c>
      <c r="V336" s="218" t="str">
        <f t="shared" si="117"/>
        <v>###</v>
      </c>
      <c r="W336" s="218">
        <v>75</v>
      </c>
      <c r="X336" s="218" t="str">
        <f t="shared" si="118"/>
        <v>USD</v>
      </c>
      <c r="Y336" s="218">
        <v>58.5</v>
      </c>
      <c r="Z336" s="218">
        <v>75</v>
      </c>
      <c r="AA336" s="218">
        <v>68.83</v>
      </c>
    </row>
    <row r="337" spans="1:27">
      <c r="A337" s="218" t="s">
        <v>2592</v>
      </c>
      <c r="F337" s="219" t="str">
        <f>"""IntAlert Live"",""ALERT UK"",""17"",""1"",""537566"""</f>
        <v>"IntAlert Live","ALERT UK","17","1","537566"</v>
      </c>
      <c r="G337" s="223">
        <v>43892</v>
      </c>
      <c r="H337" s="223"/>
      <c r="I337" s="218" t="str">
        <f>"DRCGOM/ CAISSE/2020/003/001"</f>
        <v>DRCGOM/ CAISSE/2020/003/001</v>
      </c>
      <c r="K337" s="218" t="str">
        <f>"CHRISTINE BUESSER"</f>
        <v>CHRISTINE BUESSER</v>
      </c>
      <c r="L337" s="218" t="str">
        <f>"Frs voyage Christine 25-27/02 Bukavu "</f>
        <v xml:space="preserve">Frs voyage Christine 25-27/02 Bukavu </v>
      </c>
      <c r="M337" s="218" t="str">
        <f>"6080"</f>
        <v>6080</v>
      </c>
      <c r="N337" s="218" t="str">
        <f>"STAFF PER DIEMS"</f>
        <v>STAFF PER DIEMS</v>
      </c>
      <c r="O337" s="218" t="str">
        <f t="shared" si="122"/>
        <v>DRCGOM</v>
      </c>
      <c r="P337" s="218" t="str">
        <f t="shared" si="120"/>
        <v>AP21QR</v>
      </c>
      <c r="Q337" s="218" t="str">
        <f>"BUU"</f>
        <v>BUU</v>
      </c>
      <c r="R337" s="218" t="str">
        <f>""</f>
        <v/>
      </c>
      <c r="S337" s="218" t="str">
        <f t="shared" si="119"/>
        <v>066</v>
      </c>
      <c r="T337" s="218" t="str">
        <f t="shared" si="121"/>
        <v>D</v>
      </c>
      <c r="U337" s="218" t="str">
        <f t="shared" si="116"/>
        <v>AFR000</v>
      </c>
      <c r="V337" s="218" t="str">
        <f t="shared" si="117"/>
        <v>###</v>
      </c>
      <c r="W337" s="218">
        <v>35</v>
      </c>
      <c r="X337" s="218" t="str">
        <f t="shared" si="118"/>
        <v>USD</v>
      </c>
      <c r="Y337" s="218">
        <v>27.3</v>
      </c>
      <c r="Z337" s="218">
        <v>35</v>
      </c>
      <c r="AA337" s="218">
        <v>32.119999999999997</v>
      </c>
    </row>
    <row r="338" spans="1:27">
      <c r="A338" s="218" t="s">
        <v>2592</v>
      </c>
      <c r="F338" s="219" t="str">
        <f>"""IntAlert Live"",""ALERT UK"",""17"",""1"",""537644"""</f>
        <v>"IntAlert Live","ALERT UK","17","1","537644"</v>
      </c>
      <c r="G338" s="223">
        <v>43899</v>
      </c>
      <c r="H338" s="223"/>
      <c r="I338" s="218" t="str">
        <f>"DRCGOM/ CAISSE/2020/003/001"</f>
        <v>DRCGOM/ CAISSE/2020/003/001</v>
      </c>
      <c r="K338" s="218" t="str">
        <f>"BARNABÉ WANGU"</f>
        <v>BARNABÉ WANGU</v>
      </c>
      <c r="L338" s="218" t="str">
        <f>"Frais voyage Barnabe  mission Bkv"</f>
        <v>Frais voyage Barnabe  mission Bkv</v>
      </c>
      <c r="M338" s="218" t="str">
        <f>"6080"</f>
        <v>6080</v>
      </c>
      <c r="N338" s="218" t="str">
        <f>"STAFF PER DIEMS"</f>
        <v>STAFF PER DIEMS</v>
      </c>
      <c r="O338" s="218" t="str">
        <f t="shared" si="122"/>
        <v>DRCGOM</v>
      </c>
      <c r="P338" s="218" t="str">
        <f t="shared" si="120"/>
        <v>AP21QR</v>
      </c>
      <c r="Q338" s="218" t="str">
        <f>"BRB"</f>
        <v>BRB</v>
      </c>
      <c r="R338" s="218" t="str">
        <f>""</f>
        <v/>
      </c>
      <c r="S338" s="218" t="str">
        <f t="shared" si="119"/>
        <v>066</v>
      </c>
      <c r="T338" s="218" t="str">
        <f t="shared" si="121"/>
        <v>D</v>
      </c>
      <c r="U338" s="218" t="str">
        <f t="shared" si="116"/>
        <v>AFR000</v>
      </c>
      <c r="V338" s="218" t="str">
        <f t="shared" si="117"/>
        <v>###</v>
      </c>
      <c r="W338" s="218">
        <v>18.399999999999999</v>
      </c>
      <c r="X338" s="218" t="str">
        <f t="shared" si="118"/>
        <v>USD</v>
      </c>
      <c r="Y338" s="218">
        <v>14.35</v>
      </c>
      <c r="Z338" s="218">
        <v>18.399999999999999</v>
      </c>
      <c r="AA338" s="218">
        <v>16.88</v>
      </c>
    </row>
    <row r="339" spans="1:27">
      <c r="A339" s="218" t="s">
        <v>2592</v>
      </c>
      <c r="F339" s="219" t="str">
        <f>"""IntAlert Live"",""ALERT UK"",""17"",""1"",""537659"""</f>
        <v>"IntAlert Live","ALERT UK","17","1","537659"</v>
      </c>
      <c r="G339" s="223">
        <v>43900</v>
      </c>
      <c r="H339" s="223"/>
      <c r="I339" s="218" t="str">
        <f>"DRCGOM/ CAISSE/2020/003/001"</f>
        <v>DRCGOM/ CAISSE/2020/003/001</v>
      </c>
      <c r="K339" s="218" t="str">
        <f>"CHRISTINE BUESSER"</f>
        <v>CHRISTINE BUESSER</v>
      </c>
      <c r="L339" s="218" t="str">
        <f>"Frais voyage Christine  mission Bkv"</f>
        <v>Frais voyage Christine  mission Bkv</v>
      </c>
      <c r="M339" s="218" t="str">
        <f>"6080"</f>
        <v>6080</v>
      </c>
      <c r="N339" s="218" t="str">
        <f>"STAFF PER DIEMS"</f>
        <v>STAFF PER DIEMS</v>
      </c>
      <c r="O339" s="218" t="str">
        <f t="shared" si="122"/>
        <v>DRCGOM</v>
      </c>
      <c r="P339" s="218" t="str">
        <f t="shared" si="120"/>
        <v>AP21QR</v>
      </c>
      <c r="Q339" s="218" t="str">
        <f>"BUU"</f>
        <v>BUU</v>
      </c>
      <c r="R339" s="218" t="str">
        <f>""</f>
        <v/>
      </c>
      <c r="S339" s="218" t="str">
        <f t="shared" si="119"/>
        <v>066</v>
      </c>
      <c r="T339" s="218" t="str">
        <f t="shared" si="121"/>
        <v>D</v>
      </c>
      <c r="U339" s="218" t="str">
        <f t="shared" si="116"/>
        <v>AFR000</v>
      </c>
      <c r="V339" s="218" t="str">
        <f t="shared" si="117"/>
        <v>###</v>
      </c>
      <c r="W339" s="218">
        <v>15.6</v>
      </c>
      <c r="X339" s="218" t="str">
        <f t="shared" si="118"/>
        <v>USD</v>
      </c>
      <c r="Y339" s="218">
        <v>12.17</v>
      </c>
      <c r="Z339" s="218">
        <v>15.6</v>
      </c>
      <c r="AA339" s="218">
        <v>14.32</v>
      </c>
    </row>
    <row r="340" spans="1:27">
      <c r="A340" s="218" t="s">
        <v>2592</v>
      </c>
      <c r="F340" s="219" t="str">
        <f>"""IntAlert Live"",""ALERT UK"",""17"",""1"",""537155"""</f>
        <v>"IntAlert Live","ALERT UK","17","1","537155"</v>
      </c>
      <c r="G340" s="223">
        <v>43901</v>
      </c>
      <c r="H340" s="223"/>
      <c r="I340" s="218" t="str">
        <f>"DRCGOM/ BANQUE/2020/003/006"</f>
        <v>DRCGOM/ BANQUE/2020/003/006</v>
      </c>
      <c r="K340" s="218" t="str">
        <f>"IHUSI EXPRESS"</f>
        <v>IHUSI EXPRESS</v>
      </c>
      <c r="L340" s="218" t="str">
        <f>"Boat TKT JeanBosco Goma-Bukavu "</f>
        <v xml:space="preserve">Boat TKT JeanBosco Goma-Bukavu </v>
      </c>
      <c r="M340" s="218" t="str">
        <f>"6020"</f>
        <v>6020</v>
      </c>
      <c r="N340" s="218" t="str">
        <f>"STAFF TRAVEL LOCAL"</f>
        <v>STAFF TRAVEL LOCAL</v>
      </c>
      <c r="O340" s="218" t="str">
        <f t="shared" si="122"/>
        <v>DRCGOM</v>
      </c>
      <c r="P340" s="218" t="str">
        <f t="shared" si="120"/>
        <v>AP21QR</v>
      </c>
      <c r="Q340" s="218" t="str">
        <f>"SIB"</f>
        <v>SIB</v>
      </c>
      <c r="R340" s="218" t="str">
        <f>""</f>
        <v/>
      </c>
      <c r="S340" s="218" t="str">
        <f t="shared" si="119"/>
        <v>066</v>
      </c>
      <c r="T340" s="218" t="str">
        <f t="shared" si="121"/>
        <v>D</v>
      </c>
      <c r="U340" s="218" t="str">
        <f t="shared" si="116"/>
        <v>AFR000</v>
      </c>
      <c r="V340" s="218" t="str">
        <f t="shared" si="117"/>
        <v>###</v>
      </c>
      <c r="W340" s="218">
        <v>40</v>
      </c>
      <c r="X340" s="218" t="str">
        <f t="shared" si="118"/>
        <v>USD</v>
      </c>
      <c r="Y340" s="218">
        <v>31.2</v>
      </c>
      <c r="Z340" s="218">
        <v>40</v>
      </c>
      <c r="AA340" s="218">
        <v>36.71</v>
      </c>
    </row>
    <row r="341" spans="1:27">
      <c r="A341" s="218" t="s">
        <v>2592</v>
      </c>
      <c r="F341" s="219" t="str">
        <f>"""IntAlert Live"",""ALERT UK"",""17"",""1"",""537157"""</f>
        <v>"IntAlert Live","ALERT UK","17","1","537157"</v>
      </c>
      <c r="G341" s="223">
        <v>43901</v>
      </c>
      <c r="H341" s="223"/>
      <c r="I341" s="218" t="str">
        <f>"DRCGOM/ BANQUE/2020/003/006"</f>
        <v>DRCGOM/ BANQUE/2020/003/006</v>
      </c>
      <c r="K341" s="218" t="str">
        <f>"IHUSI EXPRESS"</f>
        <v>IHUSI EXPRESS</v>
      </c>
      <c r="L341" s="218" t="str">
        <f>"Boat TKT Pascal  Goma-Bukavu "</f>
        <v xml:space="preserve">Boat TKT Pascal  Goma-Bukavu </v>
      </c>
      <c r="M341" s="218" t="str">
        <f>"6020"</f>
        <v>6020</v>
      </c>
      <c r="N341" s="218" t="str">
        <f>"STAFF TRAVEL LOCAL"</f>
        <v>STAFF TRAVEL LOCAL</v>
      </c>
      <c r="O341" s="218" t="str">
        <f t="shared" si="122"/>
        <v>DRCGOM</v>
      </c>
      <c r="P341" s="218" t="str">
        <f t="shared" si="120"/>
        <v>AP21QR</v>
      </c>
      <c r="Q341" s="218" t="str">
        <f>"CIB"</f>
        <v>CIB</v>
      </c>
      <c r="R341" s="218" t="str">
        <f>""</f>
        <v/>
      </c>
      <c r="S341" s="218" t="str">
        <f t="shared" si="119"/>
        <v>066</v>
      </c>
      <c r="T341" s="218" t="str">
        <f t="shared" si="121"/>
        <v>D</v>
      </c>
      <c r="U341" s="218" t="str">
        <f t="shared" si="116"/>
        <v>AFR000</v>
      </c>
      <c r="V341" s="218" t="str">
        <f t="shared" si="117"/>
        <v>###</v>
      </c>
      <c r="W341" s="218">
        <v>40</v>
      </c>
      <c r="X341" s="218" t="str">
        <f t="shared" si="118"/>
        <v>USD</v>
      </c>
      <c r="Y341" s="218">
        <v>31.2</v>
      </c>
      <c r="Z341" s="218">
        <v>40</v>
      </c>
      <c r="AA341" s="218">
        <v>36.71</v>
      </c>
    </row>
    <row r="342" spans="1:27">
      <c r="A342" s="218" t="s">
        <v>2592</v>
      </c>
      <c r="F342" s="219" t="str">
        <f>"""IntAlert Live"",""ALERT UK"",""17"",""1"",""537161"""</f>
        <v>"IntAlert Live","ALERT UK","17","1","537161"</v>
      </c>
      <c r="G342" s="223">
        <v>43901</v>
      </c>
      <c r="H342" s="223"/>
      <c r="I342" s="218" t="str">
        <f>"DRCGOM/ BANQUE/2020/003/006"</f>
        <v>DRCGOM/ BANQUE/2020/003/006</v>
      </c>
      <c r="K342" s="218" t="str">
        <f>"IHUSI EXPRESS"</f>
        <v>IHUSI EXPRESS</v>
      </c>
      <c r="L342" s="218" t="str">
        <f>"Boat TKT Christine  Goma-Bukavu "</f>
        <v xml:space="preserve">Boat TKT Christine  Goma-Bukavu </v>
      </c>
      <c r="M342" s="218" t="str">
        <f>"6020"</f>
        <v>6020</v>
      </c>
      <c r="N342" s="218" t="str">
        <f>"STAFF TRAVEL LOCAL"</f>
        <v>STAFF TRAVEL LOCAL</v>
      </c>
      <c r="O342" s="218" t="str">
        <f t="shared" si="122"/>
        <v>DRCGOM</v>
      </c>
      <c r="P342" s="218" t="str">
        <f t="shared" si="120"/>
        <v>AP21QR</v>
      </c>
      <c r="Q342" s="218" t="str">
        <f>"BUU"</f>
        <v>BUU</v>
      </c>
      <c r="R342" s="218" t="str">
        <f>""</f>
        <v/>
      </c>
      <c r="S342" s="218" t="str">
        <f t="shared" si="119"/>
        <v>066</v>
      </c>
      <c r="T342" s="218" t="str">
        <f t="shared" si="121"/>
        <v>D</v>
      </c>
      <c r="U342" s="218" t="str">
        <f t="shared" si="116"/>
        <v>AFR000</v>
      </c>
      <c r="V342" s="218" t="str">
        <f t="shared" si="117"/>
        <v>###</v>
      </c>
      <c r="W342" s="218">
        <v>40</v>
      </c>
      <c r="X342" s="218" t="str">
        <f t="shared" si="118"/>
        <v>USD</v>
      </c>
      <c r="Y342" s="218">
        <v>31.2</v>
      </c>
      <c r="Z342" s="218">
        <v>40</v>
      </c>
      <c r="AA342" s="218">
        <v>36.71</v>
      </c>
    </row>
    <row r="343" spans="1:27">
      <c r="A343" s="218" t="s">
        <v>2592</v>
      </c>
      <c r="F343" s="219" t="str">
        <f>"""IntAlert Live"",""ALERT UK"",""17"",""1"",""537167"""</f>
        <v>"IntAlert Live","ALERT UK","17","1","537167"</v>
      </c>
      <c r="G343" s="223">
        <v>43901</v>
      </c>
      <c r="H343" s="223"/>
      <c r="I343" s="218" t="str">
        <f>"DRCGOM/ BANQUE/2020/003/007"</f>
        <v>DRCGOM/ BANQUE/2020/003/007</v>
      </c>
      <c r="K343" s="218" t="str">
        <f>"LINDA HOTEL"</f>
        <v>LINDA HOTEL</v>
      </c>
      <c r="L343" s="218" t="str">
        <f>"Lgmt expert ministere plan arrete intermin 25%"</f>
        <v>Lgmt expert ministere plan arrete intermin 25%</v>
      </c>
      <c r="M343" s="218" t="str">
        <f>"6280"</f>
        <v>6280</v>
      </c>
      <c r="N343" s="218" t="str">
        <f>"PARTICIPANT PER DIEMS"</f>
        <v>PARTICIPANT PER DIEMS</v>
      </c>
      <c r="O343" s="218" t="str">
        <f t="shared" si="122"/>
        <v>DRCGOM</v>
      </c>
      <c r="P343" s="218" t="str">
        <f t="shared" si="120"/>
        <v>AP21QR</v>
      </c>
      <c r="Q343" s="218" t="str">
        <f>""</f>
        <v/>
      </c>
      <c r="R343" s="218" t="str">
        <f>""</f>
        <v/>
      </c>
      <c r="S343" s="218" t="str">
        <f t="shared" si="119"/>
        <v>066</v>
      </c>
      <c r="T343" s="218" t="str">
        <f t="shared" si="121"/>
        <v>D</v>
      </c>
      <c r="U343" s="218" t="str">
        <f t="shared" si="116"/>
        <v>AFR000</v>
      </c>
      <c r="V343" s="218" t="str">
        <f t="shared" si="117"/>
        <v>###</v>
      </c>
      <c r="W343" s="218">
        <v>105</v>
      </c>
      <c r="X343" s="218" t="str">
        <f t="shared" si="118"/>
        <v>USD</v>
      </c>
      <c r="Y343" s="218">
        <v>81.900000000000006</v>
      </c>
      <c r="Z343" s="218">
        <v>105</v>
      </c>
      <c r="AA343" s="218">
        <v>96.36</v>
      </c>
    </row>
    <row r="344" spans="1:27">
      <c r="A344" s="218" t="s">
        <v>2592</v>
      </c>
      <c r="F344" s="219" t="str">
        <f>"""IntAlert Live"",""ALERT UK"",""17"",""1"",""539700"""</f>
        <v>"IntAlert Live","ALERT UK","17","1","539700"</v>
      </c>
      <c r="G344" s="223">
        <v>43903</v>
      </c>
      <c r="H344" s="223"/>
      <c r="I344" s="218" t="str">
        <f>"DRCBUK/BANK/2020/03/016"</f>
        <v>DRCBUK/BANK/2020/03/016</v>
      </c>
      <c r="K344" s="218" t="str">
        <f>"HOTEL BEGONIAS"</f>
        <v>HOTEL BEGONIAS</v>
      </c>
      <c r="L344" s="218" t="str">
        <f>"Logement Christine 22-23,25-27/02-BUK 25%"</f>
        <v>Logement Christine 22-23,25-27/02-BUK 25%</v>
      </c>
      <c r="M344" s="218" t="str">
        <f>"6030"</f>
        <v>6030</v>
      </c>
      <c r="N344" s="218" t="str">
        <f>"STAFF ACCOMMODATION   HOTELS"</f>
        <v>STAFF ACCOMMODATION   HOTELS</v>
      </c>
      <c r="O344" s="218" t="str">
        <f>"DRCBUK"</f>
        <v>DRCBUK</v>
      </c>
      <c r="P344" s="218" t="str">
        <f t="shared" si="120"/>
        <v>AP21QR</v>
      </c>
      <c r="Q344" s="218" t="str">
        <f>"BUU"</f>
        <v>BUU</v>
      </c>
      <c r="R344" s="218" t="str">
        <f>""</f>
        <v/>
      </c>
      <c r="S344" s="218" t="str">
        <f t="shared" si="119"/>
        <v>066</v>
      </c>
      <c r="T344" s="218" t="str">
        <f t="shared" si="121"/>
        <v>D</v>
      </c>
      <c r="U344" s="218" t="str">
        <f t="shared" si="116"/>
        <v>AFR000</v>
      </c>
      <c r="V344" s="218" t="str">
        <f t="shared" si="117"/>
        <v>###</v>
      </c>
      <c r="W344" s="218">
        <v>60</v>
      </c>
      <c r="X344" s="218" t="str">
        <f t="shared" si="118"/>
        <v>USD</v>
      </c>
      <c r="Y344" s="218">
        <v>46.8</v>
      </c>
      <c r="Z344" s="218">
        <v>60</v>
      </c>
      <c r="AA344" s="218">
        <v>55.06</v>
      </c>
    </row>
    <row r="345" spans="1:27">
      <c r="A345" s="218" t="s">
        <v>2592</v>
      </c>
      <c r="F345" s="219" t="str">
        <f>"""IntAlert Live"",""ALERT UK"",""17"",""1"",""539705"""</f>
        <v>"IntAlert Live","ALERT UK","17","1","539705"</v>
      </c>
      <c r="G345" s="223">
        <v>43903</v>
      </c>
      <c r="H345" s="223"/>
      <c r="I345" s="218" t="str">
        <f>"DRCBUK/BANK/2020/03/016"</f>
        <v>DRCBUK/BANK/2020/03/016</v>
      </c>
      <c r="K345" s="218" t="str">
        <f>"HOTEL BEGONIAS"</f>
        <v>HOTEL BEGONIAS</v>
      </c>
      <c r="L345" s="218" t="str">
        <f>"Logement Jean Bosco 7-10/03-BUK 25%"</f>
        <v>Logement Jean Bosco 7-10/03-BUK 25%</v>
      </c>
      <c r="M345" s="218" t="str">
        <f>"6030"</f>
        <v>6030</v>
      </c>
      <c r="N345" s="218" t="str">
        <f>"STAFF ACCOMMODATION   HOTELS"</f>
        <v>STAFF ACCOMMODATION   HOTELS</v>
      </c>
      <c r="O345" s="218" t="str">
        <f>"DRCBUK"</f>
        <v>DRCBUK</v>
      </c>
      <c r="P345" s="218" t="str">
        <f t="shared" si="120"/>
        <v>AP21QR</v>
      </c>
      <c r="Q345" s="218" t="str">
        <f>"SIB"</f>
        <v>SIB</v>
      </c>
      <c r="R345" s="218" t="str">
        <f>""</f>
        <v/>
      </c>
      <c r="S345" s="218" t="str">
        <f t="shared" si="119"/>
        <v>066</v>
      </c>
      <c r="T345" s="218" t="str">
        <f t="shared" si="121"/>
        <v>D</v>
      </c>
      <c r="U345" s="218" t="str">
        <f t="shared" si="116"/>
        <v>AFR000</v>
      </c>
      <c r="V345" s="218" t="str">
        <f t="shared" si="117"/>
        <v>###</v>
      </c>
      <c r="W345" s="218">
        <v>60</v>
      </c>
      <c r="X345" s="218" t="str">
        <f t="shared" si="118"/>
        <v>USD</v>
      </c>
      <c r="Y345" s="218">
        <v>46.8</v>
      </c>
      <c r="Z345" s="218">
        <v>60</v>
      </c>
      <c r="AA345" s="218">
        <v>55.06</v>
      </c>
    </row>
    <row r="346" spans="1:27">
      <c r="A346" s="218" t="s">
        <v>2592</v>
      </c>
      <c r="F346" s="219" t="str">
        <f>"""IntAlert Live"",""ALERT UK"",""17"",""1"",""537697"""</f>
        <v>"IntAlert Live","ALERT UK","17","1","537697"</v>
      </c>
      <c r="G346" s="223">
        <v>43908</v>
      </c>
      <c r="H346" s="223"/>
      <c r="I346" s="218" t="str">
        <f>"DRCGOM/ CAISSE/2020/003/003"</f>
        <v>DRCGOM/ CAISSE/2020/003/003</v>
      </c>
      <c r="K346" s="218" t="str">
        <f>"PASCAL LWANZO"</f>
        <v>PASCAL LWANZO</v>
      </c>
      <c r="L346" s="218" t="str">
        <f>"Frs voyage Pascl Lwanzo 5-7/03 20%"</f>
        <v>Frs voyage Pascl Lwanzo 5-7/03 20%</v>
      </c>
      <c r="M346" s="218" t="str">
        <f>"6080"</f>
        <v>6080</v>
      </c>
      <c r="N346" s="218" t="str">
        <f>"STAFF PER DIEMS"</f>
        <v>STAFF PER DIEMS</v>
      </c>
      <c r="O346" s="218" t="str">
        <f>"DRCGOM"</f>
        <v>DRCGOM</v>
      </c>
      <c r="P346" s="218" t="str">
        <f t="shared" si="120"/>
        <v>AP21QR</v>
      </c>
      <c r="Q346" s="218" t="str">
        <f>"KZO"</f>
        <v>KZO</v>
      </c>
      <c r="R346" s="218" t="str">
        <f>""</f>
        <v/>
      </c>
      <c r="S346" s="218" t="str">
        <f t="shared" si="119"/>
        <v>066</v>
      </c>
      <c r="T346" s="218" t="str">
        <f t="shared" si="121"/>
        <v>D</v>
      </c>
      <c r="U346" s="218" t="str">
        <f t="shared" si="116"/>
        <v>AFR000</v>
      </c>
      <c r="V346" s="218" t="str">
        <f t="shared" si="117"/>
        <v>###</v>
      </c>
      <c r="W346" s="218">
        <v>11.2</v>
      </c>
      <c r="X346" s="218" t="str">
        <f t="shared" si="118"/>
        <v>USD</v>
      </c>
      <c r="Y346" s="218">
        <v>8.74</v>
      </c>
      <c r="Z346" s="218">
        <v>11.2</v>
      </c>
      <c r="AA346" s="218">
        <v>10.28</v>
      </c>
    </row>
    <row r="347" spans="1:27">
      <c r="A347" s="218" t="s">
        <v>2592</v>
      </c>
      <c r="F347" s="219" t="str">
        <f>"""IntAlert Live"",""ALERT UK"",""17"",""1"",""537698"""</f>
        <v>"IntAlert Live","ALERT UK","17","1","537698"</v>
      </c>
      <c r="G347" s="223">
        <v>43908</v>
      </c>
      <c r="H347" s="223"/>
      <c r="I347" s="218" t="str">
        <f>"DRCGOM/ CAISSE/2020/003/003"</f>
        <v>DRCGOM/ CAISSE/2020/003/003</v>
      </c>
      <c r="K347" s="218" t="str">
        <f>"DGRNK"</f>
        <v>DGRNK</v>
      </c>
      <c r="L347" s="218" t="str">
        <f>"Acces port Pascal Lwanzo"</f>
        <v>Acces port Pascal Lwanzo</v>
      </c>
      <c r="M347" s="218" t="str">
        <f>"6020"</f>
        <v>6020</v>
      </c>
      <c r="N347" s="218" t="str">
        <f>"STAFF TRAVEL LOCAL"</f>
        <v>STAFF TRAVEL LOCAL</v>
      </c>
      <c r="O347" s="218" t="str">
        <f>"DRCGOM"</f>
        <v>DRCGOM</v>
      </c>
      <c r="P347" s="218" t="str">
        <f t="shared" si="120"/>
        <v>AP21QR</v>
      </c>
      <c r="Q347" s="218" t="str">
        <f>"KZO"</f>
        <v>KZO</v>
      </c>
      <c r="R347" s="218" t="str">
        <f>""</f>
        <v/>
      </c>
      <c r="S347" s="218" t="str">
        <f t="shared" si="119"/>
        <v>066</v>
      </c>
      <c r="T347" s="218" t="str">
        <f t="shared" si="121"/>
        <v>D</v>
      </c>
      <c r="U347" s="218" t="str">
        <f t="shared" si="116"/>
        <v>AFR000</v>
      </c>
      <c r="V347" s="218" t="str">
        <f t="shared" si="117"/>
        <v>###</v>
      </c>
      <c r="W347" s="218">
        <v>2</v>
      </c>
      <c r="X347" s="218" t="str">
        <f t="shared" si="118"/>
        <v>USD</v>
      </c>
      <c r="Y347" s="218">
        <v>1.56</v>
      </c>
      <c r="Z347" s="218">
        <v>2</v>
      </c>
      <c r="AA347" s="218">
        <v>1.84</v>
      </c>
    </row>
    <row r="348" spans="1:27">
      <c r="A348" s="218" t="s">
        <v>2592</v>
      </c>
      <c r="F348" s="219" t="str">
        <f>"""IntAlert Live"",""ALERT UK"",""17"",""1"",""539742"""</f>
        <v>"IntAlert Live","ALERT UK","17","1","539742"</v>
      </c>
      <c r="G348" s="223">
        <v>43909</v>
      </c>
      <c r="H348" s="223"/>
      <c r="I348" s="218" t="str">
        <f>"DRCBUK/BANK/2020/03/017"</f>
        <v>DRCBUK/BANK/2020/03/017</v>
      </c>
      <c r="K348" s="218" t="str">
        <f>"ELIZABETH HOTEL"</f>
        <v>ELIZABETH HOTEL</v>
      </c>
      <c r="L348" s="218" t="str">
        <f>"Logement Jean Bosco 23-24/01-BUK 25%"</f>
        <v>Logement Jean Bosco 23-24/01-BUK 25%</v>
      </c>
      <c r="M348" s="218" t="str">
        <f>"6030"</f>
        <v>6030</v>
      </c>
      <c r="N348" s="218" t="str">
        <f>"STAFF ACCOMMODATION   HOTELS"</f>
        <v>STAFF ACCOMMODATION   HOTELS</v>
      </c>
      <c r="O348" s="218" t="str">
        <f>"DRCBUK"</f>
        <v>DRCBUK</v>
      </c>
      <c r="P348" s="218" t="str">
        <f t="shared" si="120"/>
        <v>AP21QR</v>
      </c>
      <c r="Q348" s="218" t="str">
        <f>"SIB"</f>
        <v>SIB</v>
      </c>
      <c r="R348" s="218" t="str">
        <f>""</f>
        <v/>
      </c>
      <c r="S348" s="218" t="str">
        <f t="shared" si="119"/>
        <v>066</v>
      </c>
      <c r="T348" s="218" t="str">
        <f t="shared" si="121"/>
        <v>D</v>
      </c>
      <c r="U348" s="218" t="str">
        <f t="shared" si="116"/>
        <v>AFR000</v>
      </c>
      <c r="V348" s="218" t="str">
        <f t="shared" si="117"/>
        <v>###</v>
      </c>
      <c r="W348" s="218">
        <v>20</v>
      </c>
      <c r="X348" s="218" t="str">
        <f t="shared" si="118"/>
        <v>USD</v>
      </c>
      <c r="Y348" s="218">
        <v>15.6</v>
      </c>
      <c r="Z348" s="218">
        <v>20</v>
      </c>
      <c r="AA348" s="218">
        <v>18.350000000000001</v>
      </c>
    </row>
    <row r="349" spans="1:27">
      <c r="A349" s="218" t="s">
        <v>2592</v>
      </c>
      <c r="F349" s="219" t="str">
        <f>"""IntAlert Live"",""ALERT UK"",""17"",""1"",""539782"""</f>
        <v>"IntAlert Live","ALERT UK","17","1","539782"</v>
      </c>
      <c r="G349" s="223">
        <v>43909</v>
      </c>
      <c r="H349" s="223"/>
      <c r="I349" s="218" t="str">
        <f>"DRCBUK/BANK/2020/03/019"</f>
        <v>DRCBUK/BANK/2020/03/019</v>
      </c>
      <c r="K349" s="218" t="str">
        <f>"IHUSI EXPRESS"</f>
        <v>IHUSI EXPRESS</v>
      </c>
      <c r="L349" s="218" t="str">
        <f>"Tick boat  Pacal BUHASHE GOM-BUK"</f>
        <v>Tick boat  Pacal BUHASHE GOM-BUK</v>
      </c>
      <c r="M349" s="218" t="str">
        <f>"6020"</f>
        <v>6020</v>
      </c>
      <c r="N349" s="218" t="str">
        <f>"STAFF TRAVEL LOCAL"</f>
        <v>STAFF TRAVEL LOCAL</v>
      </c>
      <c r="O349" s="218" t="str">
        <f>"DRCBUK"</f>
        <v>DRCBUK</v>
      </c>
      <c r="P349" s="218" t="str">
        <f t="shared" si="120"/>
        <v>AP21QR</v>
      </c>
      <c r="Q349" s="218" t="str">
        <f>"CIB"</f>
        <v>CIB</v>
      </c>
      <c r="R349" s="218" t="str">
        <f>""</f>
        <v/>
      </c>
      <c r="S349" s="218" t="str">
        <f t="shared" si="119"/>
        <v>066</v>
      </c>
      <c r="T349" s="218" t="str">
        <f t="shared" si="121"/>
        <v>D</v>
      </c>
      <c r="U349" s="218" t="str">
        <f t="shared" ref="U349:U371" si="123">"AFR000"</f>
        <v>AFR000</v>
      </c>
      <c r="V349" s="218" t="str">
        <f t="shared" si="117"/>
        <v>###</v>
      </c>
      <c r="W349" s="218">
        <v>40</v>
      </c>
      <c r="X349" s="218" t="str">
        <f t="shared" ref="X349:X365" si="124">"USD"</f>
        <v>USD</v>
      </c>
      <c r="Y349" s="218">
        <v>31.2</v>
      </c>
      <c r="Z349" s="218">
        <v>40</v>
      </c>
      <c r="AA349" s="218">
        <v>36.71</v>
      </c>
    </row>
    <row r="350" spans="1:27">
      <c r="A350" s="218" t="s">
        <v>2592</v>
      </c>
      <c r="F350" s="219" t="str">
        <f>"""IntAlert Live"",""ALERT UK"",""17"",""1"",""539785"""</f>
        <v>"IntAlert Live","ALERT UK","17","1","539785"</v>
      </c>
      <c r="G350" s="223">
        <v>43909</v>
      </c>
      <c r="H350" s="223"/>
      <c r="I350" s="218" t="str">
        <f>"DRCBUK/BANK/2020/03/019"</f>
        <v>DRCBUK/BANK/2020/03/019</v>
      </c>
      <c r="K350" s="218" t="str">
        <f>"IHUSI EXPRESS"</f>
        <v>IHUSI EXPRESS</v>
      </c>
      <c r="L350" s="218" t="str">
        <f>"Tick boat  Christine Buesser GOM-BUK"</f>
        <v>Tick boat  Christine Buesser GOM-BUK</v>
      </c>
      <c r="M350" s="218" t="str">
        <f>"6020"</f>
        <v>6020</v>
      </c>
      <c r="N350" s="218" t="str">
        <f>"STAFF TRAVEL LOCAL"</f>
        <v>STAFF TRAVEL LOCAL</v>
      </c>
      <c r="O350" s="218" t="str">
        <f>"DRCBUK"</f>
        <v>DRCBUK</v>
      </c>
      <c r="P350" s="218" t="str">
        <f t="shared" si="120"/>
        <v>AP21QR</v>
      </c>
      <c r="Q350" s="218" t="str">
        <f>"BUU"</f>
        <v>BUU</v>
      </c>
      <c r="R350" s="218" t="str">
        <f>""</f>
        <v/>
      </c>
      <c r="S350" s="218" t="str">
        <f t="shared" si="119"/>
        <v>066</v>
      </c>
      <c r="T350" s="218" t="str">
        <f t="shared" si="121"/>
        <v>D</v>
      </c>
      <c r="U350" s="218" t="str">
        <f t="shared" si="123"/>
        <v>AFR000</v>
      </c>
      <c r="V350" s="218" t="str">
        <f t="shared" si="117"/>
        <v>###</v>
      </c>
      <c r="W350" s="218">
        <v>40</v>
      </c>
      <c r="X350" s="218" t="str">
        <f t="shared" si="124"/>
        <v>USD</v>
      </c>
      <c r="Y350" s="218">
        <v>31.2</v>
      </c>
      <c r="Z350" s="218">
        <v>40</v>
      </c>
      <c r="AA350" s="218">
        <v>36.71</v>
      </c>
    </row>
    <row r="351" spans="1:27">
      <c r="A351" s="218" t="s">
        <v>2592</v>
      </c>
      <c r="F351" s="219" t="str">
        <f>"""IntAlert Live"",""ALERT UK"",""17"",""1"",""539790"""</f>
        <v>"IntAlert Live","ALERT UK","17","1","539790"</v>
      </c>
      <c r="G351" s="223">
        <v>43909</v>
      </c>
      <c r="H351" s="223"/>
      <c r="I351" s="218" t="str">
        <f>"DRCBUK/BANK/2020/03/019"</f>
        <v>DRCBUK/BANK/2020/03/019</v>
      </c>
      <c r="K351" s="218" t="str">
        <f>"IHUSI EXPRESS"</f>
        <v>IHUSI EXPRESS</v>
      </c>
      <c r="L351" s="218" t="str">
        <f>"Tick boat  Christine Buesser GOM-BUK"</f>
        <v>Tick boat  Christine Buesser GOM-BUK</v>
      </c>
      <c r="M351" s="218" t="str">
        <f>"6020"</f>
        <v>6020</v>
      </c>
      <c r="N351" s="218" t="str">
        <f>"STAFF TRAVEL LOCAL"</f>
        <v>STAFF TRAVEL LOCAL</v>
      </c>
      <c r="O351" s="218" t="str">
        <f>"DRCBUK"</f>
        <v>DRCBUK</v>
      </c>
      <c r="P351" s="218" t="str">
        <f t="shared" si="120"/>
        <v>AP21QR</v>
      </c>
      <c r="Q351" s="218" t="str">
        <f>"SIB"</f>
        <v>SIB</v>
      </c>
      <c r="R351" s="218" t="str">
        <f>""</f>
        <v/>
      </c>
      <c r="S351" s="218" t="str">
        <f t="shared" si="119"/>
        <v>066</v>
      </c>
      <c r="T351" s="218" t="str">
        <f t="shared" si="121"/>
        <v>D</v>
      </c>
      <c r="U351" s="218" t="str">
        <f t="shared" si="123"/>
        <v>AFR000</v>
      </c>
      <c r="V351" s="218" t="str">
        <f t="shared" si="117"/>
        <v>###</v>
      </c>
      <c r="W351" s="218">
        <v>6</v>
      </c>
      <c r="X351" s="218" t="str">
        <f t="shared" si="124"/>
        <v>USD</v>
      </c>
      <c r="Y351" s="218">
        <v>4.68</v>
      </c>
      <c r="Z351" s="218">
        <v>6</v>
      </c>
      <c r="AA351" s="218">
        <v>5.51</v>
      </c>
    </row>
    <row r="352" spans="1:27">
      <c r="A352" s="218" t="s">
        <v>2592</v>
      </c>
      <c r="F352" s="219" t="str">
        <f>"""IntAlert Live"",""ALERT UK"",""17"",""1"",""537815"""</f>
        <v>"IntAlert Live","ALERT UK","17","1","537815"</v>
      </c>
      <c r="G352" s="223">
        <v>43921</v>
      </c>
      <c r="H352" s="223"/>
      <c r="I352" s="218" t="str">
        <f>"DRCGOM/ AVANCE/2020/003/009"</f>
        <v>DRCGOM/ AVANCE/2020/003/009</v>
      </c>
      <c r="K352" s="218" t="str">
        <f>"JEANBOSCO SIBORUREMA"</f>
        <v>JEANBOSCO SIBORUREMA</v>
      </c>
      <c r="L352" s="218" t="str">
        <f>"Frs voyage JeanBosco Bukavu 3-10/03"</f>
        <v>Frs voyage JeanBosco Bukavu 3-10/03</v>
      </c>
      <c r="M352" s="218" t="str">
        <f>"6080"</f>
        <v>6080</v>
      </c>
      <c r="N352" s="218" t="str">
        <f>"STAFF PER DIEMS"</f>
        <v>STAFF PER DIEMS</v>
      </c>
      <c r="O352" s="218" t="str">
        <f>"DRCGOM"</f>
        <v>DRCGOM</v>
      </c>
      <c r="P352" s="218" t="str">
        <f t="shared" si="120"/>
        <v>AP21QR</v>
      </c>
      <c r="Q352" s="218" t="str">
        <f>"SIB"</f>
        <v>SIB</v>
      </c>
      <c r="R352" s="218" t="str">
        <f>""</f>
        <v/>
      </c>
      <c r="S352" s="218" t="str">
        <f t="shared" si="119"/>
        <v>066</v>
      </c>
      <c r="T352" s="218" t="str">
        <f t="shared" si="121"/>
        <v>D</v>
      </c>
      <c r="U352" s="218" t="str">
        <f t="shared" si="123"/>
        <v>AFR000</v>
      </c>
      <c r="V352" s="218" t="str">
        <f t="shared" si="117"/>
        <v>###</v>
      </c>
      <c r="W352" s="218">
        <v>43.4</v>
      </c>
      <c r="X352" s="218" t="str">
        <f t="shared" si="124"/>
        <v>USD</v>
      </c>
      <c r="Y352" s="218">
        <v>33.85</v>
      </c>
      <c r="Z352" s="218">
        <v>43.4</v>
      </c>
      <c r="AA352" s="218">
        <v>39.83</v>
      </c>
    </row>
    <row r="353" spans="1:27">
      <c r="A353" s="218" t="s">
        <v>2592</v>
      </c>
      <c r="F353" s="219" t="str">
        <f>"""IntAlert Live"",""ALERT UK"",""17"",""1"",""532827"""</f>
        <v>"IntAlert Live","ALERT UK","17","1","532827"</v>
      </c>
      <c r="G353" s="223">
        <v>43868</v>
      </c>
      <c r="H353" s="223"/>
      <c r="I353" s="218" t="str">
        <f>"DRCBUK/CAISSE/2020/02/001"</f>
        <v>DRCBUK/CAISSE/2020/02/001</v>
      </c>
      <c r="K353" s="218" t="str">
        <f>"PAPETERIE HOSANA"</f>
        <v>PAPETERIE HOSANA</v>
      </c>
      <c r="L353" s="218" t="str">
        <f>"Pymt Cable USB Pour papson"</f>
        <v>Pymt Cable USB Pour papson</v>
      </c>
      <c r="M353" s="218" t="str">
        <f>"8340"</f>
        <v>8340</v>
      </c>
      <c r="N353" s="218" t="str">
        <f>"COMPUTER HARDWARE"</f>
        <v>COMPUTER HARDWARE</v>
      </c>
      <c r="O353" s="218" t="str">
        <f>"DRCBUK"</f>
        <v>DRCBUK</v>
      </c>
      <c r="P353" s="218" t="str">
        <f t="shared" si="120"/>
        <v>AP21QR</v>
      </c>
      <c r="Q353" s="218" t="str">
        <f>""</f>
        <v/>
      </c>
      <c r="R353" s="218" t="str">
        <f>""</f>
        <v/>
      </c>
      <c r="S353" s="218" t="str">
        <f>"067"</f>
        <v>067</v>
      </c>
      <c r="T353" s="218" t="str">
        <f t="shared" si="121"/>
        <v>D</v>
      </c>
      <c r="U353" s="218" t="str">
        <f t="shared" si="123"/>
        <v>AFR000</v>
      </c>
      <c r="V353" s="218" t="str">
        <f t="shared" si="117"/>
        <v>###</v>
      </c>
      <c r="W353" s="218">
        <v>5</v>
      </c>
      <c r="X353" s="218" t="str">
        <f t="shared" si="124"/>
        <v>USD</v>
      </c>
      <c r="Y353" s="218">
        <v>3.79</v>
      </c>
      <c r="Z353" s="218">
        <v>5</v>
      </c>
      <c r="AA353" s="218">
        <v>4.5</v>
      </c>
    </row>
    <row r="354" spans="1:27">
      <c r="A354" s="218" t="s">
        <v>2592</v>
      </c>
      <c r="F354" s="219" t="str">
        <f>"""IntAlert Live"",""ALERT UK"",""17"",""1"",""515831"""</f>
        <v>"IntAlert Live","ALERT UK","17","1","515831"</v>
      </c>
      <c r="G354" s="223">
        <v>43854</v>
      </c>
      <c r="H354" s="223"/>
      <c r="I354" s="218" t="str">
        <f>"DRCGOM/ BANQUE/2020/001/007"</f>
        <v>DRCGOM/ BANQUE/2020/001/007</v>
      </c>
      <c r="K354" s="218" t="str">
        <f>"JEROME MIDAGU"</f>
        <v>JEROME MIDAGU</v>
      </c>
      <c r="L354" s="218" t="str">
        <f>"Honoraire Midagu12 Dec-12 Jan 2020 10%"</f>
        <v>Honoraire Midagu12 Dec-12 Jan 2020 10%</v>
      </c>
      <c r="M354" s="218" t="str">
        <f>"6190"</f>
        <v>6190</v>
      </c>
      <c r="N354" s="218" t="str">
        <f>"CONSULTANT  FEES"</f>
        <v>CONSULTANT  FEES</v>
      </c>
      <c r="O354" s="218" t="str">
        <f>"DRCGOM"</f>
        <v>DRCGOM</v>
      </c>
      <c r="P354" s="218" t="str">
        <f t="shared" si="120"/>
        <v>AP21QR</v>
      </c>
      <c r="Q354" s="218" t="str">
        <f>""</f>
        <v/>
      </c>
      <c r="R354" s="218" t="str">
        <f>""</f>
        <v/>
      </c>
      <c r="S354" s="218" t="str">
        <f>"069"</f>
        <v>069</v>
      </c>
      <c r="T354" s="218" t="str">
        <f t="shared" si="121"/>
        <v>D</v>
      </c>
      <c r="U354" s="218" t="str">
        <f t="shared" si="123"/>
        <v>AFR000</v>
      </c>
      <c r="V354" s="218" t="str">
        <f t="shared" si="117"/>
        <v>###</v>
      </c>
      <c r="W354" s="218">
        <v>50</v>
      </c>
      <c r="X354" s="218" t="str">
        <f t="shared" si="124"/>
        <v>USD</v>
      </c>
      <c r="Y354" s="218">
        <v>37.69</v>
      </c>
      <c r="Z354" s="218">
        <v>50</v>
      </c>
      <c r="AA354" s="218">
        <v>44.23</v>
      </c>
    </row>
    <row r="355" spans="1:27">
      <c r="A355" s="218" t="s">
        <v>2592</v>
      </c>
      <c r="F355" s="219" t="str">
        <f>"""IntAlert Live"",""ALERT UK"",""17"",""1"",""531508"""</f>
        <v>"IntAlert Live","ALERT UK","17","1","531508"</v>
      </c>
      <c r="G355" s="223">
        <v>43872</v>
      </c>
      <c r="H355" s="223"/>
      <c r="I355" s="218" t="str">
        <f>"DRCGOM/ BANQUE/2020/002/007"</f>
        <v>DRCGOM/ BANQUE/2020/002/007</v>
      </c>
      <c r="K355" s="218" t="str">
        <f>"JEROME MIDAGU"</f>
        <v>JEROME MIDAGU</v>
      </c>
      <c r="L355" s="218" t="str">
        <f>"Honoraire Midagu 12 January-12 Feb 2020 20%"</f>
        <v>Honoraire Midagu 12 January-12 Feb 2020 20%</v>
      </c>
      <c r="M355" s="218" t="str">
        <f>"6190"</f>
        <v>6190</v>
      </c>
      <c r="N355" s="218" t="str">
        <f>"CONSULTANT  FEES"</f>
        <v>CONSULTANT  FEES</v>
      </c>
      <c r="O355" s="218" t="str">
        <f>"DRCGOM"</f>
        <v>DRCGOM</v>
      </c>
      <c r="P355" s="218" t="str">
        <f t="shared" si="120"/>
        <v>AP21QR</v>
      </c>
      <c r="Q355" s="218" t="str">
        <f>""</f>
        <v/>
      </c>
      <c r="R355" s="218" t="str">
        <f>""</f>
        <v/>
      </c>
      <c r="S355" s="218" t="str">
        <f>"069"</f>
        <v>069</v>
      </c>
      <c r="T355" s="218" t="str">
        <f t="shared" si="121"/>
        <v>D</v>
      </c>
      <c r="U355" s="218" t="str">
        <f t="shared" si="123"/>
        <v>AFR000</v>
      </c>
      <c r="V355" s="218" t="str">
        <f t="shared" si="117"/>
        <v>###</v>
      </c>
      <c r="W355" s="218">
        <v>100</v>
      </c>
      <c r="X355" s="218" t="str">
        <f t="shared" si="124"/>
        <v>USD</v>
      </c>
      <c r="Y355" s="218">
        <v>75.8</v>
      </c>
      <c r="Z355" s="218">
        <v>100</v>
      </c>
      <c r="AA355" s="218">
        <v>90.04</v>
      </c>
    </row>
    <row r="356" spans="1:27">
      <c r="A356" s="218" t="s">
        <v>2592</v>
      </c>
      <c r="F356" s="219" t="str">
        <f>"""IntAlert Live"",""ALERT UK"",""17"",""1"",""537148"""</f>
        <v>"IntAlert Live","ALERT UK","17","1","537148"</v>
      </c>
      <c r="G356" s="223">
        <v>43900</v>
      </c>
      <c r="H356" s="223"/>
      <c r="I356" s="218" t="str">
        <f>"DRCGOM/ BANQUE/2020/003/005"</f>
        <v>DRCGOM/ BANQUE/2020/003/005</v>
      </c>
      <c r="K356" s="218" t="str">
        <f>"JEROME MIDAGU"</f>
        <v>JEROME MIDAGU</v>
      </c>
      <c r="L356" s="218" t="str">
        <f>"Honoraire Midagu 12 Feb-12 March 2020  30%"</f>
        <v>Honoraire Midagu 12 Feb-12 March 2020  30%</v>
      </c>
      <c r="M356" s="218" t="str">
        <f>"6190"</f>
        <v>6190</v>
      </c>
      <c r="N356" s="218" t="str">
        <f>"CONSULTANT  FEES"</f>
        <v>CONSULTANT  FEES</v>
      </c>
      <c r="O356" s="218" t="str">
        <f>"DRCGOM"</f>
        <v>DRCGOM</v>
      </c>
      <c r="P356" s="218" t="str">
        <f t="shared" si="120"/>
        <v>AP21QR</v>
      </c>
      <c r="Q356" s="218" t="str">
        <f>""</f>
        <v/>
      </c>
      <c r="R356" s="218" t="str">
        <f>""</f>
        <v/>
      </c>
      <c r="S356" s="218" t="str">
        <f>"069"</f>
        <v>069</v>
      </c>
      <c r="T356" s="218" t="str">
        <f t="shared" si="121"/>
        <v>D</v>
      </c>
      <c r="U356" s="218" t="str">
        <f t="shared" si="123"/>
        <v>AFR000</v>
      </c>
      <c r="V356" s="218" t="str">
        <f t="shared" si="117"/>
        <v>###</v>
      </c>
      <c r="W356" s="218">
        <v>150</v>
      </c>
      <c r="X356" s="218" t="str">
        <f t="shared" si="124"/>
        <v>USD</v>
      </c>
      <c r="Y356" s="218">
        <v>117.01</v>
      </c>
      <c r="Z356" s="218">
        <v>150</v>
      </c>
      <c r="AA356" s="218">
        <v>137.66999999999999</v>
      </c>
    </row>
    <row r="357" spans="1:27">
      <c r="A357" s="218" t="s">
        <v>2592</v>
      </c>
      <c r="F357" s="219" t="str">
        <f>"""IntAlert Live"",""ALERT UK"",""17"",""1"",""537187"""</f>
        <v>"IntAlert Live","ALERT UK","17","1","537187"</v>
      </c>
      <c r="G357" s="223">
        <v>43913</v>
      </c>
      <c r="H357" s="223"/>
      <c r="I357" s="218" t="str">
        <f>"DRCGOM/BANQUE/2020/003/011"</f>
        <v>DRCGOM/BANQUE/2020/003/011</v>
      </c>
      <c r="K357" s="218" t="str">
        <f>"CONGO OPS"</f>
        <v>CONGO OPS</v>
      </c>
      <c r="L357" s="218" t="str">
        <f>"Assistances frais administratifs Jan-Feb'20 30%"</f>
        <v>Assistances frais administratifs Jan-Feb'20 30%</v>
      </c>
      <c r="M357" s="218" t="str">
        <f>"6190"</f>
        <v>6190</v>
      </c>
      <c r="N357" s="218" t="str">
        <f>"CONSULTANT  FEES"</f>
        <v>CONSULTANT  FEES</v>
      </c>
      <c r="O357" s="218" t="str">
        <f>"DRCGOM"</f>
        <v>DRCGOM</v>
      </c>
      <c r="P357" s="218" t="str">
        <f t="shared" si="120"/>
        <v>AP21QR</v>
      </c>
      <c r="Q357" s="218" t="str">
        <f>""</f>
        <v/>
      </c>
      <c r="R357" s="218" t="str">
        <f>""</f>
        <v/>
      </c>
      <c r="S357" s="218" t="str">
        <f>"069"</f>
        <v>069</v>
      </c>
      <c r="T357" s="218" t="str">
        <f t="shared" si="121"/>
        <v>D</v>
      </c>
      <c r="U357" s="218" t="str">
        <f t="shared" si="123"/>
        <v>AFR000</v>
      </c>
      <c r="V357" s="218" t="str">
        <f t="shared" si="117"/>
        <v>###</v>
      </c>
      <c r="W357" s="218">
        <v>189</v>
      </c>
      <c r="X357" s="218" t="str">
        <f t="shared" si="124"/>
        <v>USD</v>
      </c>
      <c r="Y357" s="218">
        <v>147.43</v>
      </c>
      <c r="Z357" s="218">
        <v>189</v>
      </c>
      <c r="AA357" s="218">
        <v>173.46</v>
      </c>
    </row>
    <row r="358" spans="1:27">
      <c r="A358" s="218" t="s">
        <v>2592</v>
      </c>
      <c r="F358" s="219" t="str">
        <f>"""IntAlert Live"",""ALERT UK"",""17"",""1"",""532309"""</f>
        <v>"IntAlert Live","ALERT UK","17","1","532309"</v>
      </c>
      <c r="G358" s="223">
        <v>43880</v>
      </c>
      <c r="H358" s="223"/>
      <c r="I358" s="218" t="str">
        <f>"DRCBUK/BANK/2020/02/018"</f>
        <v>DRCBUK/BANK/2020/02/018</v>
      </c>
      <c r="K358" s="218" t="str">
        <f>"RAPIDE NSHANGALUME"</f>
        <v>RAPIDE NSHANGALUME</v>
      </c>
      <c r="L358" s="218" t="str">
        <f>"Bukavu office rent February-May 31 43%"</f>
        <v>Bukavu office rent February-May 31 43%</v>
      </c>
      <c r="M358" s="218" t="str">
        <f>"8200"</f>
        <v>8200</v>
      </c>
      <c r="N358" s="218" t="str">
        <f>"RENT"</f>
        <v>RENT</v>
      </c>
      <c r="O358" s="218" t="str">
        <f t="shared" ref="O358:O365" si="125">"DRCBUK"</f>
        <v>DRCBUK</v>
      </c>
      <c r="P358" s="218" t="str">
        <f t="shared" si="120"/>
        <v>AP21QR</v>
      </c>
      <c r="Q358" s="218" t="str">
        <f>""</f>
        <v/>
      </c>
      <c r="R358" s="218" t="str">
        <f>""</f>
        <v/>
      </c>
      <c r="S358" s="218" t="str">
        <f>"070"</f>
        <v>070</v>
      </c>
      <c r="T358" s="218" t="str">
        <f t="shared" si="121"/>
        <v>D</v>
      </c>
      <c r="U358" s="218" t="str">
        <f t="shared" si="123"/>
        <v>AFR000</v>
      </c>
      <c r="V358" s="218" t="str">
        <f t="shared" si="117"/>
        <v>###</v>
      </c>
      <c r="W358" s="218">
        <v>4128</v>
      </c>
      <c r="X358" s="218" t="str">
        <f t="shared" si="124"/>
        <v>USD</v>
      </c>
      <c r="Y358" s="218">
        <v>3128.92</v>
      </c>
      <c r="Z358" s="218">
        <v>4128</v>
      </c>
      <c r="AA358" s="218">
        <v>3716.81</v>
      </c>
    </row>
    <row r="359" spans="1:27">
      <c r="A359" s="218" t="s">
        <v>2592</v>
      </c>
      <c r="F359" s="219" t="str">
        <f>"""IntAlert Live"",""ALERT UK"",""17"",""1"",""539666"""</f>
        <v>"IntAlert Live","ALERT UK","17","1","539666"</v>
      </c>
      <c r="G359" s="223">
        <v>43892</v>
      </c>
      <c r="H359" s="223"/>
      <c r="I359" s="218" t="str">
        <f>"DRCBUK/BANK/2020/03/004"</f>
        <v>DRCBUK/BANK/2020/03/004</v>
      </c>
      <c r="K359" s="218" t="str">
        <f>"DPMER SUD-KIVU"</f>
        <v>DPMER SUD-KIVU</v>
      </c>
      <c r="L359" s="218" t="str">
        <f>"Pmt IRL office rent February-May 31 30%"</f>
        <v>Pmt IRL office rent February-May 31 30%</v>
      </c>
      <c r="M359" s="218" t="str">
        <f>"8200"</f>
        <v>8200</v>
      </c>
      <c r="N359" s="218" t="str">
        <f>"RENT"</f>
        <v>RENT</v>
      </c>
      <c r="O359" s="218" t="str">
        <f t="shared" si="125"/>
        <v>DRCBUK</v>
      </c>
      <c r="P359" s="218" t="str">
        <f t="shared" si="120"/>
        <v>AP21QR</v>
      </c>
      <c r="Q359" s="218" t="str">
        <f>""</f>
        <v/>
      </c>
      <c r="R359" s="218" t="str">
        <f>""</f>
        <v/>
      </c>
      <c r="S359" s="218" t="str">
        <f>"070"</f>
        <v>070</v>
      </c>
      <c r="T359" s="218" t="str">
        <f t="shared" ref="T359:T365" si="126">"D"</f>
        <v>D</v>
      </c>
      <c r="U359" s="218" t="str">
        <f t="shared" si="123"/>
        <v>AFR000</v>
      </c>
      <c r="V359" s="218" t="str">
        <f t="shared" si="117"/>
        <v>###</v>
      </c>
      <c r="W359" s="218">
        <v>720</v>
      </c>
      <c r="X359" s="218" t="str">
        <f t="shared" si="124"/>
        <v>USD</v>
      </c>
      <c r="Y359" s="218">
        <v>561.63</v>
      </c>
      <c r="Z359" s="218">
        <v>720</v>
      </c>
      <c r="AA359" s="218">
        <v>660.78</v>
      </c>
    </row>
    <row r="360" spans="1:27">
      <c r="A360" s="218" t="s">
        <v>2592</v>
      </c>
      <c r="F360" s="219" t="str">
        <f>"""IntAlert Live"",""ALERT UK"",""17"",""1"",""539709"""</f>
        <v>"IntAlert Live","ALERT UK","17","1","539709"</v>
      </c>
      <c r="G360" s="223">
        <v>43903</v>
      </c>
      <c r="H360" s="223"/>
      <c r="I360" s="218" t="str">
        <f>"DRCBUK/BANK/2020/03/017"</f>
        <v>DRCBUK/BANK/2020/03/017</v>
      </c>
      <c r="K360" s="218" t="str">
        <f>"ALERT BUKAVU"</f>
        <v>ALERT BUKAVU</v>
      </c>
      <c r="L360" s="218" t="str">
        <f>"Contribution to office rent Handicap Intl 30%"</f>
        <v>Contribution to office rent Handicap Intl 30%</v>
      </c>
      <c r="M360" s="218" t="str">
        <f>"8200"</f>
        <v>8200</v>
      </c>
      <c r="N360" s="218" t="str">
        <f>"RENT"</f>
        <v>RENT</v>
      </c>
      <c r="O360" s="218" t="str">
        <f t="shared" si="125"/>
        <v>DRCBUK</v>
      </c>
      <c r="P360" s="218" t="str">
        <f t="shared" si="120"/>
        <v>AP21QR</v>
      </c>
      <c r="Q360" s="218" t="str">
        <f>""</f>
        <v/>
      </c>
      <c r="R360" s="218" t="str">
        <f>""</f>
        <v/>
      </c>
      <c r="S360" s="218" t="str">
        <f>"070"</f>
        <v>070</v>
      </c>
      <c r="T360" s="218" t="str">
        <f t="shared" si="126"/>
        <v>D</v>
      </c>
      <c r="U360" s="218" t="str">
        <f t="shared" si="123"/>
        <v>AFR000</v>
      </c>
      <c r="V360" s="218" t="str">
        <f t="shared" si="117"/>
        <v>###</v>
      </c>
      <c r="W360" s="218">
        <v>-360</v>
      </c>
      <c r="X360" s="218" t="str">
        <f t="shared" si="124"/>
        <v>USD</v>
      </c>
      <c r="Y360" s="218">
        <v>-280.82</v>
      </c>
      <c r="Z360" s="218">
        <v>-360</v>
      </c>
      <c r="AA360" s="218">
        <v>-330.4</v>
      </c>
    </row>
    <row r="361" spans="1:27">
      <c r="A361" s="218" t="s">
        <v>2592</v>
      </c>
      <c r="F361" s="219" t="str">
        <f>"""IntAlert Live"",""ALERT UK"",""17"",""1"",""516839"""</f>
        <v>"IntAlert Live","ALERT UK","17","1","516839"</v>
      </c>
      <c r="G361" s="223">
        <v>43843</v>
      </c>
      <c r="H361" s="223"/>
      <c r="I361" s="218" t="str">
        <f>"DRCBUK/BANK/2020/01/005"</f>
        <v>DRCBUK/BANK/2020/01/005</v>
      </c>
      <c r="K361" s="218" t="str">
        <f>"DGI"</f>
        <v>DGI</v>
      </c>
      <c r="L361" s="218" t="str">
        <f>"IPR Occasionnel Consultant Landry Déc19 18%"</f>
        <v>IPR Occasionnel Consultant Landry Déc19 18%</v>
      </c>
      <c r="M361" s="218" t="str">
        <f>"6190"</f>
        <v>6190</v>
      </c>
      <c r="N361" s="218" t="str">
        <f>"CONSULTANT  FEES"</f>
        <v>CONSULTANT  FEES</v>
      </c>
      <c r="O361" s="218" t="str">
        <f t="shared" si="125"/>
        <v>DRCBUK</v>
      </c>
      <c r="P361" s="218" t="str">
        <f t="shared" si="120"/>
        <v>AP21QR</v>
      </c>
      <c r="Q361" s="218" t="str">
        <f>""</f>
        <v/>
      </c>
      <c r="R361" s="218" t="str">
        <f>""</f>
        <v/>
      </c>
      <c r="S361" s="218" t="str">
        <f>"071"</f>
        <v>071</v>
      </c>
      <c r="T361" s="218" t="str">
        <f t="shared" si="126"/>
        <v>D</v>
      </c>
      <c r="U361" s="218" t="str">
        <f t="shared" si="123"/>
        <v>AFR000</v>
      </c>
      <c r="V361" s="218" t="str">
        <f t="shared" si="117"/>
        <v>###</v>
      </c>
      <c r="W361" s="218">
        <v>12.7</v>
      </c>
      <c r="X361" s="218" t="str">
        <f t="shared" si="124"/>
        <v>USD</v>
      </c>
      <c r="Y361" s="218">
        <v>9.57</v>
      </c>
      <c r="Z361" s="218">
        <v>12.7</v>
      </c>
      <c r="AA361" s="218">
        <v>11.23</v>
      </c>
    </row>
    <row r="362" spans="1:27">
      <c r="A362" s="218" t="s">
        <v>2592</v>
      </c>
      <c r="F362" s="219" t="str">
        <f>"""IntAlert Live"",""ALERT UK"",""17"",""1"",""516859"""</f>
        <v>"IntAlert Live","ALERT UK","17","1","516859"</v>
      </c>
      <c r="G362" s="223">
        <v>43843</v>
      </c>
      <c r="H362" s="223"/>
      <c r="I362" s="218" t="str">
        <f>"DRCBUK/BANK/2020/01/006"</f>
        <v>DRCBUK/BANK/2020/01/006</v>
      </c>
      <c r="K362" s="218" t="str">
        <f>"CNSS"</f>
        <v>CNSS</v>
      </c>
      <c r="L362" s="218" t="str">
        <f>"CNSS Occasionnel Consultant Landry Déc19 18%"</f>
        <v>CNSS Occasionnel Consultant Landry Déc19 18%</v>
      </c>
      <c r="M362" s="218" t="str">
        <f>"6190"</f>
        <v>6190</v>
      </c>
      <c r="N362" s="218" t="str">
        <f>"CONSULTANT  FEES"</f>
        <v>CONSULTANT  FEES</v>
      </c>
      <c r="O362" s="218" t="str">
        <f t="shared" si="125"/>
        <v>DRCBUK</v>
      </c>
      <c r="P362" s="218" t="str">
        <f t="shared" si="120"/>
        <v>AP21QR</v>
      </c>
      <c r="Q362" s="218" t="str">
        <f>""</f>
        <v/>
      </c>
      <c r="R362" s="218" t="str">
        <f>""</f>
        <v/>
      </c>
      <c r="S362" s="218" t="str">
        <f>"071"</f>
        <v>071</v>
      </c>
      <c r="T362" s="218" t="str">
        <f t="shared" si="126"/>
        <v>D</v>
      </c>
      <c r="U362" s="218" t="str">
        <f t="shared" si="123"/>
        <v>AFR000</v>
      </c>
      <c r="V362" s="218" t="str">
        <f t="shared" si="117"/>
        <v>###</v>
      </c>
      <c r="W362" s="218">
        <v>16.059999999999999</v>
      </c>
      <c r="X362" s="218" t="str">
        <f t="shared" si="124"/>
        <v>USD</v>
      </c>
      <c r="Y362" s="218">
        <v>12.1</v>
      </c>
      <c r="Z362" s="218">
        <v>16.059999999999999</v>
      </c>
      <c r="AA362" s="218">
        <v>14.2</v>
      </c>
    </row>
    <row r="363" spans="1:27">
      <c r="A363" s="218" t="s">
        <v>2592</v>
      </c>
      <c r="F363" s="219" t="str">
        <f>"""IntAlert Live"",""ALERT UK"",""17"",""1"",""532829"""</f>
        <v>"IntAlert Live","ALERT UK","17","1","532829"</v>
      </c>
      <c r="G363" s="223">
        <v>43868</v>
      </c>
      <c r="H363" s="223"/>
      <c r="I363" s="218" t="str">
        <f>"DRCBUK/CAISSE/2020/02/001"</f>
        <v>DRCBUK/CAISSE/2020/02/001</v>
      </c>
      <c r="K363" s="218" t="str">
        <f>"GCO"</f>
        <v>GCO</v>
      </c>
      <c r="L363" s="218" t="str">
        <f>"Pymt fact janv 020 à GCO  38% "</f>
        <v xml:space="preserve">Pymt fact janv 020 à GCO  38% </v>
      </c>
      <c r="M363" s="218" t="str">
        <f>"8420"</f>
        <v>8420</v>
      </c>
      <c r="N363" s="218" t="str">
        <f>"MAINTENANCE OF PREMISES"</f>
        <v>MAINTENANCE OF PREMISES</v>
      </c>
      <c r="O363" s="218" t="str">
        <f t="shared" si="125"/>
        <v>DRCBUK</v>
      </c>
      <c r="P363" s="218" t="str">
        <f t="shared" si="120"/>
        <v>AP21QR</v>
      </c>
      <c r="Q363" s="218" t="str">
        <f>""</f>
        <v/>
      </c>
      <c r="R363" s="218" t="str">
        <f>""</f>
        <v/>
      </c>
      <c r="S363" s="218" t="str">
        <f>"071"</f>
        <v>071</v>
      </c>
      <c r="T363" s="218" t="str">
        <f t="shared" si="126"/>
        <v>D</v>
      </c>
      <c r="U363" s="218" t="str">
        <f t="shared" si="123"/>
        <v>AFR000</v>
      </c>
      <c r="V363" s="218" t="str">
        <f t="shared" si="117"/>
        <v>###</v>
      </c>
      <c r="W363" s="218">
        <v>11.4</v>
      </c>
      <c r="X363" s="218" t="str">
        <f t="shared" si="124"/>
        <v>USD</v>
      </c>
      <c r="Y363" s="218">
        <v>8.64</v>
      </c>
      <c r="Z363" s="218">
        <v>11.4</v>
      </c>
      <c r="AA363" s="218">
        <v>10.26</v>
      </c>
    </row>
    <row r="364" spans="1:27">
      <c r="A364" s="218" t="s">
        <v>2592</v>
      </c>
      <c r="F364" s="219" t="str">
        <f>"""IntAlert Live"",""ALERT UK"",""17"",""1"",""539655"""</f>
        <v>"IntAlert Live","ALERT UK","17","1","539655"</v>
      </c>
      <c r="G364" s="223">
        <v>43892</v>
      </c>
      <c r="H364" s="223"/>
      <c r="I364" s="218" t="str">
        <f>"DRCBUK/BANK/2020/03/001"</f>
        <v>DRCBUK/BANK/2020/03/001</v>
      </c>
      <c r="K364" s="218" t="str">
        <f>"LANDRY TCHIBASU"</f>
        <v>LANDRY TCHIBASU</v>
      </c>
      <c r="L364" s="218" t="str">
        <f>"Pmt Consultant Elect-Plomb Fev 020 Landry  40%"</f>
        <v>Pmt Consultant Elect-Plomb Fev 020 Landry  40%</v>
      </c>
      <c r="M364" s="218" t="str">
        <f>"6190"</f>
        <v>6190</v>
      </c>
      <c r="N364" s="218" t="str">
        <f>"CONSULTANT  FEES"</f>
        <v>CONSULTANT  FEES</v>
      </c>
      <c r="O364" s="218" t="str">
        <f t="shared" si="125"/>
        <v>DRCBUK</v>
      </c>
      <c r="P364" s="218" t="str">
        <f t="shared" si="120"/>
        <v>AP21QR</v>
      </c>
      <c r="Q364" s="218" t="str">
        <f>""</f>
        <v/>
      </c>
      <c r="R364" s="218" t="str">
        <f>""</f>
        <v/>
      </c>
      <c r="S364" s="218" t="str">
        <f>"071"</f>
        <v>071</v>
      </c>
      <c r="T364" s="218" t="str">
        <f t="shared" si="126"/>
        <v>D</v>
      </c>
      <c r="U364" s="218" t="str">
        <f t="shared" si="123"/>
        <v>AFR000</v>
      </c>
      <c r="V364" s="218" t="str">
        <f t="shared" si="117"/>
        <v>###</v>
      </c>
      <c r="W364" s="218">
        <v>160</v>
      </c>
      <c r="X364" s="218" t="str">
        <f t="shared" si="124"/>
        <v>USD</v>
      </c>
      <c r="Y364" s="218">
        <v>124.81</v>
      </c>
      <c r="Z364" s="218">
        <v>160</v>
      </c>
      <c r="AA364" s="218">
        <v>146.84</v>
      </c>
    </row>
    <row r="365" spans="1:27">
      <c r="A365" s="218" t="s">
        <v>2592</v>
      </c>
      <c r="F365" s="219" t="str">
        <f>"""IntAlert Live"",""ALERT UK"",""17"",""1"",""540169"""</f>
        <v>"IntAlert Live","ALERT UK","17","1","540169"</v>
      </c>
      <c r="G365" s="223">
        <v>43908</v>
      </c>
      <c r="H365" s="223"/>
      <c r="I365" s="218" t="str">
        <f>"DRCBUK/CAISSE/2020/03/001"</f>
        <v>DRCBUK/CAISSE/2020/03/001</v>
      </c>
      <c r="K365" s="218" t="str">
        <f>"REGIDESO"</f>
        <v>REGIDESO</v>
      </c>
      <c r="L365" s="218" t="str">
        <f>"Paiement facture REGIDESO Février 20  5%"</f>
        <v>Paiement facture REGIDESO Février 20  5%</v>
      </c>
      <c r="M365" s="218" t="str">
        <f>"8240"</f>
        <v>8240</v>
      </c>
      <c r="N365" s="218" t="str">
        <f>"WATER"</f>
        <v>WATER</v>
      </c>
      <c r="O365" s="218" t="str">
        <f t="shared" si="125"/>
        <v>DRCBUK</v>
      </c>
      <c r="P365" s="218" t="str">
        <f t="shared" si="120"/>
        <v>AP21QR</v>
      </c>
      <c r="Q365" s="218" t="str">
        <f>""</f>
        <v/>
      </c>
      <c r="R365" s="218" t="str">
        <f>""</f>
        <v/>
      </c>
      <c r="S365" s="218" t="str">
        <f>"071"</f>
        <v>071</v>
      </c>
      <c r="T365" s="218" t="str">
        <f t="shared" si="126"/>
        <v>D</v>
      </c>
      <c r="U365" s="218" t="str">
        <f t="shared" si="123"/>
        <v>AFR000</v>
      </c>
      <c r="V365" s="218" t="str">
        <f t="shared" si="117"/>
        <v>###</v>
      </c>
      <c r="W365" s="218">
        <v>9.25</v>
      </c>
      <c r="X365" s="218" t="str">
        <f t="shared" si="124"/>
        <v>USD</v>
      </c>
      <c r="Y365" s="218">
        <v>7.22</v>
      </c>
      <c r="Z365" s="218">
        <v>9.25</v>
      </c>
      <c r="AA365" s="218">
        <v>8.49</v>
      </c>
    </row>
    <row r="366" spans="1:27">
      <c r="A366" s="218" t="s">
        <v>2592</v>
      </c>
      <c r="F366" s="219" t="str">
        <f>"""IntAlert Live"",""ALERT UK"",""17"",""1"",""533551"""</f>
        <v>"IntAlert Live","ALERT UK","17","1","533551"</v>
      </c>
      <c r="G366" s="223">
        <v>43833</v>
      </c>
      <c r="H366" s="223"/>
      <c r="I366" s="218" t="str">
        <f>""</f>
        <v/>
      </c>
      <c r="K366" s="218" t="str">
        <f>"HR SCF CHG JAN20"</f>
        <v>HR SCF CHG JAN20</v>
      </c>
      <c r="L366" s="218" t="str">
        <f>"HR SCF CHG JAN20"</f>
        <v>HR SCF CHG JAN20</v>
      </c>
      <c r="M366" s="218" t="str">
        <f>"5100"</f>
        <v>5100</v>
      </c>
      <c r="N366" s="218" t="str">
        <f>"BASIC EMPLOYMENT COSTS"</f>
        <v>BASIC EMPLOYMENT COSTS</v>
      </c>
      <c r="O366" s="218" t="str">
        <f>"UNILON"</f>
        <v>UNILON</v>
      </c>
      <c r="P366" s="218" t="str">
        <f t="shared" si="120"/>
        <v>AP21QR</v>
      </c>
      <c r="Q366" s="218" t="str">
        <f>"BUU"</f>
        <v>BUU</v>
      </c>
      <c r="R366" s="218" t="str">
        <f>""</f>
        <v/>
      </c>
      <c r="S366" s="218" t="str">
        <f t="shared" ref="S366:S383" si="127">"072"</f>
        <v>072</v>
      </c>
      <c r="T366" s="218" t="str">
        <f>"C"</f>
        <v>C</v>
      </c>
      <c r="U366" s="218" t="str">
        <f t="shared" si="123"/>
        <v>AFR000</v>
      </c>
      <c r="V366" s="218" t="str">
        <f t="shared" si="117"/>
        <v>###</v>
      </c>
      <c r="W366" s="218">
        <v>0</v>
      </c>
      <c r="X366" s="218" t="str">
        <f>""</f>
        <v/>
      </c>
      <c r="Y366" s="218">
        <v>13.19</v>
      </c>
      <c r="Z366" s="218">
        <v>17.5</v>
      </c>
      <c r="AA366" s="218">
        <v>15.48</v>
      </c>
    </row>
    <row r="367" spans="1:27">
      <c r="A367" s="218" t="s">
        <v>2592</v>
      </c>
      <c r="F367" s="219" t="str">
        <f>"""IntAlert Live"",""ALERT UK"",""17"",""1"",""516919"""</f>
        <v>"IntAlert Live","ALERT UK","17","1","516919"</v>
      </c>
      <c r="G367" s="223">
        <v>43859</v>
      </c>
      <c r="H367" s="223"/>
      <c r="I367" s="218" t="str">
        <f>"DRCBUK/BANK/2020/01/012"</f>
        <v>DRCBUK/BANK/2020/01/012</v>
      </c>
      <c r="K367" s="218" t="str">
        <f>"HDW"</f>
        <v>HDW</v>
      </c>
      <c r="L367" s="218" t="str">
        <f>"Pmt securité Résidence George Janvier'20-10%"</f>
        <v>Pmt securité Résidence George Janvier'20-10%</v>
      </c>
      <c r="M367" s="218" t="str">
        <f>"5130"</f>
        <v>5130</v>
      </c>
      <c r="N367" s="218" t="str">
        <f>"EMPLOYMENT HOUSING  COSTS"</f>
        <v>EMPLOYMENT HOUSING  COSTS</v>
      </c>
      <c r="O367" s="218" t="str">
        <f>"DRCBUK"</f>
        <v>DRCBUK</v>
      </c>
      <c r="P367" s="218" t="str">
        <f t="shared" si="120"/>
        <v>AP21QR</v>
      </c>
      <c r="Q367" s="218" t="str">
        <f>"NDI"</f>
        <v>NDI</v>
      </c>
      <c r="R367" s="218" t="str">
        <f>""</f>
        <v/>
      </c>
      <c r="S367" s="218" t="str">
        <f t="shared" si="127"/>
        <v>072</v>
      </c>
      <c r="T367" s="218" t="str">
        <f>"D"</f>
        <v>D</v>
      </c>
      <c r="U367" s="218" t="str">
        <f t="shared" si="123"/>
        <v>AFR000</v>
      </c>
      <c r="V367" s="218" t="str">
        <f t="shared" si="117"/>
        <v>###</v>
      </c>
      <c r="W367" s="218">
        <v>85</v>
      </c>
      <c r="X367" s="218" t="str">
        <f>"USD"</f>
        <v>USD</v>
      </c>
      <c r="Y367" s="218">
        <v>64.069999999999993</v>
      </c>
      <c r="Z367" s="218">
        <v>85</v>
      </c>
      <c r="AA367" s="218">
        <v>75.19</v>
      </c>
    </row>
    <row r="368" spans="1:27">
      <c r="A368" s="218" t="s">
        <v>2592</v>
      </c>
      <c r="F368" s="219" t="str">
        <f>"""IntAlert Live"",""ALERT UK"",""17"",""1"",""519777"""</f>
        <v>"IntAlert Live","ALERT UK","17","1","519777"</v>
      </c>
      <c r="G368" s="223">
        <v>43861</v>
      </c>
      <c r="H368" s="223"/>
      <c r="I368" s="218" t="str">
        <f>"BUESSER C 20%"</f>
        <v>BUESSER C 20%</v>
      </c>
      <c r="K368" s="218" t="str">
        <f>"HR CHG JAN20"</f>
        <v>HR CHG JAN20</v>
      </c>
      <c r="L368" s="218" t="str">
        <f>"HR CHG JAN20"</f>
        <v>HR CHG JAN20</v>
      </c>
      <c r="M368" s="218" t="str">
        <f>"5100"</f>
        <v>5100</v>
      </c>
      <c r="N368" s="218" t="str">
        <f>"BASIC EMPLOYMENT COSTS"</f>
        <v>BASIC EMPLOYMENT COSTS</v>
      </c>
      <c r="O368" s="218" t="str">
        <f>"UNILON"</f>
        <v>UNILON</v>
      </c>
      <c r="P368" s="218" t="str">
        <f t="shared" si="120"/>
        <v>AP21QR</v>
      </c>
      <c r="Q368" s="218" t="str">
        <f>"BUU"</f>
        <v>BUU</v>
      </c>
      <c r="R368" s="218" t="str">
        <f>""</f>
        <v/>
      </c>
      <c r="S368" s="218" t="str">
        <f t="shared" si="127"/>
        <v>072</v>
      </c>
      <c r="T368" s="218" t="str">
        <f>"S"</f>
        <v>S</v>
      </c>
      <c r="U368" s="218" t="str">
        <f t="shared" si="123"/>
        <v>AFR000</v>
      </c>
      <c r="V368" s="218" t="str">
        <f t="shared" si="117"/>
        <v>###</v>
      </c>
      <c r="W368" s="218">
        <v>0</v>
      </c>
      <c r="X368" s="218" t="str">
        <f>""</f>
        <v/>
      </c>
      <c r="Y368" s="218">
        <v>43.95</v>
      </c>
      <c r="Z368" s="218">
        <v>58.31</v>
      </c>
      <c r="AA368" s="218">
        <v>51.58</v>
      </c>
    </row>
    <row r="369" spans="1:27">
      <c r="A369" s="218" t="s">
        <v>2592</v>
      </c>
      <c r="F369" s="219" t="str">
        <f>"""IntAlert Live"",""ALERT UK"",""17"",""1"",""519918"""</f>
        <v>"IntAlert Live","ALERT UK","17","1","519918"</v>
      </c>
      <c r="G369" s="223">
        <v>43861</v>
      </c>
      <c r="H369" s="223"/>
      <c r="I369" s="218" t="str">
        <f>"BUESSER C 20%"</f>
        <v>BUESSER C 20%</v>
      </c>
      <c r="K369" s="218" t="str">
        <f>"HR SCF CHG JAN20"</f>
        <v>HR SCF CHG JAN20</v>
      </c>
      <c r="L369" s="218" t="str">
        <f>"HR SCF CHG JAN20"</f>
        <v>HR SCF CHG JAN20</v>
      </c>
      <c r="M369" s="218" t="str">
        <f>"5100"</f>
        <v>5100</v>
      </c>
      <c r="N369" s="218" t="str">
        <f>"BASIC EMPLOYMENT COSTS"</f>
        <v>BASIC EMPLOYMENT COSTS</v>
      </c>
      <c r="O369" s="218" t="str">
        <f>"UNILON"</f>
        <v>UNILON</v>
      </c>
      <c r="P369" s="218" t="str">
        <f t="shared" si="120"/>
        <v>AP21QR</v>
      </c>
      <c r="Q369" s="218" t="str">
        <f>"BUU"</f>
        <v>BUU</v>
      </c>
      <c r="R369" s="218" t="str">
        <f>""</f>
        <v/>
      </c>
      <c r="S369" s="218" t="str">
        <f t="shared" si="127"/>
        <v>072</v>
      </c>
      <c r="T369" s="218" t="str">
        <f>"C"</f>
        <v>C</v>
      </c>
      <c r="U369" s="218" t="str">
        <f t="shared" si="123"/>
        <v>AFR000</v>
      </c>
      <c r="V369" s="218" t="str">
        <f t="shared" si="117"/>
        <v>###</v>
      </c>
      <c r="W369" s="218">
        <v>0</v>
      </c>
      <c r="X369" s="218" t="str">
        <f>""</f>
        <v/>
      </c>
      <c r="Y369" s="218">
        <v>13.19</v>
      </c>
      <c r="Z369" s="218">
        <v>17.5</v>
      </c>
      <c r="AA369" s="218">
        <v>15.48</v>
      </c>
    </row>
    <row r="370" spans="1:27">
      <c r="A370" s="218" t="s">
        <v>2592</v>
      </c>
      <c r="F370" s="219" t="str">
        <f>"""IntAlert Live"",""ALERT UK"",""17"",""1"",""520073"""</f>
        <v>"IntAlert Live","ALERT UK","17","1","520073"</v>
      </c>
      <c r="G370" s="223">
        <v>43861</v>
      </c>
      <c r="H370" s="223"/>
      <c r="I370" s="218" t="str">
        <f>""</f>
        <v/>
      </c>
      <c r="K370" s="218" t="str">
        <f>"PR JAN20 JNL"</f>
        <v>PR JAN20 JNL</v>
      </c>
      <c r="L370" s="218" t="str">
        <f>"Buesser C 20%"</f>
        <v>Buesser C 20%</v>
      </c>
      <c r="M370" s="218" t="str">
        <f>"5100"</f>
        <v>5100</v>
      </c>
      <c r="N370" s="218" t="str">
        <f>"BASIC EMPLOYMENT COSTS"</f>
        <v>BASIC EMPLOYMENT COSTS</v>
      </c>
      <c r="O370" s="218" t="str">
        <f>"UNILON"</f>
        <v>UNILON</v>
      </c>
      <c r="P370" s="218" t="str">
        <f t="shared" si="120"/>
        <v>AP21QR</v>
      </c>
      <c r="Q370" s="218" t="str">
        <f>"BUU"</f>
        <v>BUU</v>
      </c>
      <c r="R370" s="218" t="str">
        <f>""</f>
        <v/>
      </c>
      <c r="S370" s="218" t="str">
        <f t="shared" si="127"/>
        <v>072</v>
      </c>
      <c r="T370" s="218" t="str">
        <f>"D"</f>
        <v>D</v>
      </c>
      <c r="U370" s="218" t="str">
        <f t="shared" si="123"/>
        <v>AFR000</v>
      </c>
      <c r="V370" s="218" t="str">
        <f t="shared" si="117"/>
        <v>###</v>
      </c>
      <c r="W370" s="218">
        <v>0</v>
      </c>
      <c r="X370" s="218" t="str">
        <f>""</f>
        <v/>
      </c>
      <c r="Y370" s="218">
        <v>879.05</v>
      </c>
      <c r="Z370" s="218">
        <v>1166.28</v>
      </c>
      <c r="AA370" s="218">
        <v>1031.6500000000001</v>
      </c>
    </row>
    <row r="371" spans="1:27">
      <c r="A371" s="218" t="s">
        <v>2592</v>
      </c>
      <c r="F371" s="219" t="str">
        <f>"""IntAlert Live"",""ALERT UK"",""17"",""1"",""520370"""</f>
        <v>"IntAlert Live","ALERT UK","17","1","520370"</v>
      </c>
      <c r="G371" s="223">
        <v>43861</v>
      </c>
      <c r="H371" s="223"/>
      <c r="I371" s="218" t="str">
        <f>""</f>
        <v/>
      </c>
      <c r="K371" s="218" t="str">
        <f>"PR JAN20 JNL"</f>
        <v>PR JAN20 JNL</v>
      </c>
      <c r="L371" s="218" t="str">
        <f>"Buesser C 20%"</f>
        <v>Buesser C 20%</v>
      </c>
      <c r="M371" s="218" t="str">
        <f>"5110"</f>
        <v>5110</v>
      </c>
      <c r="N371" s="218" t="str">
        <f>"EMPLOYER'S PENSION COSTS"</f>
        <v>EMPLOYER'S PENSION COSTS</v>
      </c>
      <c r="O371" s="218" t="str">
        <f>"UNILON"</f>
        <v>UNILON</v>
      </c>
      <c r="P371" s="218" t="str">
        <f t="shared" si="120"/>
        <v>AP21QR</v>
      </c>
      <c r="Q371" s="218" t="str">
        <f>"BUU"</f>
        <v>BUU</v>
      </c>
      <c r="R371" s="218" t="str">
        <f>""</f>
        <v/>
      </c>
      <c r="S371" s="218" t="str">
        <f t="shared" si="127"/>
        <v>072</v>
      </c>
      <c r="T371" s="218" t="str">
        <f>"D"</f>
        <v>D</v>
      </c>
      <c r="U371" s="218" t="str">
        <f t="shared" si="123"/>
        <v>AFR000</v>
      </c>
      <c r="V371" s="218" t="str">
        <f t="shared" si="117"/>
        <v>###</v>
      </c>
      <c r="W371" s="218">
        <v>0</v>
      </c>
      <c r="X371" s="218" t="str">
        <f>""</f>
        <v/>
      </c>
      <c r="Y371" s="218">
        <v>87.91</v>
      </c>
      <c r="Z371" s="218">
        <v>116.63</v>
      </c>
      <c r="AA371" s="218">
        <v>103.17</v>
      </c>
    </row>
    <row r="372" spans="1:27">
      <c r="A372" s="218" t="s">
        <v>2592</v>
      </c>
      <c r="F372" s="219" t="str">
        <f>"""IntAlert Live"",""ALERT UK"",""17"",""1"",""522288"""</f>
        <v>"IntAlert Live","ALERT UK","17","1","522288"</v>
      </c>
      <c r="G372" s="223">
        <v>43880</v>
      </c>
      <c r="H372" s="223"/>
      <c r="I372" s="218" t="str">
        <f>"SALARY FEB 2020"</f>
        <v>SALARY FEB 2020</v>
      </c>
      <c r="K372" s="218" t="str">
        <f>""</f>
        <v/>
      </c>
      <c r="L372" s="218" t="str">
        <f>"NDIKINTUM GEORGE DEDUCTION"</f>
        <v>NDIKINTUM GEORGE DEDUCTION</v>
      </c>
      <c r="M372" s="218" t="str">
        <f>"6010"</f>
        <v>6010</v>
      </c>
      <c r="N372" s="218" t="str">
        <f>"STAFF TRAVEL INTERNATIONAL"</f>
        <v>STAFF TRAVEL INTERNATIONAL</v>
      </c>
      <c r="O372" s="218" t="str">
        <f>"UNILON"</f>
        <v>UNILON</v>
      </c>
      <c r="P372" s="218" t="str">
        <f t="shared" si="120"/>
        <v>AP21QR</v>
      </c>
      <c r="Q372" s="218" t="str">
        <f>"NDI"</f>
        <v>NDI</v>
      </c>
      <c r="R372" s="218" t="str">
        <f>""</f>
        <v/>
      </c>
      <c r="S372" s="218" t="str">
        <f t="shared" si="127"/>
        <v>072</v>
      </c>
      <c r="T372" s="218" t="str">
        <f>"D"</f>
        <v>D</v>
      </c>
      <c r="U372" s="218" t="str">
        <f>""</f>
        <v/>
      </c>
      <c r="V372" s="218" t="str">
        <f t="shared" si="117"/>
        <v>###</v>
      </c>
      <c r="W372" s="218">
        <v>0</v>
      </c>
      <c r="X372" s="218" t="str">
        <f>""</f>
        <v/>
      </c>
      <c r="Y372" s="218">
        <v>-121</v>
      </c>
      <c r="Z372" s="218">
        <v>-159.63999999999999</v>
      </c>
      <c r="AA372" s="218">
        <v>-143.72999999999999</v>
      </c>
    </row>
    <row r="373" spans="1:27">
      <c r="A373" s="218" t="s">
        <v>2592</v>
      </c>
      <c r="F373" s="219" t="str">
        <f>"""IntAlert Live"",""ALERT UK"",""17"",""1"",""532631"""</f>
        <v>"IntAlert Live","ALERT UK","17","1","532631"</v>
      </c>
      <c r="G373" s="223">
        <v>43889</v>
      </c>
      <c r="H373" s="223"/>
      <c r="I373" s="218" t="str">
        <f>"DRCBUK/BANK/2020/02/036"</f>
        <v>DRCBUK/BANK/2020/02/036</v>
      </c>
      <c r="K373" s="218" t="str">
        <f>"HDW"</f>
        <v>HDW</v>
      </c>
      <c r="L373" s="218" t="str">
        <f>"Pmt gardenage Résidence George Fev020 15%"</f>
        <v>Pmt gardenage Résidence George Fev020 15%</v>
      </c>
      <c r="M373" s="218" t="str">
        <f>"5130"</f>
        <v>5130</v>
      </c>
      <c r="N373" s="218" t="str">
        <f>"EMPLOYMENT HOUSING  COSTS"</f>
        <v>EMPLOYMENT HOUSING  COSTS</v>
      </c>
      <c r="O373" s="218" t="str">
        <f>"DRCBUK"</f>
        <v>DRCBUK</v>
      </c>
      <c r="P373" s="218" t="str">
        <f t="shared" si="120"/>
        <v>AP21QR</v>
      </c>
      <c r="Q373" s="218" t="str">
        <f>"NDI"</f>
        <v>NDI</v>
      </c>
      <c r="R373" s="218" t="str">
        <f>""</f>
        <v/>
      </c>
      <c r="S373" s="218" t="str">
        <f t="shared" si="127"/>
        <v>072</v>
      </c>
      <c r="T373" s="218" t="str">
        <f>"D"</f>
        <v>D</v>
      </c>
      <c r="U373" s="218" t="str">
        <f t="shared" ref="U373:U404" si="128">"AFR000"</f>
        <v>AFR000</v>
      </c>
      <c r="V373" s="218" t="str">
        <f t="shared" si="117"/>
        <v>###</v>
      </c>
      <c r="W373" s="218">
        <v>127.5</v>
      </c>
      <c r="X373" s="218" t="str">
        <f>"USD"</f>
        <v>USD</v>
      </c>
      <c r="Y373" s="218">
        <v>96.64</v>
      </c>
      <c r="Z373" s="218">
        <v>127.5</v>
      </c>
      <c r="AA373" s="218">
        <v>114.8</v>
      </c>
    </row>
    <row r="374" spans="1:27">
      <c r="A374" s="218" t="s">
        <v>2592</v>
      </c>
      <c r="F374" s="219" t="str">
        <f>"""IntAlert Live"",""ALERT UK"",""17"",""1"",""534605"""</f>
        <v>"IntAlert Live","ALERT UK","17","1","534605"</v>
      </c>
      <c r="G374" s="223">
        <v>43890</v>
      </c>
      <c r="H374" s="223"/>
      <c r="I374" s="218" t="str">
        <f>""</f>
        <v/>
      </c>
      <c r="K374" s="218" t="str">
        <f>"HR CHG FEB20"</f>
        <v>HR CHG FEB20</v>
      </c>
      <c r="L374" s="218" t="str">
        <f>"HR CHG FEB20"</f>
        <v>HR CHG FEB20</v>
      </c>
      <c r="M374" s="218" t="str">
        <f>"5100"</f>
        <v>5100</v>
      </c>
      <c r="N374" s="218" t="str">
        <f>"BASIC EMPLOYMENT COSTS"</f>
        <v>BASIC EMPLOYMENT COSTS</v>
      </c>
      <c r="O374" s="218" t="str">
        <f>"UNILON"</f>
        <v>UNILON</v>
      </c>
      <c r="P374" s="218" t="str">
        <f t="shared" si="120"/>
        <v>AP21QR</v>
      </c>
      <c r="Q374" s="218" t="str">
        <f>"BUU"</f>
        <v>BUU</v>
      </c>
      <c r="R374" s="218" t="str">
        <f>""</f>
        <v/>
      </c>
      <c r="S374" s="218" t="str">
        <f t="shared" si="127"/>
        <v>072</v>
      </c>
      <c r="T374" s="218" t="str">
        <f>"S"</f>
        <v>S</v>
      </c>
      <c r="U374" s="218" t="str">
        <f t="shared" si="128"/>
        <v>AFR000</v>
      </c>
      <c r="V374" s="218" t="str">
        <f t="shared" si="117"/>
        <v>###</v>
      </c>
      <c r="W374" s="218">
        <v>0</v>
      </c>
      <c r="X374" s="218" t="str">
        <f>""</f>
        <v/>
      </c>
      <c r="Y374" s="218">
        <v>43.95</v>
      </c>
      <c r="Z374" s="218">
        <v>57.98</v>
      </c>
      <c r="AA374" s="218">
        <v>52.21</v>
      </c>
    </row>
    <row r="375" spans="1:27">
      <c r="A375" s="218" t="s">
        <v>2592</v>
      </c>
      <c r="F375" s="219" t="str">
        <f>"""IntAlert Live"",""ALERT UK"",""17"",""1"",""534749"""</f>
        <v>"IntAlert Live","ALERT UK","17","1","534749"</v>
      </c>
      <c r="G375" s="223">
        <v>43890</v>
      </c>
      <c r="H375" s="223"/>
      <c r="I375" s="218" t="str">
        <f>""</f>
        <v/>
      </c>
      <c r="K375" s="218" t="str">
        <f>"HR SCF CHG FEB20"</f>
        <v>HR SCF CHG FEB20</v>
      </c>
      <c r="L375" s="218" t="str">
        <f>"HR SCF CHG FEB20"</f>
        <v>HR SCF CHG FEB20</v>
      </c>
      <c r="M375" s="218" t="str">
        <f>"5100"</f>
        <v>5100</v>
      </c>
      <c r="N375" s="218" t="str">
        <f>"BASIC EMPLOYMENT COSTS"</f>
        <v>BASIC EMPLOYMENT COSTS</v>
      </c>
      <c r="O375" s="218" t="str">
        <f>"UNILON"</f>
        <v>UNILON</v>
      </c>
      <c r="P375" s="218" t="str">
        <f t="shared" si="120"/>
        <v>AP21QR</v>
      </c>
      <c r="Q375" s="218" t="str">
        <f>"BUU"</f>
        <v>BUU</v>
      </c>
      <c r="R375" s="218" t="str">
        <f>""</f>
        <v/>
      </c>
      <c r="S375" s="218" t="str">
        <f t="shared" si="127"/>
        <v>072</v>
      </c>
      <c r="T375" s="218" t="str">
        <f>"C"</f>
        <v>C</v>
      </c>
      <c r="U375" s="218" t="str">
        <f t="shared" si="128"/>
        <v>AFR000</v>
      </c>
      <c r="V375" s="218" t="str">
        <f t="shared" si="117"/>
        <v>###</v>
      </c>
      <c r="W375" s="218">
        <v>0</v>
      </c>
      <c r="X375" s="218" t="str">
        <f>""</f>
        <v/>
      </c>
      <c r="Y375" s="218">
        <v>26.37</v>
      </c>
      <c r="Z375" s="218">
        <v>34.79</v>
      </c>
      <c r="AA375" s="218">
        <v>31.32</v>
      </c>
    </row>
    <row r="376" spans="1:27">
      <c r="A376" s="218" t="s">
        <v>2592</v>
      </c>
      <c r="F376" s="219" t="str">
        <f>"""IntAlert Live"",""ALERT UK"",""17"",""1"",""534975"""</f>
        <v>"IntAlert Live","ALERT UK","17","1","534975"</v>
      </c>
      <c r="G376" s="223">
        <v>43890</v>
      </c>
      <c r="H376" s="223"/>
      <c r="I376" s="218" t="str">
        <f>""</f>
        <v/>
      </c>
      <c r="K376" s="218" t="str">
        <f>"PR FEB JNL"</f>
        <v>PR FEB JNL</v>
      </c>
      <c r="L376" s="218" t="str">
        <f>"Buesser C 20%"</f>
        <v>Buesser C 20%</v>
      </c>
      <c r="M376" s="218" t="str">
        <f>"5100"</f>
        <v>5100</v>
      </c>
      <c r="N376" s="218" t="str">
        <f>"BASIC EMPLOYMENT COSTS"</f>
        <v>BASIC EMPLOYMENT COSTS</v>
      </c>
      <c r="O376" s="218" t="str">
        <f>"UNILON"</f>
        <v>UNILON</v>
      </c>
      <c r="P376" s="218" t="str">
        <f t="shared" si="120"/>
        <v>AP21QR</v>
      </c>
      <c r="Q376" s="218" t="str">
        <f>"BUU"</f>
        <v>BUU</v>
      </c>
      <c r="R376" s="218" t="str">
        <f>""</f>
        <v/>
      </c>
      <c r="S376" s="218" t="str">
        <f t="shared" si="127"/>
        <v>072</v>
      </c>
      <c r="T376" s="218" t="str">
        <f t="shared" ref="T376:T381" si="129">"D"</f>
        <v>D</v>
      </c>
      <c r="U376" s="218" t="str">
        <f t="shared" si="128"/>
        <v>AFR000</v>
      </c>
      <c r="V376" s="218" t="str">
        <f t="shared" si="117"/>
        <v>###</v>
      </c>
      <c r="W376" s="218">
        <v>0</v>
      </c>
      <c r="X376" s="218" t="str">
        <f>""</f>
        <v/>
      </c>
      <c r="Y376" s="218">
        <v>879.05</v>
      </c>
      <c r="Z376" s="218">
        <v>1159.74</v>
      </c>
      <c r="AA376" s="218">
        <v>1044.21</v>
      </c>
    </row>
    <row r="377" spans="1:27">
      <c r="A377" s="218" t="s">
        <v>2592</v>
      </c>
      <c r="F377" s="219" t="str">
        <f>"""IntAlert Live"",""ALERT UK"",""17"",""1"",""535269"""</f>
        <v>"IntAlert Live","ALERT UK","17","1","535269"</v>
      </c>
      <c r="G377" s="223">
        <v>43890</v>
      </c>
      <c r="H377" s="223"/>
      <c r="I377" s="218" t="str">
        <f>""</f>
        <v/>
      </c>
      <c r="K377" s="218" t="str">
        <f>"PR FEB JNL"</f>
        <v>PR FEB JNL</v>
      </c>
      <c r="L377" s="218" t="str">
        <f>"Buesser C 20%"</f>
        <v>Buesser C 20%</v>
      </c>
      <c r="M377" s="218" t="str">
        <f>"5110"</f>
        <v>5110</v>
      </c>
      <c r="N377" s="218" t="str">
        <f>"EMPLOYER'S PENSION COSTS"</f>
        <v>EMPLOYER'S PENSION COSTS</v>
      </c>
      <c r="O377" s="218" t="str">
        <f>"UNILON"</f>
        <v>UNILON</v>
      </c>
      <c r="P377" s="218" t="str">
        <f t="shared" si="120"/>
        <v>AP21QR</v>
      </c>
      <c r="Q377" s="218" t="str">
        <f>"BUU"</f>
        <v>BUU</v>
      </c>
      <c r="R377" s="218" t="str">
        <f>""</f>
        <v/>
      </c>
      <c r="S377" s="218" t="str">
        <f t="shared" si="127"/>
        <v>072</v>
      </c>
      <c r="T377" s="218" t="str">
        <f t="shared" si="129"/>
        <v>D</v>
      </c>
      <c r="U377" s="218" t="str">
        <f t="shared" si="128"/>
        <v>AFR000</v>
      </c>
      <c r="V377" s="218" t="str">
        <f t="shared" si="117"/>
        <v>###</v>
      </c>
      <c r="W377" s="218">
        <v>0</v>
      </c>
      <c r="X377" s="218" t="str">
        <f>""</f>
        <v/>
      </c>
      <c r="Y377" s="218">
        <v>87.91</v>
      </c>
      <c r="Z377" s="218">
        <v>115.98</v>
      </c>
      <c r="AA377" s="218">
        <v>104.43</v>
      </c>
    </row>
    <row r="378" spans="1:27">
      <c r="A378" s="218" t="s">
        <v>2592</v>
      </c>
      <c r="F378" s="219" t="str">
        <f>"""IntAlert Live"",""ALERT UK"",""17"",""1"",""539794"""</f>
        <v>"IntAlert Live","ALERT UK","17","1","539794"</v>
      </c>
      <c r="G378" s="223">
        <v>43909</v>
      </c>
      <c r="H378" s="223"/>
      <c r="I378" s="218" t="str">
        <f>"DRCBUK/BANK/2020/03/020"</f>
        <v>DRCBUK/BANK/2020/03/020</v>
      </c>
      <c r="K378" s="218" t="str">
        <f>"HDW"</f>
        <v>HDW</v>
      </c>
      <c r="L378" s="218" t="str">
        <f>"Frs de gardinage bureau Mars 2020 50%"</f>
        <v>Frs de gardinage bureau Mars 2020 50%</v>
      </c>
      <c r="M378" s="218" t="str">
        <f>"8110"</f>
        <v>8110</v>
      </c>
      <c r="N378" s="218" t="str">
        <f>"HEALTH AND SAFETY"</f>
        <v>HEALTH AND SAFETY</v>
      </c>
      <c r="O378" s="218" t="str">
        <f>"DRCBUK"</f>
        <v>DRCBUK</v>
      </c>
      <c r="P378" s="218" t="str">
        <f t="shared" si="120"/>
        <v>AP21QR</v>
      </c>
      <c r="Q378" s="218" t="str">
        <f>""</f>
        <v/>
      </c>
      <c r="R378" s="218" t="str">
        <f>""</f>
        <v/>
      </c>
      <c r="S378" s="218" t="str">
        <f t="shared" si="127"/>
        <v>072</v>
      </c>
      <c r="T378" s="218" t="str">
        <f t="shared" si="129"/>
        <v>D</v>
      </c>
      <c r="U378" s="218" t="str">
        <f t="shared" si="128"/>
        <v>AFR000</v>
      </c>
      <c r="V378" s="218" t="str">
        <f t="shared" si="117"/>
        <v>###</v>
      </c>
      <c r="W378" s="218">
        <v>375</v>
      </c>
      <c r="X378" s="218" t="str">
        <f>"USD"</f>
        <v>USD</v>
      </c>
      <c r="Y378" s="218">
        <v>292.52</v>
      </c>
      <c r="Z378" s="218">
        <v>375</v>
      </c>
      <c r="AA378" s="218">
        <v>344.16</v>
      </c>
    </row>
    <row r="379" spans="1:27">
      <c r="A379" s="218" t="s">
        <v>2592</v>
      </c>
      <c r="F379" s="219" t="str">
        <f>"""IntAlert Live"",""ALERT UK"",""17"",""1"",""537554"""</f>
        <v>"IntAlert Live","ALERT UK","17","1","537554"</v>
      </c>
      <c r="G379" s="223">
        <v>43921</v>
      </c>
      <c r="H379" s="223"/>
      <c r="I379" s="218" t="str">
        <f>"DRCGOM/BANQUE/2020/003/024"</f>
        <v>DRCGOM/BANQUE/2020/003/024</v>
      </c>
      <c r="K379" s="218" t="str">
        <f>"KAMI SECURITY"</f>
        <v>KAMI SECURITY</v>
      </c>
      <c r="L379" s="218" t="str">
        <f>"Security Christine Residence+alarm March 20%"</f>
        <v>Security Christine Residence+alarm March 20%</v>
      </c>
      <c r="M379" s="218" t="str">
        <f>"5130"</f>
        <v>5130</v>
      </c>
      <c r="N379" s="218" t="str">
        <f>"EMPLOYMENT HOUSING  COSTS"</f>
        <v>EMPLOYMENT HOUSING  COSTS</v>
      </c>
      <c r="O379" s="218" t="str">
        <f>"DRCGOM"</f>
        <v>DRCGOM</v>
      </c>
      <c r="P379" s="218" t="str">
        <f t="shared" si="120"/>
        <v>AP21QR</v>
      </c>
      <c r="Q379" s="218" t="str">
        <f>"BUU"</f>
        <v>BUU</v>
      </c>
      <c r="R379" s="218" t="str">
        <f>""</f>
        <v/>
      </c>
      <c r="S379" s="218" t="str">
        <f t="shared" si="127"/>
        <v>072</v>
      </c>
      <c r="T379" s="218" t="str">
        <f t="shared" si="129"/>
        <v>D</v>
      </c>
      <c r="U379" s="218" t="str">
        <f t="shared" si="128"/>
        <v>AFR000</v>
      </c>
      <c r="V379" s="218" t="str">
        <f t="shared" si="117"/>
        <v>###</v>
      </c>
      <c r="W379" s="218">
        <v>170</v>
      </c>
      <c r="X379" s="218" t="str">
        <f>"USD"</f>
        <v>USD</v>
      </c>
      <c r="Y379" s="218">
        <v>132.61000000000001</v>
      </c>
      <c r="Z379" s="218">
        <v>170</v>
      </c>
      <c r="AA379" s="218">
        <v>156.02000000000001</v>
      </c>
    </row>
    <row r="380" spans="1:27">
      <c r="A380" s="218" t="s">
        <v>2592</v>
      </c>
      <c r="F380" s="219" t="str">
        <f>"""IntAlert Live"",""ALERT UK"",""17"",""1"",""541337"""</f>
        <v>"IntAlert Live","ALERT UK","17","1","541337"</v>
      </c>
      <c r="G380" s="223">
        <v>43921</v>
      </c>
      <c r="H380" s="223"/>
      <c r="I380" s="218" t="str">
        <f>""</f>
        <v/>
      </c>
      <c r="K380" s="218" t="str">
        <f>"PR MAR JNL"</f>
        <v>PR MAR JNL</v>
      </c>
      <c r="L380" s="218" t="str">
        <f>"Buesser C 25%"</f>
        <v>Buesser C 25%</v>
      </c>
      <c r="M380" s="218" t="str">
        <f>"5100"</f>
        <v>5100</v>
      </c>
      <c r="N380" s="218" t="str">
        <f>"BASIC EMPLOYMENT COSTS"</f>
        <v>BASIC EMPLOYMENT COSTS</v>
      </c>
      <c r="O380" s="218" t="str">
        <f t="shared" ref="O380:O385" si="130">"UNILON"</f>
        <v>UNILON</v>
      </c>
      <c r="P380" s="218" t="str">
        <f t="shared" si="120"/>
        <v>AP21QR</v>
      </c>
      <c r="Q380" s="218" t="str">
        <f>"BUU"</f>
        <v>BUU</v>
      </c>
      <c r="R380" s="218" t="str">
        <f>""</f>
        <v/>
      </c>
      <c r="S380" s="218" t="str">
        <f t="shared" si="127"/>
        <v>072</v>
      </c>
      <c r="T380" s="218" t="str">
        <f t="shared" si="129"/>
        <v>D</v>
      </c>
      <c r="U380" s="218" t="str">
        <f t="shared" si="128"/>
        <v>AFR000</v>
      </c>
      <c r="V380" s="218" t="str">
        <f t="shared" si="117"/>
        <v>###</v>
      </c>
      <c r="W380" s="218">
        <v>0</v>
      </c>
      <c r="X380" s="218" t="str">
        <f>""</f>
        <v/>
      </c>
      <c r="Y380" s="218">
        <v>1098.81</v>
      </c>
      <c r="Z380" s="218">
        <v>1408.65</v>
      </c>
      <c r="AA380" s="218">
        <v>1292.79</v>
      </c>
    </row>
    <row r="381" spans="1:27">
      <c r="A381" s="218" t="s">
        <v>2592</v>
      </c>
      <c r="F381" s="219" t="str">
        <f>"""IntAlert Live"",""ALERT UK"",""17"",""1"",""541623"""</f>
        <v>"IntAlert Live","ALERT UK","17","1","541623"</v>
      </c>
      <c r="G381" s="223">
        <v>43921</v>
      </c>
      <c r="H381" s="223"/>
      <c r="I381" s="218" t="str">
        <f>""</f>
        <v/>
      </c>
      <c r="K381" s="218" t="str">
        <f>"PR MAR JNL"</f>
        <v>PR MAR JNL</v>
      </c>
      <c r="L381" s="218" t="str">
        <f>"Buesser C 25%"</f>
        <v>Buesser C 25%</v>
      </c>
      <c r="M381" s="218" t="str">
        <f>"5110"</f>
        <v>5110</v>
      </c>
      <c r="N381" s="218" t="str">
        <f>"EMPLOYER'S PENSION COSTS"</f>
        <v>EMPLOYER'S PENSION COSTS</v>
      </c>
      <c r="O381" s="218" t="str">
        <f t="shared" si="130"/>
        <v>UNILON</v>
      </c>
      <c r="P381" s="218" t="str">
        <f t="shared" si="120"/>
        <v>AP21QR</v>
      </c>
      <c r="Q381" s="218" t="str">
        <f>"BUU"</f>
        <v>BUU</v>
      </c>
      <c r="R381" s="218" t="str">
        <f>""</f>
        <v/>
      </c>
      <c r="S381" s="218" t="str">
        <f t="shared" si="127"/>
        <v>072</v>
      </c>
      <c r="T381" s="218" t="str">
        <f t="shared" si="129"/>
        <v>D</v>
      </c>
      <c r="U381" s="218" t="str">
        <f t="shared" si="128"/>
        <v>AFR000</v>
      </c>
      <c r="V381" s="218" t="str">
        <f t="shared" ref="V381:V444" si="131">"###"</f>
        <v>###</v>
      </c>
      <c r="W381" s="218">
        <v>0</v>
      </c>
      <c r="X381" s="218" t="str">
        <f>""</f>
        <v/>
      </c>
      <c r="Y381" s="218">
        <v>109.88</v>
      </c>
      <c r="Z381" s="218">
        <v>140.86000000000001</v>
      </c>
      <c r="AA381" s="218">
        <v>129.28</v>
      </c>
    </row>
    <row r="382" spans="1:27">
      <c r="A382" s="218" t="s">
        <v>2592</v>
      </c>
      <c r="F382" s="219" t="str">
        <f>"""IntAlert Live"",""ALERT UK"",""17"",""1"",""541772"""</f>
        <v>"IntAlert Live","ALERT UK","17","1","541772"</v>
      </c>
      <c r="G382" s="223">
        <v>43921</v>
      </c>
      <c r="H382" s="223"/>
      <c r="I382" s="218" t="str">
        <f>""</f>
        <v/>
      </c>
      <c r="K382" s="218" t="str">
        <f>"HR CHG MAR20"</f>
        <v>HR CHG MAR20</v>
      </c>
      <c r="L382" s="218" t="str">
        <f>"Buesser C 25%"</f>
        <v>Buesser C 25%</v>
      </c>
      <c r="M382" s="218" t="str">
        <f>"5100"</f>
        <v>5100</v>
      </c>
      <c r="N382" s="218" t="str">
        <f>"BASIC EMPLOYMENT COSTS"</f>
        <v>BASIC EMPLOYMENT COSTS</v>
      </c>
      <c r="O382" s="218" t="str">
        <f t="shared" si="130"/>
        <v>UNILON</v>
      </c>
      <c r="P382" s="218" t="str">
        <f t="shared" si="120"/>
        <v>AP21QR</v>
      </c>
      <c r="Q382" s="218" t="str">
        <f>"BUU"</f>
        <v>BUU</v>
      </c>
      <c r="R382" s="218" t="str">
        <f>""</f>
        <v/>
      </c>
      <c r="S382" s="218" t="str">
        <f t="shared" si="127"/>
        <v>072</v>
      </c>
      <c r="T382" s="218" t="str">
        <f>"S"</f>
        <v>S</v>
      </c>
      <c r="U382" s="218" t="str">
        <f t="shared" si="128"/>
        <v>AFR000</v>
      </c>
      <c r="V382" s="218" t="str">
        <f t="shared" si="131"/>
        <v>###</v>
      </c>
      <c r="W382" s="218">
        <v>0</v>
      </c>
      <c r="X382" s="218" t="str">
        <f>""</f>
        <v/>
      </c>
      <c r="Y382" s="218">
        <v>54.94</v>
      </c>
      <c r="Z382" s="218">
        <v>70.430000000000007</v>
      </c>
      <c r="AA382" s="218">
        <v>64.64</v>
      </c>
    </row>
    <row r="383" spans="1:27">
      <c r="A383" s="218" t="s">
        <v>2592</v>
      </c>
      <c r="F383" s="219" t="str">
        <f>"""IntAlert Live"",""ALERT UK"",""17"",""1"",""541907"""</f>
        <v>"IntAlert Live","ALERT UK","17","1","541907"</v>
      </c>
      <c r="G383" s="223">
        <v>43921</v>
      </c>
      <c r="H383" s="223"/>
      <c r="I383" s="218" t="str">
        <f>""</f>
        <v/>
      </c>
      <c r="K383" s="218" t="str">
        <f>"HR SCF CHG MAR20"</f>
        <v>HR SCF CHG MAR20</v>
      </c>
      <c r="L383" s="218" t="str">
        <f>"Buesser C 25%"</f>
        <v>Buesser C 25%</v>
      </c>
      <c r="M383" s="218" t="str">
        <f>"5100"</f>
        <v>5100</v>
      </c>
      <c r="N383" s="218" t="str">
        <f>"BASIC EMPLOYMENT COSTS"</f>
        <v>BASIC EMPLOYMENT COSTS</v>
      </c>
      <c r="O383" s="218" t="str">
        <f t="shared" si="130"/>
        <v>UNILON</v>
      </c>
      <c r="P383" s="218" t="str">
        <f t="shared" si="120"/>
        <v>AP21QR</v>
      </c>
      <c r="Q383" s="218" t="str">
        <f>"BUU"</f>
        <v>BUU</v>
      </c>
      <c r="R383" s="218" t="str">
        <f>""</f>
        <v/>
      </c>
      <c r="S383" s="218" t="str">
        <f t="shared" si="127"/>
        <v>072</v>
      </c>
      <c r="T383" s="218" t="str">
        <f>"C"</f>
        <v>C</v>
      </c>
      <c r="U383" s="218" t="str">
        <f t="shared" si="128"/>
        <v>AFR000</v>
      </c>
      <c r="V383" s="218" t="str">
        <f t="shared" si="131"/>
        <v>###</v>
      </c>
      <c r="W383" s="218">
        <v>0</v>
      </c>
      <c r="X383" s="218" t="str">
        <f>""</f>
        <v/>
      </c>
      <c r="Y383" s="218">
        <v>32.96</v>
      </c>
      <c r="Z383" s="218">
        <v>42.25</v>
      </c>
      <c r="AA383" s="218">
        <v>38.78</v>
      </c>
    </row>
    <row r="384" spans="1:27">
      <c r="A384" s="218" t="s">
        <v>2592</v>
      </c>
      <c r="F384" s="219" t="str">
        <f>"""IntAlert Live"",""ALERT UK"",""17"",""1"",""519623"""</f>
        <v>"IntAlert Live","ALERT UK","17","1","519623"</v>
      </c>
      <c r="G384" s="223">
        <v>43805</v>
      </c>
      <c r="H384" s="223"/>
      <c r="I384" s="218" t="str">
        <f>"INV-2265"</f>
        <v>INV-2265</v>
      </c>
      <c r="K384" s="218" t="str">
        <f>""</f>
        <v/>
      </c>
      <c r="L384" s="218" t="str">
        <f>"PRINT 25 POSTERS ENG &amp; FRE"</f>
        <v>PRINT 25 POSTERS ENG &amp; FRE</v>
      </c>
      <c r="M384" s="218" t="str">
        <f>"6710"</f>
        <v>6710</v>
      </c>
      <c r="N384" s="218" t="str">
        <f>"PUBLISH, PRINT, EDIT COST"</f>
        <v>PUBLISH, PRINT, EDIT COST</v>
      </c>
      <c r="O384" s="218" t="str">
        <f t="shared" si="130"/>
        <v>UNILON</v>
      </c>
      <c r="P384" s="218" t="str">
        <f t="shared" si="120"/>
        <v>AP21QR</v>
      </c>
      <c r="Q384" s="218" t="str">
        <f>""</f>
        <v/>
      </c>
      <c r="R384" s="218" t="str">
        <f>""</f>
        <v/>
      </c>
      <c r="S384" s="218" t="str">
        <f t="shared" ref="S384:S396" si="132">"073"</f>
        <v>073</v>
      </c>
      <c r="T384" s="218" t="str">
        <f t="shared" ref="T384:T415" si="133">"D"</f>
        <v>D</v>
      </c>
      <c r="U384" s="218" t="str">
        <f t="shared" si="128"/>
        <v>AFR000</v>
      </c>
      <c r="V384" s="218" t="str">
        <f t="shared" si="131"/>
        <v>###</v>
      </c>
      <c r="W384" s="218">
        <v>0</v>
      </c>
      <c r="X384" s="218" t="str">
        <f>""</f>
        <v/>
      </c>
      <c r="Y384" s="218">
        <v>119.06</v>
      </c>
      <c r="Z384" s="218">
        <v>157.96</v>
      </c>
      <c r="AA384" s="218">
        <v>139.72999999999999</v>
      </c>
    </row>
    <row r="385" spans="1:27">
      <c r="A385" s="218" t="s">
        <v>2592</v>
      </c>
      <c r="F385" s="219" t="str">
        <f>"""IntAlert Live"",""ALERT UK"",""17"",""1"",""521354"""</f>
        <v>"IntAlert Live","ALERT UK","17","1","521354"</v>
      </c>
      <c r="G385" s="223">
        <v>43805</v>
      </c>
      <c r="H385" s="223"/>
      <c r="I385" s="218" t="str">
        <f>"G00693"</f>
        <v>G00693</v>
      </c>
      <c r="K385" s="218" t="str">
        <f>"INV-2265"</f>
        <v>INV-2265</v>
      </c>
      <c r="L385" s="218" t="str">
        <f>"PRINT 25 POSTERS ENG &amp; FRE"</f>
        <v>PRINT 25 POSTERS ENG &amp; FRE</v>
      </c>
      <c r="M385" s="218" t="str">
        <f>"6710"</f>
        <v>6710</v>
      </c>
      <c r="N385" s="218" t="str">
        <f>"PUBLISH, PRINT, EDIT COST"</f>
        <v>PUBLISH, PRINT, EDIT COST</v>
      </c>
      <c r="O385" s="218" t="str">
        <f t="shared" si="130"/>
        <v>UNILON</v>
      </c>
      <c r="P385" s="218" t="str">
        <f t="shared" si="120"/>
        <v>AP21QR</v>
      </c>
      <c r="Q385" s="218" t="str">
        <f>""</f>
        <v/>
      </c>
      <c r="R385" s="218" t="str">
        <f>""</f>
        <v/>
      </c>
      <c r="S385" s="218" t="str">
        <f t="shared" si="132"/>
        <v>073</v>
      </c>
      <c r="T385" s="218" t="str">
        <f t="shared" si="133"/>
        <v>D</v>
      </c>
      <c r="U385" s="218" t="str">
        <f t="shared" si="128"/>
        <v>AFR000</v>
      </c>
      <c r="V385" s="218" t="str">
        <f t="shared" si="131"/>
        <v>###</v>
      </c>
      <c r="W385" s="218">
        <v>0</v>
      </c>
      <c r="X385" s="218" t="str">
        <f>""</f>
        <v/>
      </c>
      <c r="Y385" s="218">
        <v>-119.06</v>
      </c>
      <c r="Z385" s="218">
        <v>-157.96</v>
      </c>
      <c r="AA385" s="218">
        <v>-139.72999999999999</v>
      </c>
    </row>
    <row r="386" spans="1:27">
      <c r="A386" s="218" t="s">
        <v>2592</v>
      </c>
      <c r="F386" s="219" t="str">
        <f>"""IntAlert Live"",""ALERT UK"",""17"",""1"",""517262"""</f>
        <v>"IntAlert Live","ALERT UK","17","1","517262"</v>
      </c>
      <c r="G386" s="223">
        <v>43838</v>
      </c>
      <c r="H386" s="223"/>
      <c r="I386" s="218" t="str">
        <f>"DRCBUK/CAISSE/2020/01/001"</f>
        <v>DRCBUK/CAISSE/2020/01/001</v>
      </c>
      <c r="K386" s="218" t="str">
        <f>"ASILI"</f>
        <v>ASILI</v>
      </c>
      <c r="L386" s="218" t="str">
        <f>"Eau minerale 35%"</f>
        <v>Eau minerale 35%</v>
      </c>
      <c r="M386" s="218" t="str">
        <f t="shared" ref="M386:M395" si="134">"8100"</f>
        <v>8100</v>
      </c>
      <c r="N386" s="218" t="str">
        <f t="shared" ref="N386:N395" si="135">"OFFICE SUPPLIES"</f>
        <v>OFFICE SUPPLIES</v>
      </c>
      <c r="O386" s="218" t="str">
        <f t="shared" ref="O386:O395" si="136">"DRCBUK"</f>
        <v>DRCBUK</v>
      </c>
      <c r="P386" s="218" t="str">
        <f t="shared" si="120"/>
        <v>AP21QR</v>
      </c>
      <c r="Q386" s="218" t="str">
        <f>""</f>
        <v/>
      </c>
      <c r="R386" s="218" t="str">
        <f>""</f>
        <v/>
      </c>
      <c r="S386" s="218" t="str">
        <f t="shared" si="132"/>
        <v>073</v>
      </c>
      <c r="T386" s="218" t="str">
        <f t="shared" si="133"/>
        <v>D</v>
      </c>
      <c r="U386" s="218" t="str">
        <f t="shared" si="128"/>
        <v>AFR000</v>
      </c>
      <c r="V386" s="218" t="str">
        <f t="shared" si="131"/>
        <v>###</v>
      </c>
      <c r="W386" s="218">
        <v>14</v>
      </c>
      <c r="X386" s="218" t="str">
        <f t="shared" ref="X386:X406" si="137">"USD"</f>
        <v>USD</v>
      </c>
      <c r="Y386" s="218">
        <v>10.55</v>
      </c>
      <c r="Z386" s="218">
        <v>14</v>
      </c>
      <c r="AA386" s="218">
        <v>12.38</v>
      </c>
    </row>
    <row r="387" spans="1:27">
      <c r="A387" s="218" t="s">
        <v>2592</v>
      </c>
      <c r="F387" s="219" t="str">
        <f>"""IntAlert Live"",""ALERT UK"",""17"",""1"",""517270"""</f>
        <v>"IntAlert Live","ALERT UK","17","1","517270"</v>
      </c>
      <c r="G387" s="223">
        <v>43850</v>
      </c>
      <c r="H387" s="223"/>
      <c r="I387" s="218" t="str">
        <f>"DRCBUK/CAISSE/2020/01/001"</f>
        <v>DRCBUK/CAISSE/2020/01/001</v>
      </c>
      <c r="K387" s="218" t="str">
        <f>"ASILI"</f>
        <v>ASILI</v>
      </c>
      <c r="L387" s="218" t="str">
        <f>"Eau minerale 35%"</f>
        <v>Eau minerale 35%</v>
      </c>
      <c r="M387" s="218" t="str">
        <f t="shared" si="134"/>
        <v>8100</v>
      </c>
      <c r="N387" s="218" t="str">
        <f t="shared" si="135"/>
        <v>OFFICE SUPPLIES</v>
      </c>
      <c r="O387" s="218" t="str">
        <f t="shared" si="136"/>
        <v>DRCBUK</v>
      </c>
      <c r="P387" s="218" t="str">
        <f t="shared" si="120"/>
        <v>AP21QR</v>
      </c>
      <c r="Q387" s="218" t="str">
        <f>""</f>
        <v/>
      </c>
      <c r="R387" s="218" t="str">
        <f>""</f>
        <v/>
      </c>
      <c r="S387" s="218" t="str">
        <f t="shared" si="132"/>
        <v>073</v>
      </c>
      <c r="T387" s="218" t="str">
        <f t="shared" si="133"/>
        <v>D</v>
      </c>
      <c r="U387" s="218" t="str">
        <f t="shared" si="128"/>
        <v>AFR000</v>
      </c>
      <c r="V387" s="218" t="str">
        <f t="shared" si="131"/>
        <v>###</v>
      </c>
      <c r="W387" s="218">
        <v>17.5</v>
      </c>
      <c r="X387" s="218" t="str">
        <f t="shared" si="137"/>
        <v>USD</v>
      </c>
      <c r="Y387" s="218">
        <v>13.19</v>
      </c>
      <c r="Z387" s="218">
        <v>17.5</v>
      </c>
      <c r="AA387" s="218">
        <v>15.48</v>
      </c>
    </row>
    <row r="388" spans="1:27">
      <c r="A388" s="218" t="s">
        <v>2592</v>
      </c>
      <c r="F388" s="219" t="str">
        <f>"""IntAlert Live"",""ALERT UK"",""17"",""1"",""517298"""</f>
        <v>"IntAlert Live","ALERT UK","17","1","517298"</v>
      </c>
      <c r="G388" s="223">
        <v>43861</v>
      </c>
      <c r="H388" s="223"/>
      <c r="I388" s="218" t="str">
        <f>"DRCBUK/CAISSE/2020/01/001"</f>
        <v>DRCBUK/CAISSE/2020/01/001</v>
      </c>
      <c r="K388" s="218" t="str">
        <f>"ASILI"</f>
        <v>ASILI</v>
      </c>
      <c r="L388" s="218" t="str">
        <f>"Eau minerale pr bureau 35%"</f>
        <v>Eau minerale pr bureau 35%</v>
      </c>
      <c r="M388" s="218" t="str">
        <f t="shared" si="134"/>
        <v>8100</v>
      </c>
      <c r="N388" s="218" t="str">
        <f t="shared" si="135"/>
        <v>OFFICE SUPPLIES</v>
      </c>
      <c r="O388" s="218" t="str">
        <f t="shared" si="136"/>
        <v>DRCBUK</v>
      </c>
      <c r="P388" s="218" t="str">
        <f t="shared" si="120"/>
        <v>AP21QR</v>
      </c>
      <c r="Q388" s="218" t="str">
        <f>""</f>
        <v/>
      </c>
      <c r="R388" s="218" t="str">
        <f>""</f>
        <v/>
      </c>
      <c r="S388" s="218" t="str">
        <f t="shared" si="132"/>
        <v>073</v>
      </c>
      <c r="T388" s="218" t="str">
        <f t="shared" si="133"/>
        <v>D</v>
      </c>
      <c r="U388" s="218" t="str">
        <f t="shared" si="128"/>
        <v>AFR000</v>
      </c>
      <c r="V388" s="218" t="str">
        <f t="shared" si="131"/>
        <v>###</v>
      </c>
      <c r="W388" s="218">
        <v>17.5</v>
      </c>
      <c r="X388" s="218" t="str">
        <f t="shared" si="137"/>
        <v>USD</v>
      </c>
      <c r="Y388" s="218">
        <v>13.19</v>
      </c>
      <c r="Z388" s="218">
        <v>17.5</v>
      </c>
      <c r="AA388" s="218">
        <v>15.48</v>
      </c>
    </row>
    <row r="389" spans="1:27">
      <c r="A389" s="218" t="s">
        <v>2592</v>
      </c>
      <c r="F389" s="219" t="str">
        <f>"""IntAlert Live"",""ALERT UK"",""17"",""1"",""532832"""</f>
        <v>"IntAlert Live","ALERT UK","17","1","532832"</v>
      </c>
      <c r="G389" s="223">
        <v>43872</v>
      </c>
      <c r="H389" s="223"/>
      <c r="I389" s="218" t="str">
        <f>"DRCBUK/CAISSE/2020/02/001"</f>
        <v>DRCBUK/CAISSE/2020/02/001</v>
      </c>
      <c r="K389" s="218" t="str">
        <f>"MALAIKA SHOP"</f>
        <v>MALAIKA SHOP</v>
      </c>
      <c r="L389" s="218" t="str">
        <f>"Café moulu  Bureau 35%"</f>
        <v>Café moulu  Bureau 35%</v>
      </c>
      <c r="M389" s="218" t="str">
        <f t="shared" si="134"/>
        <v>8100</v>
      </c>
      <c r="N389" s="218" t="str">
        <f t="shared" si="135"/>
        <v>OFFICE SUPPLIES</v>
      </c>
      <c r="O389" s="218" t="str">
        <f t="shared" si="136"/>
        <v>DRCBUK</v>
      </c>
      <c r="P389" s="218" t="str">
        <f t="shared" si="120"/>
        <v>AP21QR</v>
      </c>
      <c r="Q389" s="218" t="str">
        <f>""</f>
        <v/>
      </c>
      <c r="R389" s="218" t="str">
        <f>""</f>
        <v/>
      </c>
      <c r="S389" s="218" t="str">
        <f t="shared" si="132"/>
        <v>073</v>
      </c>
      <c r="T389" s="218" t="str">
        <f t="shared" si="133"/>
        <v>D</v>
      </c>
      <c r="U389" s="218" t="str">
        <f t="shared" si="128"/>
        <v>AFR000</v>
      </c>
      <c r="V389" s="218" t="str">
        <f t="shared" si="131"/>
        <v>###</v>
      </c>
      <c r="W389" s="218">
        <v>28</v>
      </c>
      <c r="X389" s="218" t="str">
        <f t="shared" si="137"/>
        <v>USD</v>
      </c>
      <c r="Y389" s="218">
        <v>21.22</v>
      </c>
      <c r="Z389" s="218">
        <v>28</v>
      </c>
      <c r="AA389" s="218">
        <v>25.21</v>
      </c>
    </row>
    <row r="390" spans="1:27">
      <c r="A390" s="218" t="s">
        <v>2592</v>
      </c>
      <c r="F390" s="219" t="str">
        <f>"""IntAlert Live"",""ALERT UK"",""17"",""1"",""532836"""</f>
        <v>"IntAlert Live","ALERT UK","17","1","532836"</v>
      </c>
      <c r="G390" s="223">
        <v>43872</v>
      </c>
      <c r="H390" s="223"/>
      <c r="I390" s="218" t="str">
        <f>"DRCBUK/CAISSE/2020/02/001"</f>
        <v>DRCBUK/CAISSE/2020/02/001</v>
      </c>
      <c r="K390" s="218" t="str">
        <f>"ASILI"</f>
        <v>ASILI</v>
      </c>
      <c r="L390" s="218" t="str">
        <f>"Eau minerale Bureau 35%"</f>
        <v>Eau minerale Bureau 35%</v>
      </c>
      <c r="M390" s="218" t="str">
        <f t="shared" si="134"/>
        <v>8100</v>
      </c>
      <c r="N390" s="218" t="str">
        <f t="shared" si="135"/>
        <v>OFFICE SUPPLIES</v>
      </c>
      <c r="O390" s="218" t="str">
        <f t="shared" si="136"/>
        <v>DRCBUK</v>
      </c>
      <c r="P390" s="218" t="str">
        <f t="shared" si="120"/>
        <v>AP21QR</v>
      </c>
      <c r="Q390" s="218" t="str">
        <f>""</f>
        <v/>
      </c>
      <c r="R390" s="218" t="str">
        <f>""</f>
        <v/>
      </c>
      <c r="S390" s="218" t="str">
        <f t="shared" si="132"/>
        <v>073</v>
      </c>
      <c r="T390" s="218" t="str">
        <f t="shared" si="133"/>
        <v>D</v>
      </c>
      <c r="U390" s="218" t="str">
        <f t="shared" si="128"/>
        <v>AFR000</v>
      </c>
      <c r="V390" s="218" t="str">
        <f t="shared" si="131"/>
        <v>###</v>
      </c>
      <c r="W390" s="218">
        <v>17.5</v>
      </c>
      <c r="X390" s="218" t="str">
        <f t="shared" si="137"/>
        <v>USD</v>
      </c>
      <c r="Y390" s="218">
        <v>13.26</v>
      </c>
      <c r="Z390" s="218">
        <v>17.5</v>
      </c>
      <c r="AA390" s="218">
        <v>15.75</v>
      </c>
    </row>
    <row r="391" spans="1:27">
      <c r="A391" s="218" t="s">
        <v>2592</v>
      </c>
      <c r="F391" s="219" t="str">
        <f>"""IntAlert Live"",""ALERT UK"",""17"",""1"",""532846"""</f>
        <v>"IntAlert Live","ALERT UK","17","1","532846"</v>
      </c>
      <c r="G391" s="223">
        <v>43872</v>
      </c>
      <c r="H391" s="223"/>
      <c r="I391" s="218" t="str">
        <f>"DRCBUK/CAISSE/2020/02/001"</f>
        <v>DRCBUK/CAISSE/2020/02/001</v>
      </c>
      <c r="K391" s="218" t="str">
        <f>"STARCO"</f>
        <v>STARCO</v>
      </c>
      <c r="L391" s="218" t="str">
        <f>"Fournitures de cafetariat de bureau  35%"</f>
        <v>Fournitures de cafetariat de bureau  35%</v>
      </c>
      <c r="M391" s="218" t="str">
        <f t="shared" si="134"/>
        <v>8100</v>
      </c>
      <c r="N391" s="218" t="str">
        <f t="shared" si="135"/>
        <v>OFFICE SUPPLIES</v>
      </c>
      <c r="O391" s="218" t="str">
        <f t="shared" si="136"/>
        <v>DRCBUK</v>
      </c>
      <c r="P391" s="218" t="str">
        <f t="shared" ref="P391:P454" si="138">"AP21QR"</f>
        <v>AP21QR</v>
      </c>
      <c r="Q391" s="218" t="str">
        <f>""</f>
        <v/>
      </c>
      <c r="R391" s="218" t="str">
        <f>""</f>
        <v/>
      </c>
      <c r="S391" s="218" t="str">
        <f t="shared" si="132"/>
        <v>073</v>
      </c>
      <c r="T391" s="218" t="str">
        <f t="shared" si="133"/>
        <v>D</v>
      </c>
      <c r="U391" s="218" t="str">
        <f t="shared" si="128"/>
        <v>AFR000</v>
      </c>
      <c r="V391" s="218" t="str">
        <f t="shared" si="131"/>
        <v>###</v>
      </c>
      <c r="W391" s="218">
        <v>34.97</v>
      </c>
      <c r="X391" s="218" t="str">
        <f t="shared" si="137"/>
        <v>USD</v>
      </c>
      <c r="Y391" s="218">
        <v>26.51</v>
      </c>
      <c r="Z391" s="218">
        <v>34.97</v>
      </c>
      <c r="AA391" s="218">
        <v>31.49</v>
      </c>
    </row>
    <row r="392" spans="1:27">
      <c r="A392" s="218" t="s">
        <v>2592</v>
      </c>
      <c r="F392" s="219" t="str">
        <f>"""IntAlert Live"",""ALERT UK"",""17"",""1"",""532851"""</f>
        <v>"IntAlert Live","ALERT UK","17","1","532851"</v>
      </c>
      <c r="G392" s="223">
        <v>43881</v>
      </c>
      <c r="H392" s="223"/>
      <c r="I392" s="218" t="str">
        <f>"DRCBUK/CAISSE/2020/02/002"</f>
        <v>DRCBUK/CAISSE/2020/02/002</v>
      </c>
      <c r="K392" s="218" t="str">
        <f>"PAPETERIE MEIRVEILLE"</f>
        <v>PAPETERIE MEIRVEILLE</v>
      </c>
      <c r="L392" s="218" t="str">
        <f>"Achat Agenda staff 2020 35%"</f>
        <v>Achat Agenda staff 2020 35%</v>
      </c>
      <c r="M392" s="218" t="str">
        <f t="shared" si="134"/>
        <v>8100</v>
      </c>
      <c r="N392" s="218" t="str">
        <f t="shared" si="135"/>
        <v>OFFICE SUPPLIES</v>
      </c>
      <c r="O392" s="218" t="str">
        <f t="shared" si="136"/>
        <v>DRCBUK</v>
      </c>
      <c r="P392" s="218" t="str">
        <f t="shared" si="138"/>
        <v>AP21QR</v>
      </c>
      <c r="Q392" s="218" t="str">
        <f>""</f>
        <v/>
      </c>
      <c r="R392" s="218" t="str">
        <f>""</f>
        <v/>
      </c>
      <c r="S392" s="218" t="str">
        <f t="shared" si="132"/>
        <v>073</v>
      </c>
      <c r="T392" s="218" t="str">
        <f t="shared" si="133"/>
        <v>D</v>
      </c>
      <c r="U392" s="218" t="str">
        <f t="shared" si="128"/>
        <v>AFR000</v>
      </c>
      <c r="V392" s="218" t="str">
        <f t="shared" si="131"/>
        <v>###</v>
      </c>
      <c r="W392" s="218">
        <v>29.75</v>
      </c>
      <c r="X392" s="218" t="str">
        <f t="shared" si="137"/>
        <v>USD</v>
      </c>
      <c r="Y392" s="218">
        <v>22.55</v>
      </c>
      <c r="Z392" s="218">
        <v>29.75</v>
      </c>
      <c r="AA392" s="218">
        <v>26.79</v>
      </c>
    </row>
    <row r="393" spans="1:27">
      <c r="A393" s="218" t="s">
        <v>2592</v>
      </c>
      <c r="F393" s="219" t="str">
        <f>"""IntAlert Live"",""ALERT UK"",""17"",""1"",""532856"""</f>
        <v>"IntAlert Live","ALERT UK","17","1","532856"</v>
      </c>
      <c r="G393" s="223">
        <v>43882</v>
      </c>
      <c r="H393" s="223"/>
      <c r="I393" s="218" t="str">
        <f>"DRCBUK/CAISSE/2020/02/002"</f>
        <v>DRCBUK/CAISSE/2020/02/002</v>
      </c>
      <c r="K393" s="218" t="str">
        <f>"ASILI"</f>
        <v>ASILI</v>
      </c>
      <c r="L393" s="218" t="str">
        <f>"Achat eau mineral bureau 35%"</f>
        <v>Achat eau mineral bureau 35%</v>
      </c>
      <c r="M393" s="218" t="str">
        <f t="shared" si="134"/>
        <v>8100</v>
      </c>
      <c r="N393" s="218" t="str">
        <f t="shared" si="135"/>
        <v>OFFICE SUPPLIES</v>
      </c>
      <c r="O393" s="218" t="str">
        <f t="shared" si="136"/>
        <v>DRCBUK</v>
      </c>
      <c r="P393" s="218" t="str">
        <f t="shared" si="138"/>
        <v>AP21QR</v>
      </c>
      <c r="Q393" s="218" t="str">
        <f>""</f>
        <v/>
      </c>
      <c r="R393" s="218" t="str">
        <f>""</f>
        <v/>
      </c>
      <c r="S393" s="218" t="str">
        <f t="shared" si="132"/>
        <v>073</v>
      </c>
      <c r="T393" s="218" t="str">
        <f t="shared" si="133"/>
        <v>D</v>
      </c>
      <c r="U393" s="218" t="str">
        <f t="shared" si="128"/>
        <v>AFR000</v>
      </c>
      <c r="V393" s="218" t="str">
        <f t="shared" si="131"/>
        <v>###</v>
      </c>
      <c r="W393" s="218">
        <v>17.5</v>
      </c>
      <c r="X393" s="218" t="str">
        <f t="shared" si="137"/>
        <v>USD</v>
      </c>
      <c r="Y393" s="218">
        <v>13.26</v>
      </c>
      <c r="Z393" s="218">
        <v>17.5</v>
      </c>
      <c r="AA393" s="218">
        <v>15.75</v>
      </c>
    </row>
    <row r="394" spans="1:27">
      <c r="A394" s="218" t="s">
        <v>2592</v>
      </c>
      <c r="F394" s="219" t="str">
        <f>"""IntAlert Live"",""ALERT UK"",""17"",""1"",""540160"""</f>
        <v>"IntAlert Live","ALERT UK","17","1","540160"</v>
      </c>
      <c r="G394" s="223">
        <v>43899</v>
      </c>
      <c r="H394" s="223"/>
      <c r="I394" s="218" t="str">
        <f>"DRCBUK/CAISSE/2020/03/001"</f>
        <v>DRCBUK/CAISSE/2020/03/001</v>
      </c>
      <c r="K394" s="218" t="str">
        <f>"ARC"</f>
        <v>ARC</v>
      </c>
      <c r="L394" s="218" t="str">
        <f>"Eau minerale pour bureau 35%"</f>
        <v>Eau minerale pour bureau 35%</v>
      </c>
      <c r="M394" s="218" t="str">
        <f t="shared" si="134"/>
        <v>8100</v>
      </c>
      <c r="N394" s="218" t="str">
        <f t="shared" si="135"/>
        <v>OFFICE SUPPLIES</v>
      </c>
      <c r="O394" s="218" t="str">
        <f t="shared" si="136"/>
        <v>DRCBUK</v>
      </c>
      <c r="P394" s="218" t="str">
        <f t="shared" si="138"/>
        <v>AP21QR</v>
      </c>
      <c r="Q394" s="218" t="str">
        <f>""</f>
        <v/>
      </c>
      <c r="R394" s="218" t="str">
        <f>""</f>
        <v/>
      </c>
      <c r="S394" s="218" t="str">
        <f t="shared" si="132"/>
        <v>073</v>
      </c>
      <c r="T394" s="218" t="str">
        <f t="shared" si="133"/>
        <v>D</v>
      </c>
      <c r="U394" s="218" t="str">
        <f t="shared" si="128"/>
        <v>AFR000</v>
      </c>
      <c r="V394" s="218" t="str">
        <f t="shared" si="131"/>
        <v>###</v>
      </c>
      <c r="W394" s="218">
        <v>17.5</v>
      </c>
      <c r="X394" s="218" t="str">
        <f t="shared" si="137"/>
        <v>USD</v>
      </c>
      <c r="Y394" s="218">
        <v>13.65</v>
      </c>
      <c r="Z394" s="218">
        <v>17.5</v>
      </c>
      <c r="AA394" s="218">
        <v>16.059999999999999</v>
      </c>
    </row>
    <row r="395" spans="1:27">
      <c r="A395" s="218" t="s">
        <v>2592</v>
      </c>
      <c r="F395" s="219" t="str">
        <f>"""IntAlert Live"",""ALERT UK"",""17"",""1"",""540165"""</f>
        <v>"IntAlert Live","ALERT UK","17","1","540165"</v>
      </c>
      <c r="G395" s="223">
        <v>43907</v>
      </c>
      <c r="H395" s="223"/>
      <c r="I395" s="218" t="str">
        <f>"DRCBUK/CAISSE/2020/03/001"</f>
        <v>DRCBUK/CAISSE/2020/03/001</v>
      </c>
      <c r="K395" s="218" t="str">
        <f>"ARC"</f>
        <v>ARC</v>
      </c>
      <c r="L395" s="218" t="str">
        <f>"Eau minerale pour bureau 35%"</f>
        <v>Eau minerale pour bureau 35%</v>
      </c>
      <c r="M395" s="218" t="str">
        <f t="shared" si="134"/>
        <v>8100</v>
      </c>
      <c r="N395" s="218" t="str">
        <f t="shared" si="135"/>
        <v>OFFICE SUPPLIES</v>
      </c>
      <c r="O395" s="218" t="str">
        <f t="shared" si="136"/>
        <v>DRCBUK</v>
      </c>
      <c r="P395" s="218" t="str">
        <f t="shared" si="138"/>
        <v>AP21QR</v>
      </c>
      <c r="Q395" s="218" t="str">
        <f>""</f>
        <v/>
      </c>
      <c r="R395" s="218" t="str">
        <f>""</f>
        <v/>
      </c>
      <c r="S395" s="218" t="str">
        <f t="shared" si="132"/>
        <v>073</v>
      </c>
      <c r="T395" s="218" t="str">
        <f t="shared" si="133"/>
        <v>D</v>
      </c>
      <c r="U395" s="218" t="str">
        <f t="shared" si="128"/>
        <v>AFR000</v>
      </c>
      <c r="V395" s="218" t="str">
        <f t="shared" si="131"/>
        <v>###</v>
      </c>
      <c r="W395" s="218">
        <v>17.5</v>
      </c>
      <c r="X395" s="218" t="str">
        <f t="shared" si="137"/>
        <v>USD</v>
      </c>
      <c r="Y395" s="218">
        <v>13.65</v>
      </c>
      <c r="Z395" s="218">
        <v>17.5</v>
      </c>
      <c r="AA395" s="218">
        <v>16.059999999999999</v>
      </c>
    </row>
    <row r="396" spans="1:27">
      <c r="A396" s="218" t="s">
        <v>2592</v>
      </c>
      <c r="F396" s="219" t="str">
        <f>"""IntAlert Live"",""ALERT UK"",""17"",""1"",""537213"""</f>
        <v>"IntAlert Live","ALERT UK","17","1","537213"</v>
      </c>
      <c r="G396" s="223">
        <v>43921</v>
      </c>
      <c r="H396" s="223"/>
      <c r="I396" s="218" t="str">
        <f>"DRCGOM/BANQUE/2020/003/016"</f>
        <v>DRCGOM/BANQUE/2020/003/016</v>
      </c>
      <c r="K396" s="218" t="str">
        <f>"RELIEF LINE AFRICA CONGO"</f>
        <v>RELIEF LINE AFRICA CONGO</v>
      </c>
      <c r="L396" s="218" t="str">
        <f>"Desinfectants-gants Chirurgical -Cache nez Gm-BK 20%"</f>
        <v>Desinfectants-gants Chirurgical -Cache nez Gm-BK 20%</v>
      </c>
      <c r="M396" s="218" t="str">
        <f>"8110"</f>
        <v>8110</v>
      </c>
      <c r="N396" s="218" t="str">
        <f>"HEALTH AND SAFETY"</f>
        <v>HEALTH AND SAFETY</v>
      </c>
      <c r="O396" s="218" t="str">
        <f>"DRCGOM"</f>
        <v>DRCGOM</v>
      </c>
      <c r="P396" s="218" t="str">
        <f t="shared" si="138"/>
        <v>AP21QR</v>
      </c>
      <c r="Q396" s="218" t="str">
        <f>""</f>
        <v/>
      </c>
      <c r="R396" s="218" t="str">
        <f>""</f>
        <v/>
      </c>
      <c r="S396" s="218" t="str">
        <f t="shared" si="132"/>
        <v>073</v>
      </c>
      <c r="T396" s="218" t="str">
        <f t="shared" si="133"/>
        <v>D</v>
      </c>
      <c r="U396" s="218" t="str">
        <f t="shared" si="128"/>
        <v>AFR000</v>
      </c>
      <c r="V396" s="218" t="str">
        <f t="shared" si="131"/>
        <v>###</v>
      </c>
      <c r="W396" s="218">
        <v>453</v>
      </c>
      <c r="X396" s="218" t="str">
        <f t="shared" si="137"/>
        <v>USD</v>
      </c>
      <c r="Y396" s="218">
        <v>353.36</v>
      </c>
      <c r="Z396" s="218">
        <v>453</v>
      </c>
      <c r="AA396" s="218">
        <v>415.74</v>
      </c>
    </row>
    <row r="397" spans="1:27">
      <c r="A397" s="218" t="s">
        <v>2592</v>
      </c>
      <c r="F397" s="219" t="str">
        <f>"""IntAlert Live"",""ALERT UK"",""17"",""1"",""517257"""</f>
        <v>"IntAlert Live","ALERT UK","17","1","517257"</v>
      </c>
      <c r="G397" s="223">
        <v>43838</v>
      </c>
      <c r="H397" s="223"/>
      <c r="I397" s="218" t="str">
        <f>"DRCBUK/CAISSE/2020/01/001"</f>
        <v>DRCBUK/CAISSE/2020/01/001</v>
      </c>
      <c r="K397" s="218" t="str">
        <f>"ORANGE"</f>
        <v>ORANGE</v>
      </c>
      <c r="L397" s="218" t="str">
        <f>"Internet orange modem George  5%"</f>
        <v>Internet orange modem George  5%</v>
      </c>
      <c r="M397" s="218" t="str">
        <f>"8030"</f>
        <v>8030</v>
      </c>
      <c r="N397" s="218" t="str">
        <f>"INTERNET SERVICES"</f>
        <v>INTERNET SERVICES</v>
      </c>
      <c r="O397" s="218" t="str">
        <f>"DRCBUK"</f>
        <v>DRCBUK</v>
      </c>
      <c r="P397" s="218" t="str">
        <f t="shared" si="138"/>
        <v>AP21QR</v>
      </c>
      <c r="Q397" s="218" t="str">
        <f>""</f>
        <v/>
      </c>
      <c r="R397" s="218" t="str">
        <f>""</f>
        <v/>
      </c>
      <c r="S397" s="218" t="str">
        <f t="shared" ref="S397:S406" si="139">"074"</f>
        <v>074</v>
      </c>
      <c r="T397" s="218" t="str">
        <f t="shared" si="133"/>
        <v>D</v>
      </c>
      <c r="U397" s="218" t="str">
        <f t="shared" si="128"/>
        <v>AFR000</v>
      </c>
      <c r="V397" s="218" t="str">
        <f t="shared" si="131"/>
        <v>###</v>
      </c>
      <c r="W397" s="218">
        <v>3</v>
      </c>
      <c r="X397" s="218" t="str">
        <f t="shared" si="137"/>
        <v>USD</v>
      </c>
      <c r="Y397" s="218">
        <v>2.2599999999999998</v>
      </c>
      <c r="Z397" s="218">
        <v>3</v>
      </c>
      <c r="AA397" s="218">
        <v>2.65</v>
      </c>
    </row>
    <row r="398" spans="1:27">
      <c r="A398" s="218" t="s">
        <v>2592</v>
      </c>
      <c r="F398" s="219" t="str">
        <f>"""IntAlert Live"",""ALERT UK"",""17"",""1"",""516879"""</f>
        <v>"IntAlert Live","ALERT UK","17","1","516879"</v>
      </c>
      <c r="G398" s="223">
        <v>43844</v>
      </c>
      <c r="H398" s="223"/>
      <c r="I398" s="218" t="str">
        <f>"DRCBUK/BANK/2020/01/009"</f>
        <v>DRCBUK/BANK/2020/01/009</v>
      </c>
      <c r="K398" s="218" t="str">
        <f>"DATCO S. INTERNET"</f>
        <v>DATCO S. INTERNET</v>
      </c>
      <c r="L398" s="218" t="str">
        <f>"Pmt Sce Internet Janv 020 15%"</f>
        <v>Pmt Sce Internet Janv 020 15%</v>
      </c>
      <c r="M398" s="218" t="str">
        <f>"8030"</f>
        <v>8030</v>
      </c>
      <c r="N398" s="218" t="str">
        <f>"INTERNET SERVICES"</f>
        <v>INTERNET SERVICES</v>
      </c>
      <c r="O398" s="218" t="str">
        <f>"DRCBUK"</f>
        <v>DRCBUK</v>
      </c>
      <c r="P398" s="218" t="str">
        <f t="shared" si="138"/>
        <v>AP21QR</v>
      </c>
      <c r="Q398" s="218" t="str">
        <f>""</f>
        <v/>
      </c>
      <c r="R398" s="218" t="str">
        <f>""</f>
        <v/>
      </c>
      <c r="S398" s="218" t="str">
        <f t="shared" si="139"/>
        <v>074</v>
      </c>
      <c r="T398" s="218" t="str">
        <f t="shared" si="133"/>
        <v>D</v>
      </c>
      <c r="U398" s="218" t="str">
        <f t="shared" si="128"/>
        <v>AFR000</v>
      </c>
      <c r="V398" s="218" t="str">
        <f t="shared" si="131"/>
        <v>###</v>
      </c>
      <c r="W398" s="218">
        <v>150</v>
      </c>
      <c r="X398" s="218" t="str">
        <f t="shared" si="137"/>
        <v>USD</v>
      </c>
      <c r="Y398" s="218">
        <v>113.06</v>
      </c>
      <c r="Z398" s="218">
        <v>150</v>
      </c>
      <c r="AA398" s="218">
        <v>132.69</v>
      </c>
    </row>
    <row r="399" spans="1:27">
      <c r="A399" s="218" t="s">
        <v>2592</v>
      </c>
      <c r="F399" s="219" t="str">
        <f>"""IntAlert Live"",""ALERT UK"",""17"",""1"",""517275"""</f>
        <v>"IntAlert Live","ALERT UK","17","1","517275"</v>
      </c>
      <c r="G399" s="223">
        <v>43850</v>
      </c>
      <c r="H399" s="223"/>
      <c r="I399" s="218" t="str">
        <f>"DRCBUK/CAISSE/2020/01/001"</f>
        <v>DRCBUK/CAISSE/2020/01/001</v>
      </c>
      <c r="K399" s="218" t="str">
        <f>"ORANGE"</f>
        <v>ORANGE</v>
      </c>
      <c r="L399" s="218" t="str">
        <f>"Internet orange modem Finance  5%"</f>
        <v>Internet orange modem Finance  5%</v>
      </c>
      <c r="M399" s="218" t="str">
        <f>"8030"</f>
        <v>8030</v>
      </c>
      <c r="N399" s="218" t="str">
        <f>"INTERNET SERVICES"</f>
        <v>INTERNET SERVICES</v>
      </c>
      <c r="O399" s="218" t="str">
        <f>"DRCBUK"</f>
        <v>DRCBUK</v>
      </c>
      <c r="P399" s="218" t="str">
        <f t="shared" si="138"/>
        <v>AP21QR</v>
      </c>
      <c r="Q399" s="218" t="str">
        <f>""</f>
        <v/>
      </c>
      <c r="R399" s="218" t="str">
        <f>""</f>
        <v/>
      </c>
      <c r="S399" s="218" t="str">
        <f t="shared" si="139"/>
        <v>074</v>
      </c>
      <c r="T399" s="218" t="str">
        <f t="shared" si="133"/>
        <v>D</v>
      </c>
      <c r="U399" s="218" t="str">
        <f t="shared" si="128"/>
        <v>AFR000</v>
      </c>
      <c r="V399" s="218" t="str">
        <f t="shared" si="131"/>
        <v>###</v>
      </c>
      <c r="W399" s="218">
        <v>3</v>
      </c>
      <c r="X399" s="218" t="str">
        <f t="shared" si="137"/>
        <v>USD</v>
      </c>
      <c r="Y399" s="218">
        <v>2.2599999999999998</v>
      </c>
      <c r="Z399" s="218">
        <v>3</v>
      </c>
      <c r="AA399" s="218">
        <v>2.65</v>
      </c>
    </row>
    <row r="400" spans="1:27">
      <c r="A400" s="218" t="s">
        <v>2592</v>
      </c>
      <c r="F400" s="219" t="str">
        <f>"""IntAlert Live"",""ALERT UK"",""17"",""1"",""515817"""</f>
        <v>"IntAlert Live","ALERT UK","17","1","515817"</v>
      </c>
      <c r="G400" s="223">
        <v>43854</v>
      </c>
      <c r="H400" s="223"/>
      <c r="I400" s="218" t="str">
        <f>"DRCGOM/ BANQUE/2020/001/005"</f>
        <v>DRCGOM/ BANQUE/2020/001/005</v>
      </c>
      <c r="K400" s="218" t="str">
        <f>"AIRTEL"</f>
        <v>AIRTEL</v>
      </c>
      <c r="L400" s="218" t="str">
        <f>"Communication october 2019 5%"</f>
        <v>Communication october 2019 5%</v>
      </c>
      <c r="M400" s="218" t="str">
        <f>"8110"</f>
        <v>8110</v>
      </c>
      <c r="N400" s="218" t="str">
        <f>"HEALTH AND SAFETY"</f>
        <v>HEALTH AND SAFETY</v>
      </c>
      <c r="O400" s="218" t="str">
        <f>"DRCGOM"</f>
        <v>DRCGOM</v>
      </c>
      <c r="P400" s="218" t="str">
        <f t="shared" si="138"/>
        <v>AP21QR</v>
      </c>
      <c r="Q400" s="218" t="str">
        <f>""</f>
        <v/>
      </c>
      <c r="R400" s="218" t="str">
        <f>""</f>
        <v/>
      </c>
      <c r="S400" s="218" t="str">
        <f t="shared" si="139"/>
        <v>074</v>
      </c>
      <c r="T400" s="218" t="str">
        <f t="shared" si="133"/>
        <v>D</v>
      </c>
      <c r="U400" s="218" t="str">
        <f t="shared" si="128"/>
        <v>AFR000</v>
      </c>
      <c r="V400" s="218" t="str">
        <f t="shared" si="131"/>
        <v>###</v>
      </c>
      <c r="W400" s="218">
        <v>76.430000000000007</v>
      </c>
      <c r="X400" s="218" t="str">
        <f t="shared" si="137"/>
        <v>USD</v>
      </c>
      <c r="Y400" s="218">
        <v>57.61</v>
      </c>
      <c r="Z400" s="218">
        <v>76.430000000000007</v>
      </c>
      <c r="AA400" s="218">
        <v>67.61</v>
      </c>
    </row>
    <row r="401" spans="1:27">
      <c r="A401" s="218" t="s">
        <v>2592</v>
      </c>
      <c r="F401" s="219" t="str">
        <f>"""IntAlert Live"",""ALERT UK"",""17"",""1"",""515822"""</f>
        <v>"IntAlert Live","ALERT UK","17","1","515822"</v>
      </c>
      <c r="G401" s="223">
        <v>43854</v>
      </c>
      <c r="H401" s="223"/>
      <c r="I401" s="218" t="str">
        <f>"DRCGOM/ BANQUE/2020/001/005"</f>
        <v>DRCGOM/ BANQUE/2020/001/005</v>
      </c>
      <c r="K401" s="218" t="str">
        <f>"AIRTEL"</f>
        <v>AIRTEL</v>
      </c>
      <c r="L401" s="218" t="str">
        <f>"Communication November 2019 5%"</f>
        <v>Communication November 2019 5%</v>
      </c>
      <c r="M401" s="218" t="str">
        <f>"8110"</f>
        <v>8110</v>
      </c>
      <c r="N401" s="218" t="str">
        <f>"HEALTH AND SAFETY"</f>
        <v>HEALTH AND SAFETY</v>
      </c>
      <c r="O401" s="218" t="str">
        <f>"DRCGOM"</f>
        <v>DRCGOM</v>
      </c>
      <c r="P401" s="218" t="str">
        <f t="shared" si="138"/>
        <v>AP21QR</v>
      </c>
      <c r="Q401" s="218" t="str">
        <f>""</f>
        <v/>
      </c>
      <c r="R401" s="218" t="str">
        <f>""</f>
        <v/>
      </c>
      <c r="S401" s="218" t="str">
        <f t="shared" si="139"/>
        <v>074</v>
      </c>
      <c r="T401" s="218" t="str">
        <f t="shared" si="133"/>
        <v>D</v>
      </c>
      <c r="U401" s="218" t="str">
        <f t="shared" si="128"/>
        <v>AFR000</v>
      </c>
      <c r="V401" s="218" t="str">
        <f t="shared" si="131"/>
        <v>###</v>
      </c>
      <c r="W401" s="218">
        <v>82.04</v>
      </c>
      <c r="X401" s="218" t="str">
        <f t="shared" si="137"/>
        <v>USD</v>
      </c>
      <c r="Y401" s="218">
        <v>61.84</v>
      </c>
      <c r="Z401" s="218">
        <v>82.04</v>
      </c>
      <c r="AA401" s="218">
        <v>72.58</v>
      </c>
    </row>
    <row r="402" spans="1:27">
      <c r="A402" s="218" t="s">
        <v>2592</v>
      </c>
      <c r="F402" s="219" t="str">
        <f>"""IntAlert Live"",""ALERT UK"",""17"",""1"",""516934"""</f>
        <v>"IntAlert Live","ALERT UK","17","1","516934"</v>
      </c>
      <c r="G402" s="223">
        <v>43859</v>
      </c>
      <c r="H402" s="223"/>
      <c r="I402" s="218" t="str">
        <f>"DRCBUK/BANK/2020/01/014"</f>
        <v>DRCBUK/BANK/2020/01/014</v>
      </c>
      <c r="K402" s="218" t="str">
        <f>"DATCO S. INTERNET"</f>
        <v>DATCO S. INTERNET</v>
      </c>
      <c r="L402" s="218" t="str">
        <f>"Pmt Service Internet 14-31DEC 19 5%"</f>
        <v>Pmt Service Internet 14-31DEC 19 5%</v>
      </c>
      <c r="M402" s="218" t="str">
        <f>"8030"</f>
        <v>8030</v>
      </c>
      <c r="N402" s="218" t="str">
        <f>"INTERNET SERVICES"</f>
        <v>INTERNET SERVICES</v>
      </c>
      <c r="O402" s="218" t="str">
        <f>"DRCBUK"</f>
        <v>DRCBUK</v>
      </c>
      <c r="P402" s="218" t="str">
        <f t="shared" si="138"/>
        <v>AP21QR</v>
      </c>
      <c r="Q402" s="218" t="str">
        <f>""</f>
        <v/>
      </c>
      <c r="R402" s="218" t="str">
        <f>""</f>
        <v/>
      </c>
      <c r="S402" s="218" t="str">
        <f t="shared" si="139"/>
        <v>074</v>
      </c>
      <c r="T402" s="218" t="str">
        <f t="shared" si="133"/>
        <v>D</v>
      </c>
      <c r="U402" s="218" t="str">
        <f t="shared" si="128"/>
        <v>AFR000</v>
      </c>
      <c r="V402" s="218" t="str">
        <f t="shared" si="131"/>
        <v>###</v>
      </c>
      <c r="W402" s="218">
        <v>25</v>
      </c>
      <c r="X402" s="218" t="str">
        <f t="shared" si="137"/>
        <v>USD</v>
      </c>
      <c r="Y402" s="218">
        <v>18.84</v>
      </c>
      <c r="Z402" s="218">
        <v>25</v>
      </c>
      <c r="AA402" s="218">
        <v>22.11</v>
      </c>
    </row>
    <row r="403" spans="1:27">
      <c r="A403" s="218" t="s">
        <v>2592</v>
      </c>
      <c r="F403" s="219" t="str">
        <f>"""IntAlert Live"",""ALERT UK"",""17"",""1"",""532860"""</f>
        <v>"IntAlert Live","ALERT UK","17","1","532860"</v>
      </c>
      <c r="G403" s="223">
        <v>43886</v>
      </c>
      <c r="H403" s="223"/>
      <c r="I403" s="218" t="str">
        <f>"DRCBUK/CAISSE/2020/02/002"</f>
        <v>DRCBUK/CAISSE/2020/02/002</v>
      </c>
      <c r="K403" s="218" t="str">
        <f>"ORANGE"</f>
        <v>ORANGE</v>
      </c>
      <c r="L403" s="218" t="str">
        <f>"Approvisionnement modem de finances 58%"</f>
        <v>Approvisionnement modem de finances 58%</v>
      </c>
      <c r="M403" s="218" t="str">
        <f>"8030"</f>
        <v>8030</v>
      </c>
      <c r="N403" s="218" t="str">
        <f>"INTERNET SERVICES"</f>
        <v>INTERNET SERVICES</v>
      </c>
      <c r="O403" s="218" t="str">
        <f>"DRCBUK"</f>
        <v>DRCBUK</v>
      </c>
      <c r="P403" s="218" t="str">
        <f t="shared" si="138"/>
        <v>AP21QR</v>
      </c>
      <c r="Q403" s="218" t="str">
        <f>""</f>
        <v/>
      </c>
      <c r="R403" s="218" t="str">
        <f>""</f>
        <v/>
      </c>
      <c r="S403" s="218" t="str">
        <f t="shared" si="139"/>
        <v>074</v>
      </c>
      <c r="T403" s="218" t="str">
        <f t="shared" si="133"/>
        <v>D</v>
      </c>
      <c r="U403" s="218" t="str">
        <f t="shared" si="128"/>
        <v>AFR000</v>
      </c>
      <c r="V403" s="218" t="str">
        <f t="shared" si="131"/>
        <v>###</v>
      </c>
      <c r="W403" s="218">
        <v>34.799999999999997</v>
      </c>
      <c r="X403" s="218" t="str">
        <f t="shared" si="137"/>
        <v>USD</v>
      </c>
      <c r="Y403" s="218">
        <v>26.38</v>
      </c>
      <c r="Z403" s="218">
        <v>34.799999999999997</v>
      </c>
      <c r="AA403" s="218">
        <v>31.34</v>
      </c>
    </row>
    <row r="404" spans="1:27">
      <c r="A404" s="218" t="s">
        <v>2592</v>
      </c>
      <c r="F404" s="219" t="str">
        <f>"""IntAlert Live"",""ALERT UK"",""17"",""1"",""539689"""</f>
        <v>"IntAlert Live","ALERT UK","17","1","539689"</v>
      </c>
      <c r="G404" s="223">
        <v>43903</v>
      </c>
      <c r="H404" s="223"/>
      <c r="I404" s="218" t="str">
        <f>"DRCBUK/BANK/2020/03/015"</f>
        <v>DRCBUK/BANK/2020/03/015</v>
      </c>
      <c r="K404" s="218" t="str">
        <f>"DATCO INTERNET"</f>
        <v>DATCO INTERNET</v>
      </c>
      <c r="L404" s="218" t="str">
        <f>"Pmt Internet bureau pr Fev et Mars 2020 20%"</f>
        <v>Pmt Internet bureau pr Fev et Mars 2020 20%</v>
      </c>
      <c r="M404" s="218" t="str">
        <f>"8030"</f>
        <v>8030</v>
      </c>
      <c r="N404" s="218" t="str">
        <f>"INTERNET SERVICES"</f>
        <v>INTERNET SERVICES</v>
      </c>
      <c r="O404" s="218" t="str">
        <f>"DRCBUK"</f>
        <v>DRCBUK</v>
      </c>
      <c r="P404" s="218" t="str">
        <f t="shared" si="138"/>
        <v>AP21QR</v>
      </c>
      <c r="Q404" s="218" t="str">
        <f>""</f>
        <v/>
      </c>
      <c r="R404" s="218" t="str">
        <f>""</f>
        <v/>
      </c>
      <c r="S404" s="218" t="str">
        <f t="shared" si="139"/>
        <v>074</v>
      </c>
      <c r="T404" s="218" t="str">
        <f t="shared" si="133"/>
        <v>D</v>
      </c>
      <c r="U404" s="218" t="str">
        <f t="shared" si="128"/>
        <v>AFR000</v>
      </c>
      <c r="V404" s="218" t="str">
        <f t="shared" si="131"/>
        <v>###</v>
      </c>
      <c r="W404" s="218">
        <v>400</v>
      </c>
      <c r="X404" s="218" t="str">
        <f t="shared" si="137"/>
        <v>USD</v>
      </c>
      <c r="Y404" s="218">
        <v>312.02</v>
      </c>
      <c r="Z404" s="218">
        <v>400</v>
      </c>
      <c r="AA404" s="218">
        <v>367.1</v>
      </c>
    </row>
    <row r="405" spans="1:27">
      <c r="A405" s="218" t="s">
        <v>2592</v>
      </c>
      <c r="F405" s="219" t="str">
        <f>"""IntAlert Live"",""ALERT UK"",""17"",""1"",""540175"""</f>
        <v>"IntAlert Live","ALERT UK","17","1","540175"</v>
      </c>
      <c r="G405" s="223">
        <v>43913</v>
      </c>
      <c r="H405" s="223"/>
      <c r="I405" s="218" t="str">
        <f>"DRCBUK/CAISSE/2020/03/001"</f>
        <v>DRCBUK/CAISSE/2020/03/001</v>
      </c>
      <c r="K405" s="218" t="str">
        <f>"ORANGE&amp; VODACOM"</f>
        <v>ORANGE&amp; VODACOM</v>
      </c>
      <c r="L405" s="218" t="str">
        <f>"Megabit Internet staff"</f>
        <v>Megabit Internet staff</v>
      </c>
      <c r="M405" s="218" t="str">
        <f>"8030"</f>
        <v>8030</v>
      </c>
      <c r="N405" s="218" t="str">
        <f>"INTERNET SERVICES"</f>
        <v>INTERNET SERVICES</v>
      </c>
      <c r="O405" s="218" t="str">
        <f>"DRCBUK"</f>
        <v>DRCBUK</v>
      </c>
      <c r="P405" s="218" t="str">
        <f t="shared" si="138"/>
        <v>AP21QR</v>
      </c>
      <c r="Q405" s="218" t="str">
        <f>""</f>
        <v/>
      </c>
      <c r="R405" s="218" t="str">
        <f>""</f>
        <v/>
      </c>
      <c r="S405" s="218" t="str">
        <f t="shared" si="139"/>
        <v>074</v>
      </c>
      <c r="T405" s="218" t="str">
        <f t="shared" si="133"/>
        <v>D</v>
      </c>
      <c r="U405" s="218" t="str">
        <f t="shared" ref="U405:U436" si="140">"AFR000"</f>
        <v>AFR000</v>
      </c>
      <c r="V405" s="218" t="str">
        <f t="shared" si="131"/>
        <v>###</v>
      </c>
      <c r="W405" s="218">
        <v>66</v>
      </c>
      <c r="X405" s="218" t="str">
        <f t="shared" si="137"/>
        <v>USD</v>
      </c>
      <c r="Y405" s="218">
        <v>51.48</v>
      </c>
      <c r="Z405" s="218">
        <v>66</v>
      </c>
      <c r="AA405" s="218">
        <v>60.57</v>
      </c>
    </row>
    <row r="406" spans="1:27">
      <c r="A406" s="218" t="s">
        <v>2592</v>
      </c>
      <c r="F406" s="219" t="str">
        <f>"""IntAlert Live"",""ALERT UK"",""17"",""1"",""537197"""</f>
        <v>"IntAlert Live","ALERT UK","17","1","537197"</v>
      </c>
      <c r="G406" s="223">
        <v>43914</v>
      </c>
      <c r="H406" s="223"/>
      <c r="I406" s="218" t="str">
        <f>"DRCGOM/BANQUE/2020/003/014"</f>
        <v>DRCGOM/BANQUE/2020/003/014</v>
      </c>
      <c r="K406" s="218" t="str">
        <f>"AIRTEL"</f>
        <v>AIRTEL</v>
      </c>
      <c r="L406" s="218" t="str">
        <f>"Commuication staff airtel Dec'19-Jan-Feb 2020 5% "</f>
        <v xml:space="preserve">Commuication staff airtel Dec'19-Jan-Feb 2020 5% </v>
      </c>
      <c r="M406" s="218" t="str">
        <f>"8110"</f>
        <v>8110</v>
      </c>
      <c r="N406" s="218" t="str">
        <f>"HEALTH AND SAFETY"</f>
        <v>HEALTH AND SAFETY</v>
      </c>
      <c r="O406" s="218" t="str">
        <f>"DRCGOM"</f>
        <v>DRCGOM</v>
      </c>
      <c r="P406" s="218" t="str">
        <f t="shared" si="138"/>
        <v>AP21QR</v>
      </c>
      <c r="Q406" s="218" t="str">
        <f>""</f>
        <v/>
      </c>
      <c r="R406" s="218" t="str">
        <f>""</f>
        <v/>
      </c>
      <c r="S406" s="218" t="str">
        <f t="shared" si="139"/>
        <v>074</v>
      </c>
      <c r="T406" s="218" t="str">
        <f t="shared" si="133"/>
        <v>D</v>
      </c>
      <c r="U406" s="218" t="str">
        <f t="shared" si="140"/>
        <v>AFR000</v>
      </c>
      <c r="V406" s="218" t="str">
        <f t="shared" si="131"/>
        <v>###</v>
      </c>
      <c r="W406" s="218">
        <v>244.39</v>
      </c>
      <c r="X406" s="218" t="str">
        <f t="shared" si="137"/>
        <v>USD</v>
      </c>
      <c r="Y406" s="218">
        <v>190.64</v>
      </c>
      <c r="Z406" s="218">
        <v>244.39</v>
      </c>
      <c r="AA406" s="218">
        <v>224.3</v>
      </c>
    </row>
    <row r="407" spans="1:27">
      <c r="A407" s="218" t="s">
        <v>2592</v>
      </c>
      <c r="F407" s="219" t="str">
        <f>"""IntAlert Live"",""ALERT UK"",""17"",""1"",""536536"""</f>
        <v>"IntAlert Live","ALERT UK","17","1","536536"</v>
      </c>
      <c r="G407" s="223">
        <v>43840</v>
      </c>
      <c r="H407" s="223"/>
      <c r="I407" s="218" t="str">
        <f>"G00000496"</f>
        <v>G00000496</v>
      </c>
      <c r="K407" s="218" t="str">
        <f>"GBP BANK CHARGE JAN 20"</f>
        <v>GBP BANK CHARGE JAN 20</v>
      </c>
      <c r="L407" s="218" t="str">
        <f>"JEANBOSCO SIBORU"</f>
        <v>JEANBOSCO SIBORU</v>
      </c>
      <c r="M407" s="218" t="str">
        <f t="shared" ref="M407:M438" si="141">"9770"</f>
        <v>9770</v>
      </c>
      <c r="N407" s="218" t="str">
        <f t="shared" ref="N407:N438" si="142">"BANK CHARGES"</f>
        <v>BANK CHARGES</v>
      </c>
      <c r="O407" s="218" t="str">
        <f>"UNILON"</f>
        <v>UNILON</v>
      </c>
      <c r="P407" s="218" t="str">
        <f t="shared" si="138"/>
        <v>AP21QR</v>
      </c>
      <c r="Q407" s="218" t="str">
        <f>""</f>
        <v/>
      </c>
      <c r="R407" s="218" t="str">
        <f>""</f>
        <v/>
      </c>
      <c r="S407" s="218" t="str">
        <f t="shared" ref="S407:S438" si="143">"075"</f>
        <v>075</v>
      </c>
      <c r="T407" s="218" t="str">
        <f t="shared" si="133"/>
        <v>D</v>
      </c>
      <c r="U407" s="218" t="str">
        <f t="shared" si="140"/>
        <v>AFR000</v>
      </c>
      <c r="V407" s="218" t="str">
        <f t="shared" si="131"/>
        <v>###</v>
      </c>
      <c r="W407" s="218">
        <v>0</v>
      </c>
      <c r="X407" s="218" t="str">
        <f>""</f>
        <v/>
      </c>
      <c r="Y407" s="218">
        <v>20.5</v>
      </c>
      <c r="Z407" s="218">
        <v>27.05</v>
      </c>
      <c r="AA407" s="218">
        <v>24.35</v>
      </c>
    </row>
    <row r="408" spans="1:27">
      <c r="A408" s="218" t="s">
        <v>2592</v>
      </c>
      <c r="F408" s="219" t="str">
        <f>"""IntAlert Live"",""ALERT UK"",""17"",""1"",""517156"""</f>
        <v>"IntAlert Live","ALERT UK","17","1","517156"</v>
      </c>
      <c r="G408" s="223">
        <v>43861</v>
      </c>
      <c r="H408" s="223"/>
      <c r="I408" s="218" t="str">
        <f t="shared" ref="I408:I425" si="144">"DRCBUK/BANK/2020/01/024"</f>
        <v>DRCBUK/BANK/2020/01/024</v>
      </c>
      <c r="K408" s="218" t="str">
        <f t="shared" ref="K408:K425" si="145">"BCDC BUKAVU"</f>
        <v>BCDC BUKAVU</v>
      </c>
      <c r="L408" s="218" t="str">
        <f>"Frais de gestion /1 cpt BKV"</f>
        <v>Frais de gestion /1 cpt BKV</v>
      </c>
      <c r="M408" s="218" t="str">
        <f t="shared" si="141"/>
        <v>9770</v>
      </c>
      <c r="N408" s="218" t="str">
        <f t="shared" si="142"/>
        <v>BANK CHARGES</v>
      </c>
      <c r="O408" s="218" t="str">
        <f t="shared" ref="O408:O426" si="146">"DRCBUK"</f>
        <v>DRCBUK</v>
      </c>
      <c r="P408" s="218" t="str">
        <f t="shared" si="138"/>
        <v>AP21QR</v>
      </c>
      <c r="Q408" s="218" t="str">
        <f>""</f>
        <v/>
      </c>
      <c r="R408" s="218" t="str">
        <f>""</f>
        <v/>
      </c>
      <c r="S408" s="218" t="str">
        <f t="shared" si="143"/>
        <v>075</v>
      </c>
      <c r="T408" s="218" t="str">
        <f t="shared" si="133"/>
        <v>D</v>
      </c>
      <c r="U408" s="218" t="str">
        <f t="shared" si="140"/>
        <v>AFR000</v>
      </c>
      <c r="V408" s="218" t="str">
        <f t="shared" si="131"/>
        <v>###</v>
      </c>
      <c r="W408" s="218">
        <v>15</v>
      </c>
      <c r="X408" s="218" t="str">
        <f t="shared" ref="X408:X426" si="147">"USD"</f>
        <v>USD</v>
      </c>
      <c r="Y408" s="218">
        <v>11.31</v>
      </c>
      <c r="Z408" s="218">
        <v>15</v>
      </c>
      <c r="AA408" s="218">
        <v>13.27</v>
      </c>
    </row>
    <row r="409" spans="1:27">
      <c r="A409" s="218" t="s">
        <v>2592</v>
      </c>
      <c r="F409" s="219" t="str">
        <f>"""IntAlert Live"",""ALERT UK"",""17"",""1"",""517161"""</f>
        <v>"IntAlert Live","ALERT UK","17","1","517161"</v>
      </c>
      <c r="G409" s="223">
        <v>43861</v>
      </c>
      <c r="H409" s="223"/>
      <c r="I409" s="218" t="str">
        <f t="shared" si="144"/>
        <v>DRCBUK/BANK/2020/01/024</v>
      </c>
      <c r="K409" s="218" t="str">
        <f t="shared" si="145"/>
        <v>BCDC BUKAVU</v>
      </c>
      <c r="L409" s="218" t="str">
        <f>"Frs de gestion de compte 15%"</f>
        <v>Frs de gestion de compte 15%</v>
      </c>
      <c r="M409" s="218" t="str">
        <f t="shared" si="141"/>
        <v>9770</v>
      </c>
      <c r="N409" s="218" t="str">
        <f t="shared" si="142"/>
        <v>BANK CHARGES</v>
      </c>
      <c r="O409" s="218" t="str">
        <f t="shared" si="146"/>
        <v>DRCBUK</v>
      </c>
      <c r="P409" s="218" t="str">
        <f t="shared" si="138"/>
        <v>AP21QR</v>
      </c>
      <c r="Q409" s="218" t="str">
        <f>""</f>
        <v/>
      </c>
      <c r="R409" s="218" t="str">
        <f>""</f>
        <v/>
      </c>
      <c r="S409" s="218" t="str">
        <f t="shared" si="143"/>
        <v>075</v>
      </c>
      <c r="T409" s="218" t="str">
        <f t="shared" si="133"/>
        <v>D</v>
      </c>
      <c r="U409" s="218" t="str">
        <f t="shared" si="140"/>
        <v>AFR000</v>
      </c>
      <c r="V409" s="218" t="str">
        <f t="shared" si="131"/>
        <v>###</v>
      </c>
      <c r="W409" s="218">
        <v>1.57</v>
      </c>
      <c r="X409" s="218" t="str">
        <f t="shared" si="147"/>
        <v>USD</v>
      </c>
      <c r="Y409" s="218">
        <v>1.18</v>
      </c>
      <c r="Z409" s="218">
        <v>1.57</v>
      </c>
      <c r="AA409" s="218">
        <v>1.38</v>
      </c>
    </row>
    <row r="410" spans="1:27">
      <c r="A410" s="218" t="s">
        <v>2592</v>
      </c>
      <c r="F410" s="219" t="str">
        <f>"""IntAlert Live"",""ALERT UK"",""17"",""1"",""517168"""</f>
        <v>"IntAlert Live","ALERT UK","17","1","517168"</v>
      </c>
      <c r="G410" s="223">
        <v>43861</v>
      </c>
      <c r="H410" s="223"/>
      <c r="I410" s="218" t="str">
        <f t="shared" si="144"/>
        <v>DRCBUK/BANK/2020/01/024</v>
      </c>
      <c r="K410" s="218" t="str">
        <f t="shared" si="145"/>
        <v>BCDC BUKAVU</v>
      </c>
      <c r="L410" s="218" t="str">
        <f>"Frs mensuel compte staff Papson 100%"</f>
        <v>Frs mensuel compte staff Papson 100%</v>
      </c>
      <c r="M410" s="218" t="str">
        <f t="shared" si="141"/>
        <v>9770</v>
      </c>
      <c r="N410" s="218" t="str">
        <f t="shared" si="142"/>
        <v>BANK CHARGES</v>
      </c>
      <c r="O410" s="218" t="str">
        <f t="shared" si="146"/>
        <v>DRCBUK</v>
      </c>
      <c r="P410" s="218" t="str">
        <f t="shared" si="138"/>
        <v>AP21QR</v>
      </c>
      <c r="Q410" s="218" t="str">
        <f>""</f>
        <v/>
      </c>
      <c r="R410" s="218" t="str">
        <f>""</f>
        <v/>
      </c>
      <c r="S410" s="218" t="str">
        <f t="shared" si="143"/>
        <v>075</v>
      </c>
      <c r="T410" s="218" t="str">
        <f t="shared" si="133"/>
        <v>D</v>
      </c>
      <c r="U410" s="218" t="str">
        <f t="shared" si="140"/>
        <v>AFR000</v>
      </c>
      <c r="V410" s="218" t="str">
        <f t="shared" si="131"/>
        <v>###</v>
      </c>
      <c r="W410" s="218">
        <v>5.8</v>
      </c>
      <c r="X410" s="218" t="str">
        <f t="shared" si="147"/>
        <v>USD</v>
      </c>
      <c r="Y410" s="218">
        <v>4.37</v>
      </c>
      <c r="Z410" s="218">
        <v>5.8</v>
      </c>
      <c r="AA410" s="218">
        <v>5.13</v>
      </c>
    </row>
    <row r="411" spans="1:27">
      <c r="A411" s="218" t="s">
        <v>2592</v>
      </c>
      <c r="F411" s="219" t="str">
        <f>"""IntAlert Live"",""ALERT UK"",""17"",""1"",""517185"""</f>
        <v>"IntAlert Live","ALERT UK","17","1","517185"</v>
      </c>
      <c r="G411" s="223">
        <v>43861</v>
      </c>
      <c r="H411" s="223"/>
      <c r="I411" s="218" t="str">
        <f t="shared" si="144"/>
        <v>DRCBUK/BANK/2020/01/024</v>
      </c>
      <c r="K411" s="218" t="str">
        <f t="shared" si="145"/>
        <v>BCDC BUKAVU</v>
      </c>
      <c r="L411" s="218" t="str">
        <f>"Frs mensuel compte staff 100%"</f>
        <v>Frs mensuel compte staff 100%</v>
      </c>
      <c r="M411" s="218" t="str">
        <f t="shared" si="141"/>
        <v>9770</v>
      </c>
      <c r="N411" s="218" t="str">
        <f t="shared" si="142"/>
        <v>BANK CHARGES</v>
      </c>
      <c r="O411" s="218" t="str">
        <f t="shared" si="146"/>
        <v>DRCBUK</v>
      </c>
      <c r="P411" s="218" t="str">
        <f t="shared" si="138"/>
        <v>AP21QR</v>
      </c>
      <c r="Q411" s="218" t="str">
        <f>""</f>
        <v/>
      </c>
      <c r="R411" s="218" t="str">
        <f>""</f>
        <v/>
      </c>
      <c r="S411" s="218" t="str">
        <f t="shared" si="143"/>
        <v>075</v>
      </c>
      <c r="T411" s="218" t="str">
        <f t="shared" si="133"/>
        <v>D</v>
      </c>
      <c r="U411" s="218" t="str">
        <f t="shared" si="140"/>
        <v>AFR000</v>
      </c>
      <c r="V411" s="218" t="str">
        <f t="shared" si="131"/>
        <v>###</v>
      </c>
      <c r="W411" s="218">
        <v>5.8</v>
      </c>
      <c r="X411" s="218" t="str">
        <f t="shared" si="147"/>
        <v>USD</v>
      </c>
      <c r="Y411" s="218">
        <v>4.37</v>
      </c>
      <c r="Z411" s="218">
        <v>5.8</v>
      </c>
      <c r="AA411" s="218">
        <v>5.13</v>
      </c>
    </row>
    <row r="412" spans="1:27">
      <c r="A412" s="218" t="s">
        <v>2592</v>
      </c>
      <c r="F412" s="219" t="str">
        <f>"""IntAlert Live"",""ALERT UK"",""17"",""1"",""517190"""</f>
        <v>"IntAlert Live","ALERT UK","17","1","517190"</v>
      </c>
      <c r="G412" s="223">
        <v>43861</v>
      </c>
      <c r="H412" s="223"/>
      <c r="I412" s="218" t="str">
        <f t="shared" si="144"/>
        <v>DRCBUK/BANK/2020/01/024</v>
      </c>
      <c r="K412" s="218" t="str">
        <f t="shared" si="145"/>
        <v>BCDC BUKAVU</v>
      </c>
      <c r="L412" s="218" t="str">
        <f>"Frs abonnement BCDC net light 15%"</f>
        <v>Frs abonnement BCDC net light 15%</v>
      </c>
      <c r="M412" s="218" t="str">
        <f t="shared" si="141"/>
        <v>9770</v>
      </c>
      <c r="N412" s="218" t="str">
        <f t="shared" si="142"/>
        <v>BANK CHARGES</v>
      </c>
      <c r="O412" s="218" t="str">
        <f t="shared" si="146"/>
        <v>DRCBUK</v>
      </c>
      <c r="P412" s="218" t="str">
        <f t="shared" si="138"/>
        <v>AP21QR</v>
      </c>
      <c r="Q412" s="218" t="str">
        <f>""</f>
        <v/>
      </c>
      <c r="R412" s="218" t="str">
        <f>""</f>
        <v/>
      </c>
      <c r="S412" s="218" t="str">
        <f t="shared" si="143"/>
        <v>075</v>
      </c>
      <c r="T412" s="218" t="str">
        <f t="shared" si="133"/>
        <v>D</v>
      </c>
      <c r="U412" s="218" t="str">
        <f t="shared" si="140"/>
        <v>AFR000</v>
      </c>
      <c r="V412" s="218" t="str">
        <f t="shared" si="131"/>
        <v>###</v>
      </c>
      <c r="W412" s="218">
        <v>0.87</v>
      </c>
      <c r="X412" s="218" t="str">
        <f t="shared" si="147"/>
        <v>USD</v>
      </c>
      <c r="Y412" s="218">
        <v>0.66</v>
      </c>
      <c r="Z412" s="218">
        <v>0.87</v>
      </c>
      <c r="AA412" s="218">
        <v>0.77</v>
      </c>
    </row>
    <row r="413" spans="1:27">
      <c r="A413" s="218" t="s">
        <v>2592</v>
      </c>
      <c r="F413" s="219" t="str">
        <f>"""IntAlert Live"",""ALERT UK"",""17"",""1"",""517193"""</f>
        <v>"IntAlert Live","ALERT UK","17","1","517193"</v>
      </c>
      <c r="G413" s="223">
        <v>43861</v>
      </c>
      <c r="H413" s="223"/>
      <c r="I413" s="218" t="str">
        <f t="shared" si="144"/>
        <v>DRCBUK/BANK/2020/01/024</v>
      </c>
      <c r="K413" s="218" t="str">
        <f t="shared" si="145"/>
        <v>BCDC BUKAVU</v>
      </c>
      <c r="L413" s="218" t="str">
        <f>"Frs de retrait cheque 09098399 100%"</f>
        <v>Frs de retrait cheque 09098399 100%</v>
      </c>
      <c r="M413" s="218" t="str">
        <f t="shared" si="141"/>
        <v>9770</v>
      </c>
      <c r="N413" s="218" t="str">
        <f t="shared" si="142"/>
        <v>BANK CHARGES</v>
      </c>
      <c r="O413" s="218" t="str">
        <f t="shared" si="146"/>
        <v>DRCBUK</v>
      </c>
      <c r="P413" s="218" t="str">
        <f t="shared" si="138"/>
        <v>AP21QR</v>
      </c>
      <c r="Q413" s="218" t="str">
        <f>""</f>
        <v/>
      </c>
      <c r="R413" s="218" t="str">
        <f>""</f>
        <v/>
      </c>
      <c r="S413" s="218" t="str">
        <f t="shared" si="143"/>
        <v>075</v>
      </c>
      <c r="T413" s="218" t="str">
        <f t="shared" si="133"/>
        <v>D</v>
      </c>
      <c r="U413" s="218" t="str">
        <f t="shared" si="140"/>
        <v>AFR000</v>
      </c>
      <c r="V413" s="218" t="str">
        <f t="shared" si="131"/>
        <v>###</v>
      </c>
      <c r="W413" s="218">
        <v>3.69</v>
      </c>
      <c r="X413" s="218" t="str">
        <f t="shared" si="147"/>
        <v>USD</v>
      </c>
      <c r="Y413" s="218">
        <v>2.78</v>
      </c>
      <c r="Z413" s="218">
        <v>3.69</v>
      </c>
      <c r="AA413" s="218">
        <v>3.26</v>
      </c>
    </row>
    <row r="414" spans="1:27">
      <c r="A414" s="218" t="s">
        <v>2592</v>
      </c>
      <c r="F414" s="219" t="str">
        <f>"""IntAlert Live"",""ALERT UK"",""17"",""1"",""517196"""</f>
        <v>"IntAlert Live","ALERT UK","17","1","517196"</v>
      </c>
      <c r="G414" s="223">
        <v>43861</v>
      </c>
      <c r="H414" s="223"/>
      <c r="I414" s="218" t="str">
        <f t="shared" si="144"/>
        <v>DRCBUK/BANK/2020/01/024</v>
      </c>
      <c r="K414" s="218" t="str">
        <f t="shared" si="145"/>
        <v>BCDC BUKAVU</v>
      </c>
      <c r="L414" s="218" t="str">
        <f>"Frs retrait chèque 09098400 33%"</f>
        <v>Frs retrait chèque 09098400 33%</v>
      </c>
      <c r="M414" s="218" t="str">
        <f t="shared" si="141"/>
        <v>9770</v>
      </c>
      <c r="N414" s="218" t="str">
        <f t="shared" si="142"/>
        <v>BANK CHARGES</v>
      </c>
      <c r="O414" s="218" t="str">
        <f t="shared" si="146"/>
        <v>DRCBUK</v>
      </c>
      <c r="P414" s="218" t="str">
        <f t="shared" si="138"/>
        <v>AP21QR</v>
      </c>
      <c r="Q414" s="218" t="str">
        <f>""</f>
        <v/>
      </c>
      <c r="R414" s="218" t="str">
        <f>""</f>
        <v/>
      </c>
      <c r="S414" s="218" t="str">
        <f t="shared" si="143"/>
        <v>075</v>
      </c>
      <c r="T414" s="218" t="str">
        <f t="shared" si="133"/>
        <v>D</v>
      </c>
      <c r="U414" s="218" t="str">
        <f t="shared" si="140"/>
        <v>AFR000</v>
      </c>
      <c r="V414" s="218" t="str">
        <f t="shared" si="131"/>
        <v>###</v>
      </c>
      <c r="W414" s="218">
        <v>2.76</v>
      </c>
      <c r="X414" s="218" t="str">
        <f t="shared" si="147"/>
        <v>USD</v>
      </c>
      <c r="Y414" s="218">
        <v>2.08</v>
      </c>
      <c r="Z414" s="218">
        <v>2.76</v>
      </c>
      <c r="AA414" s="218">
        <v>2.44</v>
      </c>
    </row>
    <row r="415" spans="1:27">
      <c r="A415" s="218" t="s">
        <v>2592</v>
      </c>
      <c r="F415" s="219" t="str">
        <f>"""IntAlert Live"",""ALERT UK"",""17"",""1"",""517203"""</f>
        <v>"IntAlert Live","ALERT UK","17","1","517203"</v>
      </c>
      <c r="G415" s="223">
        <v>43861</v>
      </c>
      <c r="H415" s="223"/>
      <c r="I415" s="218" t="str">
        <f t="shared" si="144"/>
        <v>DRCBUK/BANK/2020/01/024</v>
      </c>
      <c r="K415" s="218" t="str">
        <f t="shared" si="145"/>
        <v>BCDC BUKAVU</v>
      </c>
      <c r="L415" s="218" t="str">
        <f>"Frs transfert OV CNSS STC et consultant 15%"</f>
        <v>Frs transfert OV CNSS STC et consultant 15%</v>
      </c>
      <c r="M415" s="218" t="str">
        <f t="shared" si="141"/>
        <v>9770</v>
      </c>
      <c r="N415" s="218" t="str">
        <f t="shared" si="142"/>
        <v>BANK CHARGES</v>
      </c>
      <c r="O415" s="218" t="str">
        <f t="shared" si="146"/>
        <v>DRCBUK</v>
      </c>
      <c r="P415" s="218" t="str">
        <f t="shared" si="138"/>
        <v>AP21QR</v>
      </c>
      <c r="Q415" s="218" t="str">
        <f>""</f>
        <v/>
      </c>
      <c r="R415" s="218" t="str">
        <f>""</f>
        <v/>
      </c>
      <c r="S415" s="218" t="str">
        <f t="shared" si="143"/>
        <v>075</v>
      </c>
      <c r="T415" s="218" t="str">
        <f t="shared" si="133"/>
        <v>D</v>
      </c>
      <c r="U415" s="218" t="str">
        <f t="shared" si="140"/>
        <v>AFR000</v>
      </c>
      <c r="V415" s="218" t="str">
        <f t="shared" si="131"/>
        <v>###</v>
      </c>
      <c r="W415" s="218">
        <v>6.96</v>
      </c>
      <c r="X415" s="218" t="str">
        <f t="shared" si="147"/>
        <v>USD</v>
      </c>
      <c r="Y415" s="218">
        <v>5.25</v>
      </c>
      <c r="Z415" s="218">
        <v>6.96</v>
      </c>
      <c r="AA415" s="218">
        <v>6.16</v>
      </c>
    </row>
    <row r="416" spans="1:27">
      <c r="A416" s="218" t="s">
        <v>2592</v>
      </c>
      <c r="F416" s="219" t="str">
        <f>"""IntAlert Live"",""ALERT UK"",""17"",""1"",""517204"""</f>
        <v>"IntAlert Live","ALERT UK","17","1","517204"</v>
      </c>
      <c r="G416" s="223">
        <v>43861</v>
      </c>
      <c r="H416" s="223"/>
      <c r="I416" s="218" t="str">
        <f t="shared" si="144"/>
        <v>DRCBUK/BANK/2020/01/024</v>
      </c>
      <c r="K416" s="218" t="str">
        <f t="shared" si="145"/>
        <v>BCDC BUKAVU</v>
      </c>
      <c r="L416" s="218" t="str">
        <f>"Frs de retrait cheque 09098406 100%"</f>
        <v>Frs de retrait cheque 09098406 100%</v>
      </c>
      <c r="M416" s="218" t="str">
        <f t="shared" si="141"/>
        <v>9770</v>
      </c>
      <c r="N416" s="218" t="str">
        <f t="shared" si="142"/>
        <v>BANK CHARGES</v>
      </c>
      <c r="O416" s="218" t="str">
        <f t="shared" si="146"/>
        <v>DRCBUK</v>
      </c>
      <c r="P416" s="218" t="str">
        <f t="shared" si="138"/>
        <v>AP21QR</v>
      </c>
      <c r="Q416" s="218" t="str">
        <f>""</f>
        <v/>
      </c>
      <c r="R416" s="218" t="str">
        <f>""</f>
        <v/>
      </c>
      <c r="S416" s="218" t="str">
        <f t="shared" si="143"/>
        <v>075</v>
      </c>
      <c r="T416" s="218" t="str">
        <f t="shared" ref="T416:T447" si="148">"D"</f>
        <v>D</v>
      </c>
      <c r="U416" s="218" t="str">
        <f t="shared" si="140"/>
        <v>AFR000</v>
      </c>
      <c r="V416" s="218" t="str">
        <f t="shared" si="131"/>
        <v>###</v>
      </c>
      <c r="W416" s="218">
        <v>7.66</v>
      </c>
      <c r="X416" s="218" t="str">
        <f t="shared" si="147"/>
        <v>USD</v>
      </c>
      <c r="Y416" s="218">
        <v>5.77</v>
      </c>
      <c r="Z416" s="218">
        <v>7.66</v>
      </c>
      <c r="AA416" s="218">
        <v>6.77</v>
      </c>
    </row>
    <row r="417" spans="1:27">
      <c r="A417" s="218" t="s">
        <v>2592</v>
      </c>
      <c r="F417" s="219" t="str">
        <f>"""IntAlert Live"",""ALERT UK"",""17"",""1"",""517208"""</f>
        <v>"IntAlert Live","ALERT UK","17","1","517208"</v>
      </c>
      <c r="G417" s="223">
        <v>43861</v>
      </c>
      <c r="H417" s="223"/>
      <c r="I417" s="218" t="str">
        <f t="shared" si="144"/>
        <v>DRCBUK/BANK/2020/01/024</v>
      </c>
      <c r="K417" s="218" t="str">
        <f t="shared" si="145"/>
        <v>BCDC BUKAVU</v>
      </c>
      <c r="L417" s="218" t="str">
        <f>"Frs demande de chéquiers 15%"</f>
        <v>Frs demande de chéquiers 15%</v>
      </c>
      <c r="M417" s="218" t="str">
        <f t="shared" si="141"/>
        <v>9770</v>
      </c>
      <c r="N417" s="218" t="str">
        <f t="shared" si="142"/>
        <v>BANK CHARGES</v>
      </c>
      <c r="O417" s="218" t="str">
        <f t="shared" si="146"/>
        <v>DRCBUK</v>
      </c>
      <c r="P417" s="218" t="str">
        <f t="shared" si="138"/>
        <v>AP21QR</v>
      </c>
      <c r="Q417" s="218" t="str">
        <f>""</f>
        <v/>
      </c>
      <c r="R417" s="218" t="str">
        <f>""</f>
        <v/>
      </c>
      <c r="S417" s="218" t="str">
        <f t="shared" si="143"/>
        <v>075</v>
      </c>
      <c r="T417" s="218" t="str">
        <f t="shared" si="148"/>
        <v>D</v>
      </c>
      <c r="U417" s="218" t="str">
        <f t="shared" si="140"/>
        <v>AFR000</v>
      </c>
      <c r="V417" s="218" t="str">
        <f t="shared" si="131"/>
        <v>###</v>
      </c>
      <c r="W417" s="218">
        <v>52.2</v>
      </c>
      <c r="X417" s="218" t="str">
        <f t="shared" si="147"/>
        <v>USD</v>
      </c>
      <c r="Y417" s="218">
        <v>39.340000000000003</v>
      </c>
      <c r="Z417" s="218">
        <v>52.2</v>
      </c>
      <c r="AA417" s="218">
        <v>46.17</v>
      </c>
    </row>
    <row r="418" spans="1:27">
      <c r="A418" s="218" t="s">
        <v>2592</v>
      </c>
      <c r="F418" s="219" t="str">
        <f>"""IntAlert Live"",""ALERT UK"",""17"",""1"",""517213"""</f>
        <v>"IntAlert Live","ALERT UK","17","1","517213"</v>
      </c>
      <c r="G418" s="223">
        <v>43861</v>
      </c>
      <c r="H418" s="223"/>
      <c r="I418" s="218" t="str">
        <f t="shared" si="144"/>
        <v>DRCBUK/BANK/2020/01/024</v>
      </c>
      <c r="K418" s="218" t="str">
        <f t="shared" si="145"/>
        <v>BCDC BUKAVU</v>
      </c>
      <c r="L418" s="218" t="str">
        <f>"Frs demande de chéquiers OV 15%"</f>
        <v>Frs demande de chéquiers OV 15%</v>
      </c>
      <c r="M418" s="218" t="str">
        <f t="shared" si="141"/>
        <v>9770</v>
      </c>
      <c r="N418" s="218" t="str">
        <f t="shared" si="142"/>
        <v>BANK CHARGES</v>
      </c>
      <c r="O418" s="218" t="str">
        <f t="shared" si="146"/>
        <v>DRCBUK</v>
      </c>
      <c r="P418" s="218" t="str">
        <f t="shared" si="138"/>
        <v>AP21QR</v>
      </c>
      <c r="Q418" s="218" t="str">
        <f>""</f>
        <v/>
      </c>
      <c r="R418" s="218" t="str">
        <f>""</f>
        <v/>
      </c>
      <c r="S418" s="218" t="str">
        <f t="shared" si="143"/>
        <v>075</v>
      </c>
      <c r="T418" s="218" t="str">
        <f t="shared" si="148"/>
        <v>D</v>
      </c>
      <c r="U418" s="218" t="str">
        <f t="shared" si="140"/>
        <v>AFR000</v>
      </c>
      <c r="V418" s="218" t="str">
        <f t="shared" si="131"/>
        <v>###</v>
      </c>
      <c r="W418" s="218">
        <v>20.88</v>
      </c>
      <c r="X418" s="218" t="str">
        <f t="shared" si="147"/>
        <v>USD</v>
      </c>
      <c r="Y418" s="218">
        <v>15.74</v>
      </c>
      <c r="Z418" s="218">
        <v>20.88</v>
      </c>
      <c r="AA418" s="218">
        <v>18.47</v>
      </c>
    </row>
    <row r="419" spans="1:27">
      <c r="A419" s="218" t="s">
        <v>2592</v>
      </c>
      <c r="F419" s="219" t="str">
        <f>"""IntAlert Live"",""ALERT UK"",""17"",""1"",""517218"""</f>
        <v>"IntAlert Live","ALERT UK","17","1","517218"</v>
      </c>
      <c r="G419" s="223">
        <v>43861</v>
      </c>
      <c r="H419" s="223"/>
      <c r="I419" s="218" t="str">
        <f t="shared" si="144"/>
        <v>DRCBUK/BANK/2020/01/024</v>
      </c>
      <c r="K419" s="218" t="str">
        <f t="shared" si="145"/>
        <v>BCDC BUKAVU</v>
      </c>
      <c r="L419" s="218" t="str">
        <f>"Frs transfer du siège 15%"</f>
        <v>Frs transfer du siège 15%</v>
      </c>
      <c r="M419" s="218" t="str">
        <f t="shared" si="141"/>
        <v>9770</v>
      </c>
      <c r="N419" s="218" t="str">
        <f t="shared" si="142"/>
        <v>BANK CHARGES</v>
      </c>
      <c r="O419" s="218" t="str">
        <f t="shared" si="146"/>
        <v>DRCBUK</v>
      </c>
      <c r="P419" s="218" t="str">
        <f t="shared" si="138"/>
        <v>AP21QR</v>
      </c>
      <c r="Q419" s="218" t="str">
        <f>""</f>
        <v/>
      </c>
      <c r="R419" s="218" t="str">
        <f>""</f>
        <v/>
      </c>
      <c r="S419" s="218" t="str">
        <f t="shared" si="143"/>
        <v>075</v>
      </c>
      <c r="T419" s="218" t="str">
        <f t="shared" si="148"/>
        <v>D</v>
      </c>
      <c r="U419" s="218" t="str">
        <f t="shared" si="140"/>
        <v>AFR000</v>
      </c>
      <c r="V419" s="218" t="str">
        <f t="shared" si="131"/>
        <v>###</v>
      </c>
      <c r="W419" s="218">
        <v>62.48</v>
      </c>
      <c r="X419" s="218" t="str">
        <f t="shared" si="147"/>
        <v>USD</v>
      </c>
      <c r="Y419" s="218">
        <v>47.09</v>
      </c>
      <c r="Z419" s="218">
        <v>62.48</v>
      </c>
      <c r="AA419" s="218">
        <v>55.26</v>
      </c>
    </row>
    <row r="420" spans="1:27">
      <c r="A420" s="218" t="s">
        <v>2592</v>
      </c>
      <c r="F420" s="219" t="str">
        <f>"""IntAlert Live"",""ALERT UK"",""17"",""1"",""517225"""</f>
        <v>"IntAlert Live","ALERT UK","17","1","517225"</v>
      </c>
      <c r="G420" s="223">
        <v>43861</v>
      </c>
      <c r="H420" s="223"/>
      <c r="I420" s="218" t="str">
        <f t="shared" si="144"/>
        <v>DRCBUK/BANK/2020/01/024</v>
      </c>
      <c r="K420" s="218" t="str">
        <f t="shared" si="145"/>
        <v>BCDC BUKAVU</v>
      </c>
      <c r="L420" s="218" t="str">
        <f>"Frs transfert OV60029243 Soins médicaux 15%"</f>
        <v>Frs transfert OV60029243 Soins médicaux 15%</v>
      </c>
      <c r="M420" s="218" t="str">
        <f t="shared" si="141"/>
        <v>9770</v>
      </c>
      <c r="N420" s="218" t="str">
        <f t="shared" si="142"/>
        <v>BANK CHARGES</v>
      </c>
      <c r="O420" s="218" t="str">
        <f t="shared" si="146"/>
        <v>DRCBUK</v>
      </c>
      <c r="P420" s="218" t="str">
        <f t="shared" si="138"/>
        <v>AP21QR</v>
      </c>
      <c r="Q420" s="218" t="str">
        <f>""</f>
        <v/>
      </c>
      <c r="R420" s="218" t="str">
        <f>""</f>
        <v/>
      </c>
      <c r="S420" s="218" t="str">
        <f t="shared" si="143"/>
        <v>075</v>
      </c>
      <c r="T420" s="218" t="str">
        <f t="shared" si="148"/>
        <v>D</v>
      </c>
      <c r="U420" s="218" t="str">
        <f t="shared" si="140"/>
        <v>AFR000</v>
      </c>
      <c r="V420" s="218" t="str">
        <f t="shared" si="131"/>
        <v>###</v>
      </c>
      <c r="W420" s="218">
        <v>6.96</v>
      </c>
      <c r="X420" s="218" t="str">
        <f t="shared" si="147"/>
        <v>USD</v>
      </c>
      <c r="Y420" s="218">
        <v>5.25</v>
      </c>
      <c r="Z420" s="218">
        <v>6.96</v>
      </c>
      <c r="AA420" s="218">
        <v>6.16</v>
      </c>
    </row>
    <row r="421" spans="1:27">
      <c r="A421" s="218" t="s">
        <v>2592</v>
      </c>
      <c r="F421" s="219" t="str">
        <f>"""IntAlert Live"",""ALERT UK"",""17"",""1"",""517230"""</f>
        <v>"IntAlert Live","ALERT UK","17","1","517230"</v>
      </c>
      <c r="G421" s="223">
        <v>43861</v>
      </c>
      <c r="H421" s="223"/>
      <c r="I421" s="218" t="str">
        <f t="shared" si="144"/>
        <v>DRCBUK/BANK/2020/01/024</v>
      </c>
      <c r="K421" s="218" t="str">
        <f t="shared" si="145"/>
        <v>BCDC BUKAVU</v>
      </c>
      <c r="L421" s="218" t="str">
        <f>"Coût d'achat LIC. DEC0773088-4A9"</f>
        <v>Coût d'achat LIC. DEC0773088-4A9</v>
      </c>
      <c r="M421" s="218" t="str">
        <f t="shared" si="141"/>
        <v>9770</v>
      </c>
      <c r="N421" s="218" t="str">
        <f t="shared" si="142"/>
        <v>BANK CHARGES</v>
      </c>
      <c r="O421" s="218" t="str">
        <f t="shared" si="146"/>
        <v>DRCBUK</v>
      </c>
      <c r="P421" s="218" t="str">
        <f t="shared" si="138"/>
        <v>AP21QR</v>
      </c>
      <c r="Q421" s="218" t="str">
        <f>""</f>
        <v/>
      </c>
      <c r="R421" s="218" t="str">
        <f>""</f>
        <v/>
      </c>
      <c r="S421" s="218" t="str">
        <f t="shared" si="143"/>
        <v>075</v>
      </c>
      <c r="T421" s="218" t="str">
        <f t="shared" si="148"/>
        <v>D</v>
      </c>
      <c r="U421" s="218" t="str">
        <f t="shared" si="140"/>
        <v>AFR000</v>
      </c>
      <c r="V421" s="218" t="str">
        <f t="shared" si="131"/>
        <v>###</v>
      </c>
      <c r="W421" s="218">
        <v>17.989999999999998</v>
      </c>
      <c r="X421" s="218" t="str">
        <f t="shared" si="147"/>
        <v>USD</v>
      </c>
      <c r="Y421" s="218">
        <v>13.56</v>
      </c>
      <c r="Z421" s="218">
        <v>17.989999999999998</v>
      </c>
      <c r="AA421" s="218">
        <v>15.91</v>
      </c>
    </row>
    <row r="422" spans="1:27">
      <c r="A422" s="218" t="s">
        <v>2592</v>
      </c>
      <c r="F422" s="219" t="str">
        <f>"""IntAlert Live"",""ALERT UK"",""17"",""1"",""517234"""</f>
        <v>"IntAlert Live","ALERT UK","17","1","517234"</v>
      </c>
      <c r="G422" s="223">
        <v>43861</v>
      </c>
      <c r="H422" s="223"/>
      <c r="I422" s="218" t="str">
        <f t="shared" si="144"/>
        <v>DRCBUK/BANK/2020/01/024</v>
      </c>
      <c r="K422" s="218" t="str">
        <f t="shared" si="145"/>
        <v>BCDC BUKAVU</v>
      </c>
      <c r="L422" s="218" t="str">
        <f>"Frs transfert OV60029246 CNSS 15%"</f>
        <v>Frs transfert OV60029246 CNSS 15%</v>
      </c>
      <c r="M422" s="218" t="str">
        <f t="shared" si="141"/>
        <v>9770</v>
      </c>
      <c r="N422" s="218" t="str">
        <f t="shared" si="142"/>
        <v>BANK CHARGES</v>
      </c>
      <c r="O422" s="218" t="str">
        <f t="shared" si="146"/>
        <v>DRCBUK</v>
      </c>
      <c r="P422" s="218" t="str">
        <f t="shared" si="138"/>
        <v>AP21QR</v>
      </c>
      <c r="Q422" s="218" t="str">
        <f>""</f>
        <v/>
      </c>
      <c r="R422" s="218" t="str">
        <f>""</f>
        <v/>
      </c>
      <c r="S422" s="218" t="str">
        <f t="shared" si="143"/>
        <v>075</v>
      </c>
      <c r="T422" s="218" t="str">
        <f t="shared" si="148"/>
        <v>D</v>
      </c>
      <c r="U422" s="218" t="str">
        <f t="shared" si="140"/>
        <v>AFR000</v>
      </c>
      <c r="V422" s="218" t="str">
        <f t="shared" si="131"/>
        <v>###</v>
      </c>
      <c r="W422" s="218">
        <v>6.96</v>
      </c>
      <c r="X422" s="218" t="str">
        <f t="shared" si="147"/>
        <v>USD</v>
      </c>
      <c r="Y422" s="218">
        <v>5.25</v>
      </c>
      <c r="Z422" s="218">
        <v>6.96</v>
      </c>
      <c r="AA422" s="218">
        <v>6.16</v>
      </c>
    </row>
    <row r="423" spans="1:27">
      <c r="A423" s="218" t="s">
        <v>2592</v>
      </c>
      <c r="F423" s="219" t="str">
        <f>"""IntAlert Live"",""ALERT UK"",""17"",""1"",""517239"""</f>
        <v>"IntAlert Live","ALERT UK","17","1","517239"</v>
      </c>
      <c r="G423" s="223">
        <v>43861</v>
      </c>
      <c r="H423" s="223"/>
      <c r="I423" s="218" t="str">
        <f t="shared" si="144"/>
        <v>DRCBUK/BANK/2020/01/024</v>
      </c>
      <c r="K423" s="218" t="str">
        <f t="shared" si="145"/>
        <v>BCDC BUKAVU</v>
      </c>
      <c r="L423" s="218" t="str">
        <f>"Frs transfert OV60029247 INPP 15%"</f>
        <v>Frs transfert OV60029247 INPP 15%</v>
      </c>
      <c r="M423" s="218" t="str">
        <f t="shared" si="141"/>
        <v>9770</v>
      </c>
      <c r="N423" s="218" t="str">
        <f t="shared" si="142"/>
        <v>BANK CHARGES</v>
      </c>
      <c r="O423" s="218" t="str">
        <f t="shared" si="146"/>
        <v>DRCBUK</v>
      </c>
      <c r="P423" s="218" t="str">
        <f t="shared" si="138"/>
        <v>AP21QR</v>
      </c>
      <c r="Q423" s="218" t="str">
        <f>""</f>
        <v/>
      </c>
      <c r="R423" s="218" t="str">
        <f>""</f>
        <v/>
      </c>
      <c r="S423" s="218" t="str">
        <f t="shared" si="143"/>
        <v>075</v>
      </c>
      <c r="T423" s="218" t="str">
        <f t="shared" si="148"/>
        <v>D</v>
      </c>
      <c r="U423" s="218" t="str">
        <f t="shared" si="140"/>
        <v>AFR000</v>
      </c>
      <c r="V423" s="218" t="str">
        <f t="shared" si="131"/>
        <v>###</v>
      </c>
      <c r="W423" s="218">
        <v>6.96</v>
      </c>
      <c r="X423" s="218" t="str">
        <f t="shared" si="147"/>
        <v>USD</v>
      </c>
      <c r="Y423" s="218">
        <v>5.25</v>
      </c>
      <c r="Z423" s="218">
        <v>6.96</v>
      </c>
      <c r="AA423" s="218">
        <v>6.16</v>
      </c>
    </row>
    <row r="424" spans="1:27">
      <c r="A424" s="218" t="s">
        <v>2592</v>
      </c>
      <c r="F424" s="219" t="str">
        <f>"""IntAlert Live"",""ALERT UK"",""17"",""1"",""517244"""</f>
        <v>"IntAlert Live","ALERT UK","17","1","517244"</v>
      </c>
      <c r="G424" s="223">
        <v>43861</v>
      </c>
      <c r="H424" s="223"/>
      <c r="I424" s="218" t="str">
        <f t="shared" si="144"/>
        <v>DRCBUK/BANK/2020/01/024</v>
      </c>
      <c r="K424" s="218" t="str">
        <f t="shared" si="145"/>
        <v>BCDC BUKAVU</v>
      </c>
      <c r="L424" s="218" t="str">
        <f>"Frs transfert OV60029244 TVA/CION 15%"</f>
        <v>Frs transfert OV60029244 TVA/CION 15%</v>
      </c>
      <c r="M424" s="218" t="str">
        <f t="shared" si="141"/>
        <v>9770</v>
      </c>
      <c r="N424" s="218" t="str">
        <f t="shared" si="142"/>
        <v>BANK CHARGES</v>
      </c>
      <c r="O424" s="218" t="str">
        <f t="shared" si="146"/>
        <v>DRCBUK</v>
      </c>
      <c r="P424" s="218" t="str">
        <f t="shared" si="138"/>
        <v>AP21QR</v>
      </c>
      <c r="Q424" s="218" t="str">
        <f>""</f>
        <v/>
      </c>
      <c r="R424" s="218" t="str">
        <f>""</f>
        <v/>
      </c>
      <c r="S424" s="218" t="str">
        <f t="shared" si="143"/>
        <v>075</v>
      </c>
      <c r="T424" s="218" t="str">
        <f t="shared" si="148"/>
        <v>D</v>
      </c>
      <c r="U424" s="218" t="str">
        <f t="shared" si="140"/>
        <v>AFR000</v>
      </c>
      <c r="V424" s="218" t="str">
        <f t="shared" si="131"/>
        <v>###</v>
      </c>
      <c r="W424" s="218">
        <v>7.09</v>
      </c>
      <c r="X424" s="218" t="str">
        <f t="shared" si="147"/>
        <v>USD</v>
      </c>
      <c r="Y424" s="218">
        <v>5.34</v>
      </c>
      <c r="Z424" s="218">
        <v>7.09</v>
      </c>
      <c r="AA424" s="218">
        <v>6.27</v>
      </c>
    </row>
    <row r="425" spans="1:27">
      <c r="A425" s="218" t="s">
        <v>2592</v>
      </c>
      <c r="F425" s="219" t="str">
        <f>"""IntAlert Live"",""ALERT UK"",""17"",""1"",""517249"""</f>
        <v>"IntAlert Live","ALERT UK","17","1","517249"</v>
      </c>
      <c r="G425" s="223">
        <v>43861</v>
      </c>
      <c r="H425" s="223"/>
      <c r="I425" s="218" t="str">
        <f t="shared" si="144"/>
        <v>DRCBUK/BANK/2020/01/024</v>
      </c>
      <c r="K425" s="218" t="str">
        <f t="shared" si="145"/>
        <v>BCDC BUKAVU</v>
      </c>
      <c r="L425" s="218" t="str">
        <f>"Frs transfert OV60029244 CION OV SAL 15%"</f>
        <v>Frs transfert OV60029244 CION OV SAL 15%</v>
      </c>
      <c r="M425" s="218" t="str">
        <f t="shared" si="141"/>
        <v>9770</v>
      </c>
      <c r="N425" s="218" t="str">
        <f t="shared" si="142"/>
        <v>BANK CHARGES</v>
      </c>
      <c r="O425" s="218" t="str">
        <f t="shared" si="146"/>
        <v>DRCBUK</v>
      </c>
      <c r="P425" s="218" t="str">
        <f t="shared" si="138"/>
        <v>AP21QR</v>
      </c>
      <c r="Q425" s="218" t="str">
        <f>""</f>
        <v/>
      </c>
      <c r="R425" s="218" t="str">
        <f>""</f>
        <v/>
      </c>
      <c r="S425" s="218" t="str">
        <f t="shared" si="143"/>
        <v>075</v>
      </c>
      <c r="T425" s="218" t="str">
        <f t="shared" si="148"/>
        <v>D</v>
      </c>
      <c r="U425" s="218" t="str">
        <f t="shared" si="140"/>
        <v>AFR000</v>
      </c>
      <c r="V425" s="218" t="str">
        <f t="shared" si="131"/>
        <v>###</v>
      </c>
      <c r="W425" s="218">
        <v>44.3</v>
      </c>
      <c r="X425" s="218" t="str">
        <f t="shared" si="147"/>
        <v>USD</v>
      </c>
      <c r="Y425" s="218">
        <v>33.39</v>
      </c>
      <c r="Z425" s="218">
        <v>44.3</v>
      </c>
      <c r="AA425" s="218">
        <v>39.19</v>
      </c>
    </row>
    <row r="426" spans="1:27">
      <c r="A426" s="218" t="s">
        <v>2592</v>
      </c>
      <c r="F426" s="219" t="str">
        <f>"""IntAlert Live"",""ALERT UK"",""17"",""1"",""532535"""</f>
        <v>"IntAlert Live","ALERT UK","17","1","532535"</v>
      </c>
      <c r="G426" s="223">
        <v>43888</v>
      </c>
      <c r="H426" s="223"/>
      <c r="I426" s="218" t="str">
        <f>"DRCBUK/BANK/2020/02/032"</f>
        <v>DRCBUK/BANK/2020/02/032</v>
      </c>
      <c r="K426" s="218" t="str">
        <f>"DGI/DPI SUD KIVU"</f>
        <v>DGI/DPI SUD KIVU</v>
      </c>
      <c r="L426" s="218" t="str">
        <f>"Frs bancaire IPR staff Fev 020"</f>
        <v>Frs bancaire IPR staff Fev 020</v>
      </c>
      <c r="M426" s="218" t="str">
        <f t="shared" si="141"/>
        <v>9770</v>
      </c>
      <c r="N426" s="218" t="str">
        <f t="shared" si="142"/>
        <v>BANK CHARGES</v>
      </c>
      <c r="O426" s="218" t="str">
        <f t="shared" si="146"/>
        <v>DRCBUK</v>
      </c>
      <c r="P426" s="218" t="str">
        <f t="shared" si="138"/>
        <v>AP21QR</v>
      </c>
      <c r="Q426" s="218" t="str">
        <f>""</f>
        <v/>
      </c>
      <c r="R426" s="218" t="str">
        <f>""</f>
        <v/>
      </c>
      <c r="S426" s="218" t="str">
        <f t="shared" si="143"/>
        <v>075</v>
      </c>
      <c r="T426" s="218" t="str">
        <f t="shared" si="148"/>
        <v>D</v>
      </c>
      <c r="U426" s="218" t="str">
        <f t="shared" si="140"/>
        <v>AFR000</v>
      </c>
      <c r="V426" s="218" t="str">
        <f t="shared" si="131"/>
        <v>###</v>
      </c>
      <c r="W426" s="218">
        <v>8.52</v>
      </c>
      <c r="X426" s="218" t="str">
        <f t="shared" si="147"/>
        <v>USD</v>
      </c>
      <c r="Y426" s="218">
        <v>6.46</v>
      </c>
      <c r="Z426" s="218">
        <v>8.52</v>
      </c>
      <c r="AA426" s="218">
        <v>7.67</v>
      </c>
    </row>
    <row r="427" spans="1:27">
      <c r="A427" s="218" t="s">
        <v>2592</v>
      </c>
      <c r="F427" s="219" t="str">
        <f>"""IntAlert Live"",""ALERT UK"",""17"",""1"",""536729"""</f>
        <v>"IntAlert Live","ALERT UK","17","1","536729"</v>
      </c>
      <c r="G427" s="223">
        <v>43889</v>
      </c>
      <c r="H427" s="223"/>
      <c r="I427" s="218" t="str">
        <f>""</f>
        <v/>
      </c>
      <c r="K427" s="218" t="str">
        <f>"GBP BANK CHARGE FEB 20"</f>
        <v>GBP BANK CHARGE FEB 20</v>
      </c>
      <c r="L427" s="218" t="str">
        <f>"JEANBOSCO SIBORUREMA"</f>
        <v>JEANBOSCO SIBORUREMA</v>
      </c>
      <c r="M427" s="218" t="str">
        <f t="shared" si="141"/>
        <v>9770</v>
      </c>
      <c r="N427" s="218" t="str">
        <f t="shared" si="142"/>
        <v>BANK CHARGES</v>
      </c>
      <c r="O427" s="218" t="str">
        <f>"UNILON"</f>
        <v>UNILON</v>
      </c>
      <c r="P427" s="218" t="str">
        <f t="shared" si="138"/>
        <v>AP21QR</v>
      </c>
      <c r="Q427" s="218" t="str">
        <f>""</f>
        <v/>
      </c>
      <c r="R427" s="218" t="str">
        <f>""</f>
        <v/>
      </c>
      <c r="S427" s="218" t="str">
        <f t="shared" si="143"/>
        <v>075</v>
      </c>
      <c r="T427" s="218" t="str">
        <f t="shared" si="148"/>
        <v>D</v>
      </c>
      <c r="U427" s="218" t="str">
        <f t="shared" si="140"/>
        <v>AFR000</v>
      </c>
      <c r="V427" s="218" t="str">
        <f t="shared" si="131"/>
        <v>###</v>
      </c>
      <c r="W427" s="218">
        <v>0</v>
      </c>
      <c r="X427" s="218" t="str">
        <f>""</f>
        <v/>
      </c>
      <c r="Y427" s="218">
        <v>20.5</v>
      </c>
      <c r="Z427" s="218">
        <v>27.05</v>
      </c>
      <c r="AA427" s="218">
        <v>24.35</v>
      </c>
    </row>
    <row r="428" spans="1:27">
      <c r="A428" s="218" t="s">
        <v>2592</v>
      </c>
      <c r="F428" s="219" t="str">
        <f>"""IntAlert Live"",""ALERT UK"",""17"",""1"",""532693"""</f>
        <v>"IntAlert Live","ALERT UK","17","1","532693"</v>
      </c>
      <c r="G428" s="223">
        <v>43890</v>
      </c>
      <c r="H428" s="223"/>
      <c r="I428" s="218" t="str">
        <f t="shared" ref="I428:I454" si="149">"DRCBUK/BANK/2020/02/069"</f>
        <v>DRCBUK/BANK/2020/02/069</v>
      </c>
      <c r="K428" s="218" t="str">
        <f t="shared" ref="K428:K453" si="150">"BCDC"</f>
        <v>BCDC</v>
      </c>
      <c r="L428" s="218" t="str">
        <f>"Frs de gestion de compte 70%"</f>
        <v>Frs de gestion de compte 70%</v>
      </c>
      <c r="M428" s="218" t="str">
        <f t="shared" si="141"/>
        <v>9770</v>
      </c>
      <c r="N428" s="218" t="str">
        <f t="shared" si="142"/>
        <v>BANK CHARGES</v>
      </c>
      <c r="O428" s="218" t="str">
        <f t="shared" ref="O428:O459" si="151">"DRCBUK"</f>
        <v>DRCBUK</v>
      </c>
      <c r="P428" s="218" t="str">
        <f t="shared" si="138"/>
        <v>AP21QR</v>
      </c>
      <c r="Q428" s="218" t="str">
        <f>""</f>
        <v/>
      </c>
      <c r="R428" s="218" t="str">
        <f>""</f>
        <v/>
      </c>
      <c r="S428" s="218" t="str">
        <f t="shared" si="143"/>
        <v>075</v>
      </c>
      <c r="T428" s="218" t="str">
        <f t="shared" si="148"/>
        <v>D</v>
      </c>
      <c r="U428" s="218" t="str">
        <f t="shared" si="140"/>
        <v>AFR000</v>
      </c>
      <c r="V428" s="218" t="str">
        <f t="shared" si="131"/>
        <v>###</v>
      </c>
      <c r="W428" s="218">
        <v>7.31</v>
      </c>
      <c r="X428" s="218" t="str">
        <f t="shared" ref="X428:X459" si="152">"USD"</f>
        <v>USD</v>
      </c>
      <c r="Y428" s="218">
        <v>5.54</v>
      </c>
      <c r="Z428" s="218">
        <v>7.31</v>
      </c>
      <c r="AA428" s="218">
        <v>6.58</v>
      </c>
    </row>
    <row r="429" spans="1:27">
      <c r="A429" s="218" t="s">
        <v>2592</v>
      </c>
      <c r="F429" s="219" t="str">
        <f>"""IntAlert Live"",""ALERT UK"",""17"",""1"",""532695"""</f>
        <v>"IntAlert Live","ALERT UK","17","1","532695"</v>
      </c>
      <c r="G429" s="223">
        <v>43890</v>
      </c>
      <c r="H429" s="223"/>
      <c r="I429" s="218" t="str">
        <f t="shared" si="149"/>
        <v>DRCBUK/BANK/2020/02/069</v>
      </c>
      <c r="K429" s="218" t="str">
        <f t="shared" si="150"/>
        <v>BCDC</v>
      </c>
      <c r="L429" s="218" t="str">
        <f>"Frs mensuel compte staff Marina 100%"</f>
        <v>Frs mensuel compte staff Marina 100%</v>
      </c>
      <c r="M429" s="218" t="str">
        <f t="shared" si="141"/>
        <v>9770</v>
      </c>
      <c r="N429" s="218" t="str">
        <f t="shared" si="142"/>
        <v>BANK CHARGES</v>
      </c>
      <c r="O429" s="218" t="str">
        <f t="shared" si="151"/>
        <v>DRCBUK</v>
      </c>
      <c r="P429" s="218" t="str">
        <f t="shared" si="138"/>
        <v>AP21QR</v>
      </c>
      <c r="Q429" s="218" t="str">
        <f>""</f>
        <v/>
      </c>
      <c r="R429" s="218" t="str">
        <f>""</f>
        <v/>
      </c>
      <c r="S429" s="218" t="str">
        <f t="shared" si="143"/>
        <v>075</v>
      </c>
      <c r="T429" s="218" t="str">
        <f t="shared" si="148"/>
        <v>D</v>
      </c>
      <c r="U429" s="218" t="str">
        <f t="shared" si="140"/>
        <v>AFR000</v>
      </c>
      <c r="V429" s="218" t="str">
        <f t="shared" si="131"/>
        <v>###</v>
      </c>
      <c r="W429" s="218">
        <v>5.8</v>
      </c>
      <c r="X429" s="218" t="str">
        <f t="shared" si="152"/>
        <v>USD</v>
      </c>
      <c r="Y429" s="218">
        <v>4.4000000000000004</v>
      </c>
      <c r="Z429" s="218">
        <v>5.8</v>
      </c>
      <c r="AA429" s="218">
        <v>5.23</v>
      </c>
    </row>
    <row r="430" spans="1:27">
      <c r="A430" s="218" t="s">
        <v>2592</v>
      </c>
      <c r="F430" s="219" t="str">
        <f>"""IntAlert Live"",""ALERT UK"",""17"",""1"",""532696"""</f>
        <v>"IntAlert Live","ALERT UK","17","1","532696"</v>
      </c>
      <c r="G430" s="223">
        <v>43890</v>
      </c>
      <c r="H430" s="223"/>
      <c r="I430" s="218" t="str">
        <f t="shared" si="149"/>
        <v>DRCBUK/BANK/2020/02/069</v>
      </c>
      <c r="K430" s="218" t="str">
        <f t="shared" si="150"/>
        <v>BCDC</v>
      </c>
      <c r="L430" s="218" t="str">
        <f>"Frs mensuel compte staff Pascal 100%"</f>
        <v>Frs mensuel compte staff Pascal 100%</v>
      </c>
      <c r="M430" s="218" t="str">
        <f t="shared" si="141"/>
        <v>9770</v>
      </c>
      <c r="N430" s="218" t="str">
        <f t="shared" si="142"/>
        <v>BANK CHARGES</v>
      </c>
      <c r="O430" s="218" t="str">
        <f t="shared" si="151"/>
        <v>DRCBUK</v>
      </c>
      <c r="P430" s="218" t="str">
        <f t="shared" si="138"/>
        <v>AP21QR</v>
      </c>
      <c r="Q430" s="218" t="str">
        <f>""</f>
        <v/>
      </c>
      <c r="R430" s="218" t="str">
        <f>""</f>
        <v/>
      </c>
      <c r="S430" s="218" t="str">
        <f t="shared" si="143"/>
        <v>075</v>
      </c>
      <c r="T430" s="218" t="str">
        <f t="shared" si="148"/>
        <v>D</v>
      </c>
      <c r="U430" s="218" t="str">
        <f t="shared" si="140"/>
        <v>AFR000</v>
      </c>
      <c r="V430" s="218" t="str">
        <f t="shared" si="131"/>
        <v>###</v>
      </c>
      <c r="W430" s="218">
        <v>5.8</v>
      </c>
      <c r="X430" s="218" t="str">
        <f t="shared" si="152"/>
        <v>USD</v>
      </c>
      <c r="Y430" s="218">
        <v>4.4000000000000004</v>
      </c>
      <c r="Z430" s="218">
        <v>5.8</v>
      </c>
      <c r="AA430" s="218">
        <v>5.23</v>
      </c>
    </row>
    <row r="431" spans="1:27">
      <c r="A431" s="218" t="s">
        <v>2592</v>
      </c>
      <c r="F431" s="219" t="str">
        <f>"""IntAlert Live"",""ALERT UK"",""17"",""1"",""532697"""</f>
        <v>"IntAlert Live","ALERT UK","17","1","532697"</v>
      </c>
      <c r="G431" s="223">
        <v>43890</v>
      </c>
      <c r="H431" s="223"/>
      <c r="I431" s="218" t="str">
        <f t="shared" si="149"/>
        <v>DRCBUK/BANK/2020/02/069</v>
      </c>
      <c r="K431" s="218" t="str">
        <f t="shared" si="150"/>
        <v>BCDC</v>
      </c>
      <c r="L431" s="218" t="str">
        <f>"Frs mensuel compte staff Joseph 100%"</f>
        <v>Frs mensuel compte staff Joseph 100%</v>
      </c>
      <c r="M431" s="218" t="str">
        <f t="shared" si="141"/>
        <v>9770</v>
      </c>
      <c r="N431" s="218" t="str">
        <f t="shared" si="142"/>
        <v>BANK CHARGES</v>
      </c>
      <c r="O431" s="218" t="str">
        <f t="shared" si="151"/>
        <v>DRCBUK</v>
      </c>
      <c r="P431" s="218" t="str">
        <f t="shared" si="138"/>
        <v>AP21QR</v>
      </c>
      <c r="Q431" s="218" t="str">
        <f>""</f>
        <v/>
      </c>
      <c r="R431" s="218" t="str">
        <f>""</f>
        <v/>
      </c>
      <c r="S431" s="218" t="str">
        <f t="shared" si="143"/>
        <v>075</v>
      </c>
      <c r="T431" s="218" t="str">
        <f t="shared" si="148"/>
        <v>D</v>
      </c>
      <c r="U431" s="218" t="str">
        <f t="shared" si="140"/>
        <v>AFR000</v>
      </c>
      <c r="V431" s="218" t="str">
        <f t="shared" si="131"/>
        <v>###</v>
      </c>
      <c r="W431" s="218">
        <v>5.8</v>
      </c>
      <c r="X431" s="218" t="str">
        <f t="shared" si="152"/>
        <v>USD</v>
      </c>
      <c r="Y431" s="218">
        <v>4.4000000000000004</v>
      </c>
      <c r="Z431" s="218">
        <v>5.8</v>
      </c>
      <c r="AA431" s="218">
        <v>5.23</v>
      </c>
    </row>
    <row r="432" spans="1:27">
      <c r="A432" s="218" t="s">
        <v>2592</v>
      </c>
      <c r="F432" s="219" t="str">
        <f>"""IntAlert Live"",""ALERT UK"",""17"",""1"",""532698"""</f>
        <v>"IntAlert Live","ALERT UK","17","1","532698"</v>
      </c>
      <c r="G432" s="223">
        <v>43890</v>
      </c>
      <c r="H432" s="223"/>
      <c r="I432" s="218" t="str">
        <f t="shared" si="149"/>
        <v>DRCBUK/BANK/2020/02/069</v>
      </c>
      <c r="K432" s="218" t="str">
        <f t="shared" si="150"/>
        <v>BCDC</v>
      </c>
      <c r="L432" s="218" t="str">
        <f>"Frs mensuel compte staff Georgine 100%"</f>
        <v>Frs mensuel compte staff Georgine 100%</v>
      </c>
      <c r="M432" s="218" t="str">
        <f t="shared" si="141"/>
        <v>9770</v>
      </c>
      <c r="N432" s="218" t="str">
        <f t="shared" si="142"/>
        <v>BANK CHARGES</v>
      </c>
      <c r="O432" s="218" t="str">
        <f t="shared" si="151"/>
        <v>DRCBUK</v>
      </c>
      <c r="P432" s="218" t="str">
        <f t="shared" si="138"/>
        <v>AP21QR</v>
      </c>
      <c r="Q432" s="218" t="str">
        <f>""</f>
        <v/>
      </c>
      <c r="R432" s="218" t="str">
        <f>""</f>
        <v/>
      </c>
      <c r="S432" s="218" t="str">
        <f t="shared" si="143"/>
        <v>075</v>
      </c>
      <c r="T432" s="218" t="str">
        <f t="shared" si="148"/>
        <v>D</v>
      </c>
      <c r="U432" s="218" t="str">
        <f t="shared" si="140"/>
        <v>AFR000</v>
      </c>
      <c r="V432" s="218" t="str">
        <f t="shared" si="131"/>
        <v>###</v>
      </c>
      <c r="W432" s="218">
        <v>5.8</v>
      </c>
      <c r="X432" s="218" t="str">
        <f t="shared" si="152"/>
        <v>USD</v>
      </c>
      <c r="Y432" s="218">
        <v>4.4000000000000004</v>
      </c>
      <c r="Z432" s="218">
        <v>5.8</v>
      </c>
      <c r="AA432" s="218">
        <v>5.23</v>
      </c>
    </row>
    <row r="433" spans="1:27">
      <c r="A433" s="218" t="s">
        <v>2592</v>
      </c>
      <c r="F433" s="219" t="str">
        <f>"""IntAlert Live"",""ALERT UK"",""17"",""1"",""532699"""</f>
        <v>"IntAlert Live","ALERT UK","17","1","532699"</v>
      </c>
      <c r="G433" s="223">
        <v>43890</v>
      </c>
      <c r="H433" s="223"/>
      <c r="I433" s="218" t="str">
        <f t="shared" si="149"/>
        <v>DRCBUK/BANK/2020/02/069</v>
      </c>
      <c r="K433" s="218" t="str">
        <f t="shared" si="150"/>
        <v>BCDC</v>
      </c>
      <c r="L433" s="218" t="str">
        <f>"Frs mensuel compte staff Papson 100%"</f>
        <v>Frs mensuel compte staff Papson 100%</v>
      </c>
      <c r="M433" s="218" t="str">
        <f t="shared" si="141"/>
        <v>9770</v>
      </c>
      <c r="N433" s="218" t="str">
        <f t="shared" si="142"/>
        <v>BANK CHARGES</v>
      </c>
      <c r="O433" s="218" t="str">
        <f t="shared" si="151"/>
        <v>DRCBUK</v>
      </c>
      <c r="P433" s="218" t="str">
        <f t="shared" si="138"/>
        <v>AP21QR</v>
      </c>
      <c r="Q433" s="218" t="str">
        <f>""</f>
        <v/>
      </c>
      <c r="R433" s="218" t="str">
        <f>""</f>
        <v/>
      </c>
      <c r="S433" s="218" t="str">
        <f t="shared" si="143"/>
        <v>075</v>
      </c>
      <c r="T433" s="218" t="str">
        <f t="shared" si="148"/>
        <v>D</v>
      </c>
      <c r="U433" s="218" t="str">
        <f t="shared" si="140"/>
        <v>AFR000</v>
      </c>
      <c r="V433" s="218" t="str">
        <f t="shared" si="131"/>
        <v>###</v>
      </c>
      <c r="W433" s="218">
        <v>5.8</v>
      </c>
      <c r="X433" s="218" t="str">
        <f t="shared" si="152"/>
        <v>USD</v>
      </c>
      <c r="Y433" s="218">
        <v>4.4000000000000004</v>
      </c>
      <c r="Z433" s="218">
        <v>5.8</v>
      </c>
      <c r="AA433" s="218">
        <v>5.23</v>
      </c>
    </row>
    <row r="434" spans="1:27">
      <c r="A434" s="218" t="s">
        <v>2592</v>
      </c>
      <c r="F434" s="219" t="str">
        <f>"""IntAlert Live"",""ALERT UK"",""17"",""1"",""532700"""</f>
        <v>"IntAlert Live","ALERT UK","17","1","532700"</v>
      </c>
      <c r="G434" s="223">
        <v>43890</v>
      </c>
      <c r="H434" s="223"/>
      <c r="I434" s="218" t="str">
        <f t="shared" si="149"/>
        <v>DRCBUK/BANK/2020/02/069</v>
      </c>
      <c r="K434" s="218" t="str">
        <f t="shared" si="150"/>
        <v>BCDC</v>
      </c>
      <c r="L434" s="218" t="str">
        <f>"Frs mensuel compte staff Verre 100%"</f>
        <v>Frs mensuel compte staff Verre 100%</v>
      </c>
      <c r="M434" s="218" t="str">
        <f t="shared" si="141"/>
        <v>9770</v>
      </c>
      <c r="N434" s="218" t="str">
        <f t="shared" si="142"/>
        <v>BANK CHARGES</v>
      </c>
      <c r="O434" s="218" t="str">
        <f t="shared" si="151"/>
        <v>DRCBUK</v>
      </c>
      <c r="P434" s="218" t="str">
        <f t="shared" si="138"/>
        <v>AP21QR</v>
      </c>
      <c r="Q434" s="218" t="str">
        <f>""</f>
        <v/>
      </c>
      <c r="R434" s="218" t="str">
        <f>""</f>
        <v/>
      </c>
      <c r="S434" s="218" t="str">
        <f t="shared" si="143"/>
        <v>075</v>
      </c>
      <c r="T434" s="218" t="str">
        <f t="shared" si="148"/>
        <v>D</v>
      </c>
      <c r="U434" s="218" t="str">
        <f t="shared" si="140"/>
        <v>AFR000</v>
      </c>
      <c r="V434" s="218" t="str">
        <f t="shared" si="131"/>
        <v>###</v>
      </c>
      <c r="W434" s="218">
        <v>5.8</v>
      </c>
      <c r="X434" s="218" t="str">
        <f t="shared" si="152"/>
        <v>USD</v>
      </c>
      <c r="Y434" s="218">
        <v>4.4000000000000004</v>
      </c>
      <c r="Z434" s="218">
        <v>5.8</v>
      </c>
      <c r="AA434" s="218">
        <v>5.23</v>
      </c>
    </row>
    <row r="435" spans="1:27">
      <c r="A435" s="218" t="s">
        <v>2592</v>
      </c>
      <c r="F435" s="219" t="str">
        <f>"""IntAlert Live"",""ALERT UK"",""17"",""1"",""532711"""</f>
        <v>"IntAlert Live","ALERT UK","17","1","532711"</v>
      </c>
      <c r="G435" s="223">
        <v>43890</v>
      </c>
      <c r="H435" s="223"/>
      <c r="I435" s="218" t="str">
        <f t="shared" si="149"/>
        <v>DRCBUK/BANK/2020/02/069</v>
      </c>
      <c r="K435" s="218" t="str">
        <f t="shared" si="150"/>
        <v>BCDC</v>
      </c>
      <c r="L435" s="218" t="str">
        <f>"Frs mensuel compte staff Nathalie 100%"</f>
        <v>Frs mensuel compte staff Nathalie 100%</v>
      </c>
      <c r="M435" s="218" t="str">
        <f t="shared" si="141"/>
        <v>9770</v>
      </c>
      <c r="N435" s="218" t="str">
        <f t="shared" si="142"/>
        <v>BANK CHARGES</v>
      </c>
      <c r="O435" s="218" t="str">
        <f t="shared" si="151"/>
        <v>DRCBUK</v>
      </c>
      <c r="P435" s="218" t="str">
        <f t="shared" si="138"/>
        <v>AP21QR</v>
      </c>
      <c r="Q435" s="218" t="str">
        <f>""</f>
        <v/>
      </c>
      <c r="R435" s="218" t="str">
        <f>""</f>
        <v/>
      </c>
      <c r="S435" s="218" t="str">
        <f t="shared" si="143"/>
        <v>075</v>
      </c>
      <c r="T435" s="218" t="str">
        <f t="shared" si="148"/>
        <v>D</v>
      </c>
      <c r="U435" s="218" t="str">
        <f t="shared" si="140"/>
        <v>AFR000</v>
      </c>
      <c r="V435" s="218" t="str">
        <f t="shared" si="131"/>
        <v>###</v>
      </c>
      <c r="W435" s="218">
        <v>5.8</v>
      </c>
      <c r="X435" s="218" t="str">
        <f t="shared" si="152"/>
        <v>USD</v>
      </c>
      <c r="Y435" s="218">
        <v>4.4000000000000004</v>
      </c>
      <c r="Z435" s="218">
        <v>5.8</v>
      </c>
      <c r="AA435" s="218">
        <v>5.23</v>
      </c>
    </row>
    <row r="436" spans="1:27">
      <c r="A436" s="218" t="s">
        <v>2592</v>
      </c>
      <c r="F436" s="219" t="str">
        <f>"""IntAlert Live"",""ALERT UK"",""17"",""1"",""532712"""</f>
        <v>"IntAlert Live","ALERT UK","17","1","532712"</v>
      </c>
      <c r="G436" s="223">
        <v>43890</v>
      </c>
      <c r="H436" s="223"/>
      <c r="I436" s="218" t="str">
        <f t="shared" si="149"/>
        <v>DRCBUK/BANK/2020/02/069</v>
      </c>
      <c r="K436" s="218" t="str">
        <f t="shared" si="150"/>
        <v>BCDC</v>
      </c>
      <c r="L436" s="218" t="str">
        <f>"Frs mensuel compte staff Cishibanji 100%"</f>
        <v>Frs mensuel compte staff Cishibanji 100%</v>
      </c>
      <c r="M436" s="218" t="str">
        <f t="shared" si="141"/>
        <v>9770</v>
      </c>
      <c r="N436" s="218" t="str">
        <f t="shared" si="142"/>
        <v>BANK CHARGES</v>
      </c>
      <c r="O436" s="218" t="str">
        <f t="shared" si="151"/>
        <v>DRCBUK</v>
      </c>
      <c r="P436" s="218" t="str">
        <f t="shared" si="138"/>
        <v>AP21QR</v>
      </c>
      <c r="Q436" s="218" t="str">
        <f>""</f>
        <v/>
      </c>
      <c r="R436" s="218" t="str">
        <f>""</f>
        <v/>
      </c>
      <c r="S436" s="218" t="str">
        <f t="shared" si="143"/>
        <v>075</v>
      </c>
      <c r="T436" s="218" t="str">
        <f t="shared" si="148"/>
        <v>D</v>
      </c>
      <c r="U436" s="218" t="str">
        <f t="shared" si="140"/>
        <v>AFR000</v>
      </c>
      <c r="V436" s="218" t="str">
        <f t="shared" si="131"/>
        <v>###</v>
      </c>
      <c r="W436" s="218">
        <v>5.8</v>
      </c>
      <c r="X436" s="218" t="str">
        <f t="shared" si="152"/>
        <v>USD</v>
      </c>
      <c r="Y436" s="218">
        <v>4.4000000000000004</v>
      </c>
      <c r="Z436" s="218">
        <v>5.8</v>
      </c>
      <c r="AA436" s="218">
        <v>5.23</v>
      </c>
    </row>
    <row r="437" spans="1:27">
      <c r="A437" s="218" t="s">
        <v>2592</v>
      </c>
      <c r="F437" s="219" t="str">
        <f>"""IntAlert Live"",""ALERT UK"",""17"",""1"",""532714"""</f>
        <v>"IntAlert Live","ALERT UK","17","1","532714"</v>
      </c>
      <c r="G437" s="223">
        <v>43890</v>
      </c>
      <c r="H437" s="223"/>
      <c r="I437" s="218" t="str">
        <f t="shared" si="149"/>
        <v>DRCBUK/BANK/2020/02/069</v>
      </c>
      <c r="K437" s="218" t="str">
        <f t="shared" si="150"/>
        <v>BCDC</v>
      </c>
      <c r="L437" s="218" t="str">
        <f>"Frs mensuel compte staff 100%"</f>
        <v>Frs mensuel compte staff 100%</v>
      </c>
      <c r="M437" s="218" t="str">
        <f t="shared" si="141"/>
        <v>9770</v>
      </c>
      <c r="N437" s="218" t="str">
        <f t="shared" si="142"/>
        <v>BANK CHARGES</v>
      </c>
      <c r="O437" s="218" t="str">
        <f t="shared" si="151"/>
        <v>DRCBUK</v>
      </c>
      <c r="P437" s="218" t="str">
        <f t="shared" si="138"/>
        <v>AP21QR</v>
      </c>
      <c r="Q437" s="218" t="str">
        <f>""</f>
        <v/>
      </c>
      <c r="R437" s="218" t="str">
        <f>""</f>
        <v/>
      </c>
      <c r="S437" s="218" t="str">
        <f t="shared" si="143"/>
        <v>075</v>
      </c>
      <c r="T437" s="218" t="str">
        <f t="shared" si="148"/>
        <v>D</v>
      </c>
      <c r="U437" s="218" t="str">
        <f t="shared" ref="U437:U468" si="153">"AFR000"</f>
        <v>AFR000</v>
      </c>
      <c r="V437" s="218" t="str">
        <f t="shared" si="131"/>
        <v>###</v>
      </c>
      <c r="W437" s="218">
        <v>5.8</v>
      </c>
      <c r="X437" s="218" t="str">
        <f t="shared" si="152"/>
        <v>USD</v>
      </c>
      <c r="Y437" s="218">
        <v>4.4000000000000004</v>
      </c>
      <c r="Z437" s="218">
        <v>5.8</v>
      </c>
      <c r="AA437" s="218">
        <v>5.23</v>
      </c>
    </row>
    <row r="438" spans="1:27">
      <c r="A438" s="218" t="s">
        <v>2592</v>
      </c>
      <c r="F438" s="219" t="str">
        <f>"""IntAlert Live"",""ALERT UK"",""17"",""1"",""532715"""</f>
        <v>"IntAlert Live","ALERT UK","17","1","532715"</v>
      </c>
      <c r="G438" s="223">
        <v>43890</v>
      </c>
      <c r="H438" s="223"/>
      <c r="I438" s="218" t="str">
        <f t="shared" si="149"/>
        <v>DRCBUK/BANK/2020/02/069</v>
      </c>
      <c r="K438" s="218" t="str">
        <f t="shared" si="150"/>
        <v>BCDC</v>
      </c>
      <c r="L438" s="218" t="str">
        <f>"Frs mensuel compte staff 100%"</f>
        <v>Frs mensuel compte staff 100%</v>
      </c>
      <c r="M438" s="218" t="str">
        <f t="shared" si="141"/>
        <v>9770</v>
      </c>
      <c r="N438" s="218" t="str">
        <f t="shared" si="142"/>
        <v>BANK CHARGES</v>
      </c>
      <c r="O438" s="218" t="str">
        <f t="shared" si="151"/>
        <v>DRCBUK</v>
      </c>
      <c r="P438" s="218" t="str">
        <f t="shared" si="138"/>
        <v>AP21QR</v>
      </c>
      <c r="Q438" s="218" t="str">
        <f>""</f>
        <v/>
      </c>
      <c r="R438" s="218" t="str">
        <f>""</f>
        <v/>
      </c>
      <c r="S438" s="218" t="str">
        <f t="shared" si="143"/>
        <v>075</v>
      </c>
      <c r="T438" s="218" t="str">
        <f t="shared" si="148"/>
        <v>D</v>
      </c>
      <c r="U438" s="218" t="str">
        <f t="shared" si="153"/>
        <v>AFR000</v>
      </c>
      <c r="V438" s="218" t="str">
        <f t="shared" si="131"/>
        <v>###</v>
      </c>
      <c r="W438" s="218">
        <v>5.8</v>
      </c>
      <c r="X438" s="218" t="str">
        <f t="shared" si="152"/>
        <v>USD</v>
      </c>
      <c r="Y438" s="218">
        <v>4.4000000000000004</v>
      </c>
      <c r="Z438" s="218">
        <v>5.8</v>
      </c>
      <c r="AA438" s="218">
        <v>5.23</v>
      </c>
    </row>
    <row r="439" spans="1:27">
      <c r="A439" s="218" t="s">
        <v>2592</v>
      </c>
      <c r="F439" s="219" t="str">
        <f>"""IntAlert Live"",""ALERT UK"",""17"",""1"",""532716"""</f>
        <v>"IntAlert Live","ALERT UK","17","1","532716"</v>
      </c>
      <c r="G439" s="223">
        <v>43890</v>
      </c>
      <c r="H439" s="223"/>
      <c r="I439" s="218" t="str">
        <f t="shared" si="149"/>
        <v>DRCBUK/BANK/2020/02/069</v>
      </c>
      <c r="K439" s="218" t="str">
        <f t="shared" si="150"/>
        <v>BCDC</v>
      </c>
      <c r="L439" s="218" t="str">
        <f>"Frs de retrait chèque 70%"</f>
        <v>Frs de retrait chèque 70%</v>
      </c>
      <c r="M439" s="218" t="str">
        <f t="shared" ref="M439:M470" si="154">"9770"</f>
        <v>9770</v>
      </c>
      <c r="N439" s="218" t="str">
        <f t="shared" ref="N439:N470" si="155">"BANK CHARGES"</f>
        <v>BANK CHARGES</v>
      </c>
      <c r="O439" s="218" t="str">
        <f t="shared" si="151"/>
        <v>DRCBUK</v>
      </c>
      <c r="P439" s="218" t="str">
        <f t="shared" si="138"/>
        <v>AP21QR</v>
      </c>
      <c r="Q439" s="218" t="str">
        <f>""</f>
        <v/>
      </c>
      <c r="R439" s="218" t="str">
        <f>""</f>
        <v/>
      </c>
      <c r="S439" s="218" t="str">
        <f t="shared" ref="S439:S470" si="156">"075"</f>
        <v>075</v>
      </c>
      <c r="T439" s="218" t="str">
        <f t="shared" si="148"/>
        <v>D</v>
      </c>
      <c r="U439" s="218" t="str">
        <f t="shared" si="153"/>
        <v>AFR000</v>
      </c>
      <c r="V439" s="218" t="str">
        <f t="shared" si="131"/>
        <v>###</v>
      </c>
      <c r="W439" s="218">
        <v>12.99</v>
      </c>
      <c r="X439" s="218" t="str">
        <f t="shared" si="152"/>
        <v>USD</v>
      </c>
      <c r="Y439" s="218">
        <v>9.85</v>
      </c>
      <c r="Z439" s="218">
        <v>12.99</v>
      </c>
      <c r="AA439" s="218">
        <v>11.7</v>
      </c>
    </row>
    <row r="440" spans="1:27">
      <c r="A440" s="218" t="s">
        <v>2592</v>
      </c>
      <c r="F440" s="219" t="str">
        <f>"""IntAlert Live"",""ALERT UK"",""17"",""1"",""532720"""</f>
        <v>"IntAlert Live","ALERT UK","17","1","532720"</v>
      </c>
      <c r="G440" s="223">
        <v>43890</v>
      </c>
      <c r="H440" s="223"/>
      <c r="I440" s="218" t="str">
        <f t="shared" si="149"/>
        <v>DRCBUK/BANK/2020/02/069</v>
      </c>
      <c r="K440" s="218" t="str">
        <f t="shared" si="150"/>
        <v>BCDC</v>
      </c>
      <c r="L440" s="218" t="str">
        <f>"Frs de retrait chèque 100%"</f>
        <v>Frs de retrait chèque 100%</v>
      </c>
      <c r="M440" s="218" t="str">
        <f t="shared" si="154"/>
        <v>9770</v>
      </c>
      <c r="N440" s="218" t="str">
        <f t="shared" si="155"/>
        <v>BANK CHARGES</v>
      </c>
      <c r="O440" s="218" t="str">
        <f t="shared" si="151"/>
        <v>DRCBUK</v>
      </c>
      <c r="P440" s="218" t="str">
        <f t="shared" si="138"/>
        <v>AP21QR</v>
      </c>
      <c r="Q440" s="218" t="str">
        <f>""</f>
        <v/>
      </c>
      <c r="R440" s="218" t="str">
        <f>""</f>
        <v/>
      </c>
      <c r="S440" s="218" t="str">
        <f t="shared" si="156"/>
        <v>075</v>
      </c>
      <c r="T440" s="218" t="str">
        <f t="shared" si="148"/>
        <v>D</v>
      </c>
      <c r="U440" s="218" t="str">
        <f t="shared" si="153"/>
        <v>AFR000</v>
      </c>
      <c r="V440" s="218" t="str">
        <f t="shared" si="131"/>
        <v>###</v>
      </c>
      <c r="W440" s="218">
        <v>22.43</v>
      </c>
      <c r="X440" s="218" t="str">
        <f t="shared" si="152"/>
        <v>USD</v>
      </c>
      <c r="Y440" s="218">
        <v>17</v>
      </c>
      <c r="Z440" s="218">
        <v>22.43</v>
      </c>
      <c r="AA440" s="218">
        <v>20.190000000000001</v>
      </c>
    </row>
    <row r="441" spans="1:27">
      <c r="A441" s="218" t="s">
        <v>2592</v>
      </c>
      <c r="F441" s="219" t="str">
        <f>"""IntAlert Live"",""ALERT UK"",""17"",""1"",""532722"""</f>
        <v>"IntAlert Live","ALERT UK","17","1","532722"</v>
      </c>
      <c r="G441" s="223">
        <v>43890</v>
      </c>
      <c r="H441" s="223"/>
      <c r="I441" s="218" t="str">
        <f t="shared" si="149"/>
        <v>DRCBUK/BANK/2020/02/069</v>
      </c>
      <c r="K441" s="218" t="str">
        <f t="shared" si="150"/>
        <v>BCDC</v>
      </c>
      <c r="L441" s="218" t="str">
        <f>"Frs de retrait chèque 70%"</f>
        <v>Frs de retrait chèque 70%</v>
      </c>
      <c r="M441" s="218" t="str">
        <f t="shared" si="154"/>
        <v>9770</v>
      </c>
      <c r="N441" s="218" t="str">
        <f t="shared" si="155"/>
        <v>BANK CHARGES</v>
      </c>
      <c r="O441" s="218" t="str">
        <f t="shared" si="151"/>
        <v>DRCBUK</v>
      </c>
      <c r="P441" s="218" t="str">
        <f t="shared" si="138"/>
        <v>AP21QR</v>
      </c>
      <c r="Q441" s="218" t="str">
        <f>""</f>
        <v/>
      </c>
      <c r="R441" s="218" t="str">
        <f>""</f>
        <v/>
      </c>
      <c r="S441" s="218" t="str">
        <f t="shared" si="156"/>
        <v>075</v>
      </c>
      <c r="T441" s="218" t="str">
        <f t="shared" si="148"/>
        <v>D</v>
      </c>
      <c r="U441" s="218" t="str">
        <f t="shared" si="153"/>
        <v>AFR000</v>
      </c>
      <c r="V441" s="218" t="str">
        <f t="shared" si="131"/>
        <v>###</v>
      </c>
      <c r="W441" s="218">
        <v>4.0599999999999996</v>
      </c>
      <c r="X441" s="218" t="str">
        <f t="shared" si="152"/>
        <v>USD</v>
      </c>
      <c r="Y441" s="218">
        <v>3.08</v>
      </c>
      <c r="Z441" s="218">
        <v>4.0599999999999996</v>
      </c>
      <c r="AA441" s="218">
        <v>3.66</v>
      </c>
    </row>
    <row r="442" spans="1:27">
      <c r="A442" s="218" t="s">
        <v>2592</v>
      </c>
      <c r="F442" s="219" t="str">
        <f>"""IntAlert Live"",""ALERT UK"",""17"",""1"",""532725"""</f>
        <v>"IntAlert Live","ALERT UK","17","1","532725"</v>
      </c>
      <c r="G442" s="223">
        <v>43890</v>
      </c>
      <c r="H442" s="223"/>
      <c r="I442" s="218" t="str">
        <f t="shared" si="149"/>
        <v>DRCBUK/BANK/2020/02/069</v>
      </c>
      <c r="K442" s="218" t="str">
        <f t="shared" si="150"/>
        <v>BCDC</v>
      </c>
      <c r="L442" s="218" t="str">
        <f>"Frs de retrait chèque 70%"</f>
        <v>Frs de retrait chèque 70%</v>
      </c>
      <c r="M442" s="218" t="str">
        <f t="shared" si="154"/>
        <v>9770</v>
      </c>
      <c r="N442" s="218" t="str">
        <f t="shared" si="155"/>
        <v>BANK CHARGES</v>
      </c>
      <c r="O442" s="218" t="str">
        <f t="shared" si="151"/>
        <v>DRCBUK</v>
      </c>
      <c r="P442" s="218" t="str">
        <f t="shared" si="138"/>
        <v>AP21QR</v>
      </c>
      <c r="Q442" s="218" t="str">
        <f>""</f>
        <v/>
      </c>
      <c r="R442" s="218" t="str">
        <f>""</f>
        <v/>
      </c>
      <c r="S442" s="218" t="str">
        <f t="shared" si="156"/>
        <v>075</v>
      </c>
      <c r="T442" s="218" t="str">
        <f t="shared" si="148"/>
        <v>D</v>
      </c>
      <c r="U442" s="218" t="str">
        <f t="shared" si="153"/>
        <v>AFR000</v>
      </c>
      <c r="V442" s="218" t="str">
        <f t="shared" si="131"/>
        <v>###</v>
      </c>
      <c r="W442" s="218">
        <v>3.9</v>
      </c>
      <c r="X442" s="218" t="str">
        <f t="shared" si="152"/>
        <v>USD</v>
      </c>
      <c r="Y442" s="218">
        <v>2.96</v>
      </c>
      <c r="Z442" s="218">
        <v>3.9</v>
      </c>
      <c r="AA442" s="218">
        <v>3.52</v>
      </c>
    </row>
    <row r="443" spans="1:27">
      <c r="A443" s="218" t="s">
        <v>2592</v>
      </c>
      <c r="F443" s="219" t="str">
        <f>"""IntAlert Live"",""ALERT UK"",""17"",""1"",""532730"""</f>
        <v>"IntAlert Live","ALERT UK","17","1","532730"</v>
      </c>
      <c r="G443" s="223">
        <v>43890</v>
      </c>
      <c r="H443" s="223"/>
      <c r="I443" s="218" t="str">
        <f t="shared" si="149"/>
        <v>DRCBUK/BANK/2020/02/069</v>
      </c>
      <c r="K443" s="218" t="str">
        <f t="shared" si="150"/>
        <v>BCDC</v>
      </c>
      <c r="L443" s="218" t="str">
        <f>"Abonnement net light BCDC 70%"</f>
        <v>Abonnement net light BCDC 70%</v>
      </c>
      <c r="M443" s="218" t="str">
        <f t="shared" si="154"/>
        <v>9770</v>
      </c>
      <c r="N443" s="218" t="str">
        <f t="shared" si="155"/>
        <v>BANK CHARGES</v>
      </c>
      <c r="O443" s="218" t="str">
        <f t="shared" si="151"/>
        <v>DRCBUK</v>
      </c>
      <c r="P443" s="218" t="str">
        <f t="shared" si="138"/>
        <v>AP21QR</v>
      </c>
      <c r="Q443" s="218" t="str">
        <f>""</f>
        <v/>
      </c>
      <c r="R443" s="218" t="str">
        <f>""</f>
        <v/>
      </c>
      <c r="S443" s="218" t="str">
        <f t="shared" si="156"/>
        <v>075</v>
      </c>
      <c r="T443" s="218" t="str">
        <f t="shared" si="148"/>
        <v>D</v>
      </c>
      <c r="U443" s="218" t="str">
        <f t="shared" si="153"/>
        <v>AFR000</v>
      </c>
      <c r="V443" s="218" t="str">
        <f t="shared" si="131"/>
        <v>###</v>
      </c>
      <c r="W443" s="218">
        <v>4.0599999999999996</v>
      </c>
      <c r="X443" s="218" t="str">
        <f t="shared" si="152"/>
        <v>USD</v>
      </c>
      <c r="Y443" s="218">
        <v>3.08</v>
      </c>
      <c r="Z443" s="218">
        <v>4.0599999999999996</v>
      </c>
      <c r="AA443" s="218">
        <v>3.66</v>
      </c>
    </row>
    <row r="444" spans="1:27">
      <c r="A444" s="218" t="s">
        <v>2592</v>
      </c>
      <c r="F444" s="219" t="str">
        <f>"""IntAlert Live"",""ALERT UK"",""17"",""1"",""532739"""</f>
        <v>"IntAlert Live","ALERT UK","17","1","532739"</v>
      </c>
      <c r="G444" s="223">
        <v>43890</v>
      </c>
      <c r="H444" s="223"/>
      <c r="I444" s="218" t="str">
        <f t="shared" si="149"/>
        <v>DRCBUK/BANK/2020/02/069</v>
      </c>
      <c r="K444" s="218" t="str">
        <f t="shared" si="150"/>
        <v>BCDC</v>
      </c>
      <c r="L444" s="218" t="str">
        <f>"Cion de transfert CNSS 70%"</f>
        <v>Cion de transfert CNSS 70%</v>
      </c>
      <c r="M444" s="218" t="str">
        <f t="shared" si="154"/>
        <v>9770</v>
      </c>
      <c r="N444" s="218" t="str">
        <f t="shared" si="155"/>
        <v>BANK CHARGES</v>
      </c>
      <c r="O444" s="218" t="str">
        <f t="shared" si="151"/>
        <v>DRCBUK</v>
      </c>
      <c r="P444" s="218" t="str">
        <f t="shared" si="138"/>
        <v>AP21QR</v>
      </c>
      <c r="Q444" s="218" t="str">
        <f>""</f>
        <v/>
      </c>
      <c r="R444" s="218" t="str">
        <f>""</f>
        <v/>
      </c>
      <c r="S444" s="218" t="str">
        <f t="shared" si="156"/>
        <v>075</v>
      </c>
      <c r="T444" s="218" t="str">
        <f t="shared" si="148"/>
        <v>D</v>
      </c>
      <c r="U444" s="218" t="str">
        <f t="shared" si="153"/>
        <v>AFR000</v>
      </c>
      <c r="V444" s="218" t="str">
        <f t="shared" si="131"/>
        <v>###</v>
      </c>
      <c r="W444" s="218">
        <v>32.479999999999997</v>
      </c>
      <c r="X444" s="218" t="str">
        <f t="shared" si="152"/>
        <v>USD</v>
      </c>
      <c r="Y444" s="218">
        <v>24.62</v>
      </c>
      <c r="Z444" s="218">
        <v>32.479999999999997</v>
      </c>
      <c r="AA444" s="218">
        <v>29.25</v>
      </c>
    </row>
    <row r="445" spans="1:27">
      <c r="A445" s="218" t="s">
        <v>2592</v>
      </c>
      <c r="F445" s="219" t="str">
        <f>"""IntAlert Live"",""ALERT UK"",""17"",""1"",""532742"""</f>
        <v>"IntAlert Live","ALERT UK","17","1","532742"</v>
      </c>
      <c r="G445" s="223">
        <v>43890</v>
      </c>
      <c r="H445" s="223"/>
      <c r="I445" s="218" t="str">
        <f t="shared" si="149"/>
        <v>DRCBUK/BANK/2020/02/069</v>
      </c>
      <c r="K445" s="218" t="str">
        <f t="shared" si="150"/>
        <v>BCDC</v>
      </c>
      <c r="L445" s="218" t="str">
        <f>"Frs de retrait chèque 70%"</f>
        <v>Frs de retrait chèque 70%</v>
      </c>
      <c r="M445" s="218" t="str">
        <f t="shared" si="154"/>
        <v>9770</v>
      </c>
      <c r="N445" s="218" t="str">
        <f t="shared" si="155"/>
        <v>BANK CHARGES</v>
      </c>
      <c r="O445" s="218" t="str">
        <f t="shared" si="151"/>
        <v>DRCBUK</v>
      </c>
      <c r="P445" s="218" t="str">
        <f t="shared" si="138"/>
        <v>AP21QR</v>
      </c>
      <c r="Q445" s="218" t="str">
        <f>""</f>
        <v/>
      </c>
      <c r="R445" s="218" t="str">
        <f>""</f>
        <v/>
      </c>
      <c r="S445" s="218" t="str">
        <f t="shared" si="156"/>
        <v>075</v>
      </c>
      <c r="T445" s="218" t="str">
        <f t="shared" si="148"/>
        <v>D</v>
      </c>
      <c r="U445" s="218" t="str">
        <f t="shared" si="153"/>
        <v>AFR000</v>
      </c>
      <c r="V445" s="218" t="str">
        <f t="shared" ref="V445:V508" si="157">"###"</f>
        <v>###</v>
      </c>
      <c r="W445" s="218">
        <v>38.049999999999997</v>
      </c>
      <c r="X445" s="218" t="str">
        <f t="shared" si="152"/>
        <v>USD</v>
      </c>
      <c r="Y445" s="218">
        <v>28.84</v>
      </c>
      <c r="Z445" s="218">
        <v>38.049999999999997</v>
      </c>
      <c r="AA445" s="218">
        <v>34.26</v>
      </c>
    </row>
    <row r="446" spans="1:27">
      <c r="A446" s="218" t="s">
        <v>2592</v>
      </c>
      <c r="F446" s="219" t="str">
        <f>"""IntAlert Live"",""ALERT UK"",""17"",""1"",""532745"""</f>
        <v>"IntAlert Live","ALERT UK","17","1","532745"</v>
      </c>
      <c r="G446" s="223">
        <v>43890</v>
      </c>
      <c r="H446" s="223"/>
      <c r="I446" s="218" t="str">
        <f t="shared" si="149"/>
        <v>DRCBUK/BANK/2020/02/069</v>
      </c>
      <c r="K446" s="218" t="str">
        <f t="shared" si="150"/>
        <v>BCDC</v>
      </c>
      <c r="L446" s="218" t="str">
        <f>"Frs de retrait chèque 70%"</f>
        <v>Frs de retrait chèque 70%</v>
      </c>
      <c r="M446" s="218" t="str">
        <f t="shared" si="154"/>
        <v>9770</v>
      </c>
      <c r="N446" s="218" t="str">
        <f t="shared" si="155"/>
        <v>BANK CHARGES</v>
      </c>
      <c r="O446" s="218" t="str">
        <f t="shared" si="151"/>
        <v>DRCBUK</v>
      </c>
      <c r="P446" s="218" t="str">
        <f t="shared" si="138"/>
        <v>AP21QR</v>
      </c>
      <c r="Q446" s="218" t="str">
        <f>""</f>
        <v/>
      </c>
      <c r="R446" s="218" t="str">
        <f>""</f>
        <v/>
      </c>
      <c r="S446" s="218" t="str">
        <f t="shared" si="156"/>
        <v>075</v>
      </c>
      <c r="T446" s="218" t="str">
        <f t="shared" si="148"/>
        <v>D</v>
      </c>
      <c r="U446" s="218" t="str">
        <f t="shared" si="153"/>
        <v>AFR000</v>
      </c>
      <c r="V446" s="218" t="str">
        <f t="shared" si="157"/>
        <v>###</v>
      </c>
      <c r="W446" s="218">
        <v>6.96</v>
      </c>
      <c r="X446" s="218" t="str">
        <f t="shared" si="152"/>
        <v>USD</v>
      </c>
      <c r="Y446" s="218">
        <v>5.28</v>
      </c>
      <c r="Z446" s="218">
        <v>6.96</v>
      </c>
      <c r="AA446" s="218">
        <v>6.27</v>
      </c>
    </row>
    <row r="447" spans="1:27">
      <c r="A447" s="218" t="s">
        <v>2592</v>
      </c>
      <c r="F447" s="219" t="str">
        <f>"""IntAlert Live"",""ALERT UK"",""17"",""1"",""532746"""</f>
        <v>"IntAlert Live","ALERT UK","17","1","532746"</v>
      </c>
      <c r="G447" s="223">
        <v>43890</v>
      </c>
      <c r="H447" s="223"/>
      <c r="I447" s="218" t="str">
        <f t="shared" si="149"/>
        <v>DRCBUK/BANK/2020/02/069</v>
      </c>
      <c r="K447" s="218" t="str">
        <f t="shared" si="150"/>
        <v>BCDC</v>
      </c>
      <c r="L447" s="218" t="str">
        <f>"Frs de retrait chèque 100%"</f>
        <v>Frs de retrait chèque 100%</v>
      </c>
      <c r="M447" s="218" t="str">
        <f t="shared" si="154"/>
        <v>9770</v>
      </c>
      <c r="N447" s="218" t="str">
        <f t="shared" si="155"/>
        <v>BANK CHARGES</v>
      </c>
      <c r="O447" s="218" t="str">
        <f t="shared" si="151"/>
        <v>DRCBUK</v>
      </c>
      <c r="P447" s="218" t="str">
        <f t="shared" si="138"/>
        <v>AP21QR</v>
      </c>
      <c r="Q447" s="218" t="str">
        <f>""</f>
        <v/>
      </c>
      <c r="R447" s="218" t="str">
        <f>""</f>
        <v/>
      </c>
      <c r="S447" s="218" t="str">
        <f t="shared" si="156"/>
        <v>075</v>
      </c>
      <c r="T447" s="218" t="str">
        <f t="shared" si="148"/>
        <v>D</v>
      </c>
      <c r="U447" s="218" t="str">
        <f t="shared" si="153"/>
        <v>AFR000</v>
      </c>
      <c r="V447" s="218" t="str">
        <f t="shared" si="157"/>
        <v>###</v>
      </c>
      <c r="W447" s="218">
        <v>1.1599999999999999</v>
      </c>
      <c r="X447" s="218" t="str">
        <f t="shared" si="152"/>
        <v>USD</v>
      </c>
      <c r="Y447" s="218">
        <v>0.88</v>
      </c>
      <c r="Z447" s="218">
        <v>1.1599999999999999</v>
      </c>
      <c r="AA447" s="218">
        <v>1.05</v>
      </c>
    </row>
    <row r="448" spans="1:27">
      <c r="A448" s="218" t="s">
        <v>2592</v>
      </c>
      <c r="F448" s="219" t="str">
        <f>"""IntAlert Live"",""ALERT UK"",""17"",""1"",""532747"""</f>
        <v>"IntAlert Live","ALERT UK","17","1","532747"</v>
      </c>
      <c r="G448" s="223">
        <v>43890</v>
      </c>
      <c r="H448" s="223"/>
      <c r="I448" s="218" t="str">
        <f t="shared" si="149"/>
        <v>DRCBUK/BANK/2020/02/069</v>
      </c>
      <c r="K448" s="218" t="str">
        <f t="shared" si="150"/>
        <v>BCDC</v>
      </c>
      <c r="L448" s="218" t="str">
        <f>"Frs de retrait chèque 70%"</f>
        <v>Frs de retrait chèque 70%</v>
      </c>
      <c r="M448" s="218" t="str">
        <f t="shared" si="154"/>
        <v>9770</v>
      </c>
      <c r="N448" s="218" t="str">
        <f t="shared" si="155"/>
        <v>BANK CHARGES</v>
      </c>
      <c r="O448" s="218" t="str">
        <f t="shared" si="151"/>
        <v>DRCBUK</v>
      </c>
      <c r="P448" s="218" t="str">
        <f t="shared" si="138"/>
        <v>AP21QR</v>
      </c>
      <c r="Q448" s="218" t="str">
        <f>""</f>
        <v/>
      </c>
      <c r="R448" s="218" t="str">
        <f>""</f>
        <v/>
      </c>
      <c r="S448" s="218" t="str">
        <f t="shared" si="156"/>
        <v>075</v>
      </c>
      <c r="T448" s="218" t="str">
        <f t="shared" ref="T448:T479" si="158">"D"</f>
        <v>D</v>
      </c>
      <c r="U448" s="218" t="str">
        <f t="shared" si="153"/>
        <v>AFR000</v>
      </c>
      <c r="V448" s="218" t="str">
        <f t="shared" si="157"/>
        <v>###</v>
      </c>
      <c r="W448" s="218">
        <v>24.44</v>
      </c>
      <c r="X448" s="218" t="str">
        <f t="shared" si="152"/>
        <v>USD</v>
      </c>
      <c r="Y448" s="218">
        <v>18.52</v>
      </c>
      <c r="Z448" s="218">
        <v>24.44</v>
      </c>
      <c r="AA448" s="218">
        <v>22</v>
      </c>
    </row>
    <row r="449" spans="1:27">
      <c r="A449" s="218" t="s">
        <v>2592</v>
      </c>
      <c r="F449" s="219" t="str">
        <f>"""IntAlert Live"",""ALERT UK"",""17"",""1"",""532753"""</f>
        <v>"IntAlert Live","ALERT UK","17","1","532753"</v>
      </c>
      <c r="G449" s="223">
        <v>43890</v>
      </c>
      <c r="H449" s="223"/>
      <c r="I449" s="218" t="str">
        <f t="shared" si="149"/>
        <v>DRCBUK/BANK/2020/02/069</v>
      </c>
      <c r="K449" s="218" t="str">
        <f t="shared" si="150"/>
        <v>BCDC</v>
      </c>
      <c r="L449" s="218" t="str">
        <f>"Frs de retrait chèque 100%"</f>
        <v>Frs de retrait chèque 100%</v>
      </c>
      <c r="M449" s="218" t="str">
        <f t="shared" si="154"/>
        <v>9770</v>
      </c>
      <c r="N449" s="218" t="str">
        <f t="shared" si="155"/>
        <v>BANK CHARGES</v>
      </c>
      <c r="O449" s="218" t="str">
        <f t="shared" si="151"/>
        <v>DRCBUK</v>
      </c>
      <c r="P449" s="218" t="str">
        <f t="shared" si="138"/>
        <v>AP21QR</v>
      </c>
      <c r="Q449" s="218" t="str">
        <f>""</f>
        <v/>
      </c>
      <c r="R449" s="218" t="str">
        <f>""</f>
        <v/>
      </c>
      <c r="S449" s="218" t="str">
        <f t="shared" si="156"/>
        <v>075</v>
      </c>
      <c r="T449" s="218" t="str">
        <f t="shared" si="158"/>
        <v>D</v>
      </c>
      <c r="U449" s="218" t="str">
        <f t="shared" si="153"/>
        <v>AFR000</v>
      </c>
      <c r="V449" s="218" t="str">
        <f t="shared" si="157"/>
        <v>###</v>
      </c>
      <c r="W449" s="218">
        <v>25.62</v>
      </c>
      <c r="X449" s="218" t="str">
        <f t="shared" si="152"/>
        <v>USD</v>
      </c>
      <c r="Y449" s="218">
        <v>19.420000000000002</v>
      </c>
      <c r="Z449" s="218">
        <v>25.62</v>
      </c>
      <c r="AA449" s="218">
        <v>23.07</v>
      </c>
    </row>
    <row r="450" spans="1:27">
      <c r="A450" s="218" t="s">
        <v>2592</v>
      </c>
      <c r="F450" s="219" t="str">
        <f>"""IntAlert Live"",""ALERT UK"",""17"",""1"",""532755"""</f>
        <v>"IntAlert Live","ALERT UK","17","1","532755"</v>
      </c>
      <c r="G450" s="223">
        <v>43890</v>
      </c>
      <c r="H450" s="223"/>
      <c r="I450" s="218" t="str">
        <f t="shared" si="149"/>
        <v>DRCBUK/BANK/2020/02/069</v>
      </c>
      <c r="K450" s="218" t="str">
        <f t="shared" si="150"/>
        <v>BCDC</v>
      </c>
      <c r="L450" s="218" t="str">
        <f>"Cion de transfert  Petrox70%"</f>
        <v>Cion de transfert  Petrox70%</v>
      </c>
      <c r="M450" s="218" t="str">
        <f t="shared" si="154"/>
        <v>9770</v>
      </c>
      <c r="N450" s="218" t="str">
        <f t="shared" si="155"/>
        <v>BANK CHARGES</v>
      </c>
      <c r="O450" s="218" t="str">
        <f t="shared" si="151"/>
        <v>DRCBUK</v>
      </c>
      <c r="P450" s="218" t="str">
        <f t="shared" si="138"/>
        <v>AP21QR</v>
      </c>
      <c r="Q450" s="218" t="str">
        <f>""</f>
        <v/>
      </c>
      <c r="R450" s="218" t="str">
        <f>""</f>
        <v/>
      </c>
      <c r="S450" s="218" t="str">
        <f t="shared" si="156"/>
        <v>075</v>
      </c>
      <c r="T450" s="218" t="str">
        <f t="shared" si="158"/>
        <v>D</v>
      </c>
      <c r="U450" s="218" t="str">
        <f t="shared" si="153"/>
        <v>AFR000</v>
      </c>
      <c r="V450" s="218" t="str">
        <f t="shared" si="157"/>
        <v>###</v>
      </c>
      <c r="W450" s="218">
        <v>32.479999999999997</v>
      </c>
      <c r="X450" s="218" t="str">
        <f t="shared" si="152"/>
        <v>USD</v>
      </c>
      <c r="Y450" s="218">
        <v>24.62</v>
      </c>
      <c r="Z450" s="218">
        <v>32.479999999999997</v>
      </c>
      <c r="AA450" s="218">
        <v>29.25</v>
      </c>
    </row>
    <row r="451" spans="1:27">
      <c r="A451" s="218" t="s">
        <v>2592</v>
      </c>
      <c r="F451" s="219" t="str">
        <f>"""IntAlert Live"",""ALERT UK"",""17"",""1"",""532759"""</f>
        <v>"IntAlert Live","ALERT UK","17","1","532759"</v>
      </c>
      <c r="G451" s="223">
        <v>43890</v>
      </c>
      <c r="H451" s="223"/>
      <c r="I451" s="218" t="str">
        <f t="shared" si="149"/>
        <v>DRCBUK/BANK/2020/02/069</v>
      </c>
      <c r="K451" s="218" t="str">
        <f t="shared" si="150"/>
        <v>BCDC</v>
      </c>
      <c r="L451" s="218" t="str">
        <f>"Frs de retrait chèque 70%"</f>
        <v>Frs de retrait chèque 70%</v>
      </c>
      <c r="M451" s="218" t="str">
        <f t="shared" si="154"/>
        <v>9770</v>
      </c>
      <c r="N451" s="218" t="str">
        <f t="shared" si="155"/>
        <v>BANK CHARGES</v>
      </c>
      <c r="O451" s="218" t="str">
        <f t="shared" si="151"/>
        <v>DRCBUK</v>
      </c>
      <c r="P451" s="218" t="str">
        <f t="shared" si="138"/>
        <v>AP21QR</v>
      </c>
      <c r="Q451" s="218" t="str">
        <f>""</f>
        <v/>
      </c>
      <c r="R451" s="218" t="str">
        <f>""</f>
        <v/>
      </c>
      <c r="S451" s="218" t="str">
        <f t="shared" si="156"/>
        <v>075</v>
      </c>
      <c r="T451" s="218" t="str">
        <f t="shared" si="158"/>
        <v>D</v>
      </c>
      <c r="U451" s="218" t="str">
        <f t="shared" si="153"/>
        <v>AFR000</v>
      </c>
      <c r="V451" s="218" t="str">
        <f t="shared" si="157"/>
        <v>###</v>
      </c>
      <c r="W451" s="218">
        <v>19.45</v>
      </c>
      <c r="X451" s="218" t="str">
        <f t="shared" si="152"/>
        <v>USD</v>
      </c>
      <c r="Y451" s="218">
        <v>14.74</v>
      </c>
      <c r="Z451" s="218">
        <v>19.45</v>
      </c>
      <c r="AA451" s="218">
        <v>17.510000000000002</v>
      </c>
    </row>
    <row r="452" spans="1:27">
      <c r="A452" s="218" t="s">
        <v>2592</v>
      </c>
      <c r="F452" s="219" t="str">
        <f>"""IntAlert Live"",""ALERT UK"",""17"",""1"",""532764"""</f>
        <v>"IntAlert Live","ALERT UK","17","1","532764"</v>
      </c>
      <c r="G452" s="223">
        <v>43890</v>
      </c>
      <c r="H452" s="223"/>
      <c r="I452" s="218" t="str">
        <f t="shared" si="149"/>
        <v>DRCBUK/BANK/2020/02/069</v>
      </c>
      <c r="K452" s="218" t="str">
        <f t="shared" si="150"/>
        <v>BCDC</v>
      </c>
      <c r="L452" s="218" t="str">
        <f>"Frs de retrait chèque 70%"</f>
        <v>Frs de retrait chèque 70%</v>
      </c>
      <c r="M452" s="218" t="str">
        <f t="shared" si="154"/>
        <v>9770</v>
      </c>
      <c r="N452" s="218" t="str">
        <f t="shared" si="155"/>
        <v>BANK CHARGES</v>
      </c>
      <c r="O452" s="218" t="str">
        <f t="shared" si="151"/>
        <v>DRCBUK</v>
      </c>
      <c r="P452" s="218" t="str">
        <f t="shared" si="138"/>
        <v>AP21QR</v>
      </c>
      <c r="Q452" s="218" t="str">
        <f>""</f>
        <v/>
      </c>
      <c r="R452" s="218" t="str">
        <f>""</f>
        <v/>
      </c>
      <c r="S452" s="218" t="str">
        <f t="shared" si="156"/>
        <v>075</v>
      </c>
      <c r="T452" s="218" t="str">
        <f t="shared" si="158"/>
        <v>D</v>
      </c>
      <c r="U452" s="218" t="str">
        <f t="shared" si="153"/>
        <v>AFR000</v>
      </c>
      <c r="V452" s="218" t="str">
        <f t="shared" si="157"/>
        <v>###</v>
      </c>
      <c r="W452" s="218">
        <v>77.95</v>
      </c>
      <c r="X452" s="218" t="str">
        <f t="shared" si="152"/>
        <v>USD</v>
      </c>
      <c r="Y452" s="218">
        <v>59.08</v>
      </c>
      <c r="Z452" s="218">
        <v>77.95</v>
      </c>
      <c r="AA452" s="218">
        <v>70.180000000000007</v>
      </c>
    </row>
    <row r="453" spans="1:27">
      <c r="A453" s="218" t="s">
        <v>2592</v>
      </c>
      <c r="F453" s="219" t="str">
        <f>"""IntAlert Live"",""ALERT UK"",""17"",""1"",""532768"""</f>
        <v>"IntAlert Live","ALERT UK","17","1","532768"</v>
      </c>
      <c r="G453" s="223">
        <v>43890</v>
      </c>
      <c r="H453" s="223"/>
      <c r="I453" s="218" t="str">
        <f t="shared" si="149"/>
        <v>DRCBUK/BANK/2020/02/069</v>
      </c>
      <c r="K453" s="218" t="str">
        <f t="shared" si="150"/>
        <v>BCDC</v>
      </c>
      <c r="L453" s="218" t="str">
        <f>"Frs de retrait chèque 70%"</f>
        <v>Frs de retrait chèque 70%</v>
      </c>
      <c r="M453" s="218" t="str">
        <f t="shared" si="154"/>
        <v>9770</v>
      </c>
      <c r="N453" s="218" t="str">
        <f t="shared" si="155"/>
        <v>BANK CHARGES</v>
      </c>
      <c r="O453" s="218" t="str">
        <f t="shared" si="151"/>
        <v>DRCBUK</v>
      </c>
      <c r="P453" s="218" t="str">
        <f t="shared" si="138"/>
        <v>AP21QR</v>
      </c>
      <c r="Q453" s="218" t="str">
        <f>""</f>
        <v/>
      </c>
      <c r="R453" s="218" t="str">
        <f>""</f>
        <v/>
      </c>
      <c r="S453" s="218" t="str">
        <f t="shared" si="156"/>
        <v>075</v>
      </c>
      <c r="T453" s="218" t="str">
        <f t="shared" si="158"/>
        <v>D</v>
      </c>
      <c r="U453" s="218" t="str">
        <f t="shared" si="153"/>
        <v>AFR000</v>
      </c>
      <c r="V453" s="218" t="str">
        <f t="shared" si="157"/>
        <v>###</v>
      </c>
      <c r="W453" s="218">
        <v>4.57</v>
      </c>
      <c r="X453" s="218" t="str">
        <f t="shared" si="152"/>
        <v>USD</v>
      </c>
      <c r="Y453" s="218">
        <v>3.46</v>
      </c>
      <c r="Z453" s="218">
        <v>4.57</v>
      </c>
      <c r="AA453" s="218">
        <v>4.1100000000000003</v>
      </c>
    </row>
    <row r="454" spans="1:27">
      <c r="A454" s="218" t="s">
        <v>2592</v>
      </c>
      <c r="F454" s="219" t="str">
        <f>"""IntAlert Live"",""ALERT UK"",""17"",""1"",""532774"""</f>
        <v>"IntAlert Live","ALERT UK","17","1","532774"</v>
      </c>
      <c r="G454" s="223">
        <v>43890</v>
      </c>
      <c r="H454" s="223"/>
      <c r="I454" s="218" t="str">
        <f t="shared" si="149"/>
        <v>DRCBUK/BANK/2020/02/069</v>
      </c>
      <c r="K454" s="218" t="str">
        <f>"OV60181976"</f>
        <v>OV60181976</v>
      </c>
      <c r="L454" s="218" t="str">
        <f>"CION DE TRANSFER 70%"</f>
        <v>CION DE TRANSFER 70%</v>
      </c>
      <c r="M454" s="218" t="str">
        <f t="shared" si="154"/>
        <v>9770</v>
      </c>
      <c r="N454" s="218" t="str">
        <f t="shared" si="155"/>
        <v>BANK CHARGES</v>
      </c>
      <c r="O454" s="218" t="str">
        <f t="shared" si="151"/>
        <v>DRCBUK</v>
      </c>
      <c r="P454" s="218" t="str">
        <f t="shared" si="138"/>
        <v>AP21QR</v>
      </c>
      <c r="Q454" s="218" t="str">
        <f>""</f>
        <v/>
      </c>
      <c r="R454" s="218" t="str">
        <f>""</f>
        <v/>
      </c>
      <c r="S454" s="218" t="str">
        <f t="shared" si="156"/>
        <v>075</v>
      </c>
      <c r="T454" s="218" t="str">
        <f t="shared" si="158"/>
        <v>D</v>
      </c>
      <c r="U454" s="218" t="str">
        <f t="shared" si="153"/>
        <v>AFR000</v>
      </c>
      <c r="V454" s="218" t="str">
        <f t="shared" si="157"/>
        <v>###</v>
      </c>
      <c r="W454" s="218">
        <v>32.479999999999997</v>
      </c>
      <c r="X454" s="218" t="str">
        <f t="shared" si="152"/>
        <v>USD</v>
      </c>
      <c r="Y454" s="218">
        <v>24.62</v>
      </c>
      <c r="Z454" s="218">
        <v>32.479999999999997</v>
      </c>
      <c r="AA454" s="218">
        <v>29.25</v>
      </c>
    </row>
    <row r="455" spans="1:27">
      <c r="A455" s="218" t="s">
        <v>2592</v>
      </c>
      <c r="F455" s="219" t="str">
        <f>"""IntAlert Live"",""ALERT UK"",""17"",""1"",""540011"""</f>
        <v>"IntAlert Live","ALERT UK","17","1","540011"</v>
      </c>
      <c r="G455" s="223">
        <v>43892</v>
      </c>
      <c r="H455" s="223"/>
      <c r="I455" s="218" t="str">
        <f t="shared" ref="I455:I477" si="159">"DRCBUK/BANK/2020/03/034"</f>
        <v>DRCBUK/BANK/2020/03/034</v>
      </c>
      <c r="K455" s="218" t="str">
        <f t="shared" ref="K455:K477" si="160">"BCDC BUKAVU"</f>
        <v>BCDC BUKAVU</v>
      </c>
      <c r="L455" s="218" t="str">
        <f t="shared" ref="L455:L465" si="161">"FRS MENSUEL DE GESTION"</f>
        <v>FRS MENSUEL DE GESTION</v>
      </c>
      <c r="M455" s="218" t="str">
        <f t="shared" si="154"/>
        <v>9770</v>
      </c>
      <c r="N455" s="218" t="str">
        <f t="shared" si="155"/>
        <v>BANK CHARGES</v>
      </c>
      <c r="O455" s="218" t="str">
        <f t="shared" si="151"/>
        <v>DRCBUK</v>
      </c>
      <c r="P455" s="218" t="str">
        <f t="shared" ref="P455:P518" si="162">"AP21QR"</f>
        <v>AP21QR</v>
      </c>
      <c r="Q455" s="218" t="str">
        <f>""</f>
        <v/>
      </c>
      <c r="R455" s="218" t="str">
        <f>""</f>
        <v/>
      </c>
      <c r="S455" s="218" t="str">
        <f t="shared" si="156"/>
        <v>075</v>
      </c>
      <c r="T455" s="218" t="str">
        <f t="shared" si="158"/>
        <v>D</v>
      </c>
      <c r="U455" s="218" t="str">
        <f t="shared" si="153"/>
        <v>AFR000</v>
      </c>
      <c r="V455" s="218" t="str">
        <f t="shared" si="157"/>
        <v>###</v>
      </c>
      <c r="W455" s="218">
        <v>5.8</v>
      </c>
      <c r="X455" s="218" t="str">
        <f t="shared" si="152"/>
        <v>USD</v>
      </c>
      <c r="Y455" s="218">
        <v>4.5199999999999996</v>
      </c>
      <c r="Z455" s="218">
        <v>5.8</v>
      </c>
      <c r="AA455" s="218">
        <v>5.32</v>
      </c>
    </row>
    <row r="456" spans="1:27">
      <c r="A456" s="218" t="s">
        <v>2592</v>
      </c>
      <c r="F456" s="219" t="str">
        <f>"""IntAlert Live"",""ALERT UK"",""17"",""1"",""540013"""</f>
        <v>"IntAlert Live","ALERT UK","17","1","540013"</v>
      </c>
      <c r="G456" s="223">
        <v>43892</v>
      </c>
      <c r="H456" s="223"/>
      <c r="I456" s="218" t="str">
        <f t="shared" si="159"/>
        <v>DRCBUK/BANK/2020/03/034</v>
      </c>
      <c r="K456" s="218" t="str">
        <f t="shared" si="160"/>
        <v>BCDC BUKAVU</v>
      </c>
      <c r="L456" s="218" t="str">
        <f t="shared" si="161"/>
        <v>FRS MENSUEL DE GESTION</v>
      </c>
      <c r="M456" s="218" t="str">
        <f t="shared" si="154"/>
        <v>9770</v>
      </c>
      <c r="N456" s="218" t="str">
        <f t="shared" si="155"/>
        <v>BANK CHARGES</v>
      </c>
      <c r="O456" s="218" t="str">
        <f t="shared" si="151"/>
        <v>DRCBUK</v>
      </c>
      <c r="P456" s="218" t="str">
        <f t="shared" si="162"/>
        <v>AP21QR</v>
      </c>
      <c r="Q456" s="218" t="str">
        <f>""</f>
        <v/>
      </c>
      <c r="R456" s="218" t="str">
        <f>""</f>
        <v/>
      </c>
      <c r="S456" s="218" t="str">
        <f t="shared" si="156"/>
        <v>075</v>
      </c>
      <c r="T456" s="218" t="str">
        <f t="shared" si="158"/>
        <v>D</v>
      </c>
      <c r="U456" s="218" t="str">
        <f t="shared" si="153"/>
        <v>AFR000</v>
      </c>
      <c r="V456" s="218" t="str">
        <f t="shared" si="157"/>
        <v>###</v>
      </c>
      <c r="W456" s="218">
        <v>5.8</v>
      </c>
      <c r="X456" s="218" t="str">
        <f t="shared" si="152"/>
        <v>USD</v>
      </c>
      <c r="Y456" s="218">
        <v>4.5199999999999996</v>
      </c>
      <c r="Z456" s="218">
        <v>5.8</v>
      </c>
      <c r="AA456" s="218">
        <v>5.32</v>
      </c>
    </row>
    <row r="457" spans="1:27">
      <c r="A457" s="218" t="s">
        <v>2592</v>
      </c>
      <c r="F457" s="219" t="str">
        <f>"""IntAlert Live"",""ALERT UK"",""17"",""1"",""540014"""</f>
        <v>"IntAlert Live","ALERT UK","17","1","540014"</v>
      </c>
      <c r="G457" s="223">
        <v>43892</v>
      </c>
      <c r="H457" s="223"/>
      <c r="I457" s="218" t="str">
        <f t="shared" si="159"/>
        <v>DRCBUK/BANK/2020/03/034</v>
      </c>
      <c r="K457" s="218" t="str">
        <f t="shared" si="160"/>
        <v>BCDC BUKAVU</v>
      </c>
      <c r="L457" s="218" t="str">
        <f t="shared" si="161"/>
        <v>FRS MENSUEL DE GESTION</v>
      </c>
      <c r="M457" s="218" t="str">
        <f t="shared" si="154"/>
        <v>9770</v>
      </c>
      <c r="N457" s="218" t="str">
        <f t="shared" si="155"/>
        <v>BANK CHARGES</v>
      </c>
      <c r="O457" s="218" t="str">
        <f t="shared" si="151"/>
        <v>DRCBUK</v>
      </c>
      <c r="P457" s="218" t="str">
        <f t="shared" si="162"/>
        <v>AP21QR</v>
      </c>
      <c r="Q457" s="218" t="str">
        <f>""</f>
        <v/>
      </c>
      <c r="R457" s="218" t="str">
        <f>""</f>
        <v/>
      </c>
      <c r="S457" s="218" t="str">
        <f t="shared" si="156"/>
        <v>075</v>
      </c>
      <c r="T457" s="218" t="str">
        <f t="shared" si="158"/>
        <v>D</v>
      </c>
      <c r="U457" s="218" t="str">
        <f t="shared" si="153"/>
        <v>AFR000</v>
      </c>
      <c r="V457" s="218" t="str">
        <f t="shared" si="157"/>
        <v>###</v>
      </c>
      <c r="W457" s="218">
        <v>5.8</v>
      </c>
      <c r="X457" s="218" t="str">
        <f t="shared" si="152"/>
        <v>USD</v>
      </c>
      <c r="Y457" s="218">
        <v>4.5199999999999996</v>
      </c>
      <c r="Z457" s="218">
        <v>5.8</v>
      </c>
      <c r="AA457" s="218">
        <v>5.32</v>
      </c>
    </row>
    <row r="458" spans="1:27">
      <c r="A458" s="218" t="s">
        <v>2592</v>
      </c>
      <c r="F458" s="219" t="str">
        <f>"""IntAlert Live"",""ALERT UK"",""17"",""1"",""540015"""</f>
        <v>"IntAlert Live","ALERT UK","17","1","540015"</v>
      </c>
      <c r="G458" s="223">
        <v>43892</v>
      </c>
      <c r="H458" s="223"/>
      <c r="I458" s="218" t="str">
        <f t="shared" si="159"/>
        <v>DRCBUK/BANK/2020/03/034</v>
      </c>
      <c r="K458" s="218" t="str">
        <f t="shared" si="160"/>
        <v>BCDC BUKAVU</v>
      </c>
      <c r="L458" s="218" t="str">
        <f t="shared" si="161"/>
        <v>FRS MENSUEL DE GESTION</v>
      </c>
      <c r="M458" s="218" t="str">
        <f t="shared" si="154"/>
        <v>9770</v>
      </c>
      <c r="N458" s="218" t="str">
        <f t="shared" si="155"/>
        <v>BANK CHARGES</v>
      </c>
      <c r="O458" s="218" t="str">
        <f t="shared" si="151"/>
        <v>DRCBUK</v>
      </c>
      <c r="P458" s="218" t="str">
        <f t="shared" si="162"/>
        <v>AP21QR</v>
      </c>
      <c r="Q458" s="218" t="str">
        <f>""</f>
        <v/>
      </c>
      <c r="R458" s="218" t="str">
        <f>""</f>
        <v/>
      </c>
      <c r="S458" s="218" t="str">
        <f t="shared" si="156"/>
        <v>075</v>
      </c>
      <c r="T458" s="218" t="str">
        <f t="shared" si="158"/>
        <v>D</v>
      </c>
      <c r="U458" s="218" t="str">
        <f t="shared" si="153"/>
        <v>AFR000</v>
      </c>
      <c r="V458" s="218" t="str">
        <f t="shared" si="157"/>
        <v>###</v>
      </c>
      <c r="W458" s="218">
        <v>5.8</v>
      </c>
      <c r="X458" s="218" t="str">
        <f t="shared" si="152"/>
        <v>USD</v>
      </c>
      <c r="Y458" s="218">
        <v>4.5199999999999996</v>
      </c>
      <c r="Z458" s="218">
        <v>5.8</v>
      </c>
      <c r="AA458" s="218">
        <v>5.32</v>
      </c>
    </row>
    <row r="459" spans="1:27">
      <c r="A459" s="218" t="s">
        <v>2592</v>
      </c>
      <c r="F459" s="219" t="str">
        <f>"""IntAlert Live"",""ALERT UK"",""17"",""1"",""540016"""</f>
        <v>"IntAlert Live","ALERT UK","17","1","540016"</v>
      </c>
      <c r="G459" s="223">
        <v>43892</v>
      </c>
      <c r="H459" s="223"/>
      <c r="I459" s="218" t="str">
        <f t="shared" si="159"/>
        <v>DRCBUK/BANK/2020/03/034</v>
      </c>
      <c r="K459" s="218" t="str">
        <f t="shared" si="160"/>
        <v>BCDC BUKAVU</v>
      </c>
      <c r="L459" s="218" t="str">
        <f t="shared" si="161"/>
        <v>FRS MENSUEL DE GESTION</v>
      </c>
      <c r="M459" s="218" t="str">
        <f t="shared" si="154"/>
        <v>9770</v>
      </c>
      <c r="N459" s="218" t="str">
        <f t="shared" si="155"/>
        <v>BANK CHARGES</v>
      </c>
      <c r="O459" s="218" t="str">
        <f t="shared" si="151"/>
        <v>DRCBUK</v>
      </c>
      <c r="P459" s="218" t="str">
        <f t="shared" si="162"/>
        <v>AP21QR</v>
      </c>
      <c r="Q459" s="218" t="str">
        <f>""</f>
        <v/>
      </c>
      <c r="R459" s="218" t="str">
        <f>""</f>
        <v/>
      </c>
      <c r="S459" s="218" t="str">
        <f t="shared" si="156"/>
        <v>075</v>
      </c>
      <c r="T459" s="218" t="str">
        <f t="shared" si="158"/>
        <v>D</v>
      </c>
      <c r="U459" s="218" t="str">
        <f t="shared" si="153"/>
        <v>AFR000</v>
      </c>
      <c r="V459" s="218" t="str">
        <f t="shared" si="157"/>
        <v>###</v>
      </c>
      <c r="W459" s="218">
        <v>5.8</v>
      </c>
      <c r="X459" s="218" t="str">
        <f t="shared" si="152"/>
        <v>USD</v>
      </c>
      <c r="Y459" s="218">
        <v>4.5199999999999996</v>
      </c>
      <c r="Z459" s="218">
        <v>5.8</v>
      </c>
      <c r="AA459" s="218">
        <v>5.32</v>
      </c>
    </row>
    <row r="460" spans="1:27">
      <c r="A460" s="218" t="s">
        <v>2592</v>
      </c>
      <c r="F460" s="219" t="str">
        <f>"""IntAlert Live"",""ALERT UK"",""17"",""1"",""540017"""</f>
        <v>"IntAlert Live","ALERT UK","17","1","540017"</v>
      </c>
      <c r="G460" s="223">
        <v>43892</v>
      </c>
      <c r="H460" s="223"/>
      <c r="I460" s="218" t="str">
        <f t="shared" si="159"/>
        <v>DRCBUK/BANK/2020/03/034</v>
      </c>
      <c r="K460" s="218" t="str">
        <f t="shared" si="160"/>
        <v>BCDC BUKAVU</v>
      </c>
      <c r="L460" s="218" t="str">
        <f t="shared" si="161"/>
        <v>FRS MENSUEL DE GESTION</v>
      </c>
      <c r="M460" s="218" t="str">
        <f t="shared" si="154"/>
        <v>9770</v>
      </c>
      <c r="N460" s="218" t="str">
        <f t="shared" si="155"/>
        <v>BANK CHARGES</v>
      </c>
      <c r="O460" s="218" t="str">
        <f t="shared" ref="O460:O486" si="163">"DRCBUK"</f>
        <v>DRCBUK</v>
      </c>
      <c r="P460" s="218" t="str">
        <f t="shared" si="162"/>
        <v>AP21QR</v>
      </c>
      <c r="Q460" s="218" t="str">
        <f>""</f>
        <v/>
      </c>
      <c r="R460" s="218" t="str">
        <f>""</f>
        <v/>
      </c>
      <c r="S460" s="218" t="str">
        <f t="shared" si="156"/>
        <v>075</v>
      </c>
      <c r="T460" s="218" t="str">
        <f t="shared" si="158"/>
        <v>D</v>
      </c>
      <c r="U460" s="218" t="str">
        <f t="shared" si="153"/>
        <v>AFR000</v>
      </c>
      <c r="V460" s="218" t="str">
        <f t="shared" si="157"/>
        <v>###</v>
      </c>
      <c r="W460" s="218">
        <v>5.8</v>
      </c>
      <c r="X460" s="218" t="str">
        <f t="shared" ref="X460:X491" si="164">"USD"</f>
        <v>USD</v>
      </c>
      <c r="Y460" s="218">
        <v>4.5199999999999996</v>
      </c>
      <c r="Z460" s="218">
        <v>5.8</v>
      </c>
      <c r="AA460" s="218">
        <v>5.32</v>
      </c>
    </row>
    <row r="461" spans="1:27">
      <c r="A461" s="218" t="s">
        <v>2592</v>
      </c>
      <c r="F461" s="219" t="str">
        <f>"""IntAlert Live"",""ALERT UK"",""17"",""1"",""540018"""</f>
        <v>"IntAlert Live","ALERT UK","17","1","540018"</v>
      </c>
      <c r="G461" s="223">
        <v>43892</v>
      </c>
      <c r="H461" s="223"/>
      <c r="I461" s="218" t="str">
        <f t="shared" si="159"/>
        <v>DRCBUK/BANK/2020/03/034</v>
      </c>
      <c r="K461" s="218" t="str">
        <f t="shared" si="160"/>
        <v>BCDC BUKAVU</v>
      </c>
      <c r="L461" s="218" t="str">
        <f t="shared" si="161"/>
        <v>FRS MENSUEL DE GESTION</v>
      </c>
      <c r="M461" s="218" t="str">
        <f t="shared" si="154"/>
        <v>9770</v>
      </c>
      <c r="N461" s="218" t="str">
        <f t="shared" si="155"/>
        <v>BANK CHARGES</v>
      </c>
      <c r="O461" s="218" t="str">
        <f t="shared" si="163"/>
        <v>DRCBUK</v>
      </c>
      <c r="P461" s="218" t="str">
        <f t="shared" si="162"/>
        <v>AP21QR</v>
      </c>
      <c r="Q461" s="218" t="str">
        <f>""</f>
        <v/>
      </c>
      <c r="R461" s="218" t="str">
        <f>""</f>
        <v/>
      </c>
      <c r="S461" s="218" t="str">
        <f t="shared" si="156"/>
        <v>075</v>
      </c>
      <c r="T461" s="218" t="str">
        <f t="shared" si="158"/>
        <v>D</v>
      </c>
      <c r="U461" s="218" t="str">
        <f t="shared" si="153"/>
        <v>AFR000</v>
      </c>
      <c r="V461" s="218" t="str">
        <f t="shared" si="157"/>
        <v>###</v>
      </c>
      <c r="W461" s="218">
        <v>5.8</v>
      </c>
      <c r="X461" s="218" t="str">
        <f t="shared" si="164"/>
        <v>USD</v>
      </c>
      <c r="Y461" s="218">
        <v>4.5199999999999996</v>
      </c>
      <c r="Z461" s="218">
        <v>5.8</v>
      </c>
      <c r="AA461" s="218">
        <v>5.32</v>
      </c>
    </row>
    <row r="462" spans="1:27">
      <c r="A462" s="218" t="s">
        <v>2592</v>
      </c>
      <c r="F462" s="219" t="str">
        <f>"""IntAlert Live"",""ALERT UK"",""17"",""1"",""540029"""</f>
        <v>"IntAlert Live","ALERT UK","17","1","540029"</v>
      </c>
      <c r="G462" s="223">
        <v>43892</v>
      </c>
      <c r="H462" s="223"/>
      <c r="I462" s="218" t="str">
        <f t="shared" si="159"/>
        <v>DRCBUK/BANK/2020/03/034</v>
      </c>
      <c r="K462" s="218" t="str">
        <f t="shared" si="160"/>
        <v>BCDC BUKAVU</v>
      </c>
      <c r="L462" s="218" t="str">
        <f t="shared" si="161"/>
        <v>FRS MENSUEL DE GESTION</v>
      </c>
      <c r="M462" s="218" t="str">
        <f t="shared" si="154"/>
        <v>9770</v>
      </c>
      <c r="N462" s="218" t="str">
        <f t="shared" si="155"/>
        <v>BANK CHARGES</v>
      </c>
      <c r="O462" s="218" t="str">
        <f t="shared" si="163"/>
        <v>DRCBUK</v>
      </c>
      <c r="P462" s="218" t="str">
        <f t="shared" si="162"/>
        <v>AP21QR</v>
      </c>
      <c r="Q462" s="218" t="str">
        <f>""</f>
        <v/>
      </c>
      <c r="R462" s="218" t="str">
        <f>""</f>
        <v/>
      </c>
      <c r="S462" s="218" t="str">
        <f t="shared" si="156"/>
        <v>075</v>
      </c>
      <c r="T462" s="218" t="str">
        <f t="shared" si="158"/>
        <v>D</v>
      </c>
      <c r="U462" s="218" t="str">
        <f t="shared" si="153"/>
        <v>AFR000</v>
      </c>
      <c r="V462" s="218" t="str">
        <f t="shared" si="157"/>
        <v>###</v>
      </c>
      <c r="W462" s="218">
        <v>5.8</v>
      </c>
      <c r="X462" s="218" t="str">
        <f t="shared" si="164"/>
        <v>USD</v>
      </c>
      <c r="Y462" s="218">
        <v>4.5199999999999996</v>
      </c>
      <c r="Z462" s="218">
        <v>5.8</v>
      </c>
      <c r="AA462" s="218">
        <v>5.32</v>
      </c>
    </row>
    <row r="463" spans="1:27">
      <c r="A463" s="218" t="s">
        <v>2592</v>
      </c>
      <c r="F463" s="219" t="str">
        <f>"""IntAlert Live"",""ALERT UK"",""17"",""1"",""540030"""</f>
        <v>"IntAlert Live","ALERT UK","17","1","540030"</v>
      </c>
      <c r="G463" s="223">
        <v>43892</v>
      </c>
      <c r="H463" s="223"/>
      <c r="I463" s="218" t="str">
        <f t="shared" si="159"/>
        <v>DRCBUK/BANK/2020/03/034</v>
      </c>
      <c r="K463" s="218" t="str">
        <f t="shared" si="160"/>
        <v>BCDC BUKAVU</v>
      </c>
      <c r="L463" s="218" t="str">
        <f t="shared" si="161"/>
        <v>FRS MENSUEL DE GESTION</v>
      </c>
      <c r="M463" s="218" t="str">
        <f t="shared" si="154"/>
        <v>9770</v>
      </c>
      <c r="N463" s="218" t="str">
        <f t="shared" si="155"/>
        <v>BANK CHARGES</v>
      </c>
      <c r="O463" s="218" t="str">
        <f t="shared" si="163"/>
        <v>DRCBUK</v>
      </c>
      <c r="P463" s="218" t="str">
        <f t="shared" si="162"/>
        <v>AP21QR</v>
      </c>
      <c r="Q463" s="218" t="str">
        <f>""</f>
        <v/>
      </c>
      <c r="R463" s="218" t="str">
        <f>""</f>
        <v/>
      </c>
      <c r="S463" s="218" t="str">
        <f t="shared" si="156"/>
        <v>075</v>
      </c>
      <c r="T463" s="218" t="str">
        <f t="shared" si="158"/>
        <v>D</v>
      </c>
      <c r="U463" s="218" t="str">
        <f t="shared" si="153"/>
        <v>AFR000</v>
      </c>
      <c r="V463" s="218" t="str">
        <f t="shared" si="157"/>
        <v>###</v>
      </c>
      <c r="W463" s="218">
        <v>5.8</v>
      </c>
      <c r="X463" s="218" t="str">
        <f t="shared" si="164"/>
        <v>USD</v>
      </c>
      <c r="Y463" s="218">
        <v>4.5199999999999996</v>
      </c>
      <c r="Z463" s="218">
        <v>5.8</v>
      </c>
      <c r="AA463" s="218">
        <v>5.32</v>
      </c>
    </row>
    <row r="464" spans="1:27">
      <c r="A464" s="218" t="s">
        <v>2592</v>
      </c>
      <c r="F464" s="219" t="str">
        <f>"""IntAlert Live"",""ALERT UK"",""17"",""1"",""540032"""</f>
        <v>"IntAlert Live","ALERT UK","17","1","540032"</v>
      </c>
      <c r="G464" s="223">
        <v>43892</v>
      </c>
      <c r="H464" s="223"/>
      <c r="I464" s="218" t="str">
        <f t="shared" si="159"/>
        <v>DRCBUK/BANK/2020/03/034</v>
      </c>
      <c r="K464" s="218" t="str">
        <f t="shared" si="160"/>
        <v>BCDC BUKAVU</v>
      </c>
      <c r="L464" s="218" t="str">
        <f t="shared" si="161"/>
        <v>FRS MENSUEL DE GESTION</v>
      </c>
      <c r="M464" s="218" t="str">
        <f t="shared" si="154"/>
        <v>9770</v>
      </c>
      <c r="N464" s="218" t="str">
        <f t="shared" si="155"/>
        <v>BANK CHARGES</v>
      </c>
      <c r="O464" s="218" t="str">
        <f t="shared" si="163"/>
        <v>DRCBUK</v>
      </c>
      <c r="P464" s="218" t="str">
        <f t="shared" si="162"/>
        <v>AP21QR</v>
      </c>
      <c r="Q464" s="218" t="str">
        <f>""</f>
        <v/>
      </c>
      <c r="R464" s="218" t="str">
        <f>""</f>
        <v/>
      </c>
      <c r="S464" s="218" t="str">
        <f t="shared" si="156"/>
        <v>075</v>
      </c>
      <c r="T464" s="218" t="str">
        <f t="shared" si="158"/>
        <v>D</v>
      </c>
      <c r="U464" s="218" t="str">
        <f t="shared" si="153"/>
        <v>AFR000</v>
      </c>
      <c r="V464" s="218" t="str">
        <f t="shared" si="157"/>
        <v>###</v>
      </c>
      <c r="W464" s="218">
        <v>5.8</v>
      </c>
      <c r="X464" s="218" t="str">
        <f t="shared" si="164"/>
        <v>USD</v>
      </c>
      <c r="Y464" s="218">
        <v>4.5199999999999996</v>
      </c>
      <c r="Z464" s="218">
        <v>5.8</v>
      </c>
      <c r="AA464" s="218">
        <v>5.32</v>
      </c>
    </row>
    <row r="465" spans="1:27">
      <c r="A465" s="218" t="s">
        <v>2592</v>
      </c>
      <c r="F465" s="219" t="str">
        <f>"""IntAlert Live"",""ALERT UK"",""17"",""1"",""540033"""</f>
        <v>"IntAlert Live","ALERT UK","17","1","540033"</v>
      </c>
      <c r="G465" s="223">
        <v>43892</v>
      </c>
      <c r="H465" s="223"/>
      <c r="I465" s="218" t="str">
        <f t="shared" si="159"/>
        <v>DRCBUK/BANK/2020/03/034</v>
      </c>
      <c r="K465" s="218" t="str">
        <f t="shared" si="160"/>
        <v>BCDC BUKAVU</v>
      </c>
      <c r="L465" s="218" t="str">
        <f t="shared" si="161"/>
        <v>FRS MENSUEL DE GESTION</v>
      </c>
      <c r="M465" s="218" t="str">
        <f t="shared" si="154"/>
        <v>9770</v>
      </c>
      <c r="N465" s="218" t="str">
        <f t="shared" si="155"/>
        <v>BANK CHARGES</v>
      </c>
      <c r="O465" s="218" t="str">
        <f t="shared" si="163"/>
        <v>DRCBUK</v>
      </c>
      <c r="P465" s="218" t="str">
        <f t="shared" si="162"/>
        <v>AP21QR</v>
      </c>
      <c r="Q465" s="218" t="str">
        <f>""</f>
        <v/>
      </c>
      <c r="R465" s="218" t="str">
        <f>""</f>
        <v/>
      </c>
      <c r="S465" s="218" t="str">
        <f t="shared" si="156"/>
        <v>075</v>
      </c>
      <c r="T465" s="218" t="str">
        <f t="shared" si="158"/>
        <v>D</v>
      </c>
      <c r="U465" s="218" t="str">
        <f t="shared" si="153"/>
        <v>AFR000</v>
      </c>
      <c r="V465" s="218" t="str">
        <f t="shared" si="157"/>
        <v>###</v>
      </c>
      <c r="W465" s="218">
        <v>5.8</v>
      </c>
      <c r="X465" s="218" t="str">
        <f t="shared" si="164"/>
        <v>USD</v>
      </c>
      <c r="Y465" s="218">
        <v>4.5199999999999996</v>
      </c>
      <c r="Z465" s="218">
        <v>5.8</v>
      </c>
      <c r="AA465" s="218">
        <v>5.32</v>
      </c>
    </row>
    <row r="466" spans="1:27">
      <c r="A466" s="218" t="s">
        <v>2592</v>
      </c>
      <c r="F466" s="219" t="str">
        <f>"""IntAlert Live"",""ALERT UK"",""17"",""1"",""540035"""</f>
        <v>"IntAlert Live","ALERT UK","17","1","540035"</v>
      </c>
      <c r="G466" s="223">
        <v>43892</v>
      </c>
      <c r="H466" s="223"/>
      <c r="I466" s="218" t="str">
        <f t="shared" si="159"/>
        <v>DRCBUK/BANK/2020/03/034</v>
      </c>
      <c r="K466" s="218" t="str">
        <f t="shared" si="160"/>
        <v>BCDC BUKAVU</v>
      </c>
      <c r="L466" s="218" t="str">
        <f>"OV 60181973 $26580,96 CION"</f>
        <v>OV 60181973 $26580,96 CION</v>
      </c>
      <c r="M466" s="218" t="str">
        <f t="shared" si="154"/>
        <v>9770</v>
      </c>
      <c r="N466" s="218" t="str">
        <f t="shared" si="155"/>
        <v>BANK CHARGES</v>
      </c>
      <c r="O466" s="218" t="str">
        <f t="shared" si="163"/>
        <v>DRCBUK</v>
      </c>
      <c r="P466" s="218" t="str">
        <f t="shared" si="162"/>
        <v>AP21QR</v>
      </c>
      <c r="Q466" s="218" t="str">
        <f>""</f>
        <v/>
      </c>
      <c r="R466" s="218" t="str">
        <f>""</f>
        <v/>
      </c>
      <c r="S466" s="218" t="str">
        <f t="shared" si="156"/>
        <v>075</v>
      </c>
      <c r="T466" s="218" t="str">
        <f t="shared" si="158"/>
        <v>D</v>
      </c>
      <c r="U466" s="218" t="str">
        <f t="shared" si="153"/>
        <v>AFR000</v>
      </c>
      <c r="V466" s="218" t="str">
        <f t="shared" si="157"/>
        <v>###</v>
      </c>
      <c r="W466" s="218">
        <v>265.81</v>
      </c>
      <c r="X466" s="218" t="str">
        <f t="shared" si="164"/>
        <v>USD</v>
      </c>
      <c r="Y466" s="218">
        <v>207.34</v>
      </c>
      <c r="Z466" s="218">
        <v>265.81</v>
      </c>
      <c r="AA466" s="218">
        <v>243.94</v>
      </c>
    </row>
    <row r="467" spans="1:27">
      <c r="A467" s="218" t="s">
        <v>2592</v>
      </c>
      <c r="F467" s="219" t="str">
        <f>"""IntAlert Live"",""ALERT UK"",""17"",""1"",""540037"""</f>
        <v>"IntAlert Live","ALERT UK","17","1","540037"</v>
      </c>
      <c r="G467" s="223">
        <v>43893</v>
      </c>
      <c r="H467" s="223"/>
      <c r="I467" s="218" t="str">
        <f t="shared" si="159"/>
        <v>DRCBUK/BANK/2020/03/034</v>
      </c>
      <c r="K467" s="218" t="str">
        <f t="shared" si="160"/>
        <v>BCDC BUKAVU</v>
      </c>
      <c r="L467" s="218" t="str">
        <f>"Cion TTC chèque 09098448"</f>
        <v>Cion TTC chèque 09098448</v>
      </c>
      <c r="M467" s="218" t="str">
        <f t="shared" si="154"/>
        <v>9770</v>
      </c>
      <c r="N467" s="218" t="str">
        <f t="shared" si="155"/>
        <v>BANK CHARGES</v>
      </c>
      <c r="O467" s="218" t="str">
        <f t="shared" si="163"/>
        <v>DRCBUK</v>
      </c>
      <c r="P467" s="218" t="str">
        <f t="shared" si="162"/>
        <v>AP21QR</v>
      </c>
      <c r="Q467" s="218" t="str">
        <f>""</f>
        <v/>
      </c>
      <c r="R467" s="218" t="str">
        <f>""</f>
        <v/>
      </c>
      <c r="S467" s="218" t="str">
        <f t="shared" si="156"/>
        <v>075</v>
      </c>
      <c r="T467" s="218" t="str">
        <f t="shared" si="158"/>
        <v>D</v>
      </c>
      <c r="U467" s="218" t="str">
        <f t="shared" si="153"/>
        <v>AFR000</v>
      </c>
      <c r="V467" s="218" t="str">
        <f t="shared" si="157"/>
        <v>###</v>
      </c>
      <c r="W467" s="218">
        <v>4.6399999999999997</v>
      </c>
      <c r="X467" s="218" t="str">
        <f t="shared" si="164"/>
        <v>USD</v>
      </c>
      <c r="Y467" s="218">
        <v>3.62</v>
      </c>
      <c r="Z467" s="218">
        <v>4.6399999999999997</v>
      </c>
      <c r="AA467" s="218">
        <v>4.26</v>
      </c>
    </row>
    <row r="468" spans="1:27">
      <c r="A468" s="218" t="s">
        <v>2592</v>
      </c>
      <c r="F468" s="219" t="str">
        <f>"""IntAlert Live"",""ALERT UK"",""17"",""1"",""540043"""</f>
        <v>"IntAlert Live","ALERT UK","17","1","540043"</v>
      </c>
      <c r="G468" s="223">
        <v>43894</v>
      </c>
      <c r="H468" s="223"/>
      <c r="I468" s="218" t="str">
        <f t="shared" si="159"/>
        <v>DRCBUK/BANK/2020/03/034</v>
      </c>
      <c r="K468" s="218" t="str">
        <f t="shared" si="160"/>
        <v>BCDC BUKAVU</v>
      </c>
      <c r="L468" s="218" t="str">
        <f>"CION DE TRANSFERT"</f>
        <v>CION DE TRANSFERT</v>
      </c>
      <c r="M468" s="218" t="str">
        <f t="shared" si="154"/>
        <v>9770</v>
      </c>
      <c r="N468" s="218" t="str">
        <f t="shared" si="155"/>
        <v>BANK CHARGES</v>
      </c>
      <c r="O468" s="218" t="str">
        <f t="shared" si="163"/>
        <v>DRCBUK</v>
      </c>
      <c r="P468" s="218" t="str">
        <f t="shared" si="162"/>
        <v>AP21QR</v>
      </c>
      <c r="Q468" s="218" t="str">
        <f>""</f>
        <v/>
      </c>
      <c r="R468" s="218" t="str">
        <f>""</f>
        <v/>
      </c>
      <c r="S468" s="218" t="str">
        <f t="shared" si="156"/>
        <v>075</v>
      </c>
      <c r="T468" s="218" t="str">
        <f t="shared" si="158"/>
        <v>D</v>
      </c>
      <c r="U468" s="218" t="str">
        <f t="shared" si="153"/>
        <v>AFR000</v>
      </c>
      <c r="V468" s="218" t="str">
        <f t="shared" si="157"/>
        <v>###</v>
      </c>
      <c r="W468" s="218">
        <v>46.4</v>
      </c>
      <c r="X468" s="218" t="str">
        <f t="shared" si="164"/>
        <v>USD</v>
      </c>
      <c r="Y468" s="218">
        <v>36.19</v>
      </c>
      <c r="Z468" s="218">
        <v>46.4</v>
      </c>
      <c r="AA468" s="218">
        <v>42.58</v>
      </c>
    </row>
    <row r="469" spans="1:27">
      <c r="A469" s="218" t="s">
        <v>2592</v>
      </c>
      <c r="F469" s="219" t="str">
        <f>"""IntAlert Live"",""ALERT UK"",""17"",""1"",""540060"""</f>
        <v>"IntAlert Live","ALERT UK","17","1","540060"</v>
      </c>
      <c r="G469" s="223">
        <v>43896</v>
      </c>
      <c r="H469" s="223"/>
      <c r="I469" s="218" t="str">
        <f t="shared" si="159"/>
        <v>DRCBUK/BANK/2020/03/034</v>
      </c>
      <c r="K469" s="218" t="str">
        <f t="shared" si="160"/>
        <v>BCDC BUKAVU</v>
      </c>
      <c r="L469" s="218" t="str">
        <f>"Cion TTC chèque 09098435"</f>
        <v>Cion TTC chèque 09098435</v>
      </c>
      <c r="M469" s="218" t="str">
        <f t="shared" si="154"/>
        <v>9770</v>
      </c>
      <c r="N469" s="218" t="str">
        <f t="shared" si="155"/>
        <v>BANK CHARGES</v>
      </c>
      <c r="O469" s="218" t="str">
        <f t="shared" si="163"/>
        <v>DRCBUK</v>
      </c>
      <c r="P469" s="218" t="str">
        <f t="shared" si="162"/>
        <v>AP21QR</v>
      </c>
      <c r="Q469" s="218" t="str">
        <f>""</f>
        <v/>
      </c>
      <c r="R469" s="218" t="str">
        <f>""</f>
        <v/>
      </c>
      <c r="S469" s="218" t="str">
        <f t="shared" si="156"/>
        <v>075</v>
      </c>
      <c r="T469" s="218" t="str">
        <f t="shared" si="158"/>
        <v>D</v>
      </c>
      <c r="U469" s="218" t="str">
        <f t="shared" ref="U469:U500" si="165">"AFR000"</f>
        <v>AFR000</v>
      </c>
      <c r="V469" s="218" t="str">
        <f t="shared" si="157"/>
        <v>###</v>
      </c>
      <c r="W469" s="218">
        <v>4.78</v>
      </c>
      <c r="X469" s="218" t="str">
        <f t="shared" si="164"/>
        <v>USD</v>
      </c>
      <c r="Y469" s="218">
        <v>3.73</v>
      </c>
      <c r="Z469" s="218">
        <v>4.78</v>
      </c>
      <c r="AA469" s="218">
        <v>4.3899999999999997</v>
      </c>
    </row>
    <row r="470" spans="1:27">
      <c r="A470" s="218" t="s">
        <v>2592</v>
      </c>
      <c r="F470" s="219" t="str">
        <f>"""IntAlert Live"",""ALERT UK"",""17"",""1"",""540062"""</f>
        <v>"IntAlert Live","ALERT UK","17","1","540062"</v>
      </c>
      <c r="G470" s="223">
        <v>43896</v>
      </c>
      <c r="H470" s="223"/>
      <c r="I470" s="218" t="str">
        <f t="shared" si="159"/>
        <v>DRCBUK/BANK/2020/03/034</v>
      </c>
      <c r="K470" s="218" t="str">
        <f t="shared" si="160"/>
        <v>BCDC BUKAVU</v>
      </c>
      <c r="L470" s="218" t="str">
        <f>"CION DE TRANSFERT"</f>
        <v>CION DE TRANSFERT</v>
      </c>
      <c r="M470" s="218" t="str">
        <f t="shared" si="154"/>
        <v>9770</v>
      </c>
      <c r="N470" s="218" t="str">
        <f t="shared" si="155"/>
        <v>BANK CHARGES</v>
      </c>
      <c r="O470" s="218" t="str">
        <f t="shared" si="163"/>
        <v>DRCBUK</v>
      </c>
      <c r="P470" s="218" t="str">
        <f t="shared" si="162"/>
        <v>AP21QR</v>
      </c>
      <c r="Q470" s="218" t="str">
        <f>""</f>
        <v/>
      </c>
      <c r="R470" s="218" t="str">
        <f>""</f>
        <v/>
      </c>
      <c r="S470" s="218" t="str">
        <f t="shared" si="156"/>
        <v>075</v>
      </c>
      <c r="T470" s="218" t="str">
        <f t="shared" si="158"/>
        <v>D</v>
      </c>
      <c r="U470" s="218" t="str">
        <f t="shared" si="165"/>
        <v>AFR000</v>
      </c>
      <c r="V470" s="218" t="str">
        <f t="shared" si="157"/>
        <v>###</v>
      </c>
      <c r="W470" s="218">
        <v>190.69</v>
      </c>
      <c r="X470" s="218" t="str">
        <f t="shared" si="164"/>
        <v>USD</v>
      </c>
      <c r="Y470" s="218">
        <v>148.75</v>
      </c>
      <c r="Z470" s="218">
        <v>190.69</v>
      </c>
      <c r="AA470" s="218">
        <v>175.01</v>
      </c>
    </row>
    <row r="471" spans="1:27">
      <c r="A471" s="218" t="s">
        <v>2592</v>
      </c>
      <c r="F471" s="219" t="str">
        <f>"""IntAlert Live"",""ALERT UK"",""17"",""1"",""540063"""</f>
        <v>"IntAlert Live","ALERT UK","17","1","540063"</v>
      </c>
      <c r="G471" s="223">
        <v>43896</v>
      </c>
      <c r="H471" s="223"/>
      <c r="I471" s="218" t="str">
        <f t="shared" si="159"/>
        <v>DRCBUK/BANK/2020/03/034</v>
      </c>
      <c r="K471" s="218" t="str">
        <f t="shared" si="160"/>
        <v>BCDC BUKAVU</v>
      </c>
      <c r="L471" s="218" t="str">
        <f>"CION DE TRANSFERT"</f>
        <v>CION DE TRANSFERT</v>
      </c>
      <c r="M471" s="218" t="str">
        <f t="shared" ref="M471:M487" si="166">"9770"</f>
        <v>9770</v>
      </c>
      <c r="N471" s="218" t="str">
        <f t="shared" ref="N471:N487" si="167">"BANK CHARGES"</f>
        <v>BANK CHARGES</v>
      </c>
      <c r="O471" s="218" t="str">
        <f t="shared" si="163"/>
        <v>DRCBUK</v>
      </c>
      <c r="P471" s="218" t="str">
        <f t="shared" si="162"/>
        <v>AP21QR</v>
      </c>
      <c r="Q471" s="218" t="str">
        <f>""</f>
        <v/>
      </c>
      <c r="R471" s="218" t="str">
        <f>""</f>
        <v/>
      </c>
      <c r="S471" s="218" t="str">
        <f t="shared" ref="S471:S487" si="168">"075"</f>
        <v>075</v>
      </c>
      <c r="T471" s="218" t="str">
        <f t="shared" si="158"/>
        <v>D</v>
      </c>
      <c r="U471" s="218" t="str">
        <f t="shared" si="165"/>
        <v>AFR000</v>
      </c>
      <c r="V471" s="218" t="str">
        <f t="shared" si="157"/>
        <v>###</v>
      </c>
      <c r="W471" s="218">
        <v>160.63</v>
      </c>
      <c r="X471" s="218" t="str">
        <f t="shared" si="164"/>
        <v>USD</v>
      </c>
      <c r="Y471" s="218">
        <v>125.3</v>
      </c>
      <c r="Z471" s="218">
        <v>160.63</v>
      </c>
      <c r="AA471" s="218">
        <v>147.41999999999999</v>
      </c>
    </row>
    <row r="472" spans="1:27">
      <c r="A472" s="218" t="s">
        <v>2592</v>
      </c>
      <c r="F472" s="219" t="str">
        <f>"""IntAlert Live"",""ALERT UK"",""17"",""1"",""540064"""</f>
        <v>"IntAlert Live","ALERT UK","17","1","540064"</v>
      </c>
      <c r="G472" s="223">
        <v>43896</v>
      </c>
      <c r="H472" s="223"/>
      <c r="I472" s="218" t="str">
        <f t="shared" si="159"/>
        <v>DRCBUK/BANK/2020/03/034</v>
      </c>
      <c r="K472" s="218" t="str">
        <f t="shared" si="160"/>
        <v>BCDC BUKAVU</v>
      </c>
      <c r="L472" s="218" t="str">
        <f>"CION DE TRANSFERT"</f>
        <v>CION DE TRANSFERT</v>
      </c>
      <c r="M472" s="218" t="str">
        <f t="shared" si="166"/>
        <v>9770</v>
      </c>
      <c r="N472" s="218" t="str">
        <f t="shared" si="167"/>
        <v>BANK CHARGES</v>
      </c>
      <c r="O472" s="218" t="str">
        <f t="shared" si="163"/>
        <v>DRCBUK</v>
      </c>
      <c r="P472" s="218" t="str">
        <f t="shared" si="162"/>
        <v>AP21QR</v>
      </c>
      <c r="Q472" s="218" t="str">
        <f>""</f>
        <v/>
      </c>
      <c r="R472" s="218" t="str">
        <f>""</f>
        <v/>
      </c>
      <c r="S472" s="218" t="str">
        <f t="shared" si="168"/>
        <v>075</v>
      </c>
      <c r="T472" s="218" t="str">
        <f t="shared" si="158"/>
        <v>D</v>
      </c>
      <c r="U472" s="218" t="str">
        <f t="shared" si="165"/>
        <v>AFR000</v>
      </c>
      <c r="V472" s="218" t="str">
        <f t="shared" si="157"/>
        <v>###</v>
      </c>
      <c r="W472" s="218">
        <v>253.66</v>
      </c>
      <c r="X472" s="218" t="str">
        <f t="shared" si="164"/>
        <v>USD</v>
      </c>
      <c r="Y472" s="218">
        <v>197.87</v>
      </c>
      <c r="Z472" s="218">
        <v>253.66</v>
      </c>
      <c r="AA472" s="218">
        <v>232.8</v>
      </c>
    </row>
    <row r="473" spans="1:27">
      <c r="A473" s="218" t="s">
        <v>2592</v>
      </c>
      <c r="F473" s="219" t="str">
        <f>"""IntAlert Live"",""ALERT UK"",""17"",""1"",""540066"""</f>
        <v>"IntAlert Live","ALERT UK","17","1","540066"</v>
      </c>
      <c r="G473" s="223">
        <v>43896</v>
      </c>
      <c r="H473" s="223"/>
      <c r="I473" s="218" t="str">
        <f t="shared" si="159"/>
        <v>DRCBUK/BANK/2020/03/034</v>
      </c>
      <c r="K473" s="218" t="str">
        <f t="shared" si="160"/>
        <v>BCDC BUKAVU</v>
      </c>
      <c r="L473" s="218" t="str">
        <f>"COMSION VAL LIC. DEC0786648"</f>
        <v>COMSION VAL LIC. DEC0786648</v>
      </c>
      <c r="M473" s="218" t="str">
        <f t="shared" si="166"/>
        <v>9770</v>
      </c>
      <c r="N473" s="218" t="str">
        <f t="shared" si="167"/>
        <v>BANK CHARGES</v>
      </c>
      <c r="O473" s="218" t="str">
        <f t="shared" si="163"/>
        <v>DRCBUK</v>
      </c>
      <c r="P473" s="218" t="str">
        <f t="shared" si="162"/>
        <v>AP21QR</v>
      </c>
      <c r="Q473" s="218" t="str">
        <f>""</f>
        <v/>
      </c>
      <c r="R473" s="218" t="str">
        <f>""</f>
        <v/>
      </c>
      <c r="S473" s="218" t="str">
        <f t="shared" si="168"/>
        <v>075</v>
      </c>
      <c r="T473" s="218" t="str">
        <f t="shared" si="158"/>
        <v>D</v>
      </c>
      <c r="U473" s="218" t="str">
        <f t="shared" si="165"/>
        <v>AFR000</v>
      </c>
      <c r="V473" s="218" t="str">
        <f t="shared" si="157"/>
        <v>###</v>
      </c>
      <c r="W473" s="218">
        <v>10</v>
      </c>
      <c r="X473" s="218" t="str">
        <f t="shared" si="164"/>
        <v>USD</v>
      </c>
      <c r="Y473" s="218">
        <v>7.8</v>
      </c>
      <c r="Z473" s="218">
        <v>10</v>
      </c>
      <c r="AA473" s="218">
        <v>9.18</v>
      </c>
    </row>
    <row r="474" spans="1:27">
      <c r="A474" s="218" t="s">
        <v>2592</v>
      </c>
      <c r="F474" s="219" t="str">
        <f>"""IntAlert Live"",""ALERT UK"",""17"",""1"",""540073"""</f>
        <v>"IntAlert Live","ALERT UK","17","1","540073"</v>
      </c>
      <c r="G474" s="223">
        <v>43899</v>
      </c>
      <c r="H474" s="223"/>
      <c r="I474" s="218" t="str">
        <f t="shared" si="159"/>
        <v>DRCBUK/BANK/2020/03/034</v>
      </c>
      <c r="K474" s="218" t="str">
        <f t="shared" si="160"/>
        <v>BCDC BUKAVU</v>
      </c>
      <c r="L474" s="218" t="str">
        <f>"COMSION LIS LIC. DEC0785389"</f>
        <v>COMSION LIS LIC. DEC0785389</v>
      </c>
      <c r="M474" s="218" t="str">
        <f t="shared" si="166"/>
        <v>9770</v>
      </c>
      <c r="N474" s="218" t="str">
        <f t="shared" si="167"/>
        <v>BANK CHARGES</v>
      </c>
      <c r="O474" s="218" t="str">
        <f t="shared" si="163"/>
        <v>DRCBUK</v>
      </c>
      <c r="P474" s="218" t="str">
        <f t="shared" si="162"/>
        <v>AP21QR</v>
      </c>
      <c r="Q474" s="218" t="str">
        <f>""</f>
        <v/>
      </c>
      <c r="R474" s="218" t="str">
        <f>""</f>
        <v/>
      </c>
      <c r="S474" s="218" t="str">
        <f t="shared" si="168"/>
        <v>075</v>
      </c>
      <c r="T474" s="218" t="str">
        <f t="shared" si="158"/>
        <v>D</v>
      </c>
      <c r="U474" s="218" t="str">
        <f t="shared" si="165"/>
        <v>AFR000</v>
      </c>
      <c r="V474" s="218" t="str">
        <f t="shared" si="157"/>
        <v>###</v>
      </c>
      <c r="W474" s="218">
        <v>10</v>
      </c>
      <c r="X474" s="218" t="str">
        <f t="shared" si="164"/>
        <v>USD</v>
      </c>
      <c r="Y474" s="218">
        <v>7.8</v>
      </c>
      <c r="Z474" s="218">
        <v>10</v>
      </c>
      <c r="AA474" s="218">
        <v>9.18</v>
      </c>
    </row>
    <row r="475" spans="1:27">
      <c r="A475" s="218" t="s">
        <v>2592</v>
      </c>
      <c r="F475" s="219" t="str">
        <f>"""IntAlert Live"",""ALERT UK"",""17"",""1"",""540074"""</f>
        <v>"IntAlert Live","ALERT UK","17","1","540074"</v>
      </c>
      <c r="G475" s="223">
        <v>43899</v>
      </c>
      <c r="H475" s="223"/>
      <c r="I475" s="218" t="str">
        <f t="shared" si="159"/>
        <v>DRCBUK/BANK/2020/03/034</v>
      </c>
      <c r="K475" s="218" t="str">
        <f t="shared" si="160"/>
        <v>BCDC BUKAVU</v>
      </c>
      <c r="L475" s="218" t="str">
        <f>"TVA SUR LIS LIC. DEC0785389"</f>
        <v>TVA SUR LIS LIC. DEC0785389</v>
      </c>
      <c r="M475" s="218" t="str">
        <f t="shared" si="166"/>
        <v>9770</v>
      </c>
      <c r="N475" s="218" t="str">
        <f t="shared" si="167"/>
        <v>BANK CHARGES</v>
      </c>
      <c r="O475" s="218" t="str">
        <f t="shared" si="163"/>
        <v>DRCBUK</v>
      </c>
      <c r="P475" s="218" t="str">
        <f t="shared" si="162"/>
        <v>AP21QR</v>
      </c>
      <c r="Q475" s="218" t="str">
        <f>""</f>
        <v/>
      </c>
      <c r="R475" s="218" t="str">
        <f>""</f>
        <v/>
      </c>
      <c r="S475" s="218" t="str">
        <f t="shared" si="168"/>
        <v>075</v>
      </c>
      <c r="T475" s="218" t="str">
        <f t="shared" si="158"/>
        <v>D</v>
      </c>
      <c r="U475" s="218" t="str">
        <f t="shared" si="165"/>
        <v>AFR000</v>
      </c>
      <c r="V475" s="218" t="str">
        <f t="shared" si="157"/>
        <v>###</v>
      </c>
      <c r="W475" s="218">
        <v>1.6</v>
      </c>
      <c r="X475" s="218" t="str">
        <f t="shared" si="164"/>
        <v>USD</v>
      </c>
      <c r="Y475" s="218">
        <v>1.25</v>
      </c>
      <c r="Z475" s="218">
        <v>1.6</v>
      </c>
      <c r="AA475" s="218">
        <v>1.47</v>
      </c>
    </row>
    <row r="476" spans="1:27">
      <c r="A476" s="218" t="s">
        <v>2592</v>
      </c>
      <c r="F476" s="219" t="str">
        <f>"""IntAlert Live"",""ALERT UK"",""17"",""1"",""540099"""</f>
        <v>"IntAlert Live","ALERT UK","17","1","540099"</v>
      </c>
      <c r="G476" s="223">
        <v>43909</v>
      </c>
      <c r="H476" s="223"/>
      <c r="I476" s="218" t="str">
        <f t="shared" si="159"/>
        <v>DRCBUK/BANK/2020/03/034</v>
      </c>
      <c r="K476" s="218" t="str">
        <f t="shared" si="160"/>
        <v>BCDC BUKAVU</v>
      </c>
      <c r="L476" s="218" t="str">
        <f>"Cion TTC chèque 09522358"</f>
        <v>Cion TTC chèque 09522358</v>
      </c>
      <c r="M476" s="218" t="str">
        <f t="shared" si="166"/>
        <v>9770</v>
      </c>
      <c r="N476" s="218" t="str">
        <f t="shared" si="167"/>
        <v>BANK CHARGES</v>
      </c>
      <c r="O476" s="218" t="str">
        <f t="shared" si="163"/>
        <v>DRCBUK</v>
      </c>
      <c r="P476" s="218" t="str">
        <f t="shared" si="162"/>
        <v>AP21QR</v>
      </c>
      <c r="Q476" s="218" t="str">
        <f>""</f>
        <v/>
      </c>
      <c r="R476" s="218" t="str">
        <f>""</f>
        <v/>
      </c>
      <c r="S476" s="218" t="str">
        <f t="shared" si="168"/>
        <v>075</v>
      </c>
      <c r="T476" s="218" t="str">
        <f t="shared" si="158"/>
        <v>D</v>
      </c>
      <c r="U476" s="218" t="str">
        <f t="shared" si="165"/>
        <v>AFR000</v>
      </c>
      <c r="V476" s="218" t="str">
        <f t="shared" si="157"/>
        <v>###</v>
      </c>
      <c r="W476" s="218">
        <v>7.42</v>
      </c>
      <c r="X476" s="218" t="str">
        <f t="shared" si="164"/>
        <v>USD</v>
      </c>
      <c r="Y476" s="218">
        <v>5.79</v>
      </c>
      <c r="Z476" s="218">
        <v>7.42</v>
      </c>
      <c r="AA476" s="218">
        <v>6.81</v>
      </c>
    </row>
    <row r="477" spans="1:27">
      <c r="A477" s="218" t="s">
        <v>2592</v>
      </c>
      <c r="F477" s="219" t="str">
        <f>"""IntAlert Live"",""ALERT UK"",""17"",""1"",""540100"""</f>
        <v>"IntAlert Live","ALERT UK","17","1","540100"</v>
      </c>
      <c r="G477" s="223">
        <v>43909</v>
      </c>
      <c r="H477" s="223"/>
      <c r="I477" s="218" t="str">
        <f t="shared" si="159"/>
        <v>DRCBUK/BANK/2020/03/034</v>
      </c>
      <c r="K477" s="218" t="str">
        <f t="shared" si="160"/>
        <v>BCDC BUKAVU</v>
      </c>
      <c r="L477" s="218" t="str">
        <f>"Cion TTC chèque 09522360"</f>
        <v>Cion TTC chèque 09522360</v>
      </c>
      <c r="M477" s="218" t="str">
        <f t="shared" si="166"/>
        <v>9770</v>
      </c>
      <c r="N477" s="218" t="str">
        <f t="shared" si="167"/>
        <v>BANK CHARGES</v>
      </c>
      <c r="O477" s="218" t="str">
        <f t="shared" si="163"/>
        <v>DRCBUK</v>
      </c>
      <c r="P477" s="218" t="str">
        <f t="shared" si="162"/>
        <v>AP21QR</v>
      </c>
      <c r="Q477" s="218" t="str">
        <f>""</f>
        <v/>
      </c>
      <c r="R477" s="218" t="str">
        <f>""</f>
        <v/>
      </c>
      <c r="S477" s="218" t="str">
        <f t="shared" si="168"/>
        <v>075</v>
      </c>
      <c r="T477" s="218" t="str">
        <f t="shared" si="158"/>
        <v>D</v>
      </c>
      <c r="U477" s="218" t="str">
        <f t="shared" si="165"/>
        <v>AFR000</v>
      </c>
      <c r="V477" s="218" t="str">
        <f t="shared" si="157"/>
        <v>###</v>
      </c>
      <c r="W477" s="218">
        <v>6.96</v>
      </c>
      <c r="X477" s="218" t="str">
        <f t="shared" si="164"/>
        <v>USD</v>
      </c>
      <c r="Y477" s="218">
        <v>5.43</v>
      </c>
      <c r="Z477" s="218">
        <v>6.96</v>
      </c>
      <c r="AA477" s="218">
        <v>6.39</v>
      </c>
    </row>
    <row r="478" spans="1:27">
      <c r="A478" s="218" t="s">
        <v>2592</v>
      </c>
      <c r="F478" s="219" t="str">
        <f>"""IntAlert Live"",""ALERT UK"",""17"",""1"",""539811"""</f>
        <v>"IntAlert Live","ALERT UK","17","1","539811"</v>
      </c>
      <c r="G478" s="223">
        <v>43910</v>
      </c>
      <c r="H478" s="223"/>
      <c r="I478" s="218" t="str">
        <f>"DRCBUK/BANK/2020/03/024"</f>
        <v>DRCBUK/BANK/2020/03/024</v>
      </c>
      <c r="K478" s="218" t="str">
        <f>"BANQUE CORRESPONDANTE"</f>
        <v>BANQUE CORRESPONDANTE</v>
      </c>
      <c r="L478" s="218" t="str">
        <f>"Frs bancaire sur CNSS retourné 50%"</f>
        <v>Frs bancaire sur CNSS retourné 50%</v>
      </c>
      <c r="M478" s="218" t="str">
        <f t="shared" si="166"/>
        <v>9770</v>
      </c>
      <c r="N478" s="218" t="str">
        <f t="shared" si="167"/>
        <v>BANK CHARGES</v>
      </c>
      <c r="O478" s="218" t="str">
        <f t="shared" si="163"/>
        <v>DRCBUK</v>
      </c>
      <c r="P478" s="218" t="str">
        <f t="shared" si="162"/>
        <v>AP21QR</v>
      </c>
      <c r="Q478" s="218" t="str">
        <f>""</f>
        <v/>
      </c>
      <c r="R478" s="218" t="str">
        <f>""</f>
        <v/>
      </c>
      <c r="S478" s="218" t="str">
        <f t="shared" si="168"/>
        <v>075</v>
      </c>
      <c r="T478" s="218" t="str">
        <f t="shared" si="158"/>
        <v>D</v>
      </c>
      <c r="U478" s="218" t="str">
        <f t="shared" si="165"/>
        <v>AFR000</v>
      </c>
      <c r="V478" s="218" t="str">
        <f t="shared" si="157"/>
        <v>###</v>
      </c>
      <c r="W478" s="218">
        <v>75</v>
      </c>
      <c r="X478" s="218" t="str">
        <f t="shared" si="164"/>
        <v>USD</v>
      </c>
      <c r="Y478" s="218">
        <v>58.5</v>
      </c>
      <c r="Z478" s="218">
        <v>75</v>
      </c>
      <c r="AA478" s="218">
        <v>68.83</v>
      </c>
    </row>
    <row r="479" spans="1:27">
      <c r="A479" s="218" t="s">
        <v>2592</v>
      </c>
      <c r="F479" s="219" t="str">
        <f>"""IntAlert Live"",""ALERT UK"",""17"",""1"",""540102"""</f>
        <v>"IntAlert Live","ALERT UK","17","1","540102"</v>
      </c>
      <c r="G479" s="223">
        <v>43914</v>
      </c>
      <c r="H479" s="223"/>
      <c r="I479" s="218" t="str">
        <f>"DRCBUK/BANK/2020/03/034"</f>
        <v>DRCBUK/BANK/2020/03/034</v>
      </c>
      <c r="K479" s="218" t="str">
        <f t="shared" ref="K479:K486" si="169">"BCDC BUKAVU"</f>
        <v>BCDC BUKAVU</v>
      </c>
      <c r="L479" s="218" t="str">
        <f>"Cion TTC chèque 09522359"</f>
        <v>Cion TTC chèque 09522359</v>
      </c>
      <c r="M479" s="218" t="str">
        <f t="shared" si="166"/>
        <v>9770</v>
      </c>
      <c r="N479" s="218" t="str">
        <f t="shared" si="167"/>
        <v>BANK CHARGES</v>
      </c>
      <c r="O479" s="218" t="str">
        <f t="shared" si="163"/>
        <v>DRCBUK</v>
      </c>
      <c r="P479" s="218" t="str">
        <f t="shared" si="162"/>
        <v>AP21QR</v>
      </c>
      <c r="Q479" s="218" t="str">
        <f>""</f>
        <v/>
      </c>
      <c r="R479" s="218" t="str">
        <f>""</f>
        <v/>
      </c>
      <c r="S479" s="218" t="str">
        <f t="shared" si="168"/>
        <v>075</v>
      </c>
      <c r="T479" s="218" t="str">
        <f t="shared" si="158"/>
        <v>D</v>
      </c>
      <c r="U479" s="218" t="str">
        <f t="shared" si="165"/>
        <v>AFR000</v>
      </c>
      <c r="V479" s="218" t="str">
        <f t="shared" si="157"/>
        <v>###</v>
      </c>
      <c r="W479" s="218">
        <v>19.41</v>
      </c>
      <c r="X479" s="218" t="str">
        <f t="shared" si="164"/>
        <v>USD</v>
      </c>
      <c r="Y479" s="218">
        <v>15.14</v>
      </c>
      <c r="Z479" s="218">
        <v>19.41</v>
      </c>
      <c r="AA479" s="218">
        <v>17.809999999999999</v>
      </c>
    </row>
    <row r="480" spans="1:27">
      <c r="A480" s="218" t="s">
        <v>2592</v>
      </c>
      <c r="F480" s="219" t="str">
        <f>"""IntAlert Live"",""ALERT UK"",""17"",""1"",""540103"""</f>
        <v>"IntAlert Live","ALERT UK","17","1","540103"</v>
      </c>
      <c r="G480" s="223">
        <v>43914</v>
      </c>
      <c r="H480" s="223"/>
      <c r="I480" s="218" t="str">
        <f>"DRCBUK/BANK/2020/03/034"</f>
        <v>DRCBUK/BANK/2020/03/034</v>
      </c>
      <c r="K480" s="218" t="str">
        <f t="shared" si="169"/>
        <v>BCDC BUKAVU</v>
      </c>
      <c r="L480" s="218" t="str">
        <f>"Cion TTC chèque 09522362"</f>
        <v>Cion TTC chèque 09522362</v>
      </c>
      <c r="M480" s="218" t="str">
        <f t="shared" si="166"/>
        <v>9770</v>
      </c>
      <c r="N480" s="218" t="str">
        <f t="shared" si="167"/>
        <v>BANK CHARGES</v>
      </c>
      <c r="O480" s="218" t="str">
        <f t="shared" si="163"/>
        <v>DRCBUK</v>
      </c>
      <c r="P480" s="218" t="str">
        <f t="shared" si="162"/>
        <v>AP21QR</v>
      </c>
      <c r="Q480" s="218" t="str">
        <f>""</f>
        <v/>
      </c>
      <c r="R480" s="218" t="str">
        <f>""</f>
        <v/>
      </c>
      <c r="S480" s="218" t="str">
        <f t="shared" si="168"/>
        <v>075</v>
      </c>
      <c r="T480" s="218" t="str">
        <f t="shared" ref="T480:T511" si="170">"D"</f>
        <v>D</v>
      </c>
      <c r="U480" s="218" t="str">
        <f t="shared" si="165"/>
        <v>AFR000</v>
      </c>
      <c r="V480" s="218" t="str">
        <f t="shared" si="157"/>
        <v>###</v>
      </c>
      <c r="W480" s="218">
        <v>4.6399999999999997</v>
      </c>
      <c r="X480" s="218" t="str">
        <f t="shared" si="164"/>
        <v>USD</v>
      </c>
      <c r="Y480" s="218">
        <v>3.62</v>
      </c>
      <c r="Z480" s="218">
        <v>4.6399999999999997</v>
      </c>
      <c r="AA480" s="218">
        <v>4.26</v>
      </c>
    </row>
    <row r="481" spans="1:27">
      <c r="A481" s="218" t="s">
        <v>2592</v>
      </c>
      <c r="F481" s="219" t="str">
        <f>"""IntAlert Live"",""ALERT UK"",""17"",""1"",""540104"""</f>
        <v>"IntAlert Live","ALERT UK","17","1","540104"</v>
      </c>
      <c r="G481" s="223">
        <v>43914</v>
      </c>
      <c r="H481" s="223"/>
      <c r="I481" s="218" t="str">
        <f>"DRCBUK/BANK/2020/03/034"</f>
        <v>DRCBUK/BANK/2020/03/034</v>
      </c>
      <c r="K481" s="218" t="str">
        <f t="shared" si="169"/>
        <v>BCDC BUKAVU</v>
      </c>
      <c r="L481" s="218" t="str">
        <f>"CION DE TRANSFERT"</f>
        <v>CION DE TRANSFERT</v>
      </c>
      <c r="M481" s="218" t="str">
        <f t="shared" si="166"/>
        <v>9770</v>
      </c>
      <c r="N481" s="218" t="str">
        <f t="shared" si="167"/>
        <v>BANK CHARGES</v>
      </c>
      <c r="O481" s="218" t="str">
        <f t="shared" si="163"/>
        <v>DRCBUK</v>
      </c>
      <c r="P481" s="218" t="str">
        <f t="shared" si="162"/>
        <v>AP21QR</v>
      </c>
      <c r="Q481" s="218" t="str">
        <f>""</f>
        <v/>
      </c>
      <c r="R481" s="218" t="str">
        <f>""</f>
        <v/>
      </c>
      <c r="S481" s="218" t="str">
        <f t="shared" si="168"/>
        <v>075</v>
      </c>
      <c r="T481" s="218" t="str">
        <f t="shared" si="170"/>
        <v>D</v>
      </c>
      <c r="U481" s="218" t="str">
        <f t="shared" si="165"/>
        <v>AFR000</v>
      </c>
      <c r="V481" s="218" t="str">
        <f t="shared" si="157"/>
        <v>###</v>
      </c>
      <c r="W481" s="218">
        <v>46.4</v>
      </c>
      <c r="X481" s="218" t="str">
        <f t="shared" si="164"/>
        <v>USD</v>
      </c>
      <c r="Y481" s="218">
        <v>36.19</v>
      </c>
      <c r="Z481" s="218">
        <v>46.4</v>
      </c>
      <c r="AA481" s="218">
        <v>42.58</v>
      </c>
    </row>
    <row r="482" spans="1:27">
      <c r="A482" s="218" t="s">
        <v>2592</v>
      </c>
      <c r="F482" s="219" t="str">
        <f>"""IntAlert Live"",""ALERT UK"",""17"",""1"",""540107"""</f>
        <v>"IntAlert Live","ALERT UK","17","1","540107"</v>
      </c>
      <c r="G482" s="223">
        <v>43915</v>
      </c>
      <c r="H482" s="223"/>
      <c r="I482" s="218" t="str">
        <f>"DRCBUK/BANK/2020/03/034"</f>
        <v>DRCBUK/BANK/2020/03/034</v>
      </c>
      <c r="K482" s="218" t="str">
        <f t="shared" si="169"/>
        <v>BCDC BUKAVU</v>
      </c>
      <c r="L482" s="218" t="str">
        <f>"OV 60182006 $21183,78 TVA/CION"</f>
        <v>OV 60182006 $21183,78 TVA/CION</v>
      </c>
      <c r="M482" s="218" t="str">
        <f t="shared" si="166"/>
        <v>9770</v>
      </c>
      <c r="N482" s="218" t="str">
        <f t="shared" si="167"/>
        <v>BANK CHARGES</v>
      </c>
      <c r="O482" s="218" t="str">
        <f t="shared" si="163"/>
        <v>DRCBUK</v>
      </c>
      <c r="P482" s="218" t="str">
        <f t="shared" si="162"/>
        <v>AP21QR</v>
      </c>
      <c r="Q482" s="218" t="str">
        <f>""</f>
        <v/>
      </c>
      <c r="R482" s="218" t="str">
        <f>""</f>
        <v/>
      </c>
      <c r="S482" s="218" t="str">
        <f t="shared" si="168"/>
        <v>075</v>
      </c>
      <c r="T482" s="218" t="str">
        <f t="shared" si="170"/>
        <v>D</v>
      </c>
      <c r="U482" s="218" t="str">
        <f t="shared" si="165"/>
        <v>AFR000</v>
      </c>
      <c r="V482" s="218" t="str">
        <f t="shared" si="157"/>
        <v>###</v>
      </c>
      <c r="W482" s="218">
        <v>33.89</v>
      </c>
      <c r="X482" s="218" t="str">
        <f t="shared" si="164"/>
        <v>USD</v>
      </c>
      <c r="Y482" s="218">
        <v>26.44</v>
      </c>
      <c r="Z482" s="218">
        <v>33.89</v>
      </c>
      <c r="AA482" s="218">
        <v>31.11</v>
      </c>
    </row>
    <row r="483" spans="1:27">
      <c r="A483" s="218" t="s">
        <v>2592</v>
      </c>
      <c r="F483" s="219" t="str">
        <f>"""IntAlert Live"",""ALERT UK"",""17"",""1"",""540110"""</f>
        <v>"IntAlert Live","ALERT UK","17","1","540110"</v>
      </c>
      <c r="G483" s="223">
        <v>43920</v>
      </c>
      <c r="H483" s="223"/>
      <c r="I483" s="218" t="str">
        <f>"DRCBUK/BANK/2020/03/034"</f>
        <v>DRCBUK/BANK/2020/03/034</v>
      </c>
      <c r="K483" s="218" t="str">
        <f t="shared" si="169"/>
        <v>BCDC BUKAVU</v>
      </c>
      <c r="L483" s="218" t="str">
        <f>"CION DE TRANSFERT"</f>
        <v>CION DE TRANSFERT</v>
      </c>
      <c r="M483" s="218" t="str">
        <f t="shared" si="166"/>
        <v>9770</v>
      </c>
      <c r="N483" s="218" t="str">
        <f t="shared" si="167"/>
        <v>BANK CHARGES</v>
      </c>
      <c r="O483" s="218" t="str">
        <f t="shared" si="163"/>
        <v>DRCBUK</v>
      </c>
      <c r="P483" s="218" t="str">
        <f t="shared" si="162"/>
        <v>AP21QR</v>
      </c>
      <c r="Q483" s="218" t="str">
        <f>""</f>
        <v/>
      </c>
      <c r="R483" s="218" t="str">
        <f>""</f>
        <v/>
      </c>
      <c r="S483" s="218" t="str">
        <f t="shared" si="168"/>
        <v>075</v>
      </c>
      <c r="T483" s="218" t="str">
        <f t="shared" si="170"/>
        <v>D</v>
      </c>
      <c r="U483" s="218" t="str">
        <f t="shared" si="165"/>
        <v>AFR000</v>
      </c>
      <c r="V483" s="218" t="str">
        <f t="shared" si="157"/>
        <v>###</v>
      </c>
      <c r="W483" s="218">
        <v>46.4</v>
      </c>
      <c r="X483" s="218" t="str">
        <f t="shared" si="164"/>
        <v>USD</v>
      </c>
      <c r="Y483" s="218">
        <v>36.19</v>
      </c>
      <c r="Z483" s="218">
        <v>46.4</v>
      </c>
      <c r="AA483" s="218">
        <v>42.58</v>
      </c>
    </row>
    <row r="484" spans="1:27">
      <c r="A484" s="218" t="s">
        <v>2592</v>
      </c>
      <c r="F484" s="219" t="str">
        <f>"""IntAlert Live"",""ALERT UK"",""17"",""1"",""539927"""</f>
        <v>"IntAlert Live","ALERT UK","17","1","539927"</v>
      </c>
      <c r="G484" s="223">
        <v>43921</v>
      </c>
      <c r="H484" s="223"/>
      <c r="I484" s="218" t="str">
        <f>"DRCBUK/BANK/2020/03/030"</f>
        <v>DRCBUK/BANK/2020/03/030</v>
      </c>
      <c r="K484" s="218" t="str">
        <f t="shared" si="169"/>
        <v>BCDC BUKAVU</v>
      </c>
      <c r="L484" s="218" t="str">
        <f>"Frais de change sur IPR staff  Mars 2020"</f>
        <v>Frais de change sur IPR staff  Mars 2020</v>
      </c>
      <c r="M484" s="218" t="str">
        <f t="shared" si="166"/>
        <v>9770</v>
      </c>
      <c r="N484" s="218" t="str">
        <f t="shared" si="167"/>
        <v>BANK CHARGES</v>
      </c>
      <c r="O484" s="218" t="str">
        <f t="shared" si="163"/>
        <v>DRCBUK</v>
      </c>
      <c r="P484" s="218" t="str">
        <f t="shared" si="162"/>
        <v>AP21QR</v>
      </c>
      <c r="Q484" s="218" t="str">
        <f>""</f>
        <v/>
      </c>
      <c r="R484" s="218" t="str">
        <f>""</f>
        <v/>
      </c>
      <c r="S484" s="218" t="str">
        <f t="shared" si="168"/>
        <v>075</v>
      </c>
      <c r="T484" s="218" t="str">
        <f t="shared" si="170"/>
        <v>D</v>
      </c>
      <c r="U484" s="218" t="str">
        <f t="shared" si="165"/>
        <v>AFR000</v>
      </c>
      <c r="V484" s="218" t="str">
        <f t="shared" si="157"/>
        <v>###</v>
      </c>
      <c r="W484" s="218">
        <v>15.56</v>
      </c>
      <c r="X484" s="218" t="str">
        <f t="shared" si="164"/>
        <v>USD</v>
      </c>
      <c r="Y484" s="218">
        <v>12.14</v>
      </c>
      <c r="Z484" s="218">
        <v>15.56</v>
      </c>
      <c r="AA484" s="218">
        <v>14.28</v>
      </c>
    </row>
    <row r="485" spans="1:27">
      <c r="A485" s="218" t="s">
        <v>2592</v>
      </c>
      <c r="F485" s="219" t="str">
        <f>"""IntAlert Live"",""ALERT UK"",""17"",""1"",""540111"""</f>
        <v>"IntAlert Live","ALERT UK","17","1","540111"</v>
      </c>
      <c r="G485" s="223">
        <v>43921</v>
      </c>
      <c r="H485" s="223"/>
      <c r="I485" s="218" t="str">
        <f>"DRCBUK/BANK/2020/03/034"</f>
        <v>DRCBUK/BANK/2020/03/034</v>
      </c>
      <c r="K485" s="218" t="str">
        <f t="shared" si="169"/>
        <v>BCDC BUKAVU</v>
      </c>
      <c r="L485" s="218" t="str">
        <f>"Cion TTC chèque 09522364"</f>
        <v>Cion TTC chèque 09522364</v>
      </c>
      <c r="M485" s="218" t="str">
        <f t="shared" si="166"/>
        <v>9770</v>
      </c>
      <c r="N485" s="218" t="str">
        <f t="shared" si="167"/>
        <v>BANK CHARGES</v>
      </c>
      <c r="O485" s="218" t="str">
        <f t="shared" si="163"/>
        <v>DRCBUK</v>
      </c>
      <c r="P485" s="218" t="str">
        <f t="shared" si="162"/>
        <v>AP21QR</v>
      </c>
      <c r="Q485" s="218" t="str">
        <f>""</f>
        <v/>
      </c>
      <c r="R485" s="218" t="str">
        <f>""</f>
        <v/>
      </c>
      <c r="S485" s="218" t="str">
        <f t="shared" si="168"/>
        <v>075</v>
      </c>
      <c r="T485" s="218" t="str">
        <f t="shared" si="170"/>
        <v>D</v>
      </c>
      <c r="U485" s="218" t="str">
        <f t="shared" si="165"/>
        <v>AFR000</v>
      </c>
      <c r="V485" s="218" t="str">
        <f t="shared" si="157"/>
        <v>###</v>
      </c>
      <c r="W485" s="218">
        <v>8.6999999999999993</v>
      </c>
      <c r="X485" s="218" t="str">
        <f t="shared" si="164"/>
        <v>USD</v>
      </c>
      <c r="Y485" s="218">
        <v>6.79</v>
      </c>
      <c r="Z485" s="218">
        <v>8.6999999999999993</v>
      </c>
      <c r="AA485" s="218">
        <v>7.99</v>
      </c>
    </row>
    <row r="486" spans="1:27">
      <c r="A486" s="218" t="s">
        <v>2592</v>
      </c>
      <c r="F486" s="219" t="str">
        <f>"""IntAlert Live"",""ALERT UK"",""17"",""1"",""540113"""</f>
        <v>"IntAlert Live","ALERT UK","17","1","540113"</v>
      </c>
      <c r="G486" s="223">
        <v>43921</v>
      </c>
      <c r="H486" s="223"/>
      <c r="I486" s="218" t="str">
        <f>"DRCBUK/BANK/2020/03/034"</f>
        <v>DRCBUK/BANK/2020/03/034</v>
      </c>
      <c r="K486" s="218" t="str">
        <f t="shared" si="169"/>
        <v>BCDC BUKAVU</v>
      </c>
      <c r="L486" s="218" t="str">
        <f>"Frais s/IPR Occasionnels Feb 20"</f>
        <v>Frais s/IPR Occasionnels Feb 20</v>
      </c>
      <c r="M486" s="218" t="str">
        <f t="shared" si="166"/>
        <v>9770</v>
      </c>
      <c r="N486" s="218" t="str">
        <f t="shared" si="167"/>
        <v>BANK CHARGES</v>
      </c>
      <c r="O486" s="218" t="str">
        <f t="shared" si="163"/>
        <v>DRCBUK</v>
      </c>
      <c r="P486" s="218" t="str">
        <f t="shared" si="162"/>
        <v>AP21QR</v>
      </c>
      <c r="Q486" s="218" t="str">
        <f>""</f>
        <v/>
      </c>
      <c r="R486" s="218" t="str">
        <f>""</f>
        <v/>
      </c>
      <c r="S486" s="218" t="str">
        <f t="shared" si="168"/>
        <v>075</v>
      </c>
      <c r="T486" s="218" t="str">
        <f t="shared" si="170"/>
        <v>D</v>
      </c>
      <c r="U486" s="218" t="str">
        <f t="shared" si="165"/>
        <v>AFR000</v>
      </c>
      <c r="V486" s="218" t="str">
        <f t="shared" si="157"/>
        <v>###</v>
      </c>
      <c r="W486" s="218">
        <v>20.02</v>
      </c>
      <c r="X486" s="218" t="str">
        <f t="shared" si="164"/>
        <v>USD</v>
      </c>
      <c r="Y486" s="218">
        <v>15.62</v>
      </c>
      <c r="Z486" s="218">
        <v>20.02</v>
      </c>
      <c r="AA486" s="218">
        <v>18.38</v>
      </c>
    </row>
    <row r="487" spans="1:27">
      <c r="A487" s="218" t="s">
        <v>2592</v>
      </c>
      <c r="F487" s="219" t="str">
        <f>"""IntAlert Live"",""ALERT UK"",""17"",""1"",""544180"""</f>
        <v>"IntAlert Live","ALERT UK","17","1","544180"</v>
      </c>
      <c r="G487" s="223">
        <v>43921</v>
      </c>
      <c r="H487" s="223"/>
      <c r="I487" s="218" t="str">
        <f>""</f>
        <v/>
      </c>
      <c r="K487" s="218" t="str">
        <f>"GBP BANK CHARGE MAR 20"</f>
        <v>GBP BANK CHARGE MAR 20</v>
      </c>
      <c r="L487" s="218" t="str">
        <f>"JEANBOSCO SIBORU"</f>
        <v>JEANBOSCO SIBORU</v>
      </c>
      <c r="M487" s="218" t="str">
        <f t="shared" si="166"/>
        <v>9770</v>
      </c>
      <c r="N487" s="218" t="str">
        <f t="shared" si="167"/>
        <v>BANK CHARGES</v>
      </c>
      <c r="O487" s="218" t="str">
        <f>"UNILON"</f>
        <v>UNILON</v>
      </c>
      <c r="P487" s="218" t="str">
        <f t="shared" si="162"/>
        <v>AP21QR</v>
      </c>
      <c r="Q487" s="218" t="str">
        <f>""</f>
        <v/>
      </c>
      <c r="R487" s="218" t="str">
        <f>""</f>
        <v/>
      </c>
      <c r="S487" s="218" t="str">
        <f t="shared" si="168"/>
        <v>075</v>
      </c>
      <c r="T487" s="218" t="str">
        <f t="shared" si="170"/>
        <v>D</v>
      </c>
      <c r="U487" s="218" t="str">
        <f t="shared" si="165"/>
        <v>AFR000</v>
      </c>
      <c r="V487" s="218" t="str">
        <f t="shared" si="157"/>
        <v>###</v>
      </c>
      <c r="W487" s="218">
        <v>20.5</v>
      </c>
      <c r="X487" s="218" t="str">
        <f t="shared" si="164"/>
        <v>USD</v>
      </c>
      <c r="Y487" s="218">
        <v>15.99</v>
      </c>
      <c r="Z487" s="218">
        <v>20.5</v>
      </c>
      <c r="AA487" s="218">
        <v>18.809999999999999</v>
      </c>
    </row>
    <row r="488" spans="1:27">
      <c r="A488" s="218" t="s">
        <v>2592</v>
      </c>
      <c r="F488" s="219" t="str">
        <f>"""IntAlert Live"",""ALERT UK"",""17"",""1"",""540221"""</f>
        <v>"IntAlert Live","ALERT UK","17","1","540221"</v>
      </c>
      <c r="G488" s="223">
        <v>43896</v>
      </c>
      <c r="H488" s="223"/>
      <c r="I488" s="218" t="str">
        <f>"DRCBUK/AVANCE/2020/03/001"</f>
        <v>DRCBUK/AVANCE/2020/03/001</v>
      </c>
      <c r="K488" s="218" t="str">
        <f>"PARTICIPANTS"</f>
        <v>PARTICIPANTS</v>
      </c>
      <c r="L488" s="218" t="str">
        <f>"Transport participant atelier CAM-BUK"</f>
        <v>Transport participant atelier CAM-BUK</v>
      </c>
      <c r="M488" s="218" t="str">
        <f>"6220"</f>
        <v>6220</v>
      </c>
      <c r="N488" s="218" t="str">
        <f>"PARTICIPANT TRAVEL LOCAL"</f>
        <v>PARTICIPANT TRAVEL LOCAL</v>
      </c>
      <c r="O488" s="218" t="str">
        <f t="shared" ref="O488:O498" si="171">"DRCBUK"</f>
        <v>DRCBUK</v>
      </c>
      <c r="P488" s="218" t="str">
        <f t="shared" si="162"/>
        <v>AP21QR</v>
      </c>
      <c r="Q488" s="218" t="str">
        <f>""</f>
        <v/>
      </c>
      <c r="R488" s="218" t="str">
        <f>""</f>
        <v/>
      </c>
      <c r="S488" s="218" t="str">
        <f t="shared" ref="S488:S493" si="172">"077"</f>
        <v>077</v>
      </c>
      <c r="T488" s="218" t="str">
        <f t="shared" si="170"/>
        <v>D</v>
      </c>
      <c r="U488" s="218" t="str">
        <f t="shared" si="165"/>
        <v>AFR000</v>
      </c>
      <c r="V488" s="218" t="str">
        <f t="shared" si="157"/>
        <v>###</v>
      </c>
      <c r="W488" s="218">
        <v>440</v>
      </c>
      <c r="X488" s="218" t="str">
        <f t="shared" si="164"/>
        <v>USD</v>
      </c>
      <c r="Y488" s="218">
        <v>343.22</v>
      </c>
      <c r="Z488" s="218">
        <v>440</v>
      </c>
      <c r="AA488" s="218">
        <v>403.81</v>
      </c>
    </row>
    <row r="489" spans="1:27">
      <c r="A489" s="218" t="s">
        <v>2592</v>
      </c>
      <c r="F489" s="219" t="str">
        <f>"""IntAlert Live"",""ALERT UK"",""17"",""1"",""540172"""</f>
        <v>"IntAlert Live","ALERT UK","17","1","540172"</v>
      </c>
      <c r="G489" s="223">
        <v>43908</v>
      </c>
      <c r="H489" s="223"/>
      <c r="I489" s="218" t="str">
        <f>"DRCBUK/CAISSE/2020/03/001"</f>
        <v>DRCBUK/CAISSE/2020/03/001</v>
      </c>
      <c r="K489" s="218" t="str">
        <f>"PAPETERIE HOZANA"</f>
        <v>PAPETERIE HOZANA</v>
      </c>
      <c r="L489" s="218" t="str">
        <f>"Fournitures de bureau pour projet CAM"</f>
        <v>Fournitures de bureau pour projet CAM</v>
      </c>
      <c r="M489" s="218" t="str">
        <f>"8080"</f>
        <v>8080</v>
      </c>
      <c r="N489" s="218" t="str">
        <f>"STATIONERY"</f>
        <v>STATIONERY</v>
      </c>
      <c r="O489" s="218" t="str">
        <f t="shared" si="171"/>
        <v>DRCBUK</v>
      </c>
      <c r="P489" s="218" t="str">
        <f t="shared" si="162"/>
        <v>AP21QR</v>
      </c>
      <c r="Q489" s="218" t="str">
        <f>""</f>
        <v/>
      </c>
      <c r="R489" s="218" t="str">
        <f>""</f>
        <v/>
      </c>
      <c r="S489" s="218" t="str">
        <f t="shared" si="172"/>
        <v>077</v>
      </c>
      <c r="T489" s="218" t="str">
        <f t="shared" si="170"/>
        <v>D</v>
      </c>
      <c r="U489" s="218" t="str">
        <f t="shared" si="165"/>
        <v>AFR000</v>
      </c>
      <c r="V489" s="218" t="str">
        <f t="shared" si="157"/>
        <v>###</v>
      </c>
      <c r="W489" s="218">
        <v>82.9</v>
      </c>
      <c r="X489" s="218" t="str">
        <f t="shared" si="164"/>
        <v>USD</v>
      </c>
      <c r="Y489" s="218">
        <v>64.67</v>
      </c>
      <c r="Z489" s="218">
        <v>82.9</v>
      </c>
      <c r="AA489" s="218">
        <v>76.09</v>
      </c>
    </row>
    <row r="490" spans="1:27">
      <c r="A490" s="218" t="s">
        <v>2592</v>
      </c>
      <c r="F490" s="219" t="str">
        <f>"""IntAlert Live"",""ALERT UK"",""17"",""1"",""539732"""</f>
        <v>"IntAlert Live","ALERT UK","17","1","539732"</v>
      </c>
      <c r="G490" s="223">
        <v>43909</v>
      </c>
      <c r="H490" s="223"/>
      <c r="I490" s="218" t="str">
        <f>"DRCBUK/BANK/2020/03/017"</f>
        <v>DRCBUK/BANK/2020/03/017</v>
      </c>
      <c r="K490" s="218" t="str">
        <f>"ELIZABETH HOTEL"</f>
        <v>ELIZABETH HOTEL</v>
      </c>
      <c r="L490" s="218" t="str">
        <f>"Logement 9participants-formation recyclage des partenaires CAM 25/02-01/03"</f>
        <v>Logement 9participants-formation recyclage des partenaires CAM 25/02-01/03</v>
      </c>
      <c r="M490" s="218" t="str">
        <f>"6230"</f>
        <v>6230</v>
      </c>
      <c r="N490" s="218" t="str">
        <f>"PARTICIPANT ACCOMTN HOTEL"</f>
        <v>PARTICIPANT ACCOMTN HOTEL</v>
      </c>
      <c r="O490" s="218" t="str">
        <f t="shared" si="171"/>
        <v>DRCBUK</v>
      </c>
      <c r="P490" s="218" t="str">
        <f t="shared" si="162"/>
        <v>AP21QR</v>
      </c>
      <c r="Q490" s="218" t="str">
        <f>""</f>
        <v/>
      </c>
      <c r="R490" s="218" t="str">
        <f>""</f>
        <v/>
      </c>
      <c r="S490" s="218" t="str">
        <f t="shared" si="172"/>
        <v>077</v>
      </c>
      <c r="T490" s="218" t="str">
        <f t="shared" si="170"/>
        <v>D</v>
      </c>
      <c r="U490" s="218" t="str">
        <f t="shared" si="165"/>
        <v>AFR000</v>
      </c>
      <c r="V490" s="218" t="str">
        <f t="shared" si="157"/>
        <v>###</v>
      </c>
      <c r="W490" s="218">
        <v>1800</v>
      </c>
      <c r="X490" s="218" t="str">
        <f t="shared" si="164"/>
        <v>USD</v>
      </c>
      <c r="Y490" s="218">
        <v>1404.08</v>
      </c>
      <c r="Z490" s="218">
        <v>1800</v>
      </c>
      <c r="AA490" s="218">
        <v>1651.96</v>
      </c>
    </row>
    <row r="491" spans="1:27">
      <c r="A491" s="218" t="s">
        <v>2592</v>
      </c>
      <c r="F491" s="219" t="str">
        <f>"""IntAlert Live"",""ALERT UK"",""17"",""1"",""539733"""</f>
        <v>"IntAlert Live","ALERT UK","17","1","539733"</v>
      </c>
      <c r="G491" s="223">
        <v>43909</v>
      </c>
      <c r="H491" s="223"/>
      <c r="I491" s="218" t="str">
        <f>"DRCBUK/BANK/2020/03/017"</f>
        <v>DRCBUK/BANK/2020/03/017</v>
      </c>
      <c r="K491" s="218" t="str">
        <f>"ELIZABETH HOTEL"</f>
        <v>ELIZABETH HOTEL</v>
      </c>
      <c r="L491" s="218" t="str">
        <f>"Logemnt Gloriose atelier CAM 25-27/02-BUK"</f>
        <v>Logemnt Gloriose atelier CAM 25-27/02-BUK</v>
      </c>
      <c r="M491" s="218" t="str">
        <f>"6030"</f>
        <v>6030</v>
      </c>
      <c r="N491" s="218" t="str">
        <f>"STAFF ACCOMMODATION   HOTELS"</f>
        <v>STAFF ACCOMMODATION   HOTELS</v>
      </c>
      <c r="O491" s="218" t="str">
        <f t="shared" si="171"/>
        <v>DRCBUK</v>
      </c>
      <c r="P491" s="218" t="str">
        <f t="shared" si="162"/>
        <v>AP21QR</v>
      </c>
      <c r="Q491" s="218" t="str">
        <f>"BAZ"</f>
        <v>BAZ</v>
      </c>
      <c r="R491" s="218" t="str">
        <f>""</f>
        <v/>
      </c>
      <c r="S491" s="218" t="str">
        <f t="shared" si="172"/>
        <v>077</v>
      </c>
      <c r="T491" s="218" t="str">
        <f t="shared" si="170"/>
        <v>D</v>
      </c>
      <c r="U491" s="218" t="str">
        <f t="shared" si="165"/>
        <v>AFR000</v>
      </c>
      <c r="V491" s="218" t="str">
        <f t="shared" si="157"/>
        <v>###</v>
      </c>
      <c r="W491" s="218">
        <v>160</v>
      </c>
      <c r="X491" s="218" t="str">
        <f t="shared" si="164"/>
        <v>USD</v>
      </c>
      <c r="Y491" s="218">
        <v>124.81</v>
      </c>
      <c r="Z491" s="218">
        <v>160</v>
      </c>
      <c r="AA491" s="218">
        <v>146.84</v>
      </c>
    </row>
    <row r="492" spans="1:27">
      <c r="A492" s="218" t="s">
        <v>2592</v>
      </c>
      <c r="F492" s="219" t="str">
        <f>"""IntAlert Live"",""ALERT UK"",""17"",""1"",""539734"""</f>
        <v>"IntAlert Live","ALERT UK","17","1","539734"</v>
      </c>
      <c r="G492" s="223">
        <v>43909</v>
      </c>
      <c r="H492" s="223"/>
      <c r="I492" s="218" t="str">
        <f>"DRCBUK/BANK/2020/03/017"</f>
        <v>DRCBUK/BANK/2020/03/017</v>
      </c>
      <c r="K492" s="218" t="str">
        <f>"ELIZABETH HOTEL"</f>
        <v>ELIZABETH HOTEL</v>
      </c>
      <c r="L492" s="218" t="str">
        <f>"Restauration des participants atelier CAM 26-29/02"</f>
        <v>Restauration des participants atelier CAM 26-29/02</v>
      </c>
      <c r="M492" s="218" t="str">
        <f>"6650"</f>
        <v>6650</v>
      </c>
      <c r="N492" s="218" t="str">
        <f>"CATERING"</f>
        <v>CATERING</v>
      </c>
      <c r="O492" s="218" t="str">
        <f t="shared" si="171"/>
        <v>DRCBUK</v>
      </c>
      <c r="P492" s="218" t="str">
        <f t="shared" si="162"/>
        <v>AP21QR</v>
      </c>
      <c r="Q492" s="218" t="str">
        <f>""</f>
        <v/>
      </c>
      <c r="R492" s="218" t="str">
        <f>""</f>
        <v/>
      </c>
      <c r="S492" s="218" t="str">
        <f t="shared" si="172"/>
        <v>077</v>
      </c>
      <c r="T492" s="218" t="str">
        <f t="shared" si="170"/>
        <v>D</v>
      </c>
      <c r="U492" s="218" t="str">
        <f t="shared" si="165"/>
        <v>AFR000</v>
      </c>
      <c r="V492" s="218" t="str">
        <f t="shared" si="157"/>
        <v>###</v>
      </c>
      <c r="W492" s="218">
        <v>678.4</v>
      </c>
      <c r="X492" s="218" t="str">
        <f t="shared" ref="X492:X510" si="173">"USD"</f>
        <v>USD</v>
      </c>
      <c r="Y492" s="218">
        <v>529.17999999999995</v>
      </c>
      <c r="Z492" s="218">
        <v>678.4</v>
      </c>
      <c r="AA492" s="218">
        <v>622.6</v>
      </c>
    </row>
    <row r="493" spans="1:27">
      <c r="A493" s="218" t="s">
        <v>2592</v>
      </c>
      <c r="F493" s="219" t="str">
        <f>"""IntAlert Live"",""ALERT UK"",""17"",""1"",""539736"""</f>
        <v>"IntAlert Live","ALERT UK","17","1","539736"</v>
      </c>
      <c r="G493" s="223">
        <v>43909</v>
      </c>
      <c r="H493" s="223"/>
      <c r="I493" s="218" t="str">
        <f>"DRCBUK/BANK/2020/03/017"</f>
        <v>DRCBUK/BANK/2020/03/017</v>
      </c>
      <c r="K493" s="218" t="str">
        <f>"ELIZABETH HOTEL"</f>
        <v>ELIZABETH HOTEL</v>
      </c>
      <c r="L493" s="218" t="str">
        <f>"Location salle atelier CAM 26-29/02"</f>
        <v>Location salle atelier CAM 26-29/02</v>
      </c>
      <c r="M493" s="218" t="str">
        <f>"6640"</f>
        <v>6640</v>
      </c>
      <c r="N493" s="218" t="str">
        <f>"VENUE HIRE"</f>
        <v>VENUE HIRE</v>
      </c>
      <c r="O493" s="218" t="str">
        <f t="shared" si="171"/>
        <v>DRCBUK</v>
      </c>
      <c r="P493" s="218" t="str">
        <f t="shared" si="162"/>
        <v>AP21QR</v>
      </c>
      <c r="Q493" s="218" t="str">
        <f>""</f>
        <v/>
      </c>
      <c r="R493" s="218" t="str">
        <f>""</f>
        <v/>
      </c>
      <c r="S493" s="218" t="str">
        <f t="shared" si="172"/>
        <v>077</v>
      </c>
      <c r="T493" s="218" t="str">
        <f t="shared" si="170"/>
        <v>D</v>
      </c>
      <c r="U493" s="218" t="str">
        <f t="shared" si="165"/>
        <v>AFR000</v>
      </c>
      <c r="V493" s="218" t="str">
        <f t="shared" si="157"/>
        <v>###</v>
      </c>
      <c r="W493" s="218">
        <v>200</v>
      </c>
      <c r="X493" s="218" t="str">
        <f t="shared" si="173"/>
        <v>USD</v>
      </c>
      <c r="Y493" s="218">
        <v>156.01</v>
      </c>
      <c r="Z493" s="218">
        <v>200</v>
      </c>
      <c r="AA493" s="218">
        <v>183.55</v>
      </c>
    </row>
    <row r="494" spans="1:27">
      <c r="A494" s="218" t="s">
        <v>2592</v>
      </c>
      <c r="F494" s="219" t="str">
        <f>"""IntAlert Live"",""ALERT UK"",""17"",""1"",""516929"""</f>
        <v>"IntAlert Live","ALERT UK","17","1","516929"</v>
      </c>
      <c r="G494" s="223">
        <v>43859</v>
      </c>
      <c r="H494" s="223"/>
      <c r="I494" s="218" t="str">
        <f>"DRCBUK/BANK/2020/01/013"</f>
        <v>DRCBUK/BANK/2020/01/013</v>
      </c>
      <c r="K494" s="218" t="str">
        <f>"HOTEL HORIZON"</f>
        <v>HOTEL HORIZON</v>
      </c>
      <c r="L494" s="218" t="str">
        <f>"Frs de logement Pascal Buh 13-15/01-BUK"</f>
        <v>Frs de logement Pascal Buh 13-15/01-BUK</v>
      </c>
      <c r="M494" s="218" t="str">
        <f>"6030"</f>
        <v>6030</v>
      </c>
      <c r="N494" s="218" t="str">
        <f>"STAFF ACCOMMODATION   HOTELS"</f>
        <v>STAFF ACCOMMODATION   HOTELS</v>
      </c>
      <c r="O494" s="218" t="str">
        <f t="shared" si="171"/>
        <v>DRCBUK</v>
      </c>
      <c r="P494" s="218" t="str">
        <f t="shared" si="162"/>
        <v>AP21QR</v>
      </c>
      <c r="Q494" s="218" t="str">
        <f>"CIB"</f>
        <v>CIB</v>
      </c>
      <c r="R494" s="218" t="str">
        <f>""</f>
        <v/>
      </c>
      <c r="S494" s="218" t="str">
        <f>"078"</f>
        <v>078</v>
      </c>
      <c r="T494" s="218" t="str">
        <f t="shared" si="170"/>
        <v>D</v>
      </c>
      <c r="U494" s="218" t="str">
        <f t="shared" si="165"/>
        <v>AFR000</v>
      </c>
      <c r="V494" s="218" t="str">
        <f t="shared" si="157"/>
        <v>###</v>
      </c>
      <c r="W494" s="218">
        <v>210</v>
      </c>
      <c r="X494" s="218" t="str">
        <f t="shared" si="173"/>
        <v>USD</v>
      </c>
      <c r="Y494" s="218">
        <v>158.28</v>
      </c>
      <c r="Z494" s="218">
        <v>210</v>
      </c>
      <c r="AA494" s="218">
        <v>185.76</v>
      </c>
    </row>
    <row r="495" spans="1:27">
      <c r="A495" s="218" t="s">
        <v>2592</v>
      </c>
      <c r="F495" s="219" t="str">
        <f>"""IntAlert Live"",""ALERT UK"",""17"",""1"",""517265"""</f>
        <v>"IntAlert Live","ALERT UK","17","1","517265"</v>
      </c>
      <c r="G495" s="223">
        <v>43839</v>
      </c>
      <c r="H495" s="223"/>
      <c r="I495" s="218" t="str">
        <f>"DRCBUK/CAISSE/2020/01/001"</f>
        <v>DRCBUK/CAISSE/2020/01/001</v>
      </c>
      <c r="K495" s="218" t="str">
        <f>"OLIVE IRAGI KAZIBURE"</f>
        <v>OLIVE IRAGI KAZIBURE</v>
      </c>
      <c r="L495" s="218" t="str">
        <f>"Rbt frs de voyage de Olive SVH"</f>
        <v>Rbt frs de voyage de Olive SVH</v>
      </c>
      <c r="M495" s="218" t="str">
        <f>"6280"</f>
        <v>6280</v>
      </c>
      <c r="N495" s="218" t="str">
        <f>"PARTICIPANT PER DIEMS"</f>
        <v>PARTICIPANT PER DIEMS</v>
      </c>
      <c r="O495" s="218" t="str">
        <f t="shared" si="171"/>
        <v>DRCBUK</v>
      </c>
      <c r="P495" s="218" t="str">
        <f t="shared" si="162"/>
        <v>AP21QR</v>
      </c>
      <c r="Q495" s="218" t="str">
        <f>""</f>
        <v/>
      </c>
      <c r="R495" s="218" t="str">
        <f>""</f>
        <v/>
      </c>
      <c r="S495" s="218" t="str">
        <f t="shared" ref="S495:S523" si="174">"082"</f>
        <v>082</v>
      </c>
      <c r="T495" s="218" t="str">
        <f t="shared" si="170"/>
        <v>D</v>
      </c>
      <c r="U495" s="218" t="str">
        <f t="shared" si="165"/>
        <v>AFR000</v>
      </c>
      <c r="V495" s="218" t="str">
        <f t="shared" si="157"/>
        <v>###</v>
      </c>
      <c r="W495" s="218">
        <v>105</v>
      </c>
      <c r="X495" s="218" t="str">
        <f t="shared" si="173"/>
        <v>USD</v>
      </c>
      <c r="Y495" s="218">
        <v>79.14</v>
      </c>
      <c r="Z495" s="218">
        <v>105</v>
      </c>
      <c r="AA495" s="218">
        <v>92.88</v>
      </c>
    </row>
    <row r="496" spans="1:27">
      <c r="A496" s="218" t="s">
        <v>2592</v>
      </c>
      <c r="F496" s="219" t="str">
        <f>"""IntAlert Live"",""ALERT UK"",""17"",""1"",""517266"""</f>
        <v>"IntAlert Live","ALERT UK","17","1","517266"</v>
      </c>
      <c r="G496" s="223">
        <v>43839</v>
      </c>
      <c r="H496" s="223"/>
      <c r="I496" s="218" t="str">
        <f>"DRCBUK/CAISSE/2020/01/001"</f>
        <v>DRCBUK/CAISSE/2020/01/001</v>
      </c>
      <c r="K496" s="218" t="str">
        <f>"ALPHA CAR"</f>
        <v>ALPHA CAR</v>
      </c>
      <c r="L496" s="218" t="str">
        <f>"Rbt frs de Transport de Olive SVH"</f>
        <v>Rbt frs de Transport de Olive SVH</v>
      </c>
      <c r="M496" s="218" t="str">
        <f>"6220"</f>
        <v>6220</v>
      </c>
      <c r="N496" s="218" t="str">
        <f>"PARTICIPANT TRAVEL LOCAL"</f>
        <v>PARTICIPANT TRAVEL LOCAL</v>
      </c>
      <c r="O496" s="218" t="str">
        <f t="shared" si="171"/>
        <v>DRCBUK</v>
      </c>
      <c r="P496" s="218" t="str">
        <f t="shared" si="162"/>
        <v>AP21QR</v>
      </c>
      <c r="Q496" s="218" t="str">
        <f>""</f>
        <v/>
      </c>
      <c r="R496" s="218" t="str">
        <f>""</f>
        <v/>
      </c>
      <c r="S496" s="218" t="str">
        <f t="shared" si="174"/>
        <v>082</v>
      </c>
      <c r="T496" s="218" t="str">
        <f t="shared" si="170"/>
        <v>D</v>
      </c>
      <c r="U496" s="218" t="str">
        <f t="shared" si="165"/>
        <v>AFR000</v>
      </c>
      <c r="V496" s="218" t="str">
        <f t="shared" si="157"/>
        <v>###</v>
      </c>
      <c r="W496" s="218">
        <v>75</v>
      </c>
      <c r="X496" s="218" t="str">
        <f t="shared" si="173"/>
        <v>USD</v>
      </c>
      <c r="Y496" s="218">
        <v>56.53</v>
      </c>
      <c r="Z496" s="218">
        <v>75</v>
      </c>
      <c r="AA496" s="218">
        <v>66.34</v>
      </c>
    </row>
    <row r="497" spans="1:27">
      <c r="A497" s="218" t="s">
        <v>2592</v>
      </c>
      <c r="F497" s="219" t="str">
        <f>"""IntAlert Live"",""ALERT UK"",""17"",""1"",""517267"""</f>
        <v>"IntAlert Live","ALERT UK","17","1","517267"</v>
      </c>
      <c r="G497" s="223">
        <v>43840</v>
      </c>
      <c r="H497" s="223"/>
      <c r="I497" s="218" t="str">
        <f>"DRCBUK/CAISSE/2020/01/001"</f>
        <v>DRCBUK/CAISSE/2020/01/001</v>
      </c>
      <c r="K497" s="218" t="str">
        <f>"ALEXIS MUSOLE"</f>
        <v>ALEXIS MUSOLE</v>
      </c>
      <c r="L497" s="218" t="str">
        <f>"Rbt Frs de voyage Musole ADED"</f>
        <v>Rbt Frs de voyage Musole ADED</v>
      </c>
      <c r="M497" s="218" t="str">
        <f>"6280"</f>
        <v>6280</v>
      </c>
      <c r="N497" s="218" t="str">
        <f>"PARTICIPANT PER DIEMS"</f>
        <v>PARTICIPANT PER DIEMS</v>
      </c>
      <c r="O497" s="218" t="str">
        <f t="shared" si="171"/>
        <v>DRCBUK</v>
      </c>
      <c r="P497" s="218" t="str">
        <f t="shared" si="162"/>
        <v>AP21QR</v>
      </c>
      <c r="Q497" s="218" t="str">
        <f>""</f>
        <v/>
      </c>
      <c r="R497" s="218" t="str">
        <f>""</f>
        <v/>
      </c>
      <c r="S497" s="218" t="str">
        <f t="shared" si="174"/>
        <v>082</v>
      </c>
      <c r="T497" s="218" t="str">
        <f t="shared" si="170"/>
        <v>D</v>
      </c>
      <c r="U497" s="218" t="str">
        <f t="shared" si="165"/>
        <v>AFR000</v>
      </c>
      <c r="V497" s="218" t="str">
        <f t="shared" si="157"/>
        <v>###</v>
      </c>
      <c r="W497" s="218">
        <v>84</v>
      </c>
      <c r="X497" s="218" t="str">
        <f t="shared" si="173"/>
        <v>USD</v>
      </c>
      <c r="Y497" s="218">
        <v>63.31</v>
      </c>
      <c r="Z497" s="218">
        <v>84</v>
      </c>
      <c r="AA497" s="218">
        <v>74.3</v>
      </c>
    </row>
    <row r="498" spans="1:27">
      <c r="A498" s="218" t="s">
        <v>2592</v>
      </c>
      <c r="F498" s="219" t="str">
        <f>"""IntAlert Live"",""ALERT UK"",""17"",""1"",""517268"""</f>
        <v>"IntAlert Live","ALERT UK","17","1","517268"</v>
      </c>
      <c r="G498" s="223">
        <v>43840</v>
      </c>
      <c r="H498" s="223"/>
      <c r="I498" s="218" t="str">
        <f>"DRCBUK/CAISSE/2020/01/001"</f>
        <v>DRCBUK/CAISSE/2020/01/001</v>
      </c>
      <c r="K498" s="218" t="str">
        <f>"OMEGA CAR"</f>
        <v>OMEGA CAR</v>
      </c>
      <c r="L498" s="218" t="str">
        <f>"Rbt  frs de transport Musole"</f>
        <v>Rbt  frs de transport Musole</v>
      </c>
      <c r="M498" s="218" t="str">
        <f>"6220"</f>
        <v>6220</v>
      </c>
      <c r="N498" s="218" t="str">
        <f>"PARTICIPANT TRAVEL LOCAL"</f>
        <v>PARTICIPANT TRAVEL LOCAL</v>
      </c>
      <c r="O498" s="218" t="str">
        <f t="shared" si="171"/>
        <v>DRCBUK</v>
      </c>
      <c r="P498" s="218" t="str">
        <f t="shared" si="162"/>
        <v>AP21QR</v>
      </c>
      <c r="Q498" s="218" t="str">
        <f>""</f>
        <v/>
      </c>
      <c r="R498" s="218" t="str">
        <f>""</f>
        <v/>
      </c>
      <c r="S498" s="218" t="str">
        <f t="shared" si="174"/>
        <v>082</v>
      </c>
      <c r="T498" s="218" t="str">
        <f t="shared" si="170"/>
        <v>D</v>
      </c>
      <c r="U498" s="218" t="str">
        <f t="shared" si="165"/>
        <v>AFR000</v>
      </c>
      <c r="V498" s="218" t="str">
        <f t="shared" si="157"/>
        <v>###</v>
      </c>
      <c r="W498" s="218">
        <v>15</v>
      </c>
      <c r="X498" s="218" t="str">
        <f t="shared" si="173"/>
        <v>USD</v>
      </c>
      <c r="Y498" s="218">
        <v>11.31</v>
      </c>
      <c r="Z498" s="218">
        <v>15</v>
      </c>
      <c r="AA498" s="218">
        <v>13.27</v>
      </c>
    </row>
    <row r="499" spans="1:27">
      <c r="A499" s="218" t="s">
        <v>2592</v>
      </c>
      <c r="F499" s="219" t="str">
        <f>"""IntAlert Live"",""ALERT UK"",""17"",""1"",""516299"""</f>
        <v>"IntAlert Live","ALERT UK","17","1","516299"</v>
      </c>
      <c r="G499" s="223">
        <v>43850</v>
      </c>
      <c r="H499" s="223"/>
      <c r="I499" s="218" t="str">
        <f>"DRCGOM/GENJNL/2020/001/001"</f>
        <v>DRCGOM/GENJNL/2020/001/001</v>
      </c>
      <c r="K499" s="218" t="str">
        <f>"PASCAL BUHASHE"</f>
        <v>PASCAL BUHASHE</v>
      </c>
      <c r="L499" s="218" t="str">
        <f>"Frs voyage Pascal  Bukavu 13-16 Janv 2020"</f>
        <v>Frs voyage Pascal  Bukavu 13-16 Janv 2020</v>
      </c>
      <c r="M499" s="218" t="str">
        <f>"6080"</f>
        <v>6080</v>
      </c>
      <c r="N499" s="218" t="str">
        <f>"STAFF PER DIEMS"</f>
        <v>STAFF PER DIEMS</v>
      </c>
      <c r="O499" s="218" t="str">
        <f>"DRCGOM"</f>
        <v>DRCGOM</v>
      </c>
      <c r="P499" s="218" t="str">
        <f t="shared" si="162"/>
        <v>AP21QR</v>
      </c>
      <c r="Q499" s="218" t="str">
        <f>"CIB"</f>
        <v>CIB</v>
      </c>
      <c r="R499" s="218" t="str">
        <f>""</f>
        <v/>
      </c>
      <c r="S499" s="218" t="str">
        <f t="shared" si="174"/>
        <v>082</v>
      </c>
      <c r="T499" s="218" t="str">
        <f t="shared" si="170"/>
        <v>D</v>
      </c>
      <c r="U499" s="218" t="str">
        <f t="shared" si="165"/>
        <v>AFR000</v>
      </c>
      <c r="V499" s="218" t="str">
        <f t="shared" si="157"/>
        <v>###</v>
      </c>
      <c r="W499" s="218">
        <v>91</v>
      </c>
      <c r="X499" s="218" t="str">
        <f t="shared" si="173"/>
        <v>USD</v>
      </c>
      <c r="Y499" s="218">
        <v>68.59</v>
      </c>
      <c r="Z499" s="218">
        <v>91</v>
      </c>
      <c r="AA499" s="218">
        <v>80.5</v>
      </c>
    </row>
    <row r="500" spans="1:27">
      <c r="A500" s="218" t="s">
        <v>2592</v>
      </c>
      <c r="F500" s="219" t="str">
        <f>"""IntAlert Live"",""ALERT UK"",""17"",""1"",""516300"""</f>
        <v>"IntAlert Live","ALERT UK","17","1","516300"</v>
      </c>
      <c r="G500" s="223">
        <v>43850</v>
      </c>
      <c r="H500" s="223"/>
      <c r="I500" s="218" t="str">
        <f>"DRCGOM/GENJNL/2020/001/001"</f>
        <v>DRCGOM/GENJNL/2020/001/001</v>
      </c>
      <c r="K500" s="218" t="str">
        <f>"ATABOA"</f>
        <v>ATABOA</v>
      </c>
      <c r="L500" s="218" t="str">
        <f>"Taxi Pascal Bukavu-Goma "</f>
        <v xml:space="preserve">Taxi Pascal Bukavu-Goma </v>
      </c>
      <c r="M500" s="218" t="str">
        <f>"6020"</f>
        <v>6020</v>
      </c>
      <c r="N500" s="218" t="str">
        <f>"STAFF TRAVEL LOCAL"</f>
        <v>STAFF TRAVEL LOCAL</v>
      </c>
      <c r="O500" s="218" t="str">
        <f>"DRCGOM"</f>
        <v>DRCGOM</v>
      </c>
      <c r="P500" s="218" t="str">
        <f t="shared" si="162"/>
        <v>AP21QR</v>
      </c>
      <c r="Q500" s="218" t="str">
        <f>"CIB"</f>
        <v>CIB</v>
      </c>
      <c r="R500" s="218" t="str">
        <f>""</f>
        <v/>
      </c>
      <c r="S500" s="218" t="str">
        <f t="shared" si="174"/>
        <v>082</v>
      </c>
      <c r="T500" s="218" t="str">
        <f t="shared" si="170"/>
        <v>D</v>
      </c>
      <c r="U500" s="218" t="str">
        <f t="shared" si="165"/>
        <v>AFR000</v>
      </c>
      <c r="V500" s="218" t="str">
        <f t="shared" si="157"/>
        <v>###</v>
      </c>
      <c r="W500" s="218">
        <v>22</v>
      </c>
      <c r="X500" s="218" t="str">
        <f t="shared" si="173"/>
        <v>USD</v>
      </c>
      <c r="Y500" s="218">
        <v>16.579999999999998</v>
      </c>
      <c r="Z500" s="218">
        <v>22</v>
      </c>
      <c r="AA500" s="218">
        <v>19.46</v>
      </c>
    </row>
    <row r="501" spans="1:27">
      <c r="A501" s="218" t="s">
        <v>2592</v>
      </c>
      <c r="F501" s="219" t="str">
        <f>"""IntAlert Live"",""ALERT UK"",""17"",""1"",""517306"""</f>
        <v>"IntAlert Live","ALERT UK","17","1","517306"</v>
      </c>
      <c r="G501" s="223">
        <v>43850</v>
      </c>
      <c r="H501" s="223"/>
      <c r="I501" s="218" t="str">
        <f>"DRCBUK/GENJNL/2020/01/002"</f>
        <v>DRCBUK/GENJNL/2020/01/002</v>
      </c>
      <c r="K501" s="218" t="str">
        <f>"PASCAL BUHASHE"</f>
        <v>PASCAL BUHASHE</v>
      </c>
      <c r="L501" s="218" t="str">
        <f>"Frais de voyage Participants atelier CAM à Bukavu"</f>
        <v>Frais de voyage Participants atelier CAM à Bukavu</v>
      </c>
      <c r="M501" s="218" t="str">
        <f>"6280"</f>
        <v>6280</v>
      </c>
      <c r="N501" s="218" t="str">
        <f>"PARTICIPANT PER DIEMS"</f>
        <v>PARTICIPANT PER DIEMS</v>
      </c>
      <c r="O501" s="218" t="str">
        <f t="shared" ref="O501:O510" si="175">"DRCBUK"</f>
        <v>DRCBUK</v>
      </c>
      <c r="P501" s="218" t="str">
        <f t="shared" si="162"/>
        <v>AP21QR</v>
      </c>
      <c r="Q501" s="218" t="str">
        <f>""</f>
        <v/>
      </c>
      <c r="R501" s="218" t="str">
        <f>""</f>
        <v/>
      </c>
      <c r="S501" s="218" t="str">
        <f t="shared" si="174"/>
        <v>082</v>
      </c>
      <c r="T501" s="218" t="str">
        <f t="shared" si="170"/>
        <v>D</v>
      </c>
      <c r="U501" s="218" t="str">
        <f t="shared" ref="U501:U532" si="176">"AFR000"</f>
        <v>AFR000</v>
      </c>
      <c r="V501" s="218" t="str">
        <f t="shared" si="157"/>
        <v>###</v>
      </c>
      <c r="W501" s="218">
        <v>420</v>
      </c>
      <c r="X501" s="218" t="str">
        <f t="shared" si="173"/>
        <v>USD</v>
      </c>
      <c r="Y501" s="218">
        <v>316.56</v>
      </c>
      <c r="Z501" s="218">
        <v>420</v>
      </c>
      <c r="AA501" s="218">
        <v>371.51</v>
      </c>
    </row>
    <row r="502" spans="1:27">
      <c r="A502" s="218" t="s">
        <v>2592</v>
      </c>
      <c r="F502" s="219" t="str">
        <f>"""IntAlert Live"",""ALERT UK"",""17"",""1"",""517307"""</f>
        <v>"IntAlert Live","ALERT UK","17","1","517307"</v>
      </c>
      <c r="G502" s="223">
        <v>43850</v>
      </c>
      <c r="H502" s="223"/>
      <c r="I502" s="218" t="str">
        <f>"DRCBUK/GENJNL/2020/01/002"</f>
        <v>DRCBUK/GENJNL/2020/01/002</v>
      </c>
      <c r="K502" s="218" t="str">
        <f>"PASCAL BUHASHE"</f>
        <v>PASCAL BUHASHE</v>
      </c>
      <c r="L502" s="218" t="str">
        <f>"Frais transport Participants atelier CAM à Bukavu"</f>
        <v>Frais transport Participants atelier CAM à Bukavu</v>
      </c>
      <c r="M502" s="218" t="str">
        <f>"6220"</f>
        <v>6220</v>
      </c>
      <c r="N502" s="218" t="str">
        <f>"PARTICIPANT TRAVEL LOCAL"</f>
        <v>PARTICIPANT TRAVEL LOCAL</v>
      </c>
      <c r="O502" s="218" t="str">
        <f t="shared" si="175"/>
        <v>DRCBUK</v>
      </c>
      <c r="P502" s="218" t="str">
        <f t="shared" si="162"/>
        <v>AP21QR</v>
      </c>
      <c r="Q502" s="218" t="str">
        <f>"CIB"</f>
        <v>CIB</v>
      </c>
      <c r="R502" s="218" t="str">
        <f>""</f>
        <v/>
      </c>
      <c r="S502" s="218" t="str">
        <f t="shared" si="174"/>
        <v>082</v>
      </c>
      <c r="T502" s="218" t="str">
        <f t="shared" si="170"/>
        <v>D</v>
      </c>
      <c r="U502" s="218" t="str">
        <f t="shared" si="176"/>
        <v>AFR000</v>
      </c>
      <c r="V502" s="218" t="str">
        <f t="shared" si="157"/>
        <v>###</v>
      </c>
      <c r="W502" s="218">
        <v>230</v>
      </c>
      <c r="X502" s="218" t="str">
        <f t="shared" si="173"/>
        <v>USD</v>
      </c>
      <c r="Y502" s="218">
        <v>173.36</v>
      </c>
      <c r="Z502" s="218">
        <v>230</v>
      </c>
      <c r="AA502" s="218">
        <v>203.46</v>
      </c>
    </row>
    <row r="503" spans="1:27">
      <c r="A503" s="218" t="s">
        <v>2592</v>
      </c>
      <c r="F503" s="219" t="str">
        <f>"""IntAlert Live"",""ALERT UK"",""17"",""1"",""516924"""</f>
        <v>"IntAlert Live","ALERT UK","17","1","516924"</v>
      </c>
      <c r="G503" s="223">
        <v>43859</v>
      </c>
      <c r="H503" s="223"/>
      <c r="I503" s="218" t="str">
        <f t="shared" ref="I503:I509" si="177">"DRCBUK/BANK/2020/01/013"</f>
        <v>DRCBUK/BANK/2020/01/013</v>
      </c>
      <c r="K503" s="218" t="str">
        <f t="shared" ref="K503:K509" si="178">"HOTEL HORIZON"</f>
        <v>HOTEL HORIZON</v>
      </c>
      <c r="L503" s="218" t="str">
        <f>"Frs de logement IRAGI SVH 13-15/01-BUK"</f>
        <v>Frs de logement IRAGI SVH 13-15/01-BUK</v>
      </c>
      <c r="M503" s="218" t="str">
        <f>"6230"</f>
        <v>6230</v>
      </c>
      <c r="N503" s="218" t="str">
        <f>"PARTICIPANT ACCOMTN HOTEL"</f>
        <v>PARTICIPANT ACCOMTN HOTEL</v>
      </c>
      <c r="O503" s="218" t="str">
        <f t="shared" si="175"/>
        <v>DRCBUK</v>
      </c>
      <c r="P503" s="218" t="str">
        <f t="shared" si="162"/>
        <v>AP21QR</v>
      </c>
      <c r="Q503" s="218" t="str">
        <f>""</f>
        <v/>
      </c>
      <c r="R503" s="218" t="str">
        <f>""</f>
        <v/>
      </c>
      <c r="S503" s="218" t="str">
        <f t="shared" si="174"/>
        <v>082</v>
      </c>
      <c r="T503" s="218" t="str">
        <f t="shared" si="170"/>
        <v>D</v>
      </c>
      <c r="U503" s="218" t="str">
        <f t="shared" si="176"/>
        <v>AFR000</v>
      </c>
      <c r="V503" s="218" t="str">
        <f t="shared" si="157"/>
        <v>###</v>
      </c>
      <c r="W503" s="218">
        <v>210</v>
      </c>
      <c r="X503" s="218" t="str">
        <f t="shared" si="173"/>
        <v>USD</v>
      </c>
      <c r="Y503" s="218">
        <v>158.28</v>
      </c>
      <c r="Z503" s="218">
        <v>210</v>
      </c>
      <c r="AA503" s="218">
        <v>185.76</v>
      </c>
    </row>
    <row r="504" spans="1:27">
      <c r="A504" s="218" t="s">
        <v>2592</v>
      </c>
      <c r="F504" s="219" t="str">
        <f>"""IntAlert Live"",""ALERT UK"",""17"",""1"",""516925"""</f>
        <v>"IntAlert Live","ALERT UK","17","1","516925"</v>
      </c>
      <c r="G504" s="223">
        <v>43859</v>
      </c>
      <c r="H504" s="223"/>
      <c r="I504" s="218" t="str">
        <f t="shared" si="177"/>
        <v>DRCBUK/BANK/2020/01/013</v>
      </c>
      <c r="K504" s="218" t="str">
        <f t="shared" si="178"/>
        <v>HOTEL HORIZON</v>
      </c>
      <c r="L504" s="218" t="str">
        <f>"Frs de logement Janvier L.SVH 13-15/01-BUK"</f>
        <v>Frs de logement Janvier L.SVH 13-15/01-BUK</v>
      </c>
      <c r="M504" s="218" t="str">
        <f>"6230"</f>
        <v>6230</v>
      </c>
      <c r="N504" s="218" t="str">
        <f>"PARTICIPANT ACCOMTN HOTEL"</f>
        <v>PARTICIPANT ACCOMTN HOTEL</v>
      </c>
      <c r="O504" s="218" t="str">
        <f t="shared" si="175"/>
        <v>DRCBUK</v>
      </c>
      <c r="P504" s="218" t="str">
        <f t="shared" si="162"/>
        <v>AP21QR</v>
      </c>
      <c r="Q504" s="218" t="str">
        <f>""</f>
        <v/>
      </c>
      <c r="R504" s="218" t="str">
        <f>""</f>
        <v/>
      </c>
      <c r="S504" s="218" t="str">
        <f t="shared" si="174"/>
        <v>082</v>
      </c>
      <c r="T504" s="218" t="str">
        <f t="shared" si="170"/>
        <v>D</v>
      </c>
      <c r="U504" s="218" t="str">
        <f t="shared" si="176"/>
        <v>AFR000</v>
      </c>
      <c r="V504" s="218" t="str">
        <f t="shared" si="157"/>
        <v>###</v>
      </c>
      <c r="W504" s="218">
        <v>210</v>
      </c>
      <c r="X504" s="218" t="str">
        <f t="shared" si="173"/>
        <v>USD</v>
      </c>
      <c r="Y504" s="218">
        <v>158.28</v>
      </c>
      <c r="Z504" s="218">
        <v>210</v>
      </c>
      <c r="AA504" s="218">
        <v>185.76</v>
      </c>
    </row>
    <row r="505" spans="1:27">
      <c r="A505" s="218" t="s">
        <v>2592</v>
      </c>
      <c r="F505" s="219" t="str">
        <f>"""IntAlert Live"",""ALERT UK"",""17"",""1"",""516926"""</f>
        <v>"IntAlert Live","ALERT UK","17","1","516926"</v>
      </c>
      <c r="G505" s="223">
        <v>43859</v>
      </c>
      <c r="H505" s="223"/>
      <c r="I505" s="218" t="str">
        <f t="shared" si="177"/>
        <v>DRCBUK/BANK/2020/01/013</v>
      </c>
      <c r="K505" s="218" t="str">
        <f t="shared" si="178"/>
        <v>HOTEL HORIZON</v>
      </c>
      <c r="L505" s="218" t="str">
        <f>"Frs de logement Martin 13-15/01-BUK"</f>
        <v>Frs de logement Martin 13-15/01-BUK</v>
      </c>
      <c r="M505" s="218" t="str">
        <f>"6230"</f>
        <v>6230</v>
      </c>
      <c r="N505" s="218" t="str">
        <f>"PARTICIPANT ACCOMTN HOTEL"</f>
        <v>PARTICIPANT ACCOMTN HOTEL</v>
      </c>
      <c r="O505" s="218" t="str">
        <f t="shared" si="175"/>
        <v>DRCBUK</v>
      </c>
      <c r="P505" s="218" t="str">
        <f t="shared" si="162"/>
        <v>AP21QR</v>
      </c>
      <c r="Q505" s="218" t="str">
        <f>""</f>
        <v/>
      </c>
      <c r="R505" s="218" t="str">
        <f>""</f>
        <v/>
      </c>
      <c r="S505" s="218" t="str">
        <f t="shared" si="174"/>
        <v>082</v>
      </c>
      <c r="T505" s="218" t="str">
        <f t="shared" si="170"/>
        <v>D</v>
      </c>
      <c r="U505" s="218" t="str">
        <f t="shared" si="176"/>
        <v>AFR000</v>
      </c>
      <c r="V505" s="218" t="str">
        <f t="shared" si="157"/>
        <v>###</v>
      </c>
      <c r="W505" s="218">
        <v>140</v>
      </c>
      <c r="X505" s="218" t="str">
        <f t="shared" si="173"/>
        <v>USD</v>
      </c>
      <c r="Y505" s="218">
        <v>105.52</v>
      </c>
      <c r="Z505" s="218">
        <v>140</v>
      </c>
      <c r="AA505" s="218">
        <v>123.84</v>
      </c>
    </row>
    <row r="506" spans="1:27">
      <c r="A506" s="218" t="s">
        <v>2592</v>
      </c>
      <c r="F506" s="219" t="str">
        <f>"""IntAlert Live"",""ALERT UK"",""17"",""1"",""516927"""</f>
        <v>"IntAlert Live","ALERT UK","17","1","516927"</v>
      </c>
      <c r="G506" s="223">
        <v>43859</v>
      </c>
      <c r="H506" s="223"/>
      <c r="I506" s="218" t="str">
        <f t="shared" si="177"/>
        <v>DRCBUK/BANK/2020/01/013</v>
      </c>
      <c r="K506" s="218" t="str">
        <f t="shared" si="178"/>
        <v>HOTEL HORIZON</v>
      </c>
      <c r="L506" s="218" t="str">
        <f>"Frs de logement Musole ADED 13-15/01-BUK"</f>
        <v>Frs de logement Musole ADED 13-15/01-BUK</v>
      </c>
      <c r="M506" s="218" t="str">
        <f>"6230"</f>
        <v>6230</v>
      </c>
      <c r="N506" s="218" t="str">
        <f>"PARTICIPANT ACCOMTN HOTEL"</f>
        <v>PARTICIPANT ACCOMTN HOTEL</v>
      </c>
      <c r="O506" s="218" t="str">
        <f t="shared" si="175"/>
        <v>DRCBUK</v>
      </c>
      <c r="P506" s="218" t="str">
        <f t="shared" si="162"/>
        <v>AP21QR</v>
      </c>
      <c r="Q506" s="218" t="str">
        <f>""</f>
        <v/>
      </c>
      <c r="R506" s="218" t="str">
        <f>""</f>
        <v/>
      </c>
      <c r="S506" s="218" t="str">
        <f t="shared" si="174"/>
        <v>082</v>
      </c>
      <c r="T506" s="218" t="str">
        <f t="shared" si="170"/>
        <v>D</v>
      </c>
      <c r="U506" s="218" t="str">
        <f t="shared" si="176"/>
        <v>AFR000</v>
      </c>
      <c r="V506" s="218" t="str">
        <f t="shared" si="157"/>
        <v>###</v>
      </c>
      <c r="W506" s="218">
        <v>280</v>
      </c>
      <c r="X506" s="218" t="str">
        <f t="shared" si="173"/>
        <v>USD</v>
      </c>
      <c r="Y506" s="218">
        <v>211.04</v>
      </c>
      <c r="Z506" s="218">
        <v>280</v>
      </c>
      <c r="AA506" s="218">
        <v>247.68</v>
      </c>
    </row>
    <row r="507" spans="1:27">
      <c r="A507" s="218" t="s">
        <v>2592</v>
      </c>
      <c r="F507" s="219" t="str">
        <f>"""IntAlert Live"",""ALERT UK"",""17"",""1"",""516928"""</f>
        <v>"IntAlert Live","ALERT UK","17","1","516928"</v>
      </c>
      <c r="G507" s="223">
        <v>43859</v>
      </c>
      <c r="H507" s="223"/>
      <c r="I507" s="218" t="str">
        <f t="shared" si="177"/>
        <v>DRCBUK/BANK/2020/01/013</v>
      </c>
      <c r="K507" s="218" t="str">
        <f t="shared" si="178"/>
        <v>HOTEL HORIZON</v>
      </c>
      <c r="L507" s="218" t="str">
        <f>"Frs de logement Gilbert ADED 13-15/01-BUK"</f>
        <v>Frs de logement Gilbert ADED 13-15/01-BUK</v>
      </c>
      <c r="M507" s="218" t="str">
        <f>"6230"</f>
        <v>6230</v>
      </c>
      <c r="N507" s="218" t="str">
        <f>"PARTICIPANT ACCOMTN HOTEL"</f>
        <v>PARTICIPANT ACCOMTN HOTEL</v>
      </c>
      <c r="O507" s="218" t="str">
        <f t="shared" si="175"/>
        <v>DRCBUK</v>
      </c>
      <c r="P507" s="218" t="str">
        <f t="shared" si="162"/>
        <v>AP21QR</v>
      </c>
      <c r="Q507" s="218" t="str">
        <f>""</f>
        <v/>
      </c>
      <c r="R507" s="218" t="str">
        <f>""</f>
        <v/>
      </c>
      <c r="S507" s="218" t="str">
        <f t="shared" si="174"/>
        <v>082</v>
      </c>
      <c r="T507" s="218" t="str">
        <f t="shared" si="170"/>
        <v>D</v>
      </c>
      <c r="U507" s="218" t="str">
        <f t="shared" si="176"/>
        <v>AFR000</v>
      </c>
      <c r="V507" s="218" t="str">
        <f t="shared" si="157"/>
        <v>###</v>
      </c>
      <c r="W507" s="218">
        <v>70</v>
      </c>
      <c r="X507" s="218" t="str">
        <f t="shared" si="173"/>
        <v>USD</v>
      </c>
      <c r="Y507" s="218">
        <v>52.76</v>
      </c>
      <c r="Z507" s="218">
        <v>70</v>
      </c>
      <c r="AA507" s="218">
        <v>61.92</v>
      </c>
    </row>
    <row r="508" spans="1:27">
      <c r="A508" s="218" t="s">
        <v>2592</v>
      </c>
      <c r="F508" s="219" t="str">
        <f>"""IntAlert Live"",""ALERT UK"",""17"",""1"",""516930"""</f>
        <v>"IntAlert Live","ALERT UK","17","1","516930"</v>
      </c>
      <c r="G508" s="223">
        <v>43859</v>
      </c>
      <c r="H508" s="223"/>
      <c r="I508" s="218" t="str">
        <f t="shared" si="177"/>
        <v>DRCBUK/BANK/2020/01/013</v>
      </c>
      <c r="K508" s="218" t="str">
        <f t="shared" si="178"/>
        <v>HOTEL HORIZON</v>
      </c>
      <c r="L508" s="218" t="str">
        <f>"Location salle atelier CAM"</f>
        <v>Location salle atelier CAM</v>
      </c>
      <c r="M508" s="218" t="str">
        <f>"6640"</f>
        <v>6640</v>
      </c>
      <c r="N508" s="218" t="str">
        <f>"VENUE HIRE"</f>
        <v>VENUE HIRE</v>
      </c>
      <c r="O508" s="218" t="str">
        <f t="shared" si="175"/>
        <v>DRCBUK</v>
      </c>
      <c r="P508" s="218" t="str">
        <f t="shared" si="162"/>
        <v>AP21QR</v>
      </c>
      <c r="Q508" s="218" t="str">
        <f>""</f>
        <v/>
      </c>
      <c r="R508" s="218" t="str">
        <f>""</f>
        <v/>
      </c>
      <c r="S508" s="218" t="str">
        <f t="shared" si="174"/>
        <v>082</v>
      </c>
      <c r="T508" s="218" t="str">
        <f t="shared" si="170"/>
        <v>D</v>
      </c>
      <c r="U508" s="218" t="str">
        <f t="shared" si="176"/>
        <v>AFR000</v>
      </c>
      <c r="V508" s="218" t="str">
        <f t="shared" si="157"/>
        <v>###</v>
      </c>
      <c r="W508" s="218">
        <v>100</v>
      </c>
      <c r="X508" s="218" t="str">
        <f t="shared" si="173"/>
        <v>USD</v>
      </c>
      <c r="Y508" s="218">
        <v>75.37</v>
      </c>
      <c r="Z508" s="218">
        <v>100</v>
      </c>
      <c r="AA508" s="218">
        <v>88.45</v>
      </c>
    </row>
    <row r="509" spans="1:27">
      <c r="A509" s="218" t="s">
        <v>2592</v>
      </c>
      <c r="F509" s="219" t="str">
        <f>"""IntAlert Live"",""ALERT UK"",""17"",""1"",""516931"""</f>
        <v>"IntAlert Live","ALERT UK","17","1","516931"</v>
      </c>
      <c r="G509" s="223">
        <v>43859</v>
      </c>
      <c r="H509" s="223"/>
      <c r="I509" s="218" t="str">
        <f t="shared" si="177"/>
        <v>DRCBUK/BANK/2020/01/013</v>
      </c>
      <c r="K509" s="218" t="str">
        <f t="shared" si="178"/>
        <v>HOTEL HORIZON</v>
      </c>
      <c r="L509" s="218" t="str">
        <f>"Restauration participants 13-15/01 projet CAM"</f>
        <v>Restauration participants 13-15/01 projet CAM</v>
      </c>
      <c r="M509" s="218" t="str">
        <f>"6650"</f>
        <v>6650</v>
      </c>
      <c r="N509" s="218" t="str">
        <f>"CATERING"</f>
        <v>CATERING</v>
      </c>
      <c r="O509" s="218" t="str">
        <f t="shared" si="175"/>
        <v>DRCBUK</v>
      </c>
      <c r="P509" s="218" t="str">
        <f t="shared" si="162"/>
        <v>AP21QR</v>
      </c>
      <c r="Q509" s="218" t="str">
        <f>""</f>
        <v/>
      </c>
      <c r="R509" s="218" t="str">
        <f>""</f>
        <v/>
      </c>
      <c r="S509" s="218" t="str">
        <f t="shared" si="174"/>
        <v>082</v>
      </c>
      <c r="T509" s="218" t="str">
        <f t="shared" si="170"/>
        <v>D</v>
      </c>
      <c r="U509" s="218" t="str">
        <f t="shared" si="176"/>
        <v>AFR000</v>
      </c>
      <c r="V509" s="218" t="str">
        <f t="shared" ref="V509:V538" si="179">"###"</f>
        <v>###</v>
      </c>
      <c r="W509" s="218">
        <v>714</v>
      </c>
      <c r="X509" s="218" t="str">
        <f t="shared" si="173"/>
        <v>USD</v>
      </c>
      <c r="Y509" s="218">
        <v>538.16</v>
      </c>
      <c r="Z509" s="218">
        <v>714</v>
      </c>
      <c r="AA509" s="218">
        <v>631.58000000000004</v>
      </c>
    </row>
    <row r="510" spans="1:27">
      <c r="A510" s="218" t="s">
        <v>2592</v>
      </c>
      <c r="F510" s="219" t="str">
        <f>"""IntAlert Live"",""ALERT UK"",""17"",""1"",""517295"""</f>
        <v>"IntAlert Live","ALERT UK","17","1","517295"</v>
      </c>
      <c r="G510" s="223">
        <v>43859</v>
      </c>
      <c r="H510" s="223"/>
      <c r="I510" s="218" t="str">
        <f>"DRCBUK/CAISSE/2020/01/001"</f>
        <v>DRCBUK/CAISSE/2020/01/001</v>
      </c>
      <c r="K510" s="218" t="str">
        <f>"PAPETERIE HOZANA"</f>
        <v>PAPETERIE HOZANA</v>
      </c>
      <c r="L510" s="218" t="str">
        <f>"Fournitures activités projet CAM "</f>
        <v xml:space="preserve">Fournitures activités projet CAM </v>
      </c>
      <c r="M510" s="218" t="str">
        <f>"6630"</f>
        <v>6630</v>
      </c>
      <c r="N510" s="218" t="str">
        <f>"MATERIALS FOR CONFS &amp; SEMINARS"</f>
        <v>MATERIALS FOR CONFS &amp; SEMINARS</v>
      </c>
      <c r="O510" s="218" t="str">
        <f t="shared" si="175"/>
        <v>DRCBUK</v>
      </c>
      <c r="P510" s="218" t="str">
        <f t="shared" si="162"/>
        <v>AP21QR</v>
      </c>
      <c r="Q510" s="218" t="str">
        <f>""</f>
        <v/>
      </c>
      <c r="R510" s="218" t="str">
        <f>""</f>
        <v/>
      </c>
      <c r="S510" s="218" t="str">
        <f t="shared" si="174"/>
        <v>082</v>
      </c>
      <c r="T510" s="218" t="str">
        <f t="shared" si="170"/>
        <v>D</v>
      </c>
      <c r="U510" s="218" t="str">
        <f t="shared" si="176"/>
        <v>AFR000</v>
      </c>
      <c r="V510" s="218" t="str">
        <f t="shared" si="179"/>
        <v>###</v>
      </c>
      <c r="W510" s="218">
        <v>41.1</v>
      </c>
      <c r="X510" s="218" t="str">
        <f t="shared" si="173"/>
        <v>USD</v>
      </c>
      <c r="Y510" s="218">
        <v>30.98</v>
      </c>
      <c r="Z510" s="218">
        <v>41.1</v>
      </c>
      <c r="AA510" s="218">
        <v>36.36</v>
      </c>
    </row>
    <row r="511" spans="1:27">
      <c r="A511" s="218" t="s">
        <v>2592</v>
      </c>
      <c r="F511" s="219" t="str">
        <f>"""IntAlert Live"",""ALERT UK"",""17"",""1"",""531044"""</f>
        <v>"IntAlert Live","ALERT UK","17","1","531044"</v>
      </c>
      <c r="G511" s="223">
        <v>43880</v>
      </c>
      <c r="H511" s="223"/>
      <c r="I511" s="218" t="str">
        <f>""</f>
        <v/>
      </c>
      <c r="K511" s="218" t="str">
        <f>"10057700"</f>
        <v>10057700</v>
      </c>
      <c r="L511" s="218" t="str">
        <f>"Facilitating DRC Reflection on 2019"</f>
        <v>Facilitating DRC Reflection on 2019</v>
      </c>
      <c r="M511" s="218" t="str">
        <f>"6080"</f>
        <v>6080</v>
      </c>
      <c r="N511" s="218" t="str">
        <f>"STAFF PER DIEMS"</f>
        <v>STAFF PER DIEMS</v>
      </c>
      <c r="O511" s="218" t="str">
        <f>"RWAKIG"</f>
        <v>RWAKIG</v>
      </c>
      <c r="P511" s="218" t="str">
        <f t="shared" si="162"/>
        <v>AP21QR</v>
      </c>
      <c r="Q511" s="218" t="str">
        <f>"BAZ"</f>
        <v>BAZ</v>
      </c>
      <c r="R511" s="218" t="str">
        <f>""</f>
        <v/>
      </c>
      <c r="S511" s="218" t="str">
        <f t="shared" si="174"/>
        <v>082</v>
      </c>
      <c r="T511" s="218" t="str">
        <f t="shared" si="170"/>
        <v>D</v>
      </c>
      <c r="U511" s="218" t="str">
        <f t="shared" si="176"/>
        <v>AFR000</v>
      </c>
      <c r="V511" s="218" t="str">
        <f t="shared" si="179"/>
        <v>###</v>
      </c>
      <c r="W511" s="218">
        <v>45684</v>
      </c>
      <c r="X511" s="218" t="str">
        <f>"RWF"</f>
        <v>RWF</v>
      </c>
      <c r="Y511" s="218">
        <v>37</v>
      </c>
      <c r="Z511" s="218">
        <v>48.81</v>
      </c>
      <c r="AA511" s="218">
        <v>43.95</v>
      </c>
    </row>
    <row r="512" spans="1:27">
      <c r="A512" s="218" t="s">
        <v>2592</v>
      </c>
      <c r="F512" s="219" t="str">
        <f>"""IntAlert Live"",""ALERT UK"",""17"",""1"",""532862"""</f>
        <v>"IntAlert Live","ALERT UK","17","1","532862"</v>
      </c>
      <c r="G512" s="223">
        <v>43886</v>
      </c>
      <c r="H512" s="223"/>
      <c r="I512" s="218" t="str">
        <f>"DRCBUK/CAISSE/2020/02/002"</f>
        <v>DRCBUK/CAISSE/2020/02/002</v>
      </c>
      <c r="K512" s="218" t="str">
        <f>"IHUSI EXPRESS"</f>
        <v>IHUSI EXPRESS</v>
      </c>
      <c r="L512" s="218" t="str">
        <f>"Tick boat Pascal Buhashe BUK-GOM Janv 2020"</f>
        <v>Tick boat Pascal Buhashe BUK-GOM Janv 2020</v>
      </c>
      <c r="M512" s="218" t="str">
        <f>"6020"</f>
        <v>6020</v>
      </c>
      <c r="N512" s="218" t="str">
        <f>"STAFF TRAVEL LOCAL"</f>
        <v>STAFF TRAVEL LOCAL</v>
      </c>
      <c r="O512" s="218" t="str">
        <f t="shared" ref="O512:O523" si="180">"DRCBUK"</f>
        <v>DRCBUK</v>
      </c>
      <c r="P512" s="218" t="str">
        <f t="shared" si="162"/>
        <v>AP21QR</v>
      </c>
      <c r="Q512" s="218" t="str">
        <f>"CIB"</f>
        <v>CIB</v>
      </c>
      <c r="R512" s="218" t="str">
        <f>""</f>
        <v/>
      </c>
      <c r="S512" s="218" t="str">
        <f t="shared" si="174"/>
        <v>082</v>
      </c>
      <c r="T512" s="218" t="str">
        <f t="shared" ref="T512:T543" si="181">"D"</f>
        <v>D</v>
      </c>
      <c r="U512" s="218" t="str">
        <f t="shared" si="176"/>
        <v>AFR000</v>
      </c>
      <c r="V512" s="218" t="str">
        <f t="shared" si="179"/>
        <v>###</v>
      </c>
      <c r="W512" s="218">
        <v>40</v>
      </c>
      <c r="X512" s="218" t="str">
        <f t="shared" ref="X512:X523" si="182">"USD"</f>
        <v>USD</v>
      </c>
      <c r="Y512" s="218">
        <v>30.32</v>
      </c>
      <c r="Z512" s="218">
        <v>40</v>
      </c>
      <c r="AA512" s="218">
        <v>36.020000000000003</v>
      </c>
    </row>
    <row r="513" spans="1:27">
      <c r="A513" s="218" t="s">
        <v>2592</v>
      </c>
      <c r="F513" s="219" t="str">
        <f>"""IntAlert Live"",""ALERT UK"",""17"",""1"",""532430"""</f>
        <v>"IntAlert Live","ALERT UK","17","1","532430"</v>
      </c>
      <c r="G513" s="223">
        <v>43887</v>
      </c>
      <c r="H513" s="223"/>
      <c r="I513" s="218" t="str">
        <f>"DRCBUK/BANK/2020/02/027"</f>
        <v>DRCBUK/BANK/2020/02/027</v>
      </c>
      <c r="K513" s="218" t="str">
        <f>"SOUZANA GUEST"</f>
        <v>SOUZANA GUEST</v>
      </c>
      <c r="L513" s="218" t="str">
        <f>"Logemnt Papson 19-21/02 Uvira close out Tujenge"</f>
        <v>Logemnt Papson 19-21/02 Uvira close out Tujenge</v>
      </c>
      <c r="M513" s="218" t="str">
        <f>"6030"</f>
        <v>6030</v>
      </c>
      <c r="N513" s="218" t="str">
        <f>"STAFF ACCOMMODATION   HOTELS"</f>
        <v>STAFF ACCOMMODATION   HOTELS</v>
      </c>
      <c r="O513" s="218" t="str">
        <f t="shared" si="180"/>
        <v>DRCBUK</v>
      </c>
      <c r="P513" s="218" t="str">
        <f t="shared" si="162"/>
        <v>AP21QR</v>
      </c>
      <c r="Q513" s="218" t="str">
        <f>"MWA"</f>
        <v>MWA</v>
      </c>
      <c r="R513" s="218" t="str">
        <f>""</f>
        <v/>
      </c>
      <c r="S513" s="218" t="str">
        <f t="shared" si="174"/>
        <v>082</v>
      </c>
      <c r="T513" s="218" t="str">
        <f t="shared" si="181"/>
        <v>D</v>
      </c>
      <c r="U513" s="218" t="str">
        <f t="shared" si="176"/>
        <v>AFR000</v>
      </c>
      <c r="V513" s="218" t="str">
        <f t="shared" si="179"/>
        <v>###</v>
      </c>
      <c r="W513" s="218">
        <v>120</v>
      </c>
      <c r="X513" s="218" t="str">
        <f t="shared" si="182"/>
        <v>USD</v>
      </c>
      <c r="Y513" s="218">
        <v>90.96</v>
      </c>
      <c r="Z513" s="218">
        <v>120</v>
      </c>
      <c r="AA513" s="218">
        <v>108.05</v>
      </c>
    </row>
    <row r="514" spans="1:27">
      <c r="A514" s="218" t="s">
        <v>2592</v>
      </c>
      <c r="F514" s="219" t="str">
        <f>"""IntAlert Live"",""ALERT UK"",""17"",""1"",""532437"""</f>
        <v>"IntAlert Live","ALERT UK","17","1","532437"</v>
      </c>
      <c r="G514" s="223">
        <v>43887</v>
      </c>
      <c r="H514" s="223"/>
      <c r="I514" s="218" t="str">
        <f>"DRCBUK/BANK/2020/02/027"</f>
        <v>DRCBUK/BANK/2020/02/027</v>
      </c>
      <c r="K514" s="218" t="str">
        <f>"SOUZANA GUEST"</f>
        <v>SOUZANA GUEST</v>
      </c>
      <c r="L514" s="218" t="str">
        <f>"Logemnt MURHABAZI 19-21/02 Uvira close out Tujenge"</f>
        <v>Logemnt MURHABAZI 19-21/02 Uvira close out Tujenge</v>
      </c>
      <c r="M514" s="218" t="str">
        <f>"6230"</f>
        <v>6230</v>
      </c>
      <c r="N514" s="218" t="str">
        <f>"PARTICIPANT ACCOMTN HOTEL"</f>
        <v>PARTICIPANT ACCOMTN HOTEL</v>
      </c>
      <c r="O514" s="218" t="str">
        <f t="shared" si="180"/>
        <v>DRCBUK</v>
      </c>
      <c r="P514" s="218" t="str">
        <f t="shared" si="162"/>
        <v>AP21QR</v>
      </c>
      <c r="Q514" s="218" t="str">
        <f>""</f>
        <v/>
      </c>
      <c r="R514" s="218" t="str">
        <f>""</f>
        <v/>
      </c>
      <c r="S514" s="218" t="str">
        <f t="shared" si="174"/>
        <v>082</v>
      </c>
      <c r="T514" s="218" t="str">
        <f t="shared" si="181"/>
        <v>D</v>
      </c>
      <c r="U514" s="218" t="str">
        <f t="shared" si="176"/>
        <v>AFR000</v>
      </c>
      <c r="V514" s="218" t="str">
        <f t="shared" si="179"/>
        <v>###</v>
      </c>
      <c r="W514" s="218">
        <v>90</v>
      </c>
      <c r="X514" s="218" t="str">
        <f t="shared" si="182"/>
        <v>USD</v>
      </c>
      <c r="Y514" s="218">
        <v>68.22</v>
      </c>
      <c r="Z514" s="218">
        <v>90</v>
      </c>
      <c r="AA514" s="218">
        <v>81.040000000000006</v>
      </c>
    </row>
    <row r="515" spans="1:27">
      <c r="A515" s="218" t="s">
        <v>2592</v>
      </c>
      <c r="F515" s="219" t="str">
        <f>"""IntAlert Live"",""ALERT UK"",""17"",""1"",""532921"""</f>
        <v>"IntAlert Live","ALERT UK","17","1","532921"</v>
      </c>
      <c r="G515" s="223">
        <v>43887</v>
      </c>
      <c r="H515" s="223"/>
      <c r="I515" s="218" t="str">
        <f>"DRCBUK/GENJNL/2020/02/006"</f>
        <v>DRCBUK/GENJNL/2020/02/006</v>
      </c>
      <c r="K515" s="218" t="str">
        <f>"PASCAL BUHASHE"</f>
        <v>PASCAL BUHASHE</v>
      </c>
      <c r="L515" s="218" t="str">
        <f>"frs de voyage Pascal31/01-08/02-BUK"</f>
        <v>frs de voyage Pascal31/01-08/02-BUK</v>
      </c>
      <c r="M515" s="218" t="str">
        <f>"6080"</f>
        <v>6080</v>
      </c>
      <c r="N515" s="218" t="str">
        <f>"STAFF PER DIEMS"</f>
        <v>STAFF PER DIEMS</v>
      </c>
      <c r="O515" s="218" t="str">
        <f t="shared" si="180"/>
        <v>DRCBUK</v>
      </c>
      <c r="P515" s="218" t="str">
        <f t="shared" si="162"/>
        <v>AP21QR</v>
      </c>
      <c r="Q515" s="218" t="str">
        <f>"CIB"</f>
        <v>CIB</v>
      </c>
      <c r="R515" s="218" t="str">
        <f>""</f>
        <v/>
      </c>
      <c r="S515" s="218" t="str">
        <f t="shared" si="174"/>
        <v>082</v>
      </c>
      <c r="T515" s="218" t="str">
        <f t="shared" si="181"/>
        <v>D</v>
      </c>
      <c r="U515" s="218" t="str">
        <f t="shared" si="176"/>
        <v>AFR000</v>
      </c>
      <c r="V515" s="218" t="str">
        <f t="shared" si="179"/>
        <v>###</v>
      </c>
      <c r="W515" s="218">
        <v>150</v>
      </c>
      <c r="X515" s="218" t="str">
        <f t="shared" si="182"/>
        <v>USD</v>
      </c>
      <c r="Y515" s="218">
        <v>113.7</v>
      </c>
      <c r="Z515" s="218">
        <v>150</v>
      </c>
      <c r="AA515" s="218">
        <v>135.06</v>
      </c>
    </row>
    <row r="516" spans="1:27">
      <c r="A516" s="218" t="s">
        <v>2592</v>
      </c>
      <c r="F516" s="219" t="str">
        <f>"""IntAlert Live"",""ALERT UK"",""17"",""1"",""532925"""</f>
        <v>"IntAlert Live","ALERT UK","17","1","532925"</v>
      </c>
      <c r="G516" s="223">
        <v>43889</v>
      </c>
      <c r="H516" s="223"/>
      <c r="I516" s="218" t="str">
        <f>"DRCBUK/GENJNL/2020/02/007"</f>
        <v>DRCBUK/GENJNL/2020/02/007</v>
      </c>
      <c r="K516" s="218" t="str">
        <f>"NYAMUSHALA PAPSON"</f>
        <v>NYAMUSHALA PAPSON</v>
      </c>
      <c r="L516" s="218" t="str">
        <f>"frs de voyage Papson 18-22/02-Uvira"</f>
        <v>frs de voyage Papson 18-22/02-Uvira</v>
      </c>
      <c r="M516" s="218" t="str">
        <f>"6080"</f>
        <v>6080</v>
      </c>
      <c r="N516" s="218" t="str">
        <f>"STAFF PER DIEMS"</f>
        <v>STAFF PER DIEMS</v>
      </c>
      <c r="O516" s="218" t="str">
        <f t="shared" si="180"/>
        <v>DRCBUK</v>
      </c>
      <c r="P516" s="218" t="str">
        <f t="shared" si="162"/>
        <v>AP21QR</v>
      </c>
      <c r="Q516" s="218" t="str">
        <f>"MWA"</f>
        <v>MWA</v>
      </c>
      <c r="R516" s="218" t="str">
        <f>""</f>
        <v/>
      </c>
      <c r="S516" s="218" t="str">
        <f t="shared" si="174"/>
        <v>082</v>
      </c>
      <c r="T516" s="218" t="str">
        <f t="shared" si="181"/>
        <v>D</v>
      </c>
      <c r="U516" s="218" t="str">
        <f t="shared" si="176"/>
        <v>AFR000</v>
      </c>
      <c r="V516" s="218" t="str">
        <f t="shared" si="179"/>
        <v>###</v>
      </c>
      <c r="W516" s="218">
        <v>80</v>
      </c>
      <c r="X516" s="218" t="str">
        <f t="shared" si="182"/>
        <v>USD</v>
      </c>
      <c r="Y516" s="218">
        <v>60.64</v>
      </c>
      <c r="Z516" s="218">
        <v>80</v>
      </c>
      <c r="AA516" s="218">
        <v>72.03</v>
      </c>
    </row>
    <row r="517" spans="1:27">
      <c r="A517" s="218" t="s">
        <v>2592</v>
      </c>
      <c r="F517" s="219" t="str">
        <f>"""IntAlert Live"",""ALERT UK"",""17"",""1"",""532926"""</f>
        <v>"IntAlert Live","ALERT UK","17","1","532926"</v>
      </c>
      <c r="G517" s="223">
        <v>43889</v>
      </c>
      <c r="H517" s="223"/>
      <c r="I517" s="218" t="str">
        <f>"DRCBUK/GENJNL/2020/02/007"</f>
        <v>DRCBUK/GENJNL/2020/02/007</v>
      </c>
      <c r="K517" s="218" t="str">
        <f>"MURABAZI  BVES"</f>
        <v>MURABAZI  BVES</v>
      </c>
      <c r="L517" s="218" t="str">
        <f>"frs de voyage Murabazi 18-22/02-Uvira"</f>
        <v>frs de voyage Murabazi 18-22/02-Uvira</v>
      </c>
      <c r="M517" s="218" t="str">
        <f>"6080"</f>
        <v>6080</v>
      </c>
      <c r="N517" s="218" t="str">
        <f>"STAFF PER DIEMS"</f>
        <v>STAFF PER DIEMS</v>
      </c>
      <c r="O517" s="218" t="str">
        <f t="shared" si="180"/>
        <v>DRCBUK</v>
      </c>
      <c r="P517" s="218" t="str">
        <f t="shared" si="162"/>
        <v>AP21QR</v>
      </c>
      <c r="Q517" s="218" t="str">
        <f>"MWA"</f>
        <v>MWA</v>
      </c>
      <c r="R517" s="218" t="str">
        <f>""</f>
        <v/>
      </c>
      <c r="S517" s="218" t="str">
        <f t="shared" si="174"/>
        <v>082</v>
      </c>
      <c r="T517" s="218" t="str">
        <f t="shared" si="181"/>
        <v>D</v>
      </c>
      <c r="U517" s="218" t="str">
        <f t="shared" si="176"/>
        <v>AFR000</v>
      </c>
      <c r="V517" s="218" t="str">
        <f t="shared" si="179"/>
        <v>###</v>
      </c>
      <c r="W517" s="218">
        <v>65</v>
      </c>
      <c r="X517" s="218" t="str">
        <f t="shared" si="182"/>
        <v>USD</v>
      </c>
      <c r="Y517" s="218">
        <v>49.27</v>
      </c>
      <c r="Z517" s="218">
        <v>65</v>
      </c>
      <c r="AA517" s="218">
        <v>58.53</v>
      </c>
    </row>
    <row r="518" spans="1:27">
      <c r="A518" s="218" t="s">
        <v>2592</v>
      </c>
      <c r="F518" s="219" t="str">
        <f>"""IntAlert Live"",""ALERT UK"",""17"",""1"",""532998"""</f>
        <v>"IntAlert Live","ALERT UK","17","1","532998"</v>
      </c>
      <c r="G518" s="223">
        <v>43889</v>
      </c>
      <c r="H518" s="223"/>
      <c r="I518" s="218" t="str">
        <f>"DRCBUK/GENJNL/2020/02/016"</f>
        <v>DRCBUK/GENJNL/2020/02/016</v>
      </c>
      <c r="K518" s="218" t="str">
        <f>"DGM"</f>
        <v>DGM</v>
      </c>
      <c r="L518" s="218" t="str">
        <f>"Frs de taxes bateau BUHASHE"</f>
        <v>Frs de taxes bateau BUHASHE</v>
      </c>
      <c r="M518" s="218" t="str">
        <f>"6020"</f>
        <v>6020</v>
      </c>
      <c r="N518" s="218" t="str">
        <f>"STAFF TRAVEL LOCAL"</f>
        <v>STAFF TRAVEL LOCAL</v>
      </c>
      <c r="O518" s="218" t="str">
        <f t="shared" si="180"/>
        <v>DRCBUK</v>
      </c>
      <c r="P518" s="218" t="str">
        <f t="shared" si="162"/>
        <v>AP21QR</v>
      </c>
      <c r="Q518" s="218" t="str">
        <f>"BAF"</f>
        <v>BAF</v>
      </c>
      <c r="R518" s="218" t="str">
        <f>""</f>
        <v/>
      </c>
      <c r="S518" s="218" t="str">
        <f t="shared" si="174"/>
        <v>082</v>
      </c>
      <c r="T518" s="218" t="str">
        <f t="shared" si="181"/>
        <v>D</v>
      </c>
      <c r="U518" s="218" t="str">
        <f t="shared" si="176"/>
        <v>AFR000</v>
      </c>
      <c r="V518" s="218" t="str">
        <f t="shared" si="179"/>
        <v>###</v>
      </c>
      <c r="W518" s="218">
        <v>1</v>
      </c>
      <c r="X518" s="218" t="str">
        <f t="shared" si="182"/>
        <v>USD</v>
      </c>
      <c r="Y518" s="218">
        <v>0.76</v>
      </c>
      <c r="Z518" s="218">
        <v>1</v>
      </c>
      <c r="AA518" s="218">
        <v>0.9</v>
      </c>
    </row>
    <row r="519" spans="1:27">
      <c r="A519" s="218" t="s">
        <v>2592</v>
      </c>
      <c r="F519" s="219" t="str">
        <f>"""IntAlert Live"",""ALERT UK"",""17"",""1"",""539716"""</f>
        <v>"IntAlert Live","ALERT UK","17","1","539716"</v>
      </c>
      <c r="G519" s="223">
        <v>43909</v>
      </c>
      <c r="H519" s="223"/>
      <c r="I519" s="218" t="str">
        <f>"DRCBUK/BANK/2020/03/017"</f>
        <v>DRCBUK/BANK/2020/03/017</v>
      </c>
      <c r="K519" s="218" t="str">
        <f>"ELIZABETH HOTEL"</f>
        <v>ELIZABETH HOTEL</v>
      </c>
      <c r="L519" s="218" t="str">
        <f>"Logement Gloriose 03-06/02-BUK"</f>
        <v>Logement Gloriose 03-06/02-BUK</v>
      </c>
      <c r="M519" s="218" t="str">
        <f>"6030"</f>
        <v>6030</v>
      </c>
      <c r="N519" s="218" t="str">
        <f>"STAFF ACCOMMODATION   HOTELS"</f>
        <v>STAFF ACCOMMODATION   HOTELS</v>
      </c>
      <c r="O519" s="218" t="str">
        <f t="shared" si="180"/>
        <v>DRCBUK</v>
      </c>
      <c r="P519" s="218" t="str">
        <f t="shared" ref="P519:P585" si="183">"AP21QR"</f>
        <v>AP21QR</v>
      </c>
      <c r="Q519" s="218" t="str">
        <f>"BAZ"</f>
        <v>BAZ</v>
      </c>
      <c r="R519" s="218" t="str">
        <f>""</f>
        <v/>
      </c>
      <c r="S519" s="218" t="str">
        <f t="shared" si="174"/>
        <v>082</v>
      </c>
      <c r="T519" s="218" t="str">
        <f t="shared" si="181"/>
        <v>D</v>
      </c>
      <c r="U519" s="218" t="str">
        <f t="shared" si="176"/>
        <v>AFR000</v>
      </c>
      <c r="V519" s="218" t="str">
        <f t="shared" si="179"/>
        <v>###</v>
      </c>
      <c r="W519" s="218">
        <v>240</v>
      </c>
      <c r="X519" s="218" t="str">
        <f t="shared" si="182"/>
        <v>USD</v>
      </c>
      <c r="Y519" s="218">
        <v>187.21</v>
      </c>
      <c r="Z519" s="218">
        <v>240</v>
      </c>
      <c r="AA519" s="218">
        <v>220.26</v>
      </c>
    </row>
    <row r="520" spans="1:27">
      <c r="A520" s="218" t="s">
        <v>2592</v>
      </c>
      <c r="F520" s="219" t="str">
        <f>"""IntAlert Live"",""ALERT UK"",""17"",""1"",""539720"""</f>
        <v>"IntAlert Live","ALERT UK","17","1","539720"</v>
      </c>
      <c r="G520" s="223">
        <v>43909</v>
      </c>
      <c r="H520" s="223"/>
      <c r="I520" s="218" t="str">
        <f>"DRCBUK/BANK/2020/03/017"</f>
        <v>DRCBUK/BANK/2020/03/017</v>
      </c>
      <c r="K520" s="218" t="str">
        <f>"ELIZABETH HOTEL"</f>
        <v>ELIZABETH HOTEL</v>
      </c>
      <c r="L520" s="218" t="str">
        <f>"Logement Pascal Buhashe 21/01-08/02-BUK 25%"</f>
        <v>Logement Pascal Buhashe 21/01-08/02-BUK 25%</v>
      </c>
      <c r="M520" s="218" t="str">
        <f>"6030"</f>
        <v>6030</v>
      </c>
      <c r="N520" s="218" t="str">
        <f>"STAFF ACCOMMODATION   HOTELS"</f>
        <v>STAFF ACCOMMODATION   HOTELS</v>
      </c>
      <c r="O520" s="218" t="str">
        <f t="shared" si="180"/>
        <v>DRCBUK</v>
      </c>
      <c r="P520" s="218" t="str">
        <f t="shared" si="183"/>
        <v>AP21QR</v>
      </c>
      <c r="Q520" s="218" t="str">
        <f>"CIB"</f>
        <v>CIB</v>
      </c>
      <c r="R520" s="218" t="str">
        <f>""</f>
        <v/>
      </c>
      <c r="S520" s="218" t="str">
        <f t="shared" si="174"/>
        <v>082</v>
      </c>
      <c r="T520" s="218" t="str">
        <f t="shared" si="181"/>
        <v>D</v>
      </c>
      <c r="U520" s="218" t="str">
        <f t="shared" si="176"/>
        <v>AFR000</v>
      </c>
      <c r="V520" s="218" t="str">
        <f t="shared" si="179"/>
        <v>###</v>
      </c>
      <c r="W520" s="218">
        <v>360</v>
      </c>
      <c r="X520" s="218" t="str">
        <f t="shared" si="182"/>
        <v>USD</v>
      </c>
      <c r="Y520" s="218">
        <v>280.82</v>
      </c>
      <c r="Z520" s="218">
        <v>360</v>
      </c>
      <c r="AA520" s="218">
        <v>330.4</v>
      </c>
    </row>
    <row r="521" spans="1:27">
      <c r="A521" s="218" t="s">
        <v>2592</v>
      </c>
      <c r="F521" s="219" t="str">
        <f>"""IntAlert Live"",""ALERT UK"",""17"",""1"",""539730"""</f>
        <v>"IntAlert Live","ALERT UK","17","1","539730"</v>
      </c>
      <c r="G521" s="223">
        <v>43909</v>
      </c>
      <c r="H521" s="223"/>
      <c r="I521" s="218" t="str">
        <f>"DRCBUK/BANK/2020/03/017"</f>
        <v>DRCBUK/BANK/2020/03/017</v>
      </c>
      <c r="K521" s="218" t="str">
        <f>"ELIZABETH HOTEL"</f>
        <v>ELIZABETH HOTEL</v>
      </c>
      <c r="L521" s="218" t="str">
        <f>"Restauration participants atelier program Alert 25%"</f>
        <v>Restauration participants atelier program Alert 25%</v>
      </c>
      <c r="M521" s="218" t="str">
        <f>"6650"</f>
        <v>6650</v>
      </c>
      <c r="N521" s="218" t="str">
        <f>"CATERING"</f>
        <v>CATERING</v>
      </c>
      <c r="O521" s="218" t="str">
        <f t="shared" si="180"/>
        <v>DRCBUK</v>
      </c>
      <c r="P521" s="218" t="str">
        <f t="shared" si="183"/>
        <v>AP21QR</v>
      </c>
      <c r="Q521" s="218" t="str">
        <f>""</f>
        <v/>
      </c>
      <c r="R521" s="218" t="str">
        <f>""</f>
        <v/>
      </c>
      <c r="S521" s="218" t="str">
        <f t="shared" si="174"/>
        <v>082</v>
      </c>
      <c r="T521" s="218" t="str">
        <f t="shared" si="181"/>
        <v>D</v>
      </c>
      <c r="U521" s="218" t="str">
        <f t="shared" si="176"/>
        <v>AFR000</v>
      </c>
      <c r="V521" s="218" t="str">
        <f t="shared" si="179"/>
        <v>###</v>
      </c>
      <c r="W521" s="218">
        <v>185</v>
      </c>
      <c r="X521" s="218" t="str">
        <f t="shared" si="182"/>
        <v>USD</v>
      </c>
      <c r="Y521" s="218">
        <v>144.31</v>
      </c>
      <c r="Z521" s="218">
        <v>185</v>
      </c>
      <c r="AA521" s="218">
        <v>169.79</v>
      </c>
    </row>
    <row r="522" spans="1:27">
      <c r="A522" s="218" t="s">
        <v>2592</v>
      </c>
      <c r="F522" s="219" t="str">
        <f>"""IntAlert Live"",""ALERT UK"",""17"",""1"",""539738"""</f>
        <v>"IntAlert Live","ALERT UK","17","1","539738"</v>
      </c>
      <c r="G522" s="223">
        <v>43909</v>
      </c>
      <c r="H522" s="223"/>
      <c r="I522" s="218" t="str">
        <f>"DRCBUK/BANK/2020/03/017"</f>
        <v>DRCBUK/BANK/2020/03/017</v>
      </c>
      <c r="K522" s="218" t="str">
        <f>"ELIZABETH HOTEL"</f>
        <v>ELIZABETH HOTEL</v>
      </c>
      <c r="L522" s="218" t="str">
        <f>"Logemnt Iragi SVH 07-09/01-BUK"</f>
        <v>Logemnt Iragi SVH 07-09/01-BUK</v>
      </c>
      <c r="M522" s="218" t="str">
        <f>"6230"</f>
        <v>6230</v>
      </c>
      <c r="N522" s="218" t="str">
        <f>"PARTICIPANT ACCOMTN HOTEL"</f>
        <v>PARTICIPANT ACCOMTN HOTEL</v>
      </c>
      <c r="O522" s="218" t="str">
        <f t="shared" si="180"/>
        <v>DRCBUK</v>
      </c>
      <c r="P522" s="218" t="str">
        <f t="shared" si="183"/>
        <v>AP21QR</v>
      </c>
      <c r="Q522" s="218" t="str">
        <f>""</f>
        <v/>
      </c>
      <c r="R522" s="218" t="str">
        <f>""</f>
        <v/>
      </c>
      <c r="S522" s="218" t="str">
        <f t="shared" si="174"/>
        <v>082</v>
      </c>
      <c r="T522" s="218" t="str">
        <f t="shared" si="181"/>
        <v>D</v>
      </c>
      <c r="U522" s="218" t="str">
        <f t="shared" si="176"/>
        <v>AFR000</v>
      </c>
      <c r="V522" s="218" t="str">
        <f t="shared" si="179"/>
        <v>###</v>
      </c>
      <c r="W522" s="218">
        <v>160</v>
      </c>
      <c r="X522" s="218" t="str">
        <f t="shared" si="182"/>
        <v>USD</v>
      </c>
      <c r="Y522" s="218">
        <v>124.81</v>
      </c>
      <c r="Z522" s="218">
        <v>160</v>
      </c>
      <c r="AA522" s="218">
        <v>146.84</v>
      </c>
    </row>
    <row r="523" spans="1:27">
      <c r="A523" s="218" t="s">
        <v>2592</v>
      </c>
      <c r="F523" s="219" t="str">
        <f>"""IntAlert Live"",""ALERT UK"",""17"",""1"",""539768"""</f>
        <v>"IntAlert Live","ALERT UK","17","1","539768"</v>
      </c>
      <c r="G523" s="223">
        <v>43909</v>
      </c>
      <c r="H523" s="223"/>
      <c r="I523" s="218" t="str">
        <f>"DRCBUK/BANK/2020/03/018"</f>
        <v>DRCBUK/BANK/2020/03/018</v>
      </c>
      <c r="K523" s="218" t="str">
        <f>"HORIZON HOTEL"</f>
        <v>HORIZON HOTEL</v>
      </c>
      <c r="L523" s="218" t="str">
        <f>"Logement Pascal BUHASHE  16/2 BUK  25%"</f>
        <v>Logement Pascal BUHASHE  16/2 BUK  25%</v>
      </c>
      <c r="M523" s="218" t="str">
        <f>"6030"</f>
        <v>6030</v>
      </c>
      <c r="N523" s="218" t="str">
        <f>"STAFF ACCOMMODATION   HOTELS"</f>
        <v>STAFF ACCOMMODATION   HOTELS</v>
      </c>
      <c r="O523" s="218" t="str">
        <f t="shared" si="180"/>
        <v>DRCBUK</v>
      </c>
      <c r="P523" s="218" t="str">
        <f t="shared" si="183"/>
        <v>AP21QR</v>
      </c>
      <c r="Q523" s="218" t="str">
        <f>"CIB"</f>
        <v>CIB</v>
      </c>
      <c r="R523" s="218" t="str">
        <f>""</f>
        <v/>
      </c>
      <c r="S523" s="218" t="str">
        <f t="shared" si="174"/>
        <v>082</v>
      </c>
      <c r="T523" s="218" t="str">
        <f t="shared" si="181"/>
        <v>D</v>
      </c>
      <c r="U523" s="218" t="str">
        <f t="shared" si="176"/>
        <v>AFR000</v>
      </c>
      <c r="V523" s="218" t="str">
        <f t="shared" si="179"/>
        <v>###</v>
      </c>
      <c r="W523" s="218">
        <v>17.5</v>
      </c>
      <c r="X523" s="218" t="str">
        <f t="shared" si="182"/>
        <v>USD</v>
      </c>
      <c r="Y523" s="218">
        <v>13.65</v>
      </c>
      <c r="Z523" s="218">
        <v>17.5</v>
      </c>
      <c r="AA523" s="218">
        <v>16.059999999999999</v>
      </c>
    </row>
    <row r="524" spans="1:27">
      <c r="A524" s="218" t="s">
        <v>2592</v>
      </c>
      <c r="F524" s="219" t="str">
        <f>"""IntAlert Live"",""ALERT UK"",""17"",""1"",""519439"""</f>
        <v>"IntAlert Live","ALERT UK","17","1","519439"</v>
      </c>
      <c r="G524" s="223">
        <v>43496</v>
      </c>
      <c r="H524" s="223"/>
      <c r="I524" s="218" t="str">
        <f>"902175"</f>
        <v>902175</v>
      </c>
      <c r="K524" s="218" t="str">
        <f>""</f>
        <v/>
      </c>
      <c r="L524" s="218" t="str">
        <f>"CC -NIGERIA - DRC - ETHIOPIA &amp; MALI "</f>
        <v xml:space="preserve">CC -NIGERIA - DRC - ETHIOPIA &amp; MALI </v>
      </c>
      <c r="M524" s="218" t="str">
        <f>"6010"</f>
        <v>6010</v>
      </c>
      <c r="N524" s="218" t="str">
        <f>"STAFF TRAVEL INTERNATIONAL"</f>
        <v>STAFF TRAVEL INTERNATIONAL</v>
      </c>
      <c r="O524" s="218" t="str">
        <f>"UNILON"</f>
        <v>UNILON</v>
      </c>
      <c r="P524" s="218" t="str">
        <f t="shared" si="183"/>
        <v>AP21QR</v>
      </c>
      <c r="Q524" s="218" t="str">
        <f>"CHO"</f>
        <v>CHO</v>
      </c>
      <c r="R524" s="218" t="str">
        <f>""</f>
        <v/>
      </c>
      <c r="S524" s="218" t="str">
        <f>"083"</f>
        <v>083</v>
      </c>
      <c r="T524" s="218" t="str">
        <f t="shared" si="181"/>
        <v>D</v>
      </c>
      <c r="U524" s="218" t="str">
        <f t="shared" si="176"/>
        <v>AFR000</v>
      </c>
      <c r="V524" s="218" t="str">
        <f t="shared" si="179"/>
        <v>###</v>
      </c>
      <c r="W524" s="218">
        <v>0</v>
      </c>
      <c r="X524" s="218" t="str">
        <f>""</f>
        <v/>
      </c>
      <c r="Y524" s="218">
        <v>280.39999999999998</v>
      </c>
      <c r="Z524" s="218">
        <v>369.93</v>
      </c>
      <c r="AA524" s="218">
        <v>333.08</v>
      </c>
    </row>
    <row r="525" spans="1:27">
      <c r="A525" s="218" t="s">
        <v>2592</v>
      </c>
      <c r="F525" s="219" t="str">
        <f>"""IntAlert Live"",""ALERT UK"",""17"",""1"",""521328"""</f>
        <v>"IntAlert Live","ALERT UK","17","1","521328"</v>
      </c>
      <c r="G525" s="223">
        <v>43496</v>
      </c>
      <c r="H525" s="223"/>
      <c r="I525" s="218" t="str">
        <f>"G00631"</f>
        <v>G00631</v>
      </c>
      <c r="K525" s="218" t="str">
        <f>"902175"</f>
        <v>902175</v>
      </c>
      <c r="L525" s="218" t="str">
        <f>"CC -NIGERIA - DRC - ETHIOPIA &amp; MALI "</f>
        <v xml:space="preserve">CC -NIGERIA - DRC - ETHIOPIA &amp; MALI </v>
      </c>
      <c r="M525" s="218" t="str">
        <f>"6010"</f>
        <v>6010</v>
      </c>
      <c r="N525" s="218" t="str">
        <f>"STAFF TRAVEL INTERNATIONAL"</f>
        <v>STAFF TRAVEL INTERNATIONAL</v>
      </c>
      <c r="O525" s="218" t="str">
        <f>"UNILON"</f>
        <v>UNILON</v>
      </c>
      <c r="P525" s="218" t="str">
        <f t="shared" si="183"/>
        <v>AP21QR</v>
      </c>
      <c r="Q525" s="218" t="str">
        <f>"CHO"</f>
        <v>CHO</v>
      </c>
      <c r="R525" s="218" t="str">
        <f>""</f>
        <v/>
      </c>
      <c r="S525" s="218" t="str">
        <f>"083"</f>
        <v>083</v>
      </c>
      <c r="T525" s="218" t="str">
        <f t="shared" si="181"/>
        <v>D</v>
      </c>
      <c r="U525" s="218" t="str">
        <f t="shared" si="176"/>
        <v>AFR000</v>
      </c>
      <c r="V525" s="218" t="str">
        <f t="shared" si="179"/>
        <v>###</v>
      </c>
      <c r="W525" s="218">
        <v>0</v>
      </c>
      <c r="X525" s="218" t="str">
        <f>""</f>
        <v/>
      </c>
      <c r="Y525" s="218">
        <v>-280.39999999999998</v>
      </c>
      <c r="Z525" s="218">
        <v>-372.02</v>
      </c>
      <c r="AA525" s="218">
        <v>-329.08</v>
      </c>
    </row>
    <row r="526" spans="1:27">
      <c r="A526" s="218" t="s">
        <v>2592</v>
      </c>
      <c r="F526" s="219" t="str">
        <f>"""IntAlert Live"",""ALERT UK"",""17"",""1"",""535452"""</f>
        <v>"IntAlert Live","ALERT UK","17","1","535452"</v>
      </c>
      <c r="G526" s="223">
        <v>43883</v>
      </c>
      <c r="H526" s="223"/>
      <c r="I526" s="218" t="str">
        <f>"CC - NIGERIA - DRC - ETHIOPIA &amp; MAL"</f>
        <v>CC - NIGERIA - DRC - ETHIOPIA &amp; MAL</v>
      </c>
      <c r="K526" s="218" t="str">
        <f>"CC - NIGERIA - DRC - ETHIOPIA &amp; MALI"</f>
        <v>CC - NIGERIA - DRC - ETHIOPIA &amp; MALI</v>
      </c>
      <c r="L526" s="218" t="str">
        <f>"CC - NIGERIA - DRC - ETHIOPIA &amp; MALI "</f>
        <v xml:space="preserve">CC - NIGERIA - DRC - ETHIOPIA &amp; MALI </v>
      </c>
      <c r="M526" s="218" t="str">
        <f>"6020"</f>
        <v>6020</v>
      </c>
      <c r="N526" s="218" t="str">
        <f>"STAFF TRAVEL LOCAL"</f>
        <v>STAFF TRAVEL LOCAL</v>
      </c>
      <c r="O526" s="218" t="str">
        <f>"UNILON"</f>
        <v>UNILON</v>
      </c>
      <c r="P526" s="218" t="str">
        <f t="shared" si="183"/>
        <v>AP21QR</v>
      </c>
      <c r="Q526" s="218" t="str">
        <f>"CHO"</f>
        <v>CHO</v>
      </c>
      <c r="R526" s="218" t="str">
        <f>""</f>
        <v/>
      </c>
      <c r="S526" s="218" t="str">
        <f>"083"</f>
        <v>083</v>
      </c>
      <c r="T526" s="218" t="str">
        <f t="shared" si="181"/>
        <v>D</v>
      </c>
      <c r="U526" s="218" t="str">
        <f t="shared" si="176"/>
        <v>AFR000</v>
      </c>
      <c r="V526" s="218" t="str">
        <f t="shared" si="179"/>
        <v>###</v>
      </c>
      <c r="W526" s="218">
        <v>50</v>
      </c>
      <c r="X526" s="218" t="str">
        <f t="shared" ref="X526:X551" si="184">"USD"</f>
        <v>USD</v>
      </c>
      <c r="Y526" s="218">
        <v>39</v>
      </c>
      <c r="Z526" s="218">
        <v>50</v>
      </c>
      <c r="AA526" s="218">
        <v>45.89</v>
      </c>
    </row>
    <row r="527" spans="1:27">
      <c r="A527" s="218" t="s">
        <v>2592</v>
      </c>
      <c r="F527" s="219" t="str">
        <f>"""IntAlert Live"",""ALERT UK"",""17"",""1"",""539747"""</f>
        <v>"IntAlert Live","ALERT UK","17","1","539747"</v>
      </c>
      <c r="G527" s="223">
        <v>43909</v>
      </c>
      <c r="H527" s="223"/>
      <c r="I527" s="218" t="str">
        <f>"DRCBUK/BANK/2020/03/018"</f>
        <v>DRCBUK/BANK/2020/03/018</v>
      </c>
      <c r="K527" s="218" t="str">
        <f>"HORIZON HOTEL"</f>
        <v>HORIZON HOTEL</v>
      </c>
      <c r="L527" s="218" t="str">
        <f>"Location salle pr réunion SMT-BUK 45%"</f>
        <v>Location salle pr réunion SMT-BUK 45%</v>
      </c>
      <c r="M527" s="218" t="str">
        <f>"6640"</f>
        <v>6640</v>
      </c>
      <c r="N527" s="218" t="str">
        <f>"VENUE HIRE"</f>
        <v>VENUE HIRE</v>
      </c>
      <c r="O527" s="218" t="str">
        <f>"DRCBUK"</f>
        <v>DRCBUK</v>
      </c>
      <c r="P527" s="218" t="str">
        <f t="shared" si="183"/>
        <v>AP21QR</v>
      </c>
      <c r="Q527" s="218" t="str">
        <f>""</f>
        <v/>
      </c>
      <c r="R527" s="218" t="str">
        <f>""</f>
        <v/>
      </c>
      <c r="S527" s="218" t="str">
        <f>"085"</f>
        <v>085</v>
      </c>
      <c r="T527" s="218" t="str">
        <f t="shared" si="181"/>
        <v>D</v>
      </c>
      <c r="U527" s="218" t="str">
        <f t="shared" si="176"/>
        <v>AFR000</v>
      </c>
      <c r="V527" s="218" t="str">
        <f t="shared" si="179"/>
        <v>###</v>
      </c>
      <c r="W527" s="218">
        <v>45</v>
      </c>
      <c r="X527" s="218" t="str">
        <f t="shared" si="184"/>
        <v>USD</v>
      </c>
      <c r="Y527" s="218">
        <v>35.1</v>
      </c>
      <c r="Z527" s="218">
        <v>45</v>
      </c>
      <c r="AA527" s="218">
        <v>41.3</v>
      </c>
    </row>
    <row r="528" spans="1:27">
      <c r="A528" s="218" t="s">
        <v>2592</v>
      </c>
      <c r="F528" s="219" t="str">
        <f>"""IntAlert Live"",""ALERT UK"",""17"",""1"",""539752"""</f>
        <v>"IntAlert Live","ALERT UK","17","1","539752"</v>
      </c>
      <c r="G528" s="223">
        <v>43909</v>
      </c>
      <c r="H528" s="223"/>
      <c r="I528" s="218" t="str">
        <f>"DRCBUK/BANK/2020/03/018"</f>
        <v>DRCBUK/BANK/2020/03/018</v>
      </c>
      <c r="K528" s="218" t="str">
        <f>"HORIZON HOTEL"</f>
        <v>HORIZON HOTEL</v>
      </c>
      <c r="L528" s="218" t="str">
        <f>"Restauration participants SMT 05-06/03 45%"</f>
        <v>Restauration participants SMT 05-06/03 45%</v>
      </c>
      <c r="M528" s="218" t="str">
        <f>"6650"</f>
        <v>6650</v>
      </c>
      <c r="N528" s="218" t="str">
        <f>"CATERING"</f>
        <v>CATERING</v>
      </c>
      <c r="O528" s="218" t="str">
        <f>"DRCBUK"</f>
        <v>DRCBUK</v>
      </c>
      <c r="P528" s="218" t="str">
        <f t="shared" si="183"/>
        <v>AP21QR</v>
      </c>
      <c r="Q528" s="218" t="str">
        <f>""</f>
        <v/>
      </c>
      <c r="R528" s="218" t="str">
        <f>""</f>
        <v/>
      </c>
      <c r="S528" s="218" t="str">
        <f>"085"</f>
        <v>085</v>
      </c>
      <c r="T528" s="218" t="str">
        <f t="shared" si="181"/>
        <v>D</v>
      </c>
      <c r="U528" s="218" t="str">
        <f t="shared" si="176"/>
        <v>AFR000</v>
      </c>
      <c r="V528" s="218" t="str">
        <f t="shared" si="179"/>
        <v>###</v>
      </c>
      <c r="W528" s="218">
        <v>290.25</v>
      </c>
      <c r="X528" s="218" t="str">
        <f t="shared" si="184"/>
        <v>USD</v>
      </c>
      <c r="Y528" s="218">
        <v>226.41</v>
      </c>
      <c r="Z528" s="218">
        <v>290.25</v>
      </c>
      <c r="AA528" s="218">
        <v>266.38</v>
      </c>
    </row>
    <row r="529" spans="1:27">
      <c r="A529" s="218" t="s">
        <v>2592</v>
      </c>
      <c r="F529" s="219" t="str">
        <f>"""IntAlert Live"",""ALERT UK"",""17"",""1"",""539757"""</f>
        <v>"IntAlert Live","ALERT UK","17","1","539757"</v>
      </c>
      <c r="G529" s="223">
        <v>43909</v>
      </c>
      <c r="H529" s="223"/>
      <c r="I529" s="218" t="str">
        <f>"DRCBUK/BANK/2020/03/018"</f>
        <v>DRCBUK/BANK/2020/03/018</v>
      </c>
      <c r="K529" s="218" t="str">
        <f>"HORIZON HOTEL"</f>
        <v>HORIZON HOTEL</v>
      </c>
      <c r="L529" s="218" t="str">
        <f>"Logement Pascal KAMBERE  05-06 SMT BUK 45%"</f>
        <v>Logement Pascal KAMBERE  05-06 SMT BUK 45%</v>
      </c>
      <c r="M529" s="218" t="str">
        <f>"6030"</f>
        <v>6030</v>
      </c>
      <c r="N529" s="218" t="str">
        <f>"STAFF ACCOMMODATION   HOTELS"</f>
        <v>STAFF ACCOMMODATION   HOTELS</v>
      </c>
      <c r="O529" s="218" t="str">
        <f>"DRCBUK"</f>
        <v>DRCBUK</v>
      </c>
      <c r="P529" s="218" t="str">
        <f t="shared" si="183"/>
        <v>AP21QR</v>
      </c>
      <c r="Q529" s="218" t="str">
        <f>"KZO"</f>
        <v>KZO</v>
      </c>
      <c r="R529" s="218" t="str">
        <f>""</f>
        <v/>
      </c>
      <c r="S529" s="218" t="str">
        <f>"085"</f>
        <v>085</v>
      </c>
      <c r="T529" s="218" t="str">
        <f t="shared" si="181"/>
        <v>D</v>
      </c>
      <c r="U529" s="218" t="str">
        <f t="shared" si="176"/>
        <v>AFR000</v>
      </c>
      <c r="V529" s="218" t="str">
        <f t="shared" si="179"/>
        <v>###</v>
      </c>
      <c r="W529" s="218">
        <v>63</v>
      </c>
      <c r="X529" s="218" t="str">
        <f t="shared" si="184"/>
        <v>USD</v>
      </c>
      <c r="Y529" s="218">
        <v>49.14</v>
      </c>
      <c r="Z529" s="218">
        <v>63</v>
      </c>
      <c r="AA529" s="218">
        <v>57.82</v>
      </c>
    </row>
    <row r="530" spans="1:27">
      <c r="A530" s="218" t="s">
        <v>2592</v>
      </c>
      <c r="F530" s="219" t="str">
        <f>"""IntAlert Live"",""ALERT UK"",""17"",""1"",""539762"""</f>
        <v>"IntAlert Live","ALERT UK","17","1","539762"</v>
      </c>
      <c r="G530" s="223">
        <v>43909</v>
      </c>
      <c r="H530" s="223"/>
      <c r="I530" s="218" t="str">
        <f>"DRCBUK/BANK/2020/03/018"</f>
        <v>DRCBUK/BANK/2020/03/018</v>
      </c>
      <c r="K530" s="218" t="str">
        <f>"HORIZON HOTEL"</f>
        <v>HORIZON HOTEL</v>
      </c>
      <c r="L530" s="218" t="str">
        <f>"Logement Jean Bosco  05-08 SMT BUK 45%"</f>
        <v>Logement Jean Bosco  05-08 SMT BUK 45%</v>
      </c>
      <c r="M530" s="218" t="str">
        <f>"6030"</f>
        <v>6030</v>
      </c>
      <c r="N530" s="218" t="str">
        <f>"STAFF ACCOMMODATION   HOTELS"</f>
        <v>STAFF ACCOMMODATION   HOTELS</v>
      </c>
      <c r="O530" s="218" t="str">
        <f>"DRCBUK"</f>
        <v>DRCBUK</v>
      </c>
      <c r="P530" s="218" t="str">
        <f t="shared" si="183"/>
        <v>AP21QR</v>
      </c>
      <c r="Q530" s="218" t="str">
        <f>"SIB"</f>
        <v>SIB</v>
      </c>
      <c r="R530" s="218" t="str">
        <f>""</f>
        <v/>
      </c>
      <c r="S530" s="218" t="str">
        <f>"085"</f>
        <v>085</v>
      </c>
      <c r="T530" s="218" t="str">
        <f t="shared" si="181"/>
        <v>D</v>
      </c>
      <c r="U530" s="218" t="str">
        <f t="shared" si="176"/>
        <v>AFR000</v>
      </c>
      <c r="V530" s="218" t="str">
        <f t="shared" si="179"/>
        <v>###</v>
      </c>
      <c r="W530" s="218">
        <v>126</v>
      </c>
      <c r="X530" s="218" t="str">
        <f t="shared" si="184"/>
        <v>USD</v>
      </c>
      <c r="Y530" s="218">
        <v>98.29</v>
      </c>
      <c r="Z530" s="218">
        <v>126</v>
      </c>
      <c r="AA530" s="218">
        <v>115.64</v>
      </c>
    </row>
    <row r="531" spans="1:27">
      <c r="A531" s="218" t="s">
        <v>2592</v>
      </c>
      <c r="F531" s="219" t="str">
        <f>"""IntAlert Live"",""ALERT UK"",""17"",""1"",""515837"""</f>
        <v>"IntAlert Live","ALERT UK","17","1","515837"</v>
      </c>
      <c r="G531" s="223">
        <v>43854</v>
      </c>
      <c r="H531" s="223"/>
      <c r="I531" s="218" t="str">
        <f>"DRCGOM/ BANQUE/2020/001/010"</f>
        <v>DRCGOM/ BANQUE/2020/001/010</v>
      </c>
      <c r="K531" s="218" t="str">
        <f>"CDI"</f>
        <v>CDI</v>
      </c>
      <c r="L531" s="218" t="str">
        <f>"IPR solde tout compte Jerry 10%"</f>
        <v>IPR solde tout compte Jerry 10%</v>
      </c>
      <c r="M531" s="218" t="str">
        <f>"5110"</f>
        <v>5110</v>
      </c>
      <c r="N531" s="218" t="str">
        <f>"EMPLOYER'S PENSION COSTS"</f>
        <v>EMPLOYER'S PENSION COSTS</v>
      </c>
      <c r="O531" s="218" t="str">
        <f t="shared" ref="O531:O536" si="185">"DRCGOM"</f>
        <v>DRCGOM</v>
      </c>
      <c r="P531" s="218" t="str">
        <f t="shared" si="183"/>
        <v>AP21QR</v>
      </c>
      <c r="Q531" s="218" t="str">
        <f>"WIT"</f>
        <v>WIT</v>
      </c>
      <c r="R531" s="218" t="str">
        <f>""</f>
        <v/>
      </c>
      <c r="S531" s="218" t="str">
        <f t="shared" ref="S531:S536" si="186">"086"</f>
        <v>086</v>
      </c>
      <c r="T531" s="218" t="str">
        <f t="shared" si="181"/>
        <v>D</v>
      </c>
      <c r="U531" s="218" t="str">
        <f t="shared" si="176"/>
        <v>AFR000</v>
      </c>
      <c r="V531" s="218" t="str">
        <f t="shared" si="179"/>
        <v>###</v>
      </c>
      <c r="W531" s="218">
        <v>57.76</v>
      </c>
      <c r="X531" s="218" t="str">
        <f t="shared" si="184"/>
        <v>USD</v>
      </c>
      <c r="Y531" s="218">
        <v>43.53</v>
      </c>
      <c r="Z531" s="218">
        <v>57.76</v>
      </c>
      <c r="AA531" s="218">
        <v>51.09</v>
      </c>
    </row>
    <row r="532" spans="1:27">
      <c r="A532" s="218" t="s">
        <v>2592</v>
      </c>
      <c r="F532" s="219" t="str">
        <f>"""IntAlert Live"",""ALERT UK"",""17"",""1"",""515842"""</f>
        <v>"IntAlert Live","ALERT UK","17","1","515842"</v>
      </c>
      <c r="G532" s="223">
        <v>43854</v>
      </c>
      <c r="H532" s="223"/>
      <c r="I532" s="218" t="str">
        <f>"DRCGOM/ BANQUE/2020/001/011"</f>
        <v>DRCGOM/ BANQUE/2020/001/011</v>
      </c>
      <c r="K532" s="218" t="str">
        <f>"CNSS"</f>
        <v>CNSS</v>
      </c>
      <c r="L532" s="218" t="str">
        <f>"CNSS solde tout compte Jerry 10%"</f>
        <v>CNSS solde tout compte Jerry 10%</v>
      </c>
      <c r="M532" s="218" t="str">
        <f>"5110"</f>
        <v>5110</v>
      </c>
      <c r="N532" s="218" t="str">
        <f>"EMPLOYER'S PENSION COSTS"</f>
        <v>EMPLOYER'S PENSION COSTS</v>
      </c>
      <c r="O532" s="218" t="str">
        <f t="shared" si="185"/>
        <v>DRCGOM</v>
      </c>
      <c r="P532" s="218" t="str">
        <f t="shared" si="183"/>
        <v>AP21QR</v>
      </c>
      <c r="Q532" s="218" t="str">
        <f>"WIT"</f>
        <v>WIT</v>
      </c>
      <c r="R532" s="218" t="str">
        <f>""</f>
        <v/>
      </c>
      <c r="S532" s="218" t="str">
        <f t="shared" si="186"/>
        <v>086</v>
      </c>
      <c r="T532" s="218" t="str">
        <f t="shared" si="181"/>
        <v>D</v>
      </c>
      <c r="U532" s="218" t="str">
        <f t="shared" si="176"/>
        <v>AFR000</v>
      </c>
      <c r="V532" s="218" t="str">
        <f t="shared" si="179"/>
        <v>###</v>
      </c>
      <c r="W532" s="218">
        <v>96.86</v>
      </c>
      <c r="X532" s="218" t="str">
        <f t="shared" si="184"/>
        <v>USD</v>
      </c>
      <c r="Y532" s="218">
        <v>73.010000000000005</v>
      </c>
      <c r="Z532" s="218">
        <v>96.86</v>
      </c>
      <c r="AA532" s="218">
        <v>85.68</v>
      </c>
    </row>
    <row r="533" spans="1:27">
      <c r="A533" s="218" t="s">
        <v>2592</v>
      </c>
      <c r="F533" s="219" t="str">
        <f>"""IntAlert Live"",""ALERT UK"",""17"",""1"",""537271"""</f>
        <v>"IntAlert Live","ALERT UK","17","1","537271"</v>
      </c>
      <c r="G533" s="223">
        <v>43921</v>
      </c>
      <c r="H533" s="223"/>
      <c r="I533" s="218" t="str">
        <f>"DRCGOM/BANQUE/2020/003/019"</f>
        <v>DRCGOM/BANQUE/2020/003/019</v>
      </c>
      <c r="K533" s="218" t="str">
        <f>"SALAIRE-KAMBALE LWANZO PASCAL"</f>
        <v>SALAIRE-KAMBALE LWANZO PASCAL</v>
      </c>
      <c r="L533" s="218" t="str">
        <f>"Salaire-March20-KAMBALE LWANZO Pascal 10%"</f>
        <v>Salaire-March20-KAMBALE LWANZO Pascal 10%</v>
      </c>
      <c r="M533" s="218" t="str">
        <f>"5100"</f>
        <v>5100</v>
      </c>
      <c r="N533" s="218" t="str">
        <f>"BASIC EMPLOYMENT COSTS"</f>
        <v>BASIC EMPLOYMENT COSTS</v>
      </c>
      <c r="O533" s="218" t="str">
        <f t="shared" si="185"/>
        <v>DRCGOM</v>
      </c>
      <c r="P533" s="218" t="str">
        <f t="shared" si="183"/>
        <v>AP21QR</v>
      </c>
      <c r="Q533" s="218" t="str">
        <f>"KZO"</f>
        <v>KZO</v>
      </c>
      <c r="R533" s="218" t="str">
        <f>""</f>
        <v/>
      </c>
      <c r="S533" s="218" t="str">
        <f t="shared" si="186"/>
        <v>086</v>
      </c>
      <c r="T533" s="218" t="str">
        <f t="shared" si="181"/>
        <v>D</v>
      </c>
      <c r="U533" s="218" t="str">
        <f t="shared" ref="U533:U538" si="187">"AFR000"</f>
        <v>AFR000</v>
      </c>
      <c r="V533" s="218" t="str">
        <f t="shared" si="179"/>
        <v>###</v>
      </c>
      <c r="W533" s="218">
        <v>175.57</v>
      </c>
      <c r="X533" s="218" t="str">
        <f t="shared" si="184"/>
        <v>USD</v>
      </c>
      <c r="Y533" s="218">
        <v>136.94999999999999</v>
      </c>
      <c r="Z533" s="218">
        <v>175.57</v>
      </c>
      <c r="AA533" s="218">
        <v>161.13</v>
      </c>
    </row>
    <row r="534" spans="1:27">
      <c r="A534" s="218" t="s">
        <v>2592</v>
      </c>
      <c r="F534" s="219" t="str">
        <f>"""IntAlert Live"",""ALERT UK"",""17"",""1"",""537335"""</f>
        <v>"IntAlert Live","ALERT UK","17","1","537335"</v>
      </c>
      <c r="G534" s="223">
        <v>43921</v>
      </c>
      <c r="H534" s="223"/>
      <c r="I534" s="218" t="str">
        <f>"DRCGOM/BANQUE/2020/003/020"</f>
        <v>DRCGOM/BANQUE/2020/003/020</v>
      </c>
      <c r="K534" s="218" t="str">
        <f>"CNSS MARCH 2020"</f>
        <v>CNSS MARCH 2020</v>
      </c>
      <c r="L534" s="218" t="str">
        <f>"CNSS-MARCH20--KAMBALE LWANZO Pascal 10%"</f>
        <v>CNSS-MARCH20--KAMBALE LWANZO Pascal 10%</v>
      </c>
      <c r="M534" s="218" t="str">
        <f>"5110"</f>
        <v>5110</v>
      </c>
      <c r="N534" s="218" t="str">
        <f>"EMPLOYER'S PENSION COSTS"</f>
        <v>EMPLOYER'S PENSION COSTS</v>
      </c>
      <c r="O534" s="218" t="str">
        <f t="shared" si="185"/>
        <v>DRCGOM</v>
      </c>
      <c r="P534" s="218" t="str">
        <f t="shared" si="183"/>
        <v>AP21QR</v>
      </c>
      <c r="Q534" s="218" t="str">
        <f>"KZO"</f>
        <v>KZO</v>
      </c>
      <c r="R534" s="218" t="str">
        <f>""</f>
        <v/>
      </c>
      <c r="S534" s="218" t="str">
        <f t="shared" si="186"/>
        <v>086</v>
      </c>
      <c r="T534" s="218" t="str">
        <f t="shared" si="181"/>
        <v>D</v>
      </c>
      <c r="U534" s="218" t="str">
        <f t="shared" si="187"/>
        <v>AFR000</v>
      </c>
      <c r="V534" s="218" t="str">
        <f t="shared" si="179"/>
        <v>###</v>
      </c>
      <c r="W534" s="218">
        <v>24.49</v>
      </c>
      <c r="X534" s="218" t="str">
        <f t="shared" si="184"/>
        <v>USD</v>
      </c>
      <c r="Y534" s="218">
        <v>19.100000000000001</v>
      </c>
      <c r="Z534" s="218">
        <v>24.49</v>
      </c>
      <c r="AA534" s="218">
        <v>22.47</v>
      </c>
    </row>
    <row r="535" spans="1:27">
      <c r="A535" s="218" t="s">
        <v>2592</v>
      </c>
      <c r="F535" s="219" t="str">
        <f>"""IntAlert Live"",""ALERT UK"",""17"",""1"",""537398"""</f>
        <v>"IntAlert Live","ALERT UK","17","1","537398"</v>
      </c>
      <c r="G535" s="223">
        <v>43921</v>
      </c>
      <c r="H535" s="223"/>
      <c r="I535" s="218" t="str">
        <f>"DRCGOM/BANQUE/2020/003/021"</f>
        <v>DRCGOM/BANQUE/2020/003/021</v>
      </c>
      <c r="K535" s="218" t="str">
        <f>"INPP MARCH 2020"</f>
        <v>INPP MARCH 2020</v>
      </c>
      <c r="L535" s="218" t="str">
        <f>"INPP-March20-KAMBALE LWANZO Pascal 10%"</f>
        <v>INPP-March20-KAMBALE LWANZO Pascal 10%</v>
      </c>
      <c r="M535" s="218" t="str">
        <f>"5150"</f>
        <v>5150</v>
      </c>
      <c r="N535" s="218" t="str">
        <f>"EMPLOYMENT RELOCATION COSTS"</f>
        <v>EMPLOYMENT RELOCATION COSTS</v>
      </c>
      <c r="O535" s="218" t="str">
        <f t="shared" si="185"/>
        <v>DRCGOM</v>
      </c>
      <c r="P535" s="218" t="str">
        <f t="shared" si="183"/>
        <v>AP21QR</v>
      </c>
      <c r="Q535" s="218" t="str">
        <f>"KZO"</f>
        <v>KZO</v>
      </c>
      <c r="R535" s="218" t="str">
        <f>""</f>
        <v/>
      </c>
      <c r="S535" s="218" t="str">
        <f t="shared" si="186"/>
        <v>086</v>
      </c>
      <c r="T535" s="218" t="str">
        <f t="shared" si="181"/>
        <v>D</v>
      </c>
      <c r="U535" s="218" t="str">
        <f t="shared" si="187"/>
        <v>AFR000</v>
      </c>
      <c r="V535" s="218" t="str">
        <f t="shared" si="179"/>
        <v>###</v>
      </c>
      <c r="W535" s="218">
        <v>4.08</v>
      </c>
      <c r="X535" s="218" t="str">
        <f t="shared" si="184"/>
        <v>USD</v>
      </c>
      <c r="Y535" s="218">
        <v>3.18</v>
      </c>
      <c r="Z535" s="218">
        <v>4.08</v>
      </c>
      <c r="AA535" s="218">
        <v>3.74</v>
      </c>
    </row>
    <row r="536" spans="1:27">
      <c r="A536" s="218" t="s">
        <v>2592</v>
      </c>
      <c r="F536" s="219" t="str">
        <f>"""IntAlert Live"",""ALERT UK"",""17"",""1"",""537769"""</f>
        <v>"IntAlert Live","ALERT UK","17","1","537769"</v>
      </c>
      <c r="G536" s="223">
        <v>43921</v>
      </c>
      <c r="H536" s="223"/>
      <c r="I536" s="218" t="str">
        <f>"DRCGOM/ CAISSE/2020/003/003"</f>
        <v>DRCGOM/ CAISSE/2020/003/003</v>
      </c>
      <c r="K536" s="218" t="str">
        <f>"ONEM MARCH 2020"</f>
        <v>ONEM MARCH 2020</v>
      </c>
      <c r="L536" s="218" t="str">
        <f>"Onem-KAMBALE LWANZO Pascal"</f>
        <v>Onem-KAMBALE LWANZO Pascal</v>
      </c>
      <c r="M536" s="218" t="str">
        <f>"5150"</f>
        <v>5150</v>
      </c>
      <c r="N536" s="218" t="str">
        <f>"EMPLOYMENT RELOCATION COSTS"</f>
        <v>EMPLOYMENT RELOCATION COSTS</v>
      </c>
      <c r="O536" s="218" t="str">
        <f t="shared" si="185"/>
        <v>DRCGOM</v>
      </c>
      <c r="P536" s="218" t="str">
        <f t="shared" si="183"/>
        <v>AP21QR</v>
      </c>
      <c r="Q536" s="218" t="str">
        <f>"KZO"</f>
        <v>KZO</v>
      </c>
      <c r="R536" s="218" t="str">
        <f>""</f>
        <v/>
      </c>
      <c r="S536" s="218" t="str">
        <f t="shared" si="186"/>
        <v>086</v>
      </c>
      <c r="T536" s="218" t="str">
        <f t="shared" si="181"/>
        <v>D</v>
      </c>
      <c r="U536" s="218" t="str">
        <f t="shared" si="187"/>
        <v>AFR000</v>
      </c>
      <c r="V536" s="218" t="str">
        <f t="shared" si="179"/>
        <v>###</v>
      </c>
      <c r="W536" s="218">
        <v>0.27</v>
      </c>
      <c r="X536" s="218" t="str">
        <f t="shared" si="184"/>
        <v>USD</v>
      </c>
      <c r="Y536" s="218">
        <v>0.21</v>
      </c>
      <c r="Z536" s="218">
        <v>0.27</v>
      </c>
      <c r="AA536" s="218">
        <v>0.25</v>
      </c>
    </row>
    <row r="537" spans="1:27">
      <c r="A537" s="218" t="s">
        <v>2592</v>
      </c>
      <c r="F537" s="219" t="str">
        <f>"""IntAlert Live"",""ALERT UK"",""17"",""1"",""516869"""</f>
        <v>"IntAlert Live","ALERT UK","17","1","516869"</v>
      </c>
      <c r="G537" s="223">
        <v>43843</v>
      </c>
      <c r="H537" s="223"/>
      <c r="I537" s="218" t="str">
        <f>"DRCBUK/BANK/2020/01/007"</f>
        <v>DRCBUK/BANK/2020/01/007</v>
      </c>
      <c r="K537" s="218" t="str">
        <f>"DGI"</f>
        <v>DGI</v>
      </c>
      <c r="L537" s="218" t="str">
        <f>"IPR STC MUHONGYA Nath Dec 19 8%"</f>
        <v>IPR STC MUHONGYA Nath Dec 19 8%</v>
      </c>
      <c r="M537" s="218" t="str">
        <f>"5110"</f>
        <v>5110</v>
      </c>
      <c r="N537" s="218" t="str">
        <f>"EMPLOYER'S PENSION COSTS"</f>
        <v>EMPLOYER'S PENSION COSTS</v>
      </c>
      <c r="O537" s="218" t="str">
        <f t="shared" ref="O537:O551" si="188">"DRCBUK"</f>
        <v>DRCBUK</v>
      </c>
      <c r="P537" s="218" t="str">
        <f t="shared" si="183"/>
        <v>AP21QR</v>
      </c>
      <c r="Q537" s="218" t="str">
        <f>"MHO"</f>
        <v>MHO</v>
      </c>
      <c r="R537" s="218" t="str">
        <f>""</f>
        <v/>
      </c>
      <c r="S537" s="218" t="str">
        <f t="shared" ref="S537:S551" si="189">"087"</f>
        <v>087</v>
      </c>
      <c r="T537" s="218" t="str">
        <f t="shared" si="181"/>
        <v>D</v>
      </c>
      <c r="U537" s="218" t="str">
        <f t="shared" si="187"/>
        <v>AFR000</v>
      </c>
      <c r="V537" s="218" t="str">
        <f t="shared" si="179"/>
        <v>###</v>
      </c>
      <c r="W537" s="218">
        <v>15.21</v>
      </c>
      <c r="X537" s="218" t="str">
        <f t="shared" si="184"/>
        <v>USD</v>
      </c>
      <c r="Y537" s="218">
        <v>11.46</v>
      </c>
      <c r="Z537" s="218">
        <v>15.21</v>
      </c>
      <c r="AA537" s="218">
        <v>13.45</v>
      </c>
    </row>
    <row r="538" spans="1:27">
      <c r="A538" s="218" t="s">
        <v>2592</v>
      </c>
      <c r="F538" s="219" t="str">
        <f>"""IntAlert Live"",""ALERT UK"",""17"",""1"",""516875"""</f>
        <v>"IntAlert Live","ALERT UK","17","1","516875"</v>
      </c>
      <c r="G538" s="223">
        <v>43843</v>
      </c>
      <c r="H538" s="223"/>
      <c r="I538" s="218" t="str">
        <f>"DRCBUK/BANK/2020/01/008"</f>
        <v>DRCBUK/BANK/2020/01/008</v>
      </c>
      <c r="K538" s="218" t="str">
        <f>"CNSS"</f>
        <v>CNSS</v>
      </c>
      <c r="L538" s="218" t="str">
        <f>"CNSS STC MUHONGYA Nath Dec 19 8%"</f>
        <v>CNSS STC MUHONGYA Nath Dec 19 8%</v>
      </c>
      <c r="M538" s="218" t="str">
        <f>"5110"</f>
        <v>5110</v>
      </c>
      <c r="N538" s="218" t="str">
        <f>"EMPLOYER'S PENSION COSTS"</f>
        <v>EMPLOYER'S PENSION COSTS</v>
      </c>
      <c r="O538" s="218" t="str">
        <f t="shared" si="188"/>
        <v>DRCBUK</v>
      </c>
      <c r="P538" s="218" t="str">
        <f t="shared" si="183"/>
        <v>AP21QR</v>
      </c>
      <c r="Q538" s="218" t="str">
        <f>"MHO"</f>
        <v>MHO</v>
      </c>
      <c r="R538" s="218" t="str">
        <f>""</f>
        <v/>
      </c>
      <c r="S538" s="218" t="str">
        <f t="shared" si="189"/>
        <v>087</v>
      </c>
      <c r="T538" s="218" t="str">
        <f t="shared" si="181"/>
        <v>D</v>
      </c>
      <c r="U538" s="218" t="str">
        <f t="shared" si="187"/>
        <v>AFR000</v>
      </c>
      <c r="V538" s="218" t="str">
        <f t="shared" si="179"/>
        <v>###</v>
      </c>
      <c r="W538" s="218">
        <v>25</v>
      </c>
      <c r="X538" s="218" t="str">
        <f t="shared" si="184"/>
        <v>USD</v>
      </c>
      <c r="Y538" s="218">
        <v>18.84</v>
      </c>
      <c r="Z538" s="218">
        <v>25</v>
      </c>
      <c r="AA538" s="218">
        <v>22.11</v>
      </c>
    </row>
    <row r="539" spans="1:27">
      <c r="A539" s="218" t="s">
        <v>2592</v>
      </c>
      <c r="F539" s="219" t="str">
        <f>"""IntAlert Live"",""ALERT UK"",""17"",""1"",""532482"""</f>
        <v>"IntAlert Live","ALERT UK","17","1","532482"</v>
      </c>
      <c r="G539" s="223">
        <v>43887</v>
      </c>
      <c r="H539" s="223"/>
      <c r="I539" s="218" t="str">
        <f>"DRCBUK/BANK/2020/02/031"</f>
        <v>DRCBUK/BANK/2020/02/031</v>
      </c>
      <c r="K539" s="218" t="str">
        <f>"PASCAL BUHASHE"</f>
        <v>PASCAL BUHASHE</v>
      </c>
      <c r="L539" s="218" t="str">
        <f>"Salaire-Février 020- Pascal BUHASHE 50%"</f>
        <v>Salaire-Février 020- Pascal BUHASHE 50%</v>
      </c>
      <c r="M539" s="218" t="str">
        <f>"5100"</f>
        <v>5100</v>
      </c>
      <c r="N539" s="218" t="str">
        <f>"BASIC EMPLOYMENT COSTS"</f>
        <v>BASIC EMPLOYMENT COSTS</v>
      </c>
      <c r="O539" s="218" t="str">
        <f t="shared" si="188"/>
        <v>DRCBUK</v>
      </c>
      <c r="P539" s="218" t="str">
        <f t="shared" si="183"/>
        <v>AP21QR</v>
      </c>
      <c r="Q539" s="218" t="str">
        <f t="shared" ref="Q539:Q544" si="190">"CIB"</f>
        <v>CIB</v>
      </c>
      <c r="R539" s="218" t="str">
        <f>""</f>
        <v/>
      </c>
      <c r="S539" s="218" t="str">
        <f t="shared" si="189"/>
        <v>087</v>
      </c>
      <c r="T539" s="218" t="str">
        <f t="shared" si="181"/>
        <v>D</v>
      </c>
      <c r="U539" s="218" t="str">
        <f>"AFR021"</f>
        <v>AFR021</v>
      </c>
      <c r="V539" s="218" t="str">
        <f>"087"</f>
        <v>087</v>
      </c>
      <c r="W539" s="218">
        <v>722.7</v>
      </c>
      <c r="X539" s="218" t="str">
        <f t="shared" si="184"/>
        <v>USD</v>
      </c>
      <c r="Y539" s="218">
        <v>547.79</v>
      </c>
      <c r="Z539" s="218">
        <v>722.7</v>
      </c>
      <c r="AA539" s="218">
        <v>650.71</v>
      </c>
    </row>
    <row r="540" spans="1:27">
      <c r="A540" s="218" t="s">
        <v>2592</v>
      </c>
      <c r="F540" s="219" t="str">
        <f>"""IntAlert Live"",""ALERT UK"",""17"",""1"",""532526"""</f>
        <v>"IntAlert Live","ALERT UK","17","1","532526"</v>
      </c>
      <c r="G540" s="223">
        <v>43888</v>
      </c>
      <c r="H540" s="223"/>
      <c r="I540" s="218" t="str">
        <f>"DRCBUK/BANK/2020/02/032"</f>
        <v>DRCBUK/BANK/2020/02/032</v>
      </c>
      <c r="K540" s="218" t="str">
        <f>"DGI/DPI SUD KIVU"</f>
        <v>DGI/DPI SUD KIVU</v>
      </c>
      <c r="L540" s="218" t="str">
        <f>"IPR-Février 020- Pascal BUHASHE 50%"</f>
        <v>IPR-Février 020- Pascal BUHASHE 50%</v>
      </c>
      <c r="M540" s="218" t="str">
        <f>"5100"</f>
        <v>5100</v>
      </c>
      <c r="N540" s="218" t="str">
        <f>"BASIC EMPLOYMENT COSTS"</f>
        <v>BASIC EMPLOYMENT COSTS</v>
      </c>
      <c r="O540" s="218" t="str">
        <f t="shared" si="188"/>
        <v>DRCBUK</v>
      </c>
      <c r="P540" s="218" t="str">
        <f t="shared" si="183"/>
        <v>AP21QR</v>
      </c>
      <c r="Q540" s="218" t="str">
        <f t="shared" si="190"/>
        <v>CIB</v>
      </c>
      <c r="R540" s="218" t="str">
        <f>""</f>
        <v/>
      </c>
      <c r="S540" s="218" t="str">
        <f t="shared" si="189"/>
        <v>087</v>
      </c>
      <c r="T540" s="218" t="str">
        <f t="shared" si="181"/>
        <v>D</v>
      </c>
      <c r="U540" s="218" t="str">
        <f>"AFR021"</f>
        <v>AFR021</v>
      </c>
      <c r="V540" s="218" t="str">
        <f>"087"</f>
        <v>087</v>
      </c>
      <c r="W540" s="218">
        <v>100.68</v>
      </c>
      <c r="X540" s="218" t="str">
        <f t="shared" si="184"/>
        <v>USD</v>
      </c>
      <c r="Y540" s="218">
        <v>76.31</v>
      </c>
      <c r="Z540" s="218">
        <v>100.68</v>
      </c>
      <c r="AA540" s="218">
        <v>90.65</v>
      </c>
    </row>
    <row r="541" spans="1:27">
      <c r="A541" s="218" t="s">
        <v>2592</v>
      </c>
      <c r="F541" s="219" t="str">
        <f>"""IntAlert Live"",""ALERT UK"",""17"",""1"",""532572"""</f>
        <v>"IntAlert Live","ALERT UK","17","1","532572"</v>
      </c>
      <c r="G541" s="223">
        <v>43888</v>
      </c>
      <c r="H541" s="223"/>
      <c r="I541" s="218" t="str">
        <f>"DRCBUK/BANK/2020/02/033"</f>
        <v>DRCBUK/BANK/2020/02/033</v>
      </c>
      <c r="K541" s="218" t="str">
        <f>"CNSS SUD KIVU"</f>
        <v>CNSS SUD KIVU</v>
      </c>
      <c r="L541" s="218" t="str">
        <f>"CNSS-Février 020- Pascal BUHASHE 50%"</f>
        <v>CNSS-Février 020- Pascal BUHASHE 50%</v>
      </c>
      <c r="M541" s="218" t="str">
        <f>"5160"</f>
        <v>5160</v>
      </c>
      <c r="N541" s="218" t="str">
        <f>"EMPLOYMENT BENEFITS COSTS"</f>
        <v>EMPLOYMENT BENEFITS COSTS</v>
      </c>
      <c r="O541" s="218" t="str">
        <f t="shared" si="188"/>
        <v>DRCBUK</v>
      </c>
      <c r="P541" s="218" t="str">
        <f t="shared" si="183"/>
        <v>AP21QR</v>
      </c>
      <c r="Q541" s="218" t="str">
        <f t="shared" si="190"/>
        <v>CIB</v>
      </c>
      <c r="R541" s="218" t="str">
        <f>""</f>
        <v/>
      </c>
      <c r="S541" s="218" t="str">
        <f t="shared" si="189"/>
        <v>087</v>
      </c>
      <c r="T541" s="218" t="str">
        <f t="shared" si="181"/>
        <v>D</v>
      </c>
      <c r="U541" s="218" t="str">
        <f>"AFR021"</f>
        <v>AFR021</v>
      </c>
      <c r="V541" s="218" t="str">
        <f>"087"</f>
        <v>087</v>
      </c>
      <c r="W541" s="218">
        <v>112.23</v>
      </c>
      <c r="X541" s="218" t="str">
        <f t="shared" si="184"/>
        <v>USD</v>
      </c>
      <c r="Y541" s="218">
        <v>85.07</v>
      </c>
      <c r="Z541" s="218">
        <v>112.23</v>
      </c>
      <c r="AA541" s="218">
        <v>101.05</v>
      </c>
    </row>
    <row r="542" spans="1:27">
      <c r="A542" s="218" t="s">
        <v>2592</v>
      </c>
      <c r="F542" s="219" t="str">
        <f>"""IntAlert Live"",""ALERT UK"",""17"",""1"",""532617"""</f>
        <v>"IntAlert Live","ALERT UK","17","1","532617"</v>
      </c>
      <c r="G542" s="223">
        <v>43888</v>
      </c>
      <c r="H542" s="223"/>
      <c r="I542" s="218" t="str">
        <f>"DRCBUK/BANK/2020/02/034"</f>
        <v>DRCBUK/BANK/2020/02/034</v>
      </c>
      <c r="K542" s="218" t="str">
        <f>"INPP SUD KIVU"</f>
        <v>INPP SUD KIVU</v>
      </c>
      <c r="L542" s="218" t="str">
        <f>"INPP-Février 020- Pascal BUHASHE 50%"</f>
        <v>INPP-Février 020- Pascal BUHASHE 50%</v>
      </c>
      <c r="M542" s="218" t="str">
        <f>"5160"</f>
        <v>5160</v>
      </c>
      <c r="N542" s="218" t="str">
        <f>"EMPLOYMENT BENEFITS COSTS"</f>
        <v>EMPLOYMENT BENEFITS COSTS</v>
      </c>
      <c r="O542" s="218" t="str">
        <f t="shared" si="188"/>
        <v>DRCBUK</v>
      </c>
      <c r="P542" s="218" t="str">
        <f t="shared" si="183"/>
        <v>AP21QR</v>
      </c>
      <c r="Q542" s="218" t="str">
        <f t="shared" si="190"/>
        <v>CIB</v>
      </c>
      <c r="R542" s="218" t="str">
        <f>""</f>
        <v/>
      </c>
      <c r="S542" s="218" t="str">
        <f t="shared" si="189"/>
        <v>087</v>
      </c>
      <c r="T542" s="218" t="str">
        <f t="shared" si="181"/>
        <v>D</v>
      </c>
      <c r="U542" s="218" t="str">
        <f>"AFR021"</f>
        <v>AFR021</v>
      </c>
      <c r="V542" s="218" t="str">
        <f>"087"</f>
        <v>087</v>
      </c>
      <c r="W542" s="218">
        <v>18.71</v>
      </c>
      <c r="X542" s="218" t="str">
        <f t="shared" si="184"/>
        <v>USD</v>
      </c>
      <c r="Y542" s="218">
        <v>14.18</v>
      </c>
      <c r="Z542" s="218">
        <v>18.71</v>
      </c>
      <c r="AA542" s="218">
        <v>16.84</v>
      </c>
    </row>
    <row r="543" spans="1:27">
      <c r="A543" s="218" t="s">
        <v>2592</v>
      </c>
      <c r="F543" s="219" t="str">
        <f>"""IntAlert Live"",""ALERT UK"",""17"",""1"",""540149"""</f>
        <v>"IntAlert Live","ALERT UK","17","1","540149"</v>
      </c>
      <c r="G543" s="223">
        <v>43893</v>
      </c>
      <c r="H543" s="223"/>
      <c r="I543" s="218" t="str">
        <f>"DRCBUK/CAISSE/2020/03/001"</f>
        <v>DRCBUK/CAISSE/2020/03/001</v>
      </c>
      <c r="K543" s="218" t="str">
        <f>"ONEM"</f>
        <v>ONEM</v>
      </c>
      <c r="L543" s="218" t="str">
        <f>"ONEM Feb20-PASCAL BUHASHE CIBANGALA"</f>
        <v>ONEM Feb20-PASCAL BUHASHE CIBANGALA</v>
      </c>
      <c r="M543" s="218" t="str">
        <f>"5160"</f>
        <v>5160</v>
      </c>
      <c r="N543" s="218" t="str">
        <f>"EMPLOYMENT BENEFITS COSTS"</f>
        <v>EMPLOYMENT BENEFITS COSTS</v>
      </c>
      <c r="O543" s="218" t="str">
        <f t="shared" si="188"/>
        <v>DRCBUK</v>
      </c>
      <c r="P543" s="218" t="str">
        <f t="shared" si="183"/>
        <v>AP21QR</v>
      </c>
      <c r="Q543" s="218" t="str">
        <f t="shared" si="190"/>
        <v>CIB</v>
      </c>
      <c r="R543" s="218" t="str">
        <f>""</f>
        <v/>
      </c>
      <c r="S543" s="218" t="str">
        <f t="shared" si="189"/>
        <v>087</v>
      </c>
      <c r="T543" s="218" t="str">
        <f t="shared" si="181"/>
        <v>D</v>
      </c>
      <c r="U543" s="218" t="str">
        <f t="shared" ref="U543:U585" si="191">"AFR000"</f>
        <v>AFR000</v>
      </c>
      <c r="V543" s="218" t="str">
        <f t="shared" ref="V543:V585" si="192">"###"</f>
        <v>###</v>
      </c>
      <c r="W543" s="218">
        <v>1.25</v>
      </c>
      <c r="X543" s="218" t="str">
        <f t="shared" si="184"/>
        <v>USD</v>
      </c>
      <c r="Y543" s="218">
        <v>0.98</v>
      </c>
      <c r="Z543" s="218">
        <v>1.25</v>
      </c>
      <c r="AA543" s="218">
        <v>1.1499999999999999</v>
      </c>
    </row>
    <row r="544" spans="1:27">
      <c r="A544" s="218" t="s">
        <v>2592</v>
      </c>
      <c r="F544" s="219" t="str">
        <f>"""IntAlert Live"",""ALERT UK"",""17"",""1"",""540211"""</f>
        <v>"IntAlert Live","ALERT UK","17","1","540211"</v>
      </c>
      <c r="G544" s="223">
        <v>43916</v>
      </c>
      <c r="H544" s="223"/>
      <c r="I544" s="218" t="str">
        <f>"DRCBUK/CAISSE/2020/03/001"</f>
        <v>DRCBUK/CAISSE/2020/03/001</v>
      </c>
      <c r="K544" s="218" t="str">
        <f>"ONEM"</f>
        <v>ONEM</v>
      </c>
      <c r="L544" s="218" t="str">
        <f>"ONEM March20-Pascal BUHASHE CIBANGALA"</f>
        <v>ONEM March20-Pascal BUHASHE CIBANGALA</v>
      </c>
      <c r="M544" s="218" t="str">
        <f>"5160"</f>
        <v>5160</v>
      </c>
      <c r="N544" s="218" t="str">
        <f>"EMPLOYMENT BENEFITS COSTS"</f>
        <v>EMPLOYMENT BENEFITS COSTS</v>
      </c>
      <c r="O544" s="218" t="str">
        <f t="shared" si="188"/>
        <v>DRCBUK</v>
      </c>
      <c r="P544" s="218" t="str">
        <f t="shared" si="183"/>
        <v>AP21QR</v>
      </c>
      <c r="Q544" s="218" t="str">
        <f t="shared" si="190"/>
        <v>CIB</v>
      </c>
      <c r="R544" s="218" t="str">
        <f>""</f>
        <v/>
      </c>
      <c r="S544" s="218" t="str">
        <f t="shared" si="189"/>
        <v>087</v>
      </c>
      <c r="T544" s="218" t="str">
        <f t="shared" ref="T544:T571" si="193">"D"</f>
        <v>D</v>
      </c>
      <c r="U544" s="218" t="str">
        <f t="shared" si="191"/>
        <v>AFR000</v>
      </c>
      <c r="V544" s="218" t="str">
        <f t="shared" si="192"/>
        <v>###</v>
      </c>
      <c r="W544" s="218">
        <v>1.75</v>
      </c>
      <c r="X544" s="218" t="str">
        <f t="shared" si="184"/>
        <v>USD</v>
      </c>
      <c r="Y544" s="218">
        <v>1.37</v>
      </c>
      <c r="Z544" s="218">
        <v>1.75</v>
      </c>
      <c r="AA544" s="218">
        <v>1.61</v>
      </c>
    </row>
    <row r="545" spans="1:27">
      <c r="A545" s="218" t="s">
        <v>2592</v>
      </c>
      <c r="F545" s="219" t="str">
        <f>"""IntAlert Live"",""ALERT UK"",""17"",""1"",""539879"""</f>
        <v>"IntAlert Live","ALERT UK","17","1","539879"</v>
      </c>
      <c r="G545" s="223">
        <v>43921</v>
      </c>
      <c r="H545" s="223"/>
      <c r="I545" s="218" t="str">
        <f>"DRCBUK/BANK/2020/03/029"</f>
        <v>DRCBUK/BANK/2020/03/029</v>
      </c>
      <c r="K545" s="218" t="str">
        <f>"MICHEL MIRINDI BASHWERE"</f>
        <v>MICHEL MIRINDI BASHWERE</v>
      </c>
      <c r="L545" s="218" t="str">
        <f>"Salaire Mars20-Michel MIRINDI BASHWERE"</f>
        <v>Salaire Mars20-Michel MIRINDI BASHWERE</v>
      </c>
      <c r="M545" s="218" t="str">
        <f>"5100"</f>
        <v>5100</v>
      </c>
      <c r="N545" s="218" t="str">
        <f>"BASIC EMPLOYMENT COSTS"</f>
        <v>BASIC EMPLOYMENT COSTS</v>
      </c>
      <c r="O545" s="218" t="str">
        <f t="shared" si="188"/>
        <v>DRCBUK</v>
      </c>
      <c r="P545" s="218" t="str">
        <f t="shared" si="183"/>
        <v>AP21QR</v>
      </c>
      <c r="Q545" s="218" t="str">
        <f>"MRI"</f>
        <v>MRI</v>
      </c>
      <c r="R545" s="218" t="str">
        <f>""</f>
        <v/>
      </c>
      <c r="S545" s="218" t="str">
        <f t="shared" si="189"/>
        <v>087</v>
      </c>
      <c r="T545" s="218" t="str">
        <f t="shared" si="193"/>
        <v>D</v>
      </c>
      <c r="U545" s="218" t="str">
        <f t="shared" si="191"/>
        <v>AFR000</v>
      </c>
      <c r="V545" s="218" t="str">
        <f t="shared" si="192"/>
        <v>###</v>
      </c>
      <c r="W545" s="218">
        <v>39.46</v>
      </c>
      <c r="X545" s="218" t="str">
        <f t="shared" si="184"/>
        <v>USD</v>
      </c>
      <c r="Y545" s="218">
        <v>30.78</v>
      </c>
      <c r="Z545" s="218">
        <v>39.46</v>
      </c>
      <c r="AA545" s="218">
        <v>36.21</v>
      </c>
    </row>
    <row r="546" spans="1:27">
      <c r="A546" s="218" t="s">
        <v>2592</v>
      </c>
      <c r="F546" s="219" t="str">
        <f>"""IntAlert Live"",""ALERT UK"",""17"",""1"",""539883"""</f>
        <v>"IntAlert Live","ALERT UK","17","1","539883"</v>
      </c>
      <c r="G546" s="223">
        <v>43921</v>
      </c>
      <c r="H546" s="223"/>
      <c r="I546" s="218" t="str">
        <f>"DRCBUK/BANK/2020/03/029"</f>
        <v>DRCBUK/BANK/2020/03/029</v>
      </c>
      <c r="K546" s="218" t="str">
        <f>"PASCAL BUHASHE CIBANGALA"</f>
        <v>PASCAL BUHASHE CIBANGALA</v>
      </c>
      <c r="L546" s="218" t="str">
        <f>"Salaire Mars20-Pascal BUHASHE CIBANGALA"</f>
        <v>Salaire Mars20-Pascal BUHASHE CIBANGALA</v>
      </c>
      <c r="M546" s="218" t="str">
        <f>"5100"</f>
        <v>5100</v>
      </c>
      <c r="N546" s="218" t="str">
        <f>"BASIC EMPLOYMENT COSTS"</f>
        <v>BASIC EMPLOYMENT COSTS</v>
      </c>
      <c r="O546" s="218" t="str">
        <f t="shared" si="188"/>
        <v>DRCBUK</v>
      </c>
      <c r="P546" s="218" t="str">
        <f t="shared" si="183"/>
        <v>AP21QR</v>
      </c>
      <c r="Q546" s="218" t="str">
        <f>"CIB"</f>
        <v>CIB</v>
      </c>
      <c r="R546" s="218" t="str">
        <f>""</f>
        <v/>
      </c>
      <c r="S546" s="218" t="str">
        <f t="shared" si="189"/>
        <v>087</v>
      </c>
      <c r="T546" s="218" t="str">
        <f t="shared" si="193"/>
        <v>D</v>
      </c>
      <c r="U546" s="218" t="str">
        <f t="shared" si="191"/>
        <v>AFR000</v>
      </c>
      <c r="V546" s="218" t="str">
        <f t="shared" si="192"/>
        <v>###</v>
      </c>
      <c r="W546" s="218">
        <v>1010.5</v>
      </c>
      <c r="X546" s="218" t="str">
        <f t="shared" si="184"/>
        <v>USD</v>
      </c>
      <c r="Y546" s="218">
        <v>788.24</v>
      </c>
      <c r="Z546" s="218">
        <v>1010.5</v>
      </c>
      <c r="AA546" s="218">
        <v>927.4</v>
      </c>
    </row>
    <row r="547" spans="1:27">
      <c r="A547" s="218" t="s">
        <v>2592</v>
      </c>
      <c r="F547" s="219" t="str">
        <f>"""IntAlert Live"",""ALERT UK"",""17"",""1"",""539916"""</f>
        <v>"IntAlert Live","ALERT UK","17","1","539916"</v>
      </c>
      <c r="G547" s="223">
        <v>43921</v>
      </c>
      <c r="H547" s="223"/>
      <c r="I547" s="218" t="str">
        <f>"DRCBUK/BANK/2020/03/030"</f>
        <v>DRCBUK/BANK/2020/03/030</v>
      </c>
      <c r="K547" s="218" t="str">
        <f>"DGI SUD-KIVU"</f>
        <v>DGI SUD-KIVU</v>
      </c>
      <c r="L547" s="218" t="str">
        <f>"IPR Mars20-Michel MIRINDI BASHWERE"</f>
        <v>IPR Mars20-Michel MIRINDI BASHWERE</v>
      </c>
      <c r="M547" s="218" t="str">
        <f>"5100"</f>
        <v>5100</v>
      </c>
      <c r="N547" s="218" t="str">
        <f>"BASIC EMPLOYMENT COSTS"</f>
        <v>BASIC EMPLOYMENT COSTS</v>
      </c>
      <c r="O547" s="218" t="str">
        <f t="shared" si="188"/>
        <v>DRCBUK</v>
      </c>
      <c r="P547" s="218" t="str">
        <f t="shared" si="183"/>
        <v>AP21QR</v>
      </c>
      <c r="Q547" s="218" t="str">
        <f>"MRI"</f>
        <v>MRI</v>
      </c>
      <c r="R547" s="218" t="str">
        <f>""</f>
        <v/>
      </c>
      <c r="S547" s="218" t="str">
        <f t="shared" si="189"/>
        <v>087</v>
      </c>
      <c r="T547" s="218" t="str">
        <f t="shared" si="193"/>
        <v>D</v>
      </c>
      <c r="U547" s="218" t="str">
        <f t="shared" si="191"/>
        <v>AFR000</v>
      </c>
      <c r="V547" s="218" t="str">
        <f t="shared" si="192"/>
        <v>###</v>
      </c>
      <c r="W547" s="218">
        <v>3.31</v>
      </c>
      <c r="X547" s="218" t="str">
        <f t="shared" si="184"/>
        <v>USD</v>
      </c>
      <c r="Y547" s="218">
        <v>2.58</v>
      </c>
      <c r="Z547" s="218">
        <v>3.31</v>
      </c>
      <c r="AA547" s="218">
        <v>3.04</v>
      </c>
    </row>
    <row r="548" spans="1:27">
      <c r="A548" s="218" t="s">
        <v>2592</v>
      </c>
      <c r="F548" s="219" t="str">
        <f>"""IntAlert Live"",""ALERT UK"",""17"",""1"",""539920"""</f>
        <v>"IntAlert Live","ALERT UK","17","1","539920"</v>
      </c>
      <c r="G548" s="223">
        <v>43921</v>
      </c>
      <c r="H548" s="223"/>
      <c r="I548" s="218" t="str">
        <f>"DRCBUK/BANK/2020/03/030"</f>
        <v>DRCBUK/BANK/2020/03/030</v>
      </c>
      <c r="K548" s="218" t="str">
        <f>"DGI SUD-KIVU"</f>
        <v>DGI SUD-KIVU</v>
      </c>
      <c r="L548" s="218" t="str">
        <f>"IPR Mars20-Pascal BUHASHE CIBANGALA"</f>
        <v>IPR Mars20-Pascal BUHASHE CIBANGALA</v>
      </c>
      <c r="M548" s="218" t="str">
        <f>"5100"</f>
        <v>5100</v>
      </c>
      <c r="N548" s="218" t="str">
        <f>"BASIC EMPLOYMENT COSTS"</f>
        <v>BASIC EMPLOYMENT COSTS</v>
      </c>
      <c r="O548" s="218" t="str">
        <f t="shared" si="188"/>
        <v>DRCBUK</v>
      </c>
      <c r="P548" s="218" t="str">
        <f t="shared" si="183"/>
        <v>AP21QR</v>
      </c>
      <c r="Q548" s="218" t="str">
        <f>"CIB"</f>
        <v>CIB</v>
      </c>
      <c r="R548" s="218" t="str">
        <f>""</f>
        <v/>
      </c>
      <c r="S548" s="218" t="str">
        <f t="shared" si="189"/>
        <v>087</v>
      </c>
      <c r="T548" s="218" t="str">
        <f t="shared" si="193"/>
        <v>D</v>
      </c>
      <c r="U548" s="218" t="str">
        <f t="shared" si="191"/>
        <v>AFR000</v>
      </c>
      <c r="V548" s="218" t="str">
        <f t="shared" si="192"/>
        <v>###</v>
      </c>
      <c r="W548" s="218">
        <v>142.22</v>
      </c>
      <c r="X548" s="218" t="str">
        <f t="shared" si="184"/>
        <v>USD</v>
      </c>
      <c r="Y548" s="218">
        <v>110.94</v>
      </c>
      <c r="Z548" s="218">
        <v>142.22</v>
      </c>
      <c r="AA548" s="218">
        <v>130.53</v>
      </c>
    </row>
    <row r="549" spans="1:27">
      <c r="A549" s="218" t="s">
        <v>2592</v>
      </c>
      <c r="F549" s="219" t="str">
        <f>"""IntAlert Live"",""ALERT UK"",""17"",""1"",""539954"""</f>
        <v>"IntAlert Live","ALERT UK","17","1","539954"</v>
      </c>
      <c r="G549" s="223">
        <v>43921</v>
      </c>
      <c r="H549" s="223"/>
      <c r="I549" s="218" t="str">
        <f>"DRCBUK/BANK/2020/03/031"</f>
        <v>DRCBUK/BANK/2020/03/031</v>
      </c>
      <c r="K549" s="218" t="str">
        <f>"CNSS SUD-KIVU"</f>
        <v>CNSS SUD-KIVU</v>
      </c>
      <c r="L549" s="218" t="str">
        <f>"CNSS Mars20-Michel  MIRINDI BASHWERE"</f>
        <v>CNSS Mars20-Michel  MIRINDI BASHWERE</v>
      </c>
      <c r="M549" s="218" t="str">
        <f>"5110"</f>
        <v>5110</v>
      </c>
      <c r="N549" s="218" t="str">
        <f>"EMPLOYER'S PENSION COSTS"</f>
        <v>EMPLOYER'S PENSION COSTS</v>
      </c>
      <c r="O549" s="218" t="str">
        <f t="shared" si="188"/>
        <v>DRCBUK</v>
      </c>
      <c r="P549" s="218" t="str">
        <f t="shared" si="183"/>
        <v>AP21QR</v>
      </c>
      <c r="Q549" s="218" t="str">
        <f>"MRI"</f>
        <v>MRI</v>
      </c>
      <c r="R549" s="218" t="str">
        <f>""</f>
        <v/>
      </c>
      <c r="S549" s="218" t="str">
        <f t="shared" si="189"/>
        <v>087</v>
      </c>
      <c r="T549" s="218" t="str">
        <f t="shared" si="193"/>
        <v>D</v>
      </c>
      <c r="U549" s="218" t="str">
        <f t="shared" si="191"/>
        <v>AFR000</v>
      </c>
      <c r="V549" s="218" t="str">
        <f t="shared" si="192"/>
        <v>###</v>
      </c>
      <c r="W549" s="218">
        <v>4.7</v>
      </c>
      <c r="X549" s="218" t="str">
        <f t="shared" si="184"/>
        <v>USD</v>
      </c>
      <c r="Y549" s="218">
        <v>3.67</v>
      </c>
      <c r="Z549" s="218">
        <v>4.7</v>
      </c>
      <c r="AA549" s="218">
        <v>4.32</v>
      </c>
    </row>
    <row r="550" spans="1:27">
      <c r="A550" s="218" t="s">
        <v>2592</v>
      </c>
      <c r="F550" s="219" t="str">
        <f>"""IntAlert Live"",""ALERT UK"",""17"",""1"",""539958"""</f>
        <v>"IntAlert Live","ALERT UK","17","1","539958"</v>
      </c>
      <c r="G550" s="223">
        <v>43921</v>
      </c>
      <c r="H550" s="223"/>
      <c r="I550" s="218" t="str">
        <f>"DRCBUK/BANK/2020/03/031"</f>
        <v>DRCBUK/BANK/2020/03/031</v>
      </c>
      <c r="K550" s="218" t="str">
        <f>"CNSS SUD-KIVU"</f>
        <v>CNSS SUD-KIVU</v>
      </c>
      <c r="L550" s="218" t="str">
        <f>"CNSS Mars20-Pascal BUHASHE CIBANGALA"</f>
        <v>CNSS Mars20-Pascal BUHASHE CIBANGALA</v>
      </c>
      <c r="M550" s="218" t="str">
        <f>"5110"</f>
        <v>5110</v>
      </c>
      <c r="N550" s="218" t="str">
        <f>"EMPLOYER'S PENSION COSTS"</f>
        <v>EMPLOYER'S PENSION COSTS</v>
      </c>
      <c r="O550" s="218" t="str">
        <f t="shared" si="188"/>
        <v>DRCBUK</v>
      </c>
      <c r="P550" s="218" t="str">
        <f t="shared" si="183"/>
        <v>AP21QR</v>
      </c>
      <c r="Q550" s="218" t="str">
        <f>"MHO"</f>
        <v>MHO</v>
      </c>
      <c r="R550" s="218" t="str">
        <f>""</f>
        <v/>
      </c>
      <c r="S550" s="218" t="str">
        <f t="shared" si="189"/>
        <v>087</v>
      </c>
      <c r="T550" s="218" t="str">
        <f t="shared" si="193"/>
        <v>D</v>
      </c>
      <c r="U550" s="218" t="str">
        <f t="shared" si="191"/>
        <v>AFR000</v>
      </c>
      <c r="V550" s="218" t="str">
        <f t="shared" si="192"/>
        <v>###</v>
      </c>
      <c r="W550" s="218">
        <v>157.12</v>
      </c>
      <c r="X550" s="218" t="str">
        <f t="shared" si="184"/>
        <v>USD</v>
      </c>
      <c r="Y550" s="218">
        <v>122.56</v>
      </c>
      <c r="Z550" s="218">
        <v>157.12</v>
      </c>
      <c r="AA550" s="218">
        <v>144.19999999999999</v>
      </c>
    </row>
    <row r="551" spans="1:27">
      <c r="A551" s="218" t="s">
        <v>2592</v>
      </c>
      <c r="F551" s="219" t="str">
        <f>"""IntAlert Live"",""ALERT UK"",""17"",""1"",""539995"""</f>
        <v>"IntAlert Live","ALERT UK","17","1","539995"</v>
      </c>
      <c r="G551" s="223">
        <v>43921</v>
      </c>
      <c r="H551" s="223"/>
      <c r="I551" s="218" t="str">
        <f>"DRCBUK/BANK/2020/03/032"</f>
        <v>DRCBUK/BANK/2020/03/032</v>
      </c>
      <c r="K551" s="218" t="str">
        <f>"INPP SUD-KIVU"</f>
        <v>INPP SUD-KIVU</v>
      </c>
      <c r="L551" s="218" t="str">
        <f>"INPP Mars20-Pascal BUHASHE CIBANGALA"</f>
        <v>INPP Mars20-Pascal BUHASHE CIBANGALA</v>
      </c>
      <c r="M551" s="218" t="str">
        <f>"5160"</f>
        <v>5160</v>
      </c>
      <c r="N551" s="218" t="str">
        <f>"EMPLOYMENT BENEFITS COSTS"</f>
        <v>EMPLOYMENT BENEFITS COSTS</v>
      </c>
      <c r="O551" s="218" t="str">
        <f t="shared" si="188"/>
        <v>DRCBUK</v>
      </c>
      <c r="P551" s="218" t="str">
        <f t="shared" si="183"/>
        <v>AP21QR</v>
      </c>
      <c r="Q551" s="218" t="str">
        <f>"CIB"</f>
        <v>CIB</v>
      </c>
      <c r="R551" s="218" t="str">
        <f>""</f>
        <v/>
      </c>
      <c r="S551" s="218" t="str">
        <f t="shared" si="189"/>
        <v>087</v>
      </c>
      <c r="T551" s="218" t="str">
        <f t="shared" si="193"/>
        <v>D</v>
      </c>
      <c r="U551" s="218" t="str">
        <f t="shared" si="191"/>
        <v>AFR000</v>
      </c>
      <c r="V551" s="218" t="str">
        <f t="shared" si="192"/>
        <v>###</v>
      </c>
      <c r="W551" s="218">
        <v>26.19</v>
      </c>
      <c r="X551" s="218" t="str">
        <f t="shared" si="184"/>
        <v>USD</v>
      </c>
      <c r="Y551" s="218">
        <v>20.43</v>
      </c>
      <c r="Z551" s="218">
        <v>26.19</v>
      </c>
      <c r="AA551" s="218">
        <v>24.04</v>
      </c>
    </row>
    <row r="552" spans="1:27">
      <c r="A552" s="218" t="s">
        <v>2592</v>
      </c>
      <c r="F552" s="219" t="str">
        <f>"""IntAlert Live"",""ALERT UK"",""17"",""1"",""520600"""</f>
        <v>"IntAlert Live","ALERT UK","17","1","520600"</v>
      </c>
      <c r="G552" s="223">
        <v>43861</v>
      </c>
      <c r="H552" s="223"/>
      <c r="I552" s="218" t="str">
        <f>""</f>
        <v/>
      </c>
      <c r="K552" s="218" t="str">
        <f>"SORAS VIE LTD"</f>
        <v>SORAS VIE LTD</v>
      </c>
      <c r="L552" s="218" t="str">
        <f>"Pension Plan _Jan 2020_GLA"</f>
        <v>Pension Plan _Jan 2020_GLA</v>
      </c>
      <c r="M552" s="218" t="str">
        <f>"5110"</f>
        <v>5110</v>
      </c>
      <c r="N552" s="218" t="str">
        <f>"EMPLOYER'S PENSION COSTS"</f>
        <v>EMPLOYER'S PENSION COSTS</v>
      </c>
      <c r="O552" s="218" t="str">
        <f t="shared" ref="O552:O571" si="194">"RWAKIG"</f>
        <v>RWAKIG</v>
      </c>
      <c r="P552" s="218" t="str">
        <f t="shared" si="183"/>
        <v>AP21QR</v>
      </c>
      <c r="Q552" s="218" t="str">
        <f t="shared" ref="Q552:Q571" si="195">"BAZ"</f>
        <v>BAZ</v>
      </c>
      <c r="R552" s="218" t="str">
        <f>""</f>
        <v/>
      </c>
      <c r="S552" s="218" t="str">
        <f t="shared" ref="S552:S571" si="196">"088"</f>
        <v>088</v>
      </c>
      <c r="T552" s="218" t="str">
        <f t="shared" si="193"/>
        <v>D</v>
      </c>
      <c r="U552" s="218" t="str">
        <f t="shared" si="191"/>
        <v>AFR000</v>
      </c>
      <c r="V552" s="218" t="str">
        <f t="shared" si="192"/>
        <v>###</v>
      </c>
      <c r="W552" s="218">
        <v>40290</v>
      </c>
      <c r="X552" s="218" t="str">
        <f t="shared" ref="X552:X571" si="197">"RWF"</f>
        <v>RWF</v>
      </c>
      <c r="Y552" s="218">
        <v>32.369999999999997</v>
      </c>
      <c r="Z552" s="218">
        <v>42.95</v>
      </c>
      <c r="AA552" s="218">
        <v>37.99</v>
      </c>
    </row>
    <row r="553" spans="1:27">
      <c r="A553" s="218" t="s">
        <v>2592</v>
      </c>
      <c r="F553" s="219" t="str">
        <f>"""IntAlert Live"",""ALERT UK"",""17"",""1"",""520629"""</f>
        <v>"IntAlert Live","ALERT UK","17","1","520629"</v>
      </c>
      <c r="G553" s="223">
        <v>43861</v>
      </c>
      <c r="H553" s="223"/>
      <c r="I553" s="218" t="str">
        <f>""</f>
        <v/>
      </c>
      <c r="K553" s="218" t="str">
        <f>"GLORIOSE BAZIGAGA"</f>
        <v>GLORIOSE BAZIGAGA</v>
      </c>
      <c r="L553" s="218" t="str">
        <f>"Salary _Jan 2020_GLA"</f>
        <v>Salary _Jan 2020_GLA</v>
      </c>
      <c r="M553" s="218" t="str">
        <f>"5100"</f>
        <v>5100</v>
      </c>
      <c r="N553" s="218" t="str">
        <f>"BASIC EMPLOYMENT COSTS"</f>
        <v>BASIC EMPLOYMENT COSTS</v>
      </c>
      <c r="O553" s="218" t="str">
        <f t="shared" si="194"/>
        <v>RWAKIG</v>
      </c>
      <c r="P553" s="218" t="str">
        <f t="shared" si="183"/>
        <v>AP21QR</v>
      </c>
      <c r="Q553" s="218" t="str">
        <f t="shared" si="195"/>
        <v>BAZ</v>
      </c>
      <c r="R553" s="218" t="str">
        <f>""</f>
        <v/>
      </c>
      <c r="S553" s="218" t="str">
        <f t="shared" si="196"/>
        <v>088</v>
      </c>
      <c r="T553" s="218" t="str">
        <f t="shared" si="193"/>
        <v>D</v>
      </c>
      <c r="U553" s="218" t="str">
        <f t="shared" si="191"/>
        <v>AFR000</v>
      </c>
      <c r="V553" s="218" t="str">
        <f t="shared" si="192"/>
        <v>###</v>
      </c>
      <c r="W553" s="218">
        <v>356554</v>
      </c>
      <c r="X553" s="218" t="str">
        <f t="shared" si="197"/>
        <v>RWF</v>
      </c>
      <c r="Y553" s="218">
        <v>286.43</v>
      </c>
      <c r="Z553" s="218">
        <v>380.02</v>
      </c>
      <c r="AA553" s="218">
        <v>336.15</v>
      </c>
    </row>
    <row r="554" spans="1:27">
      <c r="A554" s="218" t="s">
        <v>2592</v>
      </c>
      <c r="F554" s="219" t="str">
        <f>"""IntAlert Live"",""ALERT UK"",""17"",""1"",""520658"""</f>
        <v>"IntAlert Live","ALERT UK","17","1","520658"</v>
      </c>
      <c r="G554" s="223">
        <v>43861</v>
      </c>
      <c r="H554" s="223"/>
      <c r="I554" s="218" t="str">
        <f>""</f>
        <v/>
      </c>
      <c r="K554" s="218" t="str">
        <f>"GLORIOSE BAZIGAGA"</f>
        <v>GLORIOSE BAZIGAGA</v>
      </c>
      <c r="L554" s="218" t="str">
        <f>"Staff saving-Jan 2020-Gloriose"</f>
        <v>Staff saving-Jan 2020-Gloriose</v>
      </c>
      <c r="M554" s="218" t="str">
        <f>"5100"</f>
        <v>5100</v>
      </c>
      <c r="N554" s="218" t="str">
        <f>"BASIC EMPLOYMENT COSTS"</f>
        <v>BASIC EMPLOYMENT COSTS</v>
      </c>
      <c r="O554" s="218" t="str">
        <f t="shared" si="194"/>
        <v>RWAKIG</v>
      </c>
      <c r="P554" s="218" t="str">
        <f t="shared" si="183"/>
        <v>AP21QR</v>
      </c>
      <c r="Q554" s="218" t="str">
        <f t="shared" si="195"/>
        <v>BAZ</v>
      </c>
      <c r="R554" s="218" t="str">
        <f>""</f>
        <v/>
      </c>
      <c r="S554" s="218" t="str">
        <f t="shared" si="196"/>
        <v>088</v>
      </c>
      <c r="T554" s="218" t="str">
        <f t="shared" si="193"/>
        <v>D</v>
      </c>
      <c r="U554" s="218" t="str">
        <f t="shared" si="191"/>
        <v>AFR000</v>
      </c>
      <c r="V554" s="218" t="str">
        <f t="shared" si="192"/>
        <v>###</v>
      </c>
      <c r="W554" s="218">
        <v>3000</v>
      </c>
      <c r="X554" s="218" t="str">
        <f t="shared" si="197"/>
        <v>RWF</v>
      </c>
      <c r="Y554" s="218">
        <v>2.41</v>
      </c>
      <c r="Z554" s="218">
        <v>3.2</v>
      </c>
      <c r="AA554" s="218">
        <v>2.83</v>
      </c>
    </row>
    <row r="555" spans="1:27">
      <c r="A555" s="218" t="s">
        <v>2592</v>
      </c>
      <c r="F555" s="219" t="str">
        <f>"""IntAlert Live"",""ALERT UK"",""17"",""1"",""520718"""</f>
        <v>"IntAlert Live","ALERT UK","17","1","520718"</v>
      </c>
      <c r="G555" s="223">
        <v>43861</v>
      </c>
      <c r="H555" s="223"/>
      <c r="I555" s="218" t="str">
        <f>""</f>
        <v/>
      </c>
      <c r="K555" s="218" t="str">
        <f>"RSSB"</f>
        <v>RSSB</v>
      </c>
      <c r="L555" s="218" t="str">
        <f>"RSSB 5,3%_Jan 2020_GLSA"</f>
        <v>RSSB 5,3%_Jan 2020_GLSA</v>
      </c>
      <c r="M555" s="218" t="str">
        <f>"5120"</f>
        <v>5120</v>
      </c>
      <c r="N555" s="218" t="str">
        <f>"EMPLOYER'S NI"</f>
        <v>EMPLOYER'S NI</v>
      </c>
      <c r="O555" s="218" t="str">
        <f t="shared" si="194"/>
        <v>RWAKIG</v>
      </c>
      <c r="P555" s="218" t="str">
        <f t="shared" si="183"/>
        <v>AP21QR</v>
      </c>
      <c r="Q555" s="218" t="str">
        <f t="shared" si="195"/>
        <v>BAZ</v>
      </c>
      <c r="R555" s="218" t="str">
        <f>""</f>
        <v/>
      </c>
      <c r="S555" s="218" t="str">
        <f t="shared" si="196"/>
        <v>088</v>
      </c>
      <c r="T555" s="218" t="str">
        <f t="shared" si="193"/>
        <v>D</v>
      </c>
      <c r="U555" s="218" t="str">
        <f t="shared" si="191"/>
        <v>AFR000</v>
      </c>
      <c r="V555" s="218" t="str">
        <f t="shared" si="192"/>
        <v>###</v>
      </c>
      <c r="W555" s="218">
        <v>23999</v>
      </c>
      <c r="X555" s="218" t="str">
        <f t="shared" si="197"/>
        <v>RWF</v>
      </c>
      <c r="Y555" s="218">
        <v>19.28</v>
      </c>
      <c r="Z555" s="218">
        <v>25.58</v>
      </c>
      <c r="AA555" s="218">
        <v>22.63</v>
      </c>
    </row>
    <row r="556" spans="1:27">
      <c r="A556" s="218" t="s">
        <v>2592</v>
      </c>
      <c r="F556" s="219" t="str">
        <f>"""IntAlert Live"",""ALERT UK"",""17"",""1"",""520747"""</f>
        <v>"IntAlert Live","ALERT UK","17","1","520747"</v>
      </c>
      <c r="G556" s="223">
        <v>43861</v>
      </c>
      <c r="H556" s="223"/>
      <c r="I556" s="218" t="str">
        <f>""</f>
        <v/>
      </c>
      <c r="K556" s="218" t="str">
        <f>"RSSB"</f>
        <v>RSSB</v>
      </c>
      <c r="L556" s="218" t="str">
        <f>"RSSB 3,3%_Jan 2020_GLSA"</f>
        <v>RSSB 3,3%_Jan 2020_GLSA</v>
      </c>
      <c r="M556" s="218" t="str">
        <f>"5100"</f>
        <v>5100</v>
      </c>
      <c r="N556" s="218" t="str">
        <f>"BASIC EMPLOYMENT COSTS"</f>
        <v>BASIC EMPLOYMENT COSTS</v>
      </c>
      <c r="O556" s="218" t="str">
        <f t="shared" si="194"/>
        <v>RWAKIG</v>
      </c>
      <c r="P556" s="218" t="str">
        <f t="shared" si="183"/>
        <v>AP21QR</v>
      </c>
      <c r="Q556" s="218" t="str">
        <f t="shared" si="195"/>
        <v>BAZ</v>
      </c>
      <c r="R556" s="218" t="str">
        <f>""</f>
        <v/>
      </c>
      <c r="S556" s="218" t="str">
        <f t="shared" si="196"/>
        <v>088</v>
      </c>
      <c r="T556" s="218" t="str">
        <f t="shared" si="193"/>
        <v>D</v>
      </c>
      <c r="U556" s="218" t="str">
        <f t="shared" si="191"/>
        <v>AFR000</v>
      </c>
      <c r="V556" s="218" t="str">
        <f t="shared" si="192"/>
        <v>###</v>
      </c>
      <c r="W556" s="218">
        <v>14942</v>
      </c>
      <c r="X556" s="218" t="str">
        <f t="shared" si="197"/>
        <v>RWF</v>
      </c>
      <c r="Y556" s="218">
        <v>12</v>
      </c>
      <c r="Z556" s="218">
        <v>15.92</v>
      </c>
      <c r="AA556" s="218">
        <v>14.08</v>
      </c>
    </row>
    <row r="557" spans="1:27">
      <c r="A557" s="218" t="s">
        <v>2592</v>
      </c>
      <c r="F557" s="219" t="str">
        <f>"""IntAlert Live"",""ALERT UK"",""17"",""1"",""520776"""</f>
        <v>"IntAlert Live","ALERT UK","17","1","520776"</v>
      </c>
      <c r="G557" s="223">
        <v>43861</v>
      </c>
      <c r="H557" s="223"/>
      <c r="I557" s="218" t="str">
        <f>""</f>
        <v/>
      </c>
      <c r="K557" s="218" t="str">
        <f>"GLORIOSE BAZIGAGA"</f>
        <v>GLORIOSE BAZIGAGA</v>
      </c>
      <c r="L557" s="218" t="str">
        <f>"Taxe pension plan_Jan 2020_GLSA"</f>
        <v>Taxe pension plan_Jan 2020_GLSA</v>
      </c>
      <c r="M557" s="218" t="str">
        <f>"5110"</f>
        <v>5110</v>
      </c>
      <c r="N557" s="218" t="str">
        <f>"EMPLOYER'S PENSION COSTS"</f>
        <v>EMPLOYER'S PENSION COSTS</v>
      </c>
      <c r="O557" s="218" t="str">
        <f t="shared" si="194"/>
        <v>RWAKIG</v>
      </c>
      <c r="P557" s="218" t="str">
        <f t="shared" si="183"/>
        <v>AP21QR</v>
      </c>
      <c r="Q557" s="218" t="str">
        <f t="shared" si="195"/>
        <v>BAZ</v>
      </c>
      <c r="R557" s="218" t="str">
        <f>""</f>
        <v/>
      </c>
      <c r="S557" s="218" t="str">
        <f t="shared" si="196"/>
        <v>088</v>
      </c>
      <c r="T557" s="218" t="str">
        <f t="shared" si="193"/>
        <v>D</v>
      </c>
      <c r="U557" s="218" t="str">
        <f t="shared" si="191"/>
        <v>AFR000</v>
      </c>
      <c r="V557" s="218" t="str">
        <f t="shared" si="192"/>
        <v>###</v>
      </c>
      <c r="W557" s="218">
        <v>12981</v>
      </c>
      <c r="X557" s="218" t="str">
        <f t="shared" si="197"/>
        <v>RWF</v>
      </c>
      <c r="Y557" s="218">
        <v>10.43</v>
      </c>
      <c r="Z557" s="218">
        <v>13.84</v>
      </c>
      <c r="AA557" s="218">
        <v>12.24</v>
      </c>
    </row>
    <row r="558" spans="1:27">
      <c r="A558" s="218" t="s">
        <v>2592</v>
      </c>
      <c r="F558" s="219" t="str">
        <f>"""IntAlert Live"",""ALERT UK"",""17"",""1"",""531122"""</f>
        <v>"IntAlert Live","ALERT UK","17","1","531122"</v>
      </c>
      <c r="G558" s="223">
        <v>43890</v>
      </c>
      <c r="H558" s="223"/>
      <c r="I558" s="218" t="str">
        <f>""</f>
        <v/>
      </c>
      <c r="K558" s="218" t="str">
        <f>"10057738"</f>
        <v>10057738</v>
      </c>
      <c r="L558" s="218" t="str">
        <f>"Salary _Feb 2020_Great Lakes Adv"</f>
        <v>Salary _Feb 2020_Great Lakes Adv</v>
      </c>
      <c r="M558" s="218" t="str">
        <f>"5100"</f>
        <v>5100</v>
      </c>
      <c r="N558" s="218" t="str">
        <f>"BASIC EMPLOYMENT COSTS"</f>
        <v>BASIC EMPLOYMENT COSTS</v>
      </c>
      <c r="O558" s="218" t="str">
        <f t="shared" si="194"/>
        <v>RWAKIG</v>
      </c>
      <c r="P558" s="218" t="str">
        <f t="shared" si="183"/>
        <v>AP21QR</v>
      </c>
      <c r="Q558" s="218" t="str">
        <f t="shared" si="195"/>
        <v>BAZ</v>
      </c>
      <c r="R558" s="218" t="str">
        <f>""</f>
        <v/>
      </c>
      <c r="S558" s="218" t="str">
        <f t="shared" si="196"/>
        <v>088</v>
      </c>
      <c r="T558" s="218" t="str">
        <f t="shared" si="193"/>
        <v>D</v>
      </c>
      <c r="U558" s="218" t="str">
        <f t="shared" si="191"/>
        <v>AFR000</v>
      </c>
      <c r="V558" s="218" t="str">
        <f t="shared" si="192"/>
        <v>###</v>
      </c>
      <c r="W558" s="218">
        <v>356554</v>
      </c>
      <c r="X558" s="218" t="str">
        <f t="shared" si="197"/>
        <v>RWF</v>
      </c>
      <c r="Y558" s="218">
        <v>288.77999999999997</v>
      </c>
      <c r="Z558" s="218">
        <v>380.99</v>
      </c>
      <c r="AA558" s="218">
        <v>343.04</v>
      </c>
    </row>
    <row r="559" spans="1:27">
      <c r="A559" s="218" t="s">
        <v>2592</v>
      </c>
      <c r="F559" s="219" t="str">
        <f>"""IntAlert Live"",""ALERT UK"",""17"",""1"",""531153"""</f>
        <v>"IntAlert Live","ALERT UK","17","1","531153"</v>
      </c>
      <c r="G559" s="223">
        <v>43890</v>
      </c>
      <c r="H559" s="223"/>
      <c r="I559" s="218" t="str">
        <f>""</f>
        <v/>
      </c>
      <c r="K559" s="218" t="str">
        <f>"10057739"</f>
        <v>10057739</v>
      </c>
      <c r="L559" s="218" t="str">
        <f>"Staff saving-Feb 2020-Gloriose"</f>
        <v>Staff saving-Feb 2020-Gloriose</v>
      </c>
      <c r="M559" s="218" t="str">
        <f>"5100"</f>
        <v>5100</v>
      </c>
      <c r="N559" s="218" t="str">
        <f>"BASIC EMPLOYMENT COSTS"</f>
        <v>BASIC EMPLOYMENT COSTS</v>
      </c>
      <c r="O559" s="218" t="str">
        <f t="shared" si="194"/>
        <v>RWAKIG</v>
      </c>
      <c r="P559" s="218" t="str">
        <f t="shared" si="183"/>
        <v>AP21QR</v>
      </c>
      <c r="Q559" s="218" t="str">
        <f t="shared" si="195"/>
        <v>BAZ</v>
      </c>
      <c r="R559" s="218" t="str">
        <f>""</f>
        <v/>
      </c>
      <c r="S559" s="218" t="str">
        <f t="shared" si="196"/>
        <v>088</v>
      </c>
      <c r="T559" s="218" t="str">
        <f t="shared" si="193"/>
        <v>D</v>
      </c>
      <c r="U559" s="218" t="str">
        <f t="shared" si="191"/>
        <v>AFR000</v>
      </c>
      <c r="V559" s="218" t="str">
        <f t="shared" si="192"/>
        <v>###</v>
      </c>
      <c r="W559" s="218">
        <v>3000</v>
      </c>
      <c r="X559" s="218" t="str">
        <f t="shared" si="197"/>
        <v>RWF</v>
      </c>
      <c r="Y559" s="218">
        <v>2.4300000000000002</v>
      </c>
      <c r="Z559" s="218">
        <v>3.21</v>
      </c>
      <c r="AA559" s="218">
        <v>2.89</v>
      </c>
    </row>
    <row r="560" spans="1:27">
      <c r="A560" s="218" t="s">
        <v>2592</v>
      </c>
      <c r="F560" s="219" t="str">
        <f>"""IntAlert Live"",""ALERT UK"",""17"",""1"",""531182"""</f>
        <v>"IntAlert Live","ALERT UK","17","1","531182"</v>
      </c>
      <c r="G560" s="223">
        <v>43890</v>
      </c>
      <c r="H560" s="223"/>
      <c r="I560" s="218" t="str">
        <f>""</f>
        <v/>
      </c>
      <c r="K560" s="218" t="str">
        <f>"10057740"</f>
        <v>10057740</v>
      </c>
      <c r="L560" s="218" t="str">
        <f>"PAYEE_Dec2019-Great lakes adv"</f>
        <v>PAYEE_Dec2019-Great lakes adv</v>
      </c>
      <c r="M560" s="218" t="str">
        <f>"5100"</f>
        <v>5100</v>
      </c>
      <c r="N560" s="218" t="str">
        <f>"BASIC EMPLOYMENT COSTS"</f>
        <v>BASIC EMPLOYMENT COSTS</v>
      </c>
      <c r="O560" s="218" t="str">
        <f t="shared" si="194"/>
        <v>RWAKIG</v>
      </c>
      <c r="P560" s="218" t="str">
        <f t="shared" si="183"/>
        <v>AP21QR</v>
      </c>
      <c r="Q560" s="218" t="str">
        <f t="shared" si="195"/>
        <v>BAZ</v>
      </c>
      <c r="R560" s="218" t="str">
        <f>""</f>
        <v/>
      </c>
      <c r="S560" s="218" t="str">
        <f t="shared" si="196"/>
        <v>088</v>
      </c>
      <c r="T560" s="218" t="str">
        <f t="shared" si="193"/>
        <v>D</v>
      </c>
      <c r="U560" s="218" t="str">
        <f t="shared" si="191"/>
        <v>AFR000</v>
      </c>
      <c r="V560" s="218" t="str">
        <f t="shared" si="192"/>
        <v>###</v>
      </c>
      <c r="W560" s="218">
        <v>158213</v>
      </c>
      <c r="X560" s="218" t="str">
        <f t="shared" si="197"/>
        <v>RWF</v>
      </c>
      <c r="Y560" s="218">
        <v>128.13999999999999</v>
      </c>
      <c r="Z560" s="218">
        <v>169.06</v>
      </c>
      <c r="AA560" s="218">
        <v>152.22</v>
      </c>
    </row>
    <row r="561" spans="1:27">
      <c r="A561" s="218" t="s">
        <v>2592</v>
      </c>
      <c r="F561" s="219" t="str">
        <f>"""IntAlert Live"",""ALERT UK"",""17"",""1"",""531214"""</f>
        <v>"IntAlert Live","ALERT UK","17","1","531214"</v>
      </c>
      <c r="G561" s="223">
        <v>43890</v>
      </c>
      <c r="H561" s="223"/>
      <c r="I561" s="218" t="str">
        <f>""</f>
        <v/>
      </c>
      <c r="K561" s="218" t="str">
        <f>"10057741"</f>
        <v>10057741</v>
      </c>
      <c r="L561" s="218" t="str">
        <f>"RSSB 3,3%_Feb 2020_Great lakes adv"</f>
        <v>RSSB 3,3%_Feb 2020_Great lakes adv</v>
      </c>
      <c r="M561" s="218" t="str">
        <f>"5100"</f>
        <v>5100</v>
      </c>
      <c r="N561" s="218" t="str">
        <f>"BASIC EMPLOYMENT COSTS"</f>
        <v>BASIC EMPLOYMENT COSTS</v>
      </c>
      <c r="O561" s="218" t="str">
        <f t="shared" si="194"/>
        <v>RWAKIG</v>
      </c>
      <c r="P561" s="218" t="str">
        <f t="shared" si="183"/>
        <v>AP21QR</v>
      </c>
      <c r="Q561" s="218" t="str">
        <f t="shared" si="195"/>
        <v>BAZ</v>
      </c>
      <c r="R561" s="218" t="str">
        <f>""</f>
        <v/>
      </c>
      <c r="S561" s="218" t="str">
        <f t="shared" si="196"/>
        <v>088</v>
      </c>
      <c r="T561" s="218" t="str">
        <f t="shared" si="193"/>
        <v>D</v>
      </c>
      <c r="U561" s="218" t="str">
        <f t="shared" si="191"/>
        <v>AFR000</v>
      </c>
      <c r="V561" s="218" t="str">
        <f t="shared" si="192"/>
        <v>###</v>
      </c>
      <c r="W561" s="218">
        <v>14942</v>
      </c>
      <c r="X561" s="218" t="str">
        <f t="shared" si="197"/>
        <v>RWF</v>
      </c>
      <c r="Y561" s="218">
        <v>12.1</v>
      </c>
      <c r="Z561" s="218">
        <v>15.96</v>
      </c>
      <c r="AA561" s="218">
        <v>14.37</v>
      </c>
    </row>
    <row r="562" spans="1:27">
      <c r="A562" s="218" t="s">
        <v>2592</v>
      </c>
      <c r="F562" s="219" t="str">
        <f>"""IntAlert Live"",""ALERT UK"",""17"",""1"",""531245"""</f>
        <v>"IntAlert Live","ALERT UK","17","1","531245"</v>
      </c>
      <c r="G562" s="223">
        <v>43890</v>
      </c>
      <c r="H562" s="223"/>
      <c r="I562" s="218" t="str">
        <f>""</f>
        <v/>
      </c>
      <c r="K562" s="218" t="str">
        <f>"10057742"</f>
        <v>10057742</v>
      </c>
      <c r="L562" s="218" t="str">
        <f>"RSSB 5,3%_Feb 2020_Great Lakes Adv"</f>
        <v>RSSB 5,3%_Feb 2020_Great Lakes Adv</v>
      </c>
      <c r="M562" s="218" t="str">
        <f>"5120"</f>
        <v>5120</v>
      </c>
      <c r="N562" s="218" t="str">
        <f>"EMPLOYER'S NI"</f>
        <v>EMPLOYER'S NI</v>
      </c>
      <c r="O562" s="218" t="str">
        <f t="shared" si="194"/>
        <v>RWAKIG</v>
      </c>
      <c r="P562" s="218" t="str">
        <f t="shared" si="183"/>
        <v>AP21QR</v>
      </c>
      <c r="Q562" s="218" t="str">
        <f t="shared" si="195"/>
        <v>BAZ</v>
      </c>
      <c r="R562" s="218" t="str">
        <f>""</f>
        <v/>
      </c>
      <c r="S562" s="218" t="str">
        <f t="shared" si="196"/>
        <v>088</v>
      </c>
      <c r="T562" s="218" t="str">
        <f t="shared" si="193"/>
        <v>D</v>
      </c>
      <c r="U562" s="218" t="str">
        <f t="shared" si="191"/>
        <v>AFR000</v>
      </c>
      <c r="V562" s="218" t="str">
        <f t="shared" si="192"/>
        <v>###</v>
      </c>
      <c r="W562" s="218">
        <v>23999</v>
      </c>
      <c r="X562" s="218" t="str">
        <f t="shared" si="197"/>
        <v>RWF</v>
      </c>
      <c r="Y562" s="218">
        <v>19.440000000000001</v>
      </c>
      <c r="Z562" s="218">
        <v>25.65</v>
      </c>
      <c r="AA562" s="218">
        <v>23.09</v>
      </c>
    </row>
    <row r="563" spans="1:27">
      <c r="A563" s="218" t="s">
        <v>2592</v>
      </c>
      <c r="F563" s="219" t="str">
        <f>"""IntAlert Live"",""ALERT UK"",""17"",""1"",""531276"""</f>
        <v>"IntAlert Live","ALERT UK","17","1","531276"</v>
      </c>
      <c r="G563" s="223">
        <v>43890</v>
      </c>
      <c r="H563" s="223"/>
      <c r="I563" s="218" t="str">
        <f>""</f>
        <v/>
      </c>
      <c r="K563" s="218" t="str">
        <f>"10057743"</f>
        <v>10057743</v>
      </c>
      <c r="L563" s="218" t="str">
        <f>"Pension Plan _Feb 2020_Great lakes Adv"</f>
        <v>Pension Plan _Feb 2020_Great lakes Adv</v>
      </c>
      <c r="M563" s="218" t="str">
        <f>"5110"</f>
        <v>5110</v>
      </c>
      <c r="N563" s="218" t="str">
        <f>"EMPLOYER'S PENSION COSTS"</f>
        <v>EMPLOYER'S PENSION COSTS</v>
      </c>
      <c r="O563" s="218" t="str">
        <f t="shared" si="194"/>
        <v>RWAKIG</v>
      </c>
      <c r="P563" s="218" t="str">
        <f t="shared" si="183"/>
        <v>AP21QR</v>
      </c>
      <c r="Q563" s="218" t="str">
        <f t="shared" si="195"/>
        <v>BAZ</v>
      </c>
      <c r="R563" s="218" t="str">
        <f>""</f>
        <v/>
      </c>
      <c r="S563" s="218" t="str">
        <f t="shared" si="196"/>
        <v>088</v>
      </c>
      <c r="T563" s="218" t="str">
        <f t="shared" si="193"/>
        <v>D</v>
      </c>
      <c r="U563" s="218" t="str">
        <f t="shared" si="191"/>
        <v>AFR000</v>
      </c>
      <c r="V563" s="218" t="str">
        <f t="shared" si="192"/>
        <v>###</v>
      </c>
      <c r="W563" s="218">
        <v>40290</v>
      </c>
      <c r="X563" s="218" t="str">
        <f t="shared" si="197"/>
        <v>RWF</v>
      </c>
      <c r="Y563" s="218">
        <v>32.630000000000003</v>
      </c>
      <c r="Z563" s="218">
        <v>43.05</v>
      </c>
      <c r="AA563" s="218">
        <v>38.76</v>
      </c>
    </row>
    <row r="564" spans="1:27">
      <c r="A564" s="218" t="s">
        <v>2592</v>
      </c>
      <c r="F564" s="219" t="str">
        <f>"""IntAlert Live"",""ALERT UK"",""17"",""1"",""531307"""</f>
        <v>"IntAlert Live","ALERT UK","17","1","531307"</v>
      </c>
      <c r="G564" s="223">
        <v>43890</v>
      </c>
      <c r="H564" s="223"/>
      <c r="I564" s="218" t="str">
        <f>""</f>
        <v/>
      </c>
      <c r="K564" s="218" t="str">
        <f>"10057744"</f>
        <v>10057744</v>
      </c>
      <c r="L564" s="218" t="str">
        <f>"Taxe pension plan_Feb 2020_Grea lakes Adv"</f>
        <v>Taxe pension plan_Feb 2020_Grea lakes Adv</v>
      </c>
      <c r="M564" s="218" t="str">
        <f>"5110"</f>
        <v>5110</v>
      </c>
      <c r="N564" s="218" t="str">
        <f>"EMPLOYER'S PENSION COSTS"</f>
        <v>EMPLOYER'S PENSION COSTS</v>
      </c>
      <c r="O564" s="218" t="str">
        <f t="shared" si="194"/>
        <v>RWAKIG</v>
      </c>
      <c r="P564" s="218" t="str">
        <f t="shared" si="183"/>
        <v>AP21QR</v>
      </c>
      <c r="Q564" s="218" t="str">
        <f t="shared" si="195"/>
        <v>BAZ</v>
      </c>
      <c r="R564" s="218" t="str">
        <f>""</f>
        <v/>
      </c>
      <c r="S564" s="218" t="str">
        <f t="shared" si="196"/>
        <v>088</v>
      </c>
      <c r="T564" s="218" t="str">
        <f t="shared" si="193"/>
        <v>D</v>
      </c>
      <c r="U564" s="218" t="str">
        <f t="shared" si="191"/>
        <v>AFR000</v>
      </c>
      <c r="V564" s="218" t="str">
        <f t="shared" si="192"/>
        <v>###</v>
      </c>
      <c r="W564" s="218">
        <v>12981</v>
      </c>
      <c r="X564" s="218" t="str">
        <f t="shared" si="197"/>
        <v>RWF</v>
      </c>
      <c r="Y564" s="218">
        <v>10.51</v>
      </c>
      <c r="Z564" s="218">
        <v>13.87</v>
      </c>
      <c r="AA564" s="218">
        <v>12.48</v>
      </c>
    </row>
    <row r="565" spans="1:27">
      <c r="A565" s="218" t="s">
        <v>2592</v>
      </c>
      <c r="F565" s="219" t="str">
        <f>"""IntAlert Live"",""ALERT UK"",""17"",""1"",""539393"""</f>
        <v>"IntAlert Live","ALERT UK","17","1","539393"</v>
      </c>
      <c r="G565" s="223">
        <v>43921</v>
      </c>
      <c r="H565" s="223"/>
      <c r="I565" s="218" t="str">
        <f>""</f>
        <v/>
      </c>
      <c r="K565" s="218" t="str">
        <f>"10057806"</f>
        <v>10057806</v>
      </c>
      <c r="L565" s="218" t="str">
        <f>"Salary _March 2020_GLSA"</f>
        <v>Salary _March 2020_GLSA</v>
      </c>
      <c r="M565" s="218" t="str">
        <f>"5100"</f>
        <v>5100</v>
      </c>
      <c r="N565" s="218" t="str">
        <f>"BASIC EMPLOYMENT COSTS"</f>
        <v>BASIC EMPLOYMENT COSTS</v>
      </c>
      <c r="O565" s="218" t="str">
        <f t="shared" si="194"/>
        <v>RWAKIG</v>
      </c>
      <c r="P565" s="218" t="str">
        <f t="shared" si="183"/>
        <v>AP21QR</v>
      </c>
      <c r="Q565" s="218" t="str">
        <f t="shared" si="195"/>
        <v>BAZ</v>
      </c>
      <c r="R565" s="218" t="str">
        <f>""</f>
        <v/>
      </c>
      <c r="S565" s="218" t="str">
        <f t="shared" si="196"/>
        <v>088</v>
      </c>
      <c r="T565" s="218" t="str">
        <f t="shared" si="193"/>
        <v>D</v>
      </c>
      <c r="U565" s="218" t="str">
        <f t="shared" si="191"/>
        <v>AFR000</v>
      </c>
      <c r="V565" s="218" t="str">
        <f t="shared" si="192"/>
        <v>###</v>
      </c>
      <c r="W565" s="218">
        <v>362818.38</v>
      </c>
      <c r="X565" s="218" t="str">
        <f t="shared" si="197"/>
        <v>RWF</v>
      </c>
      <c r="Y565" s="218">
        <v>304.18</v>
      </c>
      <c r="Z565" s="218">
        <v>389.95</v>
      </c>
      <c r="AA565" s="218">
        <v>357.88</v>
      </c>
    </row>
    <row r="566" spans="1:27">
      <c r="A566" s="218" t="s">
        <v>2592</v>
      </c>
      <c r="F566" s="219" t="str">
        <f>"""IntAlert Live"",""ALERT UK"",""17"",""1"",""539423"""</f>
        <v>"IntAlert Live","ALERT UK","17","1","539423"</v>
      </c>
      <c r="G566" s="223">
        <v>43921</v>
      </c>
      <c r="H566" s="223"/>
      <c r="I566" s="218" t="str">
        <f>""</f>
        <v/>
      </c>
      <c r="K566" s="218" t="str">
        <f>"10057808"</f>
        <v>10057808</v>
      </c>
      <c r="L566" s="218" t="str">
        <f>"Staff saving-March 2020-Gloriose"</f>
        <v>Staff saving-March 2020-Gloriose</v>
      </c>
      <c r="M566" s="218" t="str">
        <f>"5100"</f>
        <v>5100</v>
      </c>
      <c r="N566" s="218" t="str">
        <f>"BASIC EMPLOYMENT COSTS"</f>
        <v>BASIC EMPLOYMENT COSTS</v>
      </c>
      <c r="O566" s="218" t="str">
        <f t="shared" si="194"/>
        <v>RWAKIG</v>
      </c>
      <c r="P566" s="218" t="str">
        <f t="shared" si="183"/>
        <v>AP21QR</v>
      </c>
      <c r="Q566" s="218" t="str">
        <f t="shared" si="195"/>
        <v>BAZ</v>
      </c>
      <c r="R566" s="218" t="str">
        <f>""</f>
        <v/>
      </c>
      <c r="S566" s="218" t="str">
        <f t="shared" si="196"/>
        <v>088</v>
      </c>
      <c r="T566" s="218" t="str">
        <f t="shared" si="193"/>
        <v>D</v>
      </c>
      <c r="U566" s="218" t="str">
        <f t="shared" si="191"/>
        <v>AFR000</v>
      </c>
      <c r="V566" s="218" t="str">
        <f t="shared" si="192"/>
        <v>###</v>
      </c>
      <c r="W566" s="218">
        <v>3068</v>
      </c>
      <c r="X566" s="218" t="str">
        <f t="shared" si="197"/>
        <v>RWF</v>
      </c>
      <c r="Y566" s="218">
        <v>2.57</v>
      </c>
      <c r="Z566" s="218">
        <v>3.29</v>
      </c>
      <c r="AA566" s="218">
        <v>3.02</v>
      </c>
    </row>
    <row r="567" spans="1:27">
      <c r="A567" s="218" t="s">
        <v>2592</v>
      </c>
      <c r="F567" s="219" t="str">
        <f>"""IntAlert Live"",""ALERT UK"",""17"",""1"",""539451"""</f>
        <v>"IntAlert Live","ALERT UK","17","1","539451"</v>
      </c>
      <c r="G567" s="223">
        <v>43921</v>
      </c>
      <c r="H567" s="223"/>
      <c r="I567" s="218" t="str">
        <f>""</f>
        <v/>
      </c>
      <c r="K567" s="218" t="str">
        <f>"10057809"</f>
        <v>10057809</v>
      </c>
      <c r="L567" s="218" t="str">
        <f>"PAYEE_Dec2019-GLSA"</f>
        <v>PAYEE_Dec2019-GLSA</v>
      </c>
      <c r="M567" s="218" t="str">
        <f>"5100"</f>
        <v>5100</v>
      </c>
      <c r="N567" s="218" t="str">
        <f>"BASIC EMPLOYMENT COSTS"</f>
        <v>BASIC EMPLOYMENT COSTS</v>
      </c>
      <c r="O567" s="218" t="str">
        <f t="shared" si="194"/>
        <v>RWAKIG</v>
      </c>
      <c r="P567" s="218" t="str">
        <f t="shared" si="183"/>
        <v>AP21QR</v>
      </c>
      <c r="Q567" s="218" t="str">
        <f t="shared" si="195"/>
        <v>BAZ</v>
      </c>
      <c r="R567" s="218" t="str">
        <f>""</f>
        <v/>
      </c>
      <c r="S567" s="218" t="str">
        <f t="shared" si="196"/>
        <v>088</v>
      </c>
      <c r="T567" s="218" t="str">
        <f t="shared" si="193"/>
        <v>D</v>
      </c>
      <c r="U567" s="218" t="str">
        <f t="shared" si="191"/>
        <v>AFR000</v>
      </c>
      <c r="V567" s="218" t="str">
        <f t="shared" si="192"/>
        <v>###</v>
      </c>
      <c r="W567" s="218">
        <v>161808</v>
      </c>
      <c r="X567" s="218" t="str">
        <f t="shared" si="197"/>
        <v>RWF</v>
      </c>
      <c r="Y567" s="218">
        <v>135.66</v>
      </c>
      <c r="Z567" s="218">
        <v>173.91</v>
      </c>
      <c r="AA567" s="218">
        <v>159.61000000000001</v>
      </c>
    </row>
    <row r="568" spans="1:27">
      <c r="A568" s="218" t="s">
        <v>2592</v>
      </c>
      <c r="F568" s="219" t="str">
        <f>"""IntAlert Live"",""ALERT UK"",""17"",""1"",""539514"""</f>
        <v>"IntAlert Live","ALERT UK","17","1","539514"</v>
      </c>
      <c r="G568" s="223">
        <v>43921</v>
      </c>
      <c r="H568" s="223"/>
      <c r="I568" s="218" t="str">
        <f>""</f>
        <v/>
      </c>
      <c r="K568" s="218" t="str">
        <f>"10057811"</f>
        <v>10057811</v>
      </c>
      <c r="L568" s="218" t="str">
        <f>"RSSB 5,3%_March 2020_GLSA"</f>
        <v>RSSB 5,3%_March 2020_GLSA</v>
      </c>
      <c r="M568" s="218" t="str">
        <f>"5120"</f>
        <v>5120</v>
      </c>
      <c r="N568" s="218" t="str">
        <f>"EMPLOYER'S NI"</f>
        <v>EMPLOYER'S NI</v>
      </c>
      <c r="O568" s="218" t="str">
        <f t="shared" si="194"/>
        <v>RWAKIG</v>
      </c>
      <c r="P568" s="218" t="str">
        <f t="shared" si="183"/>
        <v>AP21QR</v>
      </c>
      <c r="Q568" s="218" t="str">
        <f t="shared" si="195"/>
        <v>BAZ</v>
      </c>
      <c r="R568" s="218" t="str">
        <f>""</f>
        <v/>
      </c>
      <c r="S568" s="218" t="str">
        <f t="shared" si="196"/>
        <v>088</v>
      </c>
      <c r="T568" s="218" t="str">
        <f t="shared" si="193"/>
        <v>D</v>
      </c>
      <c r="U568" s="218" t="str">
        <f t="shared" si="191"/>
        <v>AFR000</v>
      </c>
      <c r="V568" s="218" t="str">
        <f t="shared" si="192"/>
        <v>###</v>
      </c>
      <c r="W568" s="218">
        <v>24544</v>
      </c>
      <c r="X568" s="218" t="str">
        <f t="shared" si="197"/>
        <v>RWF</v>
      </c>
      <c r="Y568" s="218">
        <v>20.58</v>
      </c>
      <c r="Z568" s="218">
        <v>26.38</v>
      </c>
      <c r="AA568" s="218">
        <v>24.21</v>
      </c>
    </row>
    <row r="569" spans="1:27">
      <c r="A569" s="218" t="s">
        <v>2592</v>
      </c>
      <c r="F569" s="219" t="str">
        <f>"""IntAlert Live"",""ALERT UK"",""17"",""1"",""539544"""</f>
        <v>"IntAlert Live","ALERT UK","17","1","539544"</v>
      </c>
      <c r="G569" s="223">
        <v>43921</v>
      </c>
      <c r="H569" s="223"/>
      <c r="I569" s="218" t="str">
        <f>""</f>
        <v/>
      </c>
      <c r="K569" s="218" t="str">
        <f>"10057812"</f>
        <v>10057812</v>
      </c>
      <c r="L569" s="218" t="str">
        <f>"Pension Plan _Mar 20_GLSA"</f>
        <v>Pension Plan _Mar 20_GLSA</v>
      </c>
      <c r="M569" s="218" t="str">
        <f>"5100"</f>
        <v>5100</v>
      </c>
      <c r="N569" s="218" t="str">
        <f>"BASIC EMPLOYMENT COSTS"</f>
        <v>BASIC EMPLOYMENT COSTS</v>
      </c>
      <c r="O569" s="218" t="str">
        <f t="shared" si="194"/>
        <v>RWAKIG</v>
      </c>
      <c r="P569" s="218" t="str">
        <f t="shared" si="183"/>
        <v>AP21QR</v>
      </c>
      <c r="Q569" s="218" t="str">
        <f t="shared" si="195"/>
        <v>BAZ</v>
      </c>
      <c r="R569" s="218" t="str">
        <f>""</f>
        <v/>
      </c>
      <c r="S569" s="218" t="str">
        <f t="shared" si="196"/>
        <v>088</v>
      </c>
      <c r="T569" s="218" t="str">
        <f t="shared" si="193"/>
        <v>D</v>
      </c>
      <c r="U569" s="218" t="str">
        <f t="shared" si="191"/>
        <v>AFR000</v>
      </c>
      <c r="V569" s="218" t="str">
        <f t="shared" si="192"/>
        <v>###</v>
      </c>
      <c r="W569" s="218">
        <v>41205</v>
      </c>
      <c r="X569" s="218" t="str">
        <f t="shared" si="197"/>
        <v>RWF</v>
      </c>
      <c r="Y569" s="218">
        <v>34.549999999999997</v>
      </c>
      <c r="Z569" s="218">
        <v>44.29</v>
      </c>
      <c r="AA569" s="218">
        <v>40.65</v>
      </c>
    </row>
    <row r="570" spans="1:27">
      <c r="A570" s="218" t="s">
        <v>2592</v>
      </c>
      <c r="F570" s="219" t="str">
        <f>"""IntAlert Live"",""ALERT UK"",""17"",""1"",""539574"""</f>
        <v>"IntAlert Live","ALERT UK","17","1","539574"</v>
      </c>
      <c r="G570" s="223">
        <v>43921</v>
      </c>
      <c r="H570" s="223"/>
      <c r="I570" s="218" t="str">
        <f>""</f>
        <v/>
      </c>
      <c r="K570" s="218" t="str">
        <f>"10057813"</f>
        <v>10057813</v>
      </c>
      <c r="L570" s="218" t="str">
        <f>"Taxe pension plan_March 2020_GLSA"</f>
        <v>Taxe pension plan_March 2020_GLSA</v>
      </c>
      <c r="M570" s="218" t="str">
        <f>"5110"</f>
        <v>5110</v>
      </c>
      <c r="N570" s="218" t="str">
        <f>"EMPLOYER'S PENSION COSTS"</f>
        <v>EMPLOYER'S PENSION COSTS</v>
      </c>
      <c r="O570" s="218" t="str">
        <f t="shared" si="194"/>
        <v>RWAKIG</v>
      </c>
      <c r="P570" s="218" t="str">
        <f t="shared" si="183"/>
        <v>AP21QR</v>
      </c>
      <c r="Q570" s="218" t="str">
        <f t="shared" si="195"/>
        <v>BAZ</v>
      </c>
      <c r="R570" s="218" t="str">
        <f>""</f>
        <v/>
      </c>
      <c r="S570" s="218" t="str">
        <f t="shared" si="196"/>
        <v>088</v>
      </c>
      <c r="T570" s="218" t="str">
        <f t="shared" si="193"/>
        <v>D</v>
      </c>
      <c r="U570" s="218" t="str">
        <f t="shared" si="191"/>
        <v>AFR000</v>
      </c>
      <c r="V570" s="218" t="str">
        <f t="shared" si="192"/>
        <v>###</v>
      </c>
      <c r="W570" s="218">
        <v>13276</v>
      </c>
      <c r="X570" s="218" t="str">
        <f t="shared" si="197"/>
        <v>RWF</v>
      </c>
      <c r="Y570" s="218">
        <v>11.13</v>
      </c>
      <c r="Z570" s="218">
        <v>14.27</v>
      </c>
      <c r="AA570" s="218">
        <v>13.09</v>
      </c>
    </row>
    <row r="571" spans="1:27">
      <c r="A571" s="218" t="s">
        <v>2592</v>
      </c>
      <c r="F571" s="219" t="str">
        <f>"""IntAlert Live"",""ALERT UK"",""17"",""1"",""539597"""</f>
        <v>"IntAlert Live","ALERT UK","17","1","539597"</v>
      </c>
      <c r="G571" s="223">
        <v>43921</v>
      </c>
      <c r="H571" s="223"/>
      <c r="I571" s="218" t="str">
        <f>""</f>
        <v/>
      </c>
      <c r="K571" s="218" t="str">
        <f>"10057814"</f>
        <v>10057814</v>
      </c>
      <c r="L571" s="218" t="str">
        <f>"Mutual insur contr _Mar 20_GLSA"</f>
        <v>Mutual insur contr _Mar 20_GLSA</v>
      </c>
      <c r="M571" s="218" t="str">
        <f>"5100"</f>
        <v>5100</v>
      </c>
      <c r="N571" s="218" t="str">
        <f>"BASIC EMPLOYMENT COSTS"</f>
        <v>BASIC EMPLOYMENT COSTS</v>
      </c>
      <c r="O571" s="218" t="str">
        <f t="shared" si="194"/>
        <v>RWAKIG</v>
      </c>
      <c r="P571" s="218" t="str">
        <f t="shared" si="183"/>
        <v>AP21QR</v>
      </c>
      <c r="Q571" s="218" t="str">
        <f t="shared" si="195"/>
        <v>BAZ</v>
      </c>
      <c r="R571" s="218" t="str">
        <f>""</f>
        <v/>
      </c>
      <c r="S571" s="218" t="str">
        <f t="shared" si="196"/>
        <v>088</v>
      </c>
      <c r="T571" s="218" t="str">
        <f t="shared" si="193"/>
        <v>D</v>
      </c>
      <c r="U571" s="218" t="str">
        <f t="shared" si="191"/>
        <v>AFR000</v>
      </c>
      <c r="V571" s="218" t="str">
        <f t="shared" si="192"/>
        <v>###</v>
      </c>
      <c r="W571" s="218">
        <v>1838.63</v>
      </c>
      <c r="X571" s="218" t="str">
        <f t="shared" si="197"/>
        <v>RWF</v>
      </c>
      <c r="Y571" s="218">
        <v>1.54</v>
      </c>
      <c r="Z571" s="218">
        <v>1.97</v>
      </c>
      <c r="AA571" s="218">
        <v>1.81</v>
      </c>
    </row>
    <row r="572" spans="1:27">
      <c r="A572" s="218" t="s">
        <v>2592</v>
      </c>
      <c r="F572" s="219" t="str">
        <f>"""IntAlert Live"",""ALERT UK"",""17"",""1"",""533161"""</f>
        <v>"IntAlert Live","ALERT UK","17","1","533161"</v>
      </c>
      <c r="G572" s="223">
        <v>43861</v>
      </c>
      <c r="H572" s="223"/>
      <c r="I572" s="218" t="str">
        <f>"JF MILANI 10%"</f>
        <v>JF MILANI 10%</v>
      </c>
      <c r="K572" s="218" t="str">
        <f>"HR CHG JAN20"</f>
        <v>HR CHG JAN20</v>
      </c>
      <c r="L572" s="218" t="str">
        <f>"HR CHG JAN20"</f>
        <v>HR CHG JAN20</v>
      </c>
      <c r="M572" s="218" t="str">
        <f>"5100"</f>
        <v>5100</v>
      </c>
      <c r="N572" s="218" t="str">
        <f>"BASIC EMPLOYMENT COSTS"</f>
        <v>BASIC EMPLOYMENT COSTS</v>
      </c>
      <c r="O572" s="218" t="str">
        <f t="shared" ref="O572:O579" si="198">"UNILON"</f>
        <v>UNILON</v>
      </c>
      <c r="P572" s="218" t="str">
        <f t="shared" si="183"/>
        <v>AP21QR</v>
      </c>
      <c r="Q572" s="218" t="str">
        <f>"MIM"</f>
        <v>MIM</v>
      </c>
      <c r="R572" s="218" t="str">
        <f>""</f>
        <v/>
      </c>
      <c r="S572" s="218" t="str">
        <f>"089"</f>
        <v>089</v>
      </c>
      <c r="T572" s="218" t="str">
        <f>"S"</f>
        <v>S</v>
      </c>
      <c r="U572" s="218" t="str">
        <f t="shared" si="191"/>
        <v>AFR000</v>
      </c>
      <c r="V572" s="218" t="str">
        <f t="shared" si="192"/>
        <v>###</v>
      </c>
      <c r="W572" s="218">
        <v>26.59</v>
      </c>
      <c r="X572" s="218" t="str">
        <f>"USD"</f>
        <v>USD</v>
      </c>
      <c r="Y572" s="218">
        <v>20.04</v>
      </c>
      <c r="Z572" s="218">
        <v>26.59</v>
      </c>
      <c r="AA572" s="218">
        <v>23.52</v>
      </c>
    </row>
    <row r="573" spans="1:27">
      <c r="A573" s="218" t="s">
        <v>2592</v>
      </c>
      <c r="F573" s="219" t="str">
        <f>"""IntAlert Live"",""ALERT UK"",""17"",""1"",""533162"""</f>
        <v>"IntAlert Live","ALERT UK","17","1","533162"</v>
      </c>
      <c r="G573" s="223">
        <v>43861</v>
      </c>
      <c r="H573" s="223"/>
      <c r="I573" s="218" t="str">
        <f>"JF MILANI 10%"</f>
        <v>JF MILANI 10%</v>
      </c>
      <c r="K573" s="218" t="str">
        <f>"HR SCF CHG JAN20"</f>
        <v>HR SCF CHG JAN20</v>
      </c>
      <c r="L573" s="218" t="str">
        <f>"HR SCF CHG JAN20"</f>
        <v>HR SCF CHG JAN20</v>
      </c>
      <c r="M573" s="218" t="str">
        <f>"5100"</f>
        <v>5100</v>
      </c>
      <c r="N573" s="218" t="str">
        <f>"BASIC EMPLOYMENT COSTS"</f>
        <v>BASIC EMPLOYMENT COSTS</v>
      </c>
      <c r="O573" s="218" t="str">
        <f t="shared" si="198"/>
        <v>UNILON</v>
      </c>
      <c r="P573" s="218" t="str">
        <f t="shared" si="183"/>
        <v>AP21QR</v>
      </c>
      <c r="Q573" s="218" t="str">
        <f>"MIM"</f>
        <v>MIM</v>
      </c>
      <c r="R573" s="218" t="str">
        <f>""</f>
        <v/>
      </c>
      <c r="S573" s="218" t="str">
        <f>"089"</f>
        <v>089</v>
      </c>
      <c r="T573" s="218" t="str">
        <f>"C"</f>
        <v>C</v>
      </c>
      <c r="U573" s="218" t="str">
        <f t="shared" si="191"/>
        <v>AFR000</v>
      </c>
      <c r="V573" s="218" t="str">
        <f t="shared" si="192"/>
        <v>###</v>
      </c>
      <c r="W573" s="218">
        <v>7.97</v>
      </c>
      <c r="X573" s="218" t="str">
        <f>"USD"</f>
        <v>USD</v>
      </c>
      <c r="Y573" s="218">
        <v>6.01</v>
      </c>
      <c r="Z573" s="218">
        <v>7.97</v>
      </c>
      <c r="AA573" s="218">
        <v>7.05</v>
      </c>
    </row>
    <row r="574" spans="1:27">
      <c r="A574" s="218" t="s">
        <v>2592</v>
      </c>
      <c r="F574" s="219" t="str">
        <f>"""IntAlert Live"",""ALERT UK"",""17"",""1"",""533163"""</f>
        <v>"IntAlert Live","ALERT UK","17","1","533163"</v>
      </c>
      <c r="G574" s="223">
        <v>43861</v>
      </c>
      <c r="H574" s="223"/>
      <c r="I574" s="218" t="str">
        <f>"JF MILANI 10%"</f>
        <v>JF MILANI 10%</v>
      </c>
      <c r="K574" s="218" t="str">
        <f>"PR JAN20 JNL"</f>
        <v>PR JAN20 JNL</v>
      </c>
      <c r="L574" s="218" t="str">
        <f>"F Milani 10%"</f>
        <v>F Milani 10%</v>
      </c>
      <c r="M574" s="218" t="str">
        <f>"5100"</f>
        <v>5100</v>
      </c>
      <c r="N574" s="218" t="str">
        <f>"BASIC EMPLOYMENT COSTS"</f>
        <v>BASIC EMPLOYMENT COSTS</v>
      </c>
      <c r="O574" s="218" t="str">
        <f t="shared" si="198"/>
        <v>UNILON</v>
      </c>
      <c r="P574" s="218" t="str">
        <f t="shared" si="183"/>
        <v>AP21QR</v>
      </c>
      <c r="Q574" s="218" t="str">
        <f>"MIM"</f>
        <v>MIM</v>
      </c>
      <c r="R574" s="218" t="str">
        <f>""</f>
        <v/>
      </c>
      <c r="S574" s="218" t="str">
        <f>"089"</f>
        <v>089</v>
      </c>
      <c r="T574" s="218" t="str">
        <f>"D"</f>
        <v>D</v>
      </c>
      <c r="U574" s="218" t="str">
        <f t="shared" si="191"/>
        <v>AFR000</v>
      </c>
      <c r="V574" s="218" t="str">
        <f t="shared" si="192"/>
        <v>###</v>
      </c>
      <c r="W574" s="218">
        <v>531.71</v>
      </c>
      <c r="X574" s="218" t="str">
        <f>"USD"</f>
        <v>USD</v>
      </c>
      <c r="Y574" s="218">
        <v>400.76</v>
      </c>
      <c r="Z574" s="218">
        <v>531.71</v>
      </c>
      <c r="AA574" s="218">
        <v>470.33</v>
      </c>
    </row>
    <row r="575" spans="1:27">
      <c r="A575" s="218" t="s">
        <v>2592</v>
      </c>
      <c r="F575" s="219" t="str">
        <f>"""IntAlert Live"",""ALERT UK"",""17"",""1"",""533164"""</f>
        <v>"IntAlert Live","ALERT UK","17","1","533164"</v>
      </c>
      <c r="G575" s="223">
        <v>43861</v>
      </c>
      <c r="H575" s="223"/>
      <c r="I575" s="218" t="str">
        <f>"JF MILANI 10%"</f>
        <v>JF MILANI 10%</v>
      </c>
      <c r="K575" s="218" t="str">
        <f>"PR JAN20 JNL"</f>
        <v>PR JAN20 JNL</v>
      </c>
      <c r="L575" s="218" t="str">
        <f>"F Milani 10%"</f>
        <v>F Milani 10%</v>
      </c>
      <c r="M575" s="218" t="str">
        <f>"5120"</f>
        <v>5120</v>
      </c>
      <c r="N575" s="218" t="str">
        <f>"EMPLOYER'S NI"</f>
        <v>EMPLOYER'S NI</v>
      </c>
      <c r="O575" s="218" t="str">
        <f t="shared" si="198"/>
        <v>UNILON</v>
      </c>
      <c r="P575" s="218" t="str">
        <f t="shared" si="183"/>
        <v>AP21QR</v>
      </c>
      <c r="Q575" s="218" t="str">
        <f>"MIM"</f>
        <v>MIM</v>
      </c>
      <c r="R575" s="218" t="str">
        <f>""</f>
        <v/>
      </c>
      <c r="S575" s="218" t="str">
        <f>"089"</f>
        <v>089</v>
      </c>
      <c r="T575" s="218" t="str">
        <f>"D"</f>
        <v>D</v>
      </c>
      <c r="U575" s="218" t="str">
        <f t="shared" si="191"/>
        <v>AFR000</v>
      </c>
      <c r="V575" s="218" t="str">
        <f t="shared" si="192"/>
        <v>###</v>
      </c>
      <c r="W575" s="218">
        <v>60.21</v>
      </c>
      <c r="X575" s="218" t="str">
        <f>"USD"</f>
        <v>USD</v>
      </c>
      <c r="Y575" s="218">
        <v>45.38</v>
      </c>
      <c r="Z575" s="218">
        <v>60.21</v>
      </c>
      <c r="AA575" s="218">
        <v>53.26</v>
      </c>
    </row>
    <row r="576" spans="1:27">
      <c r="A576" s="218" t="s">
        <v>2592</v>
      </c>
      <c r="F576" s="219" t="str">
        <f>"""IntAlert Live"",""ALERT UK"",""17"",""1"",""533165"""</f>
        <v>"IntAlert Live","ALERT UK","17","1","533165"</v>
      </c>
      <c r="G576" s="223">
        <v>43861</v>
      </c>
      <c r="H576" s="223"/>
      <c r="I576" s="218" t="str">
        <f>"JF MILANI 10%"</f>
        <v>JF MILANI 10%</v>
      </c>
      <c r="K576" s="218" t="str">
        <f>"PR JAN20 JNL"</f>
        <v>PR JAN20 JNL</v>
      </c>
      <c r="L576" s="218" t="str">
        <f>"F Milani 10%"</f>
        <v>F Milani 10%</v>
      </c>
      <c r="M576" s="218" t="str">
        <f>"5110"</f>
        <v>5110</v>
      </c>
      <c r="N576" s="218" t="str">
        <f>"EMPLOYER'S PENSION COSTS"</f>
        <v>EMPLOYER'S PENSION COSTS</v>
      </c>
      <c r="O576" s="218" t="str">
        <f t="shared" si="198"/>
        <v>UNILON</v>
      </c>
      <c r="P576" s="218" t="str">
        <f t="shared" si="183"/>
        <v>AP21QR</v>
      </c>
      <c r="Q576" s="218" t="str">
        <f>"MIM"</f>
        <v>MIM</v>
      </c>
      <c r="R576" s="218" t="str">
        <f>""</f>
        <v/>
      </c>
      <c r="S576" s="218" t="str">
        <f>"089"</f>
        <v>089</v>
      </c>
      <c r="T576" s="218" t="str">
        <f>"D"</f>
        <v>D</v>
      </c>
      <c r="U576" s="218" t="str">
        <f t="shared" si="191"/>
        <v>AFR000</v>
      </c>
      <c r="V576" s="218" t="str">
        <f t="shared" si="192"/>
        <v>###</v>
      </c>
      <c r="W576" s="218">
        <v>53.18</v>
      </c>
      <c r="X576" s="218" t="str">
        <f>"USD"</f>
        <v>USD</v>
      </c>
      <c r="Y576" s="218">
        <v>40.08</v>
      </c>
      <c r="Z576" s="218">
        <v>53.18</v>
      </c>
      <c r="AA576" s="218">
        <v>47.04</v>
      </c>
    </row>
    <row r="577" spans="1:28">
      <c r="A577" s="218" t="s">
        <v>2592</v>
      </c>
      <c r="F577" s="219" t="str">
        <f>"""IntAlert Live"",""ALERT UK"",""17"",""1"",""533017"""</f>
        <v>"IntAlert Live","ALERT UK","17","1","533017"</v>
      </c>
      <c r="G577" s="223">
        <v>43861</v>
      </c>
      <c r="H577" s="223"/>
      <c r="I577" s="218" t="str">
        <f>""</f>
        <v/>
      </c>
      <c r="K577" s="218" t="str">
        <f>"JAN OH '20"</f>
        <v>JAN OH '20</v>
      </c>
      <c r="L577" s="218" t="str">
        <f>"OVERHEAD CHG JAN'20"</f>
        <v>OVERHEAD CHG JAN'20</v>
      </c>
      <c r="M577" s="218" t="str">
        <f>"9910"</f>
        <v>9910</v>
      </c>
      <c r="N577" s="218" t="str">
        <f>"GENERAL OVERHEAD ALLOCATION"</f>
        <v>GENERAL OVERHEAD ALLOCATION</v>
      </c>
      <c r="O577" s="218" t="str">
        <f t="shared" si="198"/>
        <v>UNILON</v>
      </c>
      <c r="P577" s="218" t="str">
        <f t="shared" si="183"/>
        <v>AP21QR</v>
      </c>
      <c r="Q577" s="218" t="str">
        <f>""</f>
        <v/>
      </c>
      <c r="R577" s="218" t="str">
        <f>""</f>
        <v/>
      </c>
      <c r="S577" s="218" t="str">
        <f>"090"</f>
        <v>090</v>
      </c>
      <c r="T577" s="218" t="str">
        <f>"G"</f>
        <v>G</v>
      </c>
      <c r="U577" s="218" t="str">
        <f t="shared" si="191"/>
        <v>AFR000</v>
      </c>
      <c r="V577" s="218" t="str">
        <f t="shared" si="192"/>
        <v>###</v>
      </c>
      <c r="W577" s="218">
        <v>0</v>
      </c>
      <c r="X577" s="218" t="str">
        <f>""</f>
        <v/>
      </c>
      <c r="Y577" s="218">
        <v>927.85</v>
      </c>
      <c r="Z577" s="218">
        <v>1231.03</v>
      </c>
      <c r="AA577" s="218">
        <v>1088.92</v>
      </c>
    </row>
    <row r="578" spans="1:28">
      <c r="A578" s="218" t="s">
        <v>2592</v>
      </c>
      <c r="F578" s="219" t="str">
        <f>"""IntAlert Live"",""ALERT UK"",""17"",""1"",""536145"""</f>
        <v>"IntAlert Live","ALERT UK","17","1","536145"</v>
      </c>
      <c r="G578" s="223">
        <v>43890</v>
      </c>
      <c r="H578" s="223"/>
      <c r="I578" s="218" t="str">
        <f>""</f>
        <v/>
      </c>
      <c r="K578" s="218" t="str">
        <f>"FEB OH '20"</f>
        <v>FEB OH '20</v>
      </c>
      <c r="L578" s="218" t="str">
        <f>"OVERHEAD CHG FEB'20"</f>
        <v>OVERHEAD CHG FEB'20</v>
      </c>
      <c r="M578" s="218" t="str">
        <f>"9910"</f>
        <v>9910</v>
      </c>
      <c r="N578" s="218" t="str">
        <f>"GENERAL OVERHEAD ALLOCATION"</f>
        <v>GENERAL OVERHEAD ALLOCATION</v>
      </c>
      <c r="O578" s="218" t="str">
        <f t="shared" si="198"/>
        <v>UNILON</v>
      </c>
      <c r="P578" s="218" t="str">
        <f t="shared" si="183"/>
        <v>AP21QR</v>
      </c>
      <c r="Q578" s="218" t="str">
        <f>""</f>
        <v/>
      </c>
      <c r="R578" s="218" t="str">
        <f>""</f>
        <v/>
      </c>
      <c r="S578" s="218" t="str">
        <f>"090"</f>
        <v>090</v>
      </c>
      <c r="T578" s="218" t="str">
        <f>"G"</f>
        <v>G</v>
      </c>
      <c r="U578" s="218" t="str">
        <f t="shared" si="191"/>
        <v>AFR000</v>
      </c>
      <c r="V578" s="218" t="str">
        <f t="shared" si="192"/>
        <v>###</v>
      </c>
      <c r="W578" s="218">
        <v>0</v>
      </c>
      <c r="X578" s="218" t="str">
        <f>""</f>
        <v/>
      </c>
      <c r="Y578" s="218">
        <v>1164.45</v>
      </c>
      <c r="Z578" s="218">
        <v>1536.27</v>
      </c>
      <c r="AA578" s="218">
        <v>1383.24</v>
      </c>
    </row>
    <row r="579" spans="1:28">
      <c r="A579" s="218" t="s">
        <v>2592</v>
      </c>
      <c r="F579" s="219" t="str">
        <f>"""IntAlert Live"",""ALERT UK"",""17"",""1"",""543088"""</f>
        <v>"IntAlert Live","ALERT UK","17","1","543088"</v>
      </c>
      <c r="G579" s="223">
        <v>43921</v>
      </c>
      <c r="H579" s="223"/>
      <c r="I579" s="218" t="str">
        <f>""</f>
        <v/>
      </c>
      <c r="K579" s="218" t="str">
        <f>"MAR OH '20"</f>
        <v>MAR OH '20</v>
      </c>
      <c r="L579" s="218" t="str">
        <f>"OVERHEAD CHG MAR'20"</f>
        <v>OVERHEAD CHG MAR'20</v>
      </c>
      <c r="M579" s="218" t="str">
        <f>"9910"</f>
        <v>9910</v>
      </c>
      <c r="N579" s="218" t="str">
        <f>"GENERAL OVERHEAD ALLOCATION"</f>
        <v>GENERAL OVERHEAD ALLOCATION</v>
      </c>
      <c r="O579" s="218" t="str">
        <f t="shared" si="198"/>
        <v>UNILON</v>
      </c>
      <c r="P579" s="218" t="str">
        <f t="shared" si="183"/>
        <v>AP21QR</v>
      </c>
      <c r="Q579" s="218" t="str">
        <f>""</f>
        <v/>
      </c>
      <c r="R579" s="218" t="str">
        <f>""</f>
        <v/>
      </c>
      <c r="S579" s="218" t="str">
        <f>"090"</f>
        <v>090</v>
      </c>
      <c r="T579" s="218" t="str">
        <f>"G"</f>
        <v>G</v>
      </c>
      <c r="U579" s="218" t="str">
        <f t="shared" si="191"/>
        <v>AFR000</v>
      </c>
      <c r="V579" s="218" t="str">
        <f t="shared" si="192"/>
        <v>###</v>
      </c>
      <c r="W579" s="218">
        <v>0</v>
      </c>
      <c r="X579" s="218" t="str">
        <f>""</f>
        <v/>
      </c>
      <c r="Y579" s="218">
        <v>1614.08</v>
      </c>
      <c r="Z579" s="218">
        <v>2069.21</v>
      </c>
      <c r="AA579" s="218">
        <v>1899.03</v>
      </c>
    </row>
    <row r="580" spans="1:28">
      <c r="A580" s="218" t="s">
        <v>2592</v>
      </c>
      <c r="F580" s="219" t="str">
        <f>"""IntAlert Live"",""ALERT UK"",""17"",""1"",""532429"""</f>
        <v>"IntAlert Live","ALERT UK","17","1","532429"</v>
      </c>
      <c r="G580" s="223">
        <v>43887</v>
      </c>
      <c r="H580" s="223"/>
      <c r="I580" s="218" t="str">
        <f>"DRCBUK/BANK/2020/02/027"</f>
        <v>DRCBUK/BANK/2020/02/027</v>
      </c>
      <c r="K580" s="218" t="str">
        <f>"SOUZANA GUEST"</f>
        <v>SOUZANA GUEST</v>
      </c>
      <c r="L580" s="218" t="str">
        <f>"Logemnt BUHASHE 19-21/02 Uvira close out Tujenge"</f>
        <v>Logemnt BUHASHE 19-21/02 Uvira close out Tujenge</v>
      </c>
      <c r="M580" s="218" t="str">
        <f>"6030"</f>
        <v>6030</v>
      </c>
      <c r="N580" s="218" t="str">
        <f>"STAFF ACCOMMODATION   HOTELS"</f>
        <v>STAFF ACCOMMODATION   HOTELS</v>
      </c>
      <c r="O580" s="218" t="str">
        <f t="shared" ref="O580:O585" si="199">"DRCBUK"</f>
        <v>DRCBUK</v>
      </c>
      <c r="P580" s="218" t="str">
        <f t="shared" si="183"/>
        <v>AP21QR</v>
      </c>
      <c r="Q580" s="218" t="str">
        <f>"CIB"</f>
        <v>CIB</v>
      </c>
      <c r="R580" s="218" t="str">
        <f>""</f>
        <v/>
      </c>
      <c r="S580" s="218" t="str">
        <f>"094"</f>
        <v>094</v>
      </c>
      <c r="T580" s="218" t="str">
        <f t="shared" ref="T580:T585" si="200">"D"</f>
        <v>D</v>
      </c>
      <c r="U580" s="218" t="str">
        <f t="shared" si="191"/>
        <v>AFR000</v>
      </c>
      <c r="V580" s="218" t="str">
        <f t="shared" si="192"/>
        <v>###</v>
      </c>
      <c r="W580" s="218">
        <v>90</v>
      </c>
      <c r="X580" s="218" t="str">
        <f t="shared" ref="X580:X585" si="201">"USD"</f>
        <v>USD</v>
      </c>
      <c r="Y580" s="218">
        <v>68.22</v>
      </c>
      <c r="Z580" s="218">
        <v>90</v>
      </c>
      <c r="AA580" s="218">
        <v>81.040000000000006</v>
      </c>
    </row>
    <row r="581" spans="1:28">
      <c r="A581" s="218" t="s">
        <v>2592</v>
      </c>
      <c r="F581" s="219" t="str">
        <f>"""IntAlert Live"",""ALERT UK"",""17"",""1"",""532633"""</f>
        <v>"IntAlert Live","ALERT UK","17","1","532633"</v>
      </c>
      <c r="G581" s="223">
        <v>43889</v>
      </c>
      <c r="H581" s="223"/>
      <c r="I581" s="218" t="str">
        <f>"DRCBUK/BANK/2020/02/036"</f>
        <v>DRCBUK/BANK/2020/02/036</v>
      </c>
      <c r="K581" s="218" t="str">
        <f>"HDW"</f>
        <v>HDW</v>
      </c>
      <c r="L581" s="218" t="str">
        <f>"Pmt gardenage Bureau Bukavu Fev020 50%"</f>
        <v>Pmt gardenage Bureau Bukavu Fev020 50%</v>
      </c>
      <c r="M581" s="218" t="str">
        <f>"8110"</f>
        <v>8110</v>
      </c>
      <c r="N581" s="218" t="str">
        <f>"HEALTH AND SAFETY"</f>
        <v>HEALTH AND SAFETY</v>
      </c>
      <c r="O581" s="218" t="str">
        <f t="shared" si="199"/>
        <v>DRCBUK</v>
      </c>
      <c r="P581" s="218" t="str">
        <f t="shared" si="183"/>
        <v>AP21QR</v>
      </c>
      <c r="Q581" s="218" t="str">
        <f>""</f>
        <v/>
      </c>
      <c r="R581" s="218" t="str">
        <f>""</f>
        <v/>
      </c>
      <c r="S581" s="218" t="str">
        <f>"137"</f>
        <v>137</v>
      </c>
      <c r="T581" s="218" t="str">
        <f t="shared" si="200"/>
        <v>D</v>
      </c>
      <c r="U581" s="218" t="str">
        <f t="shared" si="191"/>
        <v>AFR000</v>
      </c>
      <c r="V581" s="218" t="str">
        <f t="shared" si="192"/>
        <v>###</v>
      </c>
      <c r="W581" s="218">
        <v>375</v>
      </c>
      <c r="X581" s="218" t="str">
        <f t="shared" si="201"/>
        <v>USD</v>
      </c>
      <c r="Y581" s="218">
        <v>284.24</v>
      </c>
      <c r="Z581" s="218">
        <v>375</v>
      </c>
      <c r="AA581" s="218">
        <v>337.65</v>
      </c>
    </row>
    <row r="582" spans="1:28">
      <c r="A582" s="218" t="s">
        <v>2592</v>
      </c>
      <c r="F582" s="219" t="str">
        <f>"""IntAlert Live"",""ALERT UK"",""17"",""1"",""524480"""</f>
        <v>"IntAlert Live","ALERT UK","17","1","524480"</v>
      </c>
      <c r="G582" s="223">
        <v>43861</v>
      </c>
      <c r="H582" s="223"/>
      <c r="I582" s="218" t="str">
        <f>"DRCPARTNER/PCAI/AP21OR/2020/01"</f>
        <v>DRCPARTNER/PCAI/AP21OR/2020/01</v>
      </c>
      <c r="K582" s="218" t="str">
        <f>"CARITAS"</f>
        <v>CARITAS</v>
      </c>
      <c r="L582" s="218" t="str">
        <f>"Justif  Tranche  Restitution DIC Bijombo-CARITAS"</f>
        <v>Justif  Tranche  Restitution DIC Bijombo-CARITAS</v>
      </c>
      <c r="M582" s="218" t="str">
        <f>"6401"</f>
        <v>6401</v>
      </c>
      <c r="N582" s="218" t="str">
        <f>"GRANT TO PARTNER-Control Accnt"</f>
        <v>GRANT TO PARTNER-Control Accnt</v>
      </c>
      <c r="O582" s="218" t="str">
        <f t="shared" si="199"/>
        <v>DRCBUK</v>
      </c>
      <c r="P582" s="218" t="str">
        <f t="shared" si="183"/>
        <v>AP21QR</v>
      </c>
      <c r="Q582" s="218" t="str">
        <f>""</f>
        <v/>
      </c>
      <c r="R582" s="218" t="str">
        <f>"PCAI"</f>
        <v>PCAI</v>
      </c>
      <c r="S582" s="218" t="str">
        <f>"300"</f>
        <v>300</v>
      </c>
      <c r="T582" s="218" t="str">
        <f t="shared" si="200"/>
        <v>D</v>
      </c>
      <c r="U582" s="218" t="str">
        <f t="shared" si="191"/>
        <v>AFR000</v>
      </c>
      <c r="V582" s="218" t="str">
        <f t="shared" si="192"/>
        <v>###</v>
      </c>
      <c r="W582" s="218">
        <v>-7177</v>
      </c>
      <c r="X582" s="218" t="str">
        <f t="shared" si="201"/>
        <v>USD</v>
      </c>
      <c r="Y582" s="218">
        <v>-5409.45</v>
      </c>
      <c r="Z582" s="218">
        <v>-7177</v>
      </c>
      <c r="AA582" s="218">
        <v>-6348.53</v>
      </c>
    </row>
    <row r="583" spans="1:28">
      <c r="A583" s="218" t="s">
        <v>2592</v>
      </c>
      <c r="F583" s="219" t="str">
        <f>"""IntAlert Live"",""ALERT UK"",""17"",""1"",""539669"""</f>
        <v>"IntAlert Live","ALERT UK","17","1","539669"</v>
      </c>
      <c r="G583" s="223">
        <v>43896</v>
      </c>
      <c r="H583" s="223"/>
      <c r="I583" s="218" t="str">
        <f>"DRCBUK/BANK/2020/03/005"</f>
        <v>DRCBUK/BANK/2020/03/005</v>
      </c>
      <c r="K583" s="218" t="str">
        <f>"BVES"</f>
        <v>BVES</v>
      </c>
      <c r="L583" s="218" t="str">
        <f>"Transfer à BVES Avance 1 anné 2projet CAM"</f>
        <v>Transfer à BVES Avance 1 anné 2projet CAM</v>
      </c>
      <c r="M583" s="218" t="str">
        <f>"6401"</f>
        <v>6401</v>
      </c>
      <c r="N583" s="218" t="str">
        <f>"GRANT TO PARTNER-Control Accnt"</f>
        <v>GRANT TO PARTNER-Control Accnt</v>
      </c>
      <c r="O583" s="218" t="str">
        <f t="shared" si="199"/>
        <v>DRCBUK</v>
      </c>
      <c r="P583" s="218" t="str">
        <f t="shared" si="183"/>
        <v>AP21QR</v>
      </c>
      <c r="Q583" s="218" t="str">
        <f>""</f>
        <v/>
      </c>
      <c r="R583" s="218" t="str">
        <f>"PBVE"</f>
        <v>PBVE</v>
      </c>
      <c r="S583" s="218" t="str">
        <f>"300"</f>
        <v>300</v>
      </c>
      <c r="T583" s="218" t="str">
        <f t="shared" si="200"/>
        <v>D</v>
      </c>
      <c r="U583" s="218" t="str">
        <f t="shared" si="191"/>
        <v>AFR000</v>
      </c>
      <c r="V583" s="218" t="str">
        <f t="shared" si="192"/>
        <v>###</v>
      </c>
      <c r="W583" s="218">
        <v>29890.67</v>
      </c>
      <c r="X583" s="218" t="str">
        <f t="shared" si="201"/>
        <v>USD</v>
      </c>
      <c r="Y583" s="218">
        <v>23316.080000000002</v>
      </c>
      <c r="Z583" s="218">
        <v>29890.67</v>
      </c>
      <c r="AA583" s="218">
        <v>27432.3</v>
      </c>
    </row>
    <row r="584" spans="1:28">
      <c r="A584" s="218" t="s">
        <v>2592</v>
      </c>
      <c r="F584" s="219" t="str">
        <f>"""IntAlert Live"",""ALERT UK"",""17"",""1"",""539670"""</f>
        <v>"IntAlert Live","ALERT UK","17","1","539670"</v>
      </c>
      <c r="G584" s="223">
        <v>43896</v>
      </c>
      <c r="H584" s="223"/>
      <c r="I584" s="218" t="str">
        <f>"DRCBUK/BANK/2020/03/006"</f>
        <v>DRCBUK/BANK/2020/03/006</v>
      </c>
      <c r="K584" s="218" t="str">
        <f>"SVH"</f>
        <v>SVH</v>
      </c>
      <c r="L584" s="218" t="str">
        <f>"Transfer à SVH Avance 1 anné 2projet CAM"</f>
        <v>Transfer à SVH Avance 1 anné 2projet CAM</v>
      </c>
      <c r="M584" s="218" t="str">
        <f>"6401"</f>
        <v>6401</v>
      </c>
      <c r="N584" s="218" t="str">
        <f>"GRANT TO PARTNER-Control Accnt"</f>
        <v>GRANT TO PARTNER-Control Accnt</v>
      </c>
      <c r="O584" s="218" t="str">
        <f t="shared" si="199"/>
        <v>DRCBUK</v>
      </c>
      <c r="P584" s="218" t="str">
        <f t="shared" si="183"/>
        <v>AP21QR</v>
      </c>
      <c r="Q584" s="218" t="str">
        <f>""</f>
        <v/>
      </c>
      <c r="R584" s="218" t="str">
        <f>"PSOL"</f>
        <v>PSOL</v>
      </c>
      <c r="S584" s="218" t="str">
        <f>"300"</f>
        <v>300</v>
      </c>
      <c r="T584" s="218" t="str">
        <f t="shared" si="200"/>
        <v>D</v>
      </c>
      <c r="U584" s="218" t="str">
        <f t="shared" si="191"/>
        <v>AFR000</v>
      </c>
      <c r="V584" s="218" t="str">
        <f t="shared" si="192"/>
        <v>###</v>
      </c>
      <c r="W584" s="218">
        <v>25176.38</v>
      </c>
      <c r="X584" s="218" t="str">
        <f t="shared" si="201"/>
        <v>USD</v>
      </c>
      <c r="Y584" s="218">
        <v>19638.72</v>
      </c>
      <c r="Z584" s="218">
        <v>25176.38</v>
      </c>
      <c r="AA584" s="218">
        <v>23105.74</v>
      </c>
    </row>
    <row r="585" spans="1:28">
      <c r="A585" s="218" t="s">
        <v>2592</v>
      </c>
      <c r="F585" s="219" t="str">
        <f>"""IntAlert Live"",""ALERT UK"",""17"",""1"",""539671"""</f>
        <v>"IntAlert Live","ALERT UK","17","1","539671"</v>
      </c>
      <c r="G585" s="223">
        <v>43896</v>
      </c>
      <c r="H585" s="223"/>
      <c r="I585" s="218" t="str">
        <f>"DRCBUK/BANK/2020/03/007"</f>
        <v>DRCBUK/BANK/2020/03/007</v>
      </c>
      <c r="K585" s="218" t="str">
        <f>"ADED"</f>
        <v>ADED</v>
      </c>
      <c r="L585" s="218" t="str">
        <f>"Transfer à  ADED Avance 1 anné 2projet CAM"</f>
        <v>Transfer à  ADED Avance 1 anné 2projet CAM</v>
      </c>
      <c r="M585" s="218" t="str">
        <f>"6401"</f>
        <v>6401</v>
      </c>
      <c r="N585" s="218" t="str">
        <f>"GRANT TO PARTNER-Control Accnt"</f>
        <v>GRANT TO PARTNER-Control Accnt</v>
      </c>
      <c r="O585" s="218" t="str">
        <f t="shared" si="199"/>
        <v>DRCBUK</v>
      </c>
      <c r="P585" s="218" t="str">
        <f t="shared" si="183"/>
        <v>AP21QR</v>
      </c>
      <c r="Q585" s="218" t="str">
        <f>""</f>
        <v/>
      </c>
      <c r="R585" s="218" t="str">
        <f>"PAPU"</f>
        <v>PAPU</v>
      </c>
      <c r="S585" s="218" t="str">
        <f>"300"</f>
        <v>300</v>
      </c>
      <c r="T585" s="218" t="str">
        <f t="shared" si="200"/>
        <v>D</v>
      </c>
      <c r="U585" s="218" t="str">
        <f t="shared" si="191"/>
        <v>AFR000</v>
      </c>
      <c r="V585" s="218" t="str">
        <f t="shared" si="192"/>
        <v>###</v>
      </c>
      <c r="W585" s="218">
        <v>39757.74</v>
      </c>
      <c r="X585" s="218" t="str">
        <f t="shared" si="201"/>
        <v>USD</v>
      </c>
      <c r="Y585" s="218">
        <v>31012.84</v>
      </c>
      <c r="Z585" s="218">
        <v>39757.74</v>
      </c>
      <c r="AA585" s="218">
        <v>36487.85</v>
      </c>
    </row>
    <row r="587" spans="1:28">
      <c r="V587" s="218" t="s">
        <v>4785</v>
      </c>
      <c r="W587" s="218">
        <f>SUBTOTAL(9,W7:W586)</f>
        <v>1694828.5499999998</v>
      </c>
      <c r="Y587" s="218">
        <f>SUBTOTAL(9,Y7:Y586)</f>
        <v>-271146.97999999934</v>
      </c>
      <c r="Z587" s="218">
        <f>SUBTOTAL(9,Z7:Z586)</f>
        <v>-361333.55999999994</v>
      </c>
    </row>
    <row r="588" spans="1:28">
      <c r="Y588" s="218">
        <f>Y587-SUM(Y582:Y585)-Y7</f>
        <v>58231.030000000668</v>
      </c>
      <c r="Z588" s="218">
        <f>Z587-SUM(Z582:Z585)-Z7</f>
        <v>76018.650000000023</v>
      </c>
      <c r="AB588" s="223"/>
    </row>
    <row r="589" spans="1:28">
      <c r="Z589" s="218">
        <f>Z581+Z580+Z8</f>
        <v>474.27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87"/>
  <sheetViews>
    <sheetView topLeftCell="S147" workbookViewId="0">
      <selection activeCell="S157" sqref="A157:IV157"/>
    </sheetView>
  </sheetViews>
  <sheetFormatPr defaultRowHeight="15"/>
  <cols>
    <col min="1" max="1" width="49.42578125" hidden="1" customWidth="1"/>
    <col min="2" max="2" width="15.28515625" hidden="1" customWidth="1"/>
    <col min="3" max="3" width="22" hidden="1" customWidth="1"/>
    <col min="4" max="5" width="0" hidden="1" customWidth="1"/>
    <col min="6" max="6" width="40.85546875" hidden="1" customWidth="1"/>
    <col min="7" max="7" width="16.42578125" bestFit="1" customWidth="1"/>
    <col min="8" max="8" width="10.42578125" bestFit="1" customWidth="1"/>
    <col min="9" max="9" width="12.140625" bestFit="1" customWidth="1"/>
    <col min="10" max="10" width="35.5703125" bestFit="1" customWidth="1"/>
    <col min="11" max="11" width="51.5703125" bestFit="1" customWidth="1"/>
    <col min="12" max="12" width="13.85546875" bestFit="1" customWidth="1"/>
    <col min="13" max="13" width="85.5703125" bestFit="1" customWidth="1"/>
    <col min="14" max="14" width="10" bestFit="1" customWidth="1"/>
    <col min="15" max="15" width="20.5703125" bestFit="1" customWidth="1"/>
    <col min="16" max="16" width="23.28515625" bestFit="1" customWidth="1"/>
    <col min="17" max="17" width="15.28515625" bestFit="1" customWidth="1"/>
    <col min="18" max="18" width="37" bestFit="1" customWidth="1"/>
    <col min="19" max="19" width="13.140625" bestFit="1" customWidth="1"/>
    <col min="20" max="20" width="12.28515625" bestFit="1" customWidth="1"/>
    <col min="21" max="21" width="19.140625" bestFit="1" customWidth="1"/>
    <col min="22" max="22" width="14.7109375" bestFit="1" customWidth="1"/>
    <col min="23" max="23" width="12.28515625" bestFit="1" customWidth="1"/>
    <col min="24" max="24" width="18.42578125" bestFit="1" customWidth="1"/>
    <col min="25" max="25" width="23.140625" bestFit="1" customWidth="1"/>
    <col min="26" max="26" width="27" bestFit="1" customWidth="1"/>
  </cols>
  <sheetData>
    <row r="1" spans="1:26">
      <c r="A1" s="218" t="s">
        <v>2563</v>
      </c>
      <c r="B1" s="218" t="s">
        <v>2564</v>
      </c>
      <c r="C1" s="218" t="s">
        <v>2564</v>
      </c>
      <c r="D1" s="218"/>
      <c r="E1" s="218"/>
      <c r="F1" s="219" t="s">
        <v>2564</v>
      </c>
      <c r="G1" s="218" t="s">
        <v>2565</v>
      </c>
      <c r="H1" s="218" t="s">
        <v>2565</v>
      </c>
      <c r="I1" s="218" t="s">
        <v>2565</v>
      </c>
      <c r="J1" s="218" t="s">
        <v>2565</v>
      </c>
      <c r="K1" s="218" t="s">
        <v>2565</v>
      </c>
      <c r="L1" s="218" t="s">
        <v>2565</v>
      </c>
      <c r="M1" s="218" t="s">
        <v>2565</v>
      </c>
      <c r="N1" s="218" t="s">
        <v>2565</v>
      </c>
      <c r="O1" s="218" t="s">
        <v>2565</v>
      </c>
      <c r="P1" s="218" t="s">
        <v>2565</v>
      </c>
      <c r="Q1" s="218" t="s">
        <v>2565</v>
      </c>
      <c r="R1" s="218" t="s">
        <v>2565</v>
      </c>
      <c r="S1" s="218" t="s">
        <v>2565</v>
      </c>
      <c r="T1" s="218" t="s">
        <v>2565</v>
      </c>
      <c r="U1" s="218" t="s">
        <v>2565</v>
      </c>
      <c r="V1" s="218" t="s">
        <v>2565</v>
      </c>
      <c r="W1" s="218" t="s">
        <v>2565</v>
      </c>
      <c r="X1" s="218" t="s">
        <v>2565</v>
      </c>
      <c r="Y1" s="218" t="s">
        <v>2565</v>
      </c>
      <c r="Z1" s="218" t="s">
        <v>2565</v>
      </c>
    </row>
    <row r="2" spans="1:26">
      <c r="A2" s="218" t="s">
        <v>2564</v>
      </c>
      <c r="B2" s="218" t="s">
        <v>2566</v>
      </c>
      <c r="C2" s="218" t="s">
        <v>309</v>
      </c>
      <c r="D2" s="218"/>
      <c r="E2" s="218"/>
      <c r="F2" s="218"/>
      <c r="G2" s="218"/>
      <c r="H2" s="218"/>
      <c r="I2" s="218"/>
      <c r="J2" s="218"/>
      <c r="K2" s="218"/>
      <c r="L2" s="218"/>
      <c r="M2" s="218"/>
      <c r="N2" s="218"/>
      <c r="O2" s="218"/>
      <c r="P2" s="218"/>
      <c r="Q2" s="218"/>
      <c r="R2" s="218"/>
      <c r="S2" s="218"/>
      <c r="T2" s="218"/>
      <c r="U2" s="218"/>
      <c r="V2" s="218"/>
      <c r="W2" s="218"/>
      <c r="X2" s="218"/>
      <c r="Y2" s="218"/>
      <c r="Z2" s="218"/>
    </row>
    <row r="3" spans="1:26">
      <c r="A3" s="218" t="s">
        <v>2564</v>
      </c>
      <c r="B3" s="218" t="s">
        <v>2567</v>
      </c>
      <c r="C3" s="218" t="s">
        <v>2568</v>
      </c>
      <c r="D3" s="218"/>
      <c r="E3" s="218"/>
      <c r="F3" s="218"/>
      <c r="G3" s="218"/>
      <c r="H3" s="218"/>
      <c r="I3" s="218"/>
      <c r="J3" s="218"/>
      <c r="K3" s="218"/>
      <c r="L3" s="218"/>
      <c r="M3" s="218"/>
      <c r="N3" s="218"/>
      <c r="O3" s="218"/>
      <c r="P3" s="218"/>
      <c r="Q3" s="218"/>
      <c r="R3" s="218"/>
      <c r="S3" s="218"/>
      <c r="T3" s="218"/>
      <c r="U3" s="218"/>
      <c r="V3" s="218"/>
      <c r="W3" s="218"/>
      <c r="X3" s="218"/>
      <c r="Y3" s="218"/>
      <c r="Z3" s="218"/>
    </row>
    <row r="4" spans="1:26">
      <c r="A4" s="218" t="s">
        <v>2564</v>
      </c>
      <c r="B4" s="218" t="s">
        <v>2569</v>
      </c>
      <c r="C4" s="218" t="s">
        <v>2570</v>
      </c>
      <c r="D4" s="218"/>
      <c r="E4" s="218"/>
      <c r="F4" s="218"/>
      <c r="G4" s="218"/>
      <c r="H4" s="218"/>
      <c r="I4" s="218"/>
      <c r="J4" s="218"/>
      <c r="K4" s="218"/>
      <c r="L4" s="218"/>
      <c r="M4" s="218"/>
      <c r="N4" s="218"/>
      <c r="O4" s="218"/>
      <c r="P4" s="218"/>
      <c r="Q4" s="218"/>
      <c r="R4" s="218"/>
      <c r="S4" s="218"/>
      <c r="T4" s="218"/>
      <c r="U4" s="218"/>
      <c r="V4" s="218"/>
      <c r="W4" s="218"/>
      <c r="X4" s="218"/>
      <c r="Y4" s="218"/>
      <c r="Z4" s="218"/>
    </row>
    <row r="5" spans="1:26">
      <c r="A5" s="218" t="s">
        <v>2564</v>
      </c>
      <c r="B5" s="218" t="s">
        <v>2571</v>
      </c>
      <c r="C5" s="218" t="s">
        <v>2570</v>
      </c>
      <c r="D5" s="218"/>
      <c r="E5" s="218"/>
      <c r="F5" s="218"/>
      <c r="G5" s="218"/>
      <c r="H5" s="218"/>
      <c r="I5" s="218"/>
      <c r="J5" s="218"/>
      <c r="K5" s="218"/>
      <c r="L5" s="218"/>
      <c r="M5" s="218"/>
      <c r="N5" s="218"/>
      <c r="O5" s="218"/>
      <c r="P5" s="218"/>
      <c r="Q5" s="218"/>
      <c r="R5" s="218"/>
      <c r="S5" s="218"/>
      <c r="T5" s="218"/>
      <c r="U5" s="218"/>
      <c r="V5" s="218"/>
      <c r="W5" s="218"/>
      <c r="X5" s="218"/>
      <c r="Y5" s="218"/>
      <c r="Z5" s="218"/>
    </row>
    <row r="8" spans="1:26">
      <c r="A8" s="220"/>
      <c r="B8" s="218"/>
      <c r="C8" s="218"/>
      <c r="D8" s="218"/>
      <c r="E8" s="218"/>
      <c r="F8" s="218"/>
      <c r="G8" s="218" t="s">
        <v>2572</v>
      </c>
      <c r="H8" s="218" t="s">
        <v>2566</v>
      </c>
      <c r="I8" s="218" t="s">
        <v>2567</v>
      </c>
      <c r="J8" s="218" t="s">
        <v>2573</v>
      </c>
      <c r="K8" s="218" t="s">
        <v>2574</v>
      </c>
      <c r="L8" s="218" t="s">
        <v>2575</v>
      </c>
      <c r="M8" s="218" t="s">
        <v>357</v>
      </c>
      <c r="N8" s="218" t="s">
        <v>2576</v>
      </c>
      <c r="O8" s="218" t="s">
        <v>2577</v>
      </c>
      <c r="P8" s="218" t="s">
        <v>2578</v>
      </c>
      <c r="Q8" s="218" t="s">
        <v>2571</v>
      </c>
      <c r="R8" s="218" t="s">
        <v>2579</v>
      </c>
      <c r="S8" s="218" t="s">
        <v>2569</v>
      </c>
      <c r="T8" s="218" t="s">
        <v>2580</v>
      </c>
      <c r="U8" s="218" t="s">
        <v>2581</v>
      </c>
      <c r="V8" s="218" t="s">
        <v>2582</v>
      </c>
      <c r="W8" s="218" t="s">
        <v>369</v>
      </c>
      <c r="X8" s="218" t="s">
        <v>2583</v>
      </c>
      <c r="Y8" s="218" t="s">
        <v>2584</v>
      </c>
      <c r="Z8" s="218" t="s">
        <v>2585</v>
      </c>
    </row>
    <row r="9" spans="1:26">
      <c r="A9" s="218"/>
      <c r="B9" s="218"/>
      <c r="C9" s="218"/>
      <c r="D9" s="218"/>
      <c r="E9" s="218"/>
      <c r="F9" s="219" t="s">
        <v>2586</v>
      </c>
      <c r="G9" s="218" t="s">
        <v>199</v>
      </c>
      <c r="H9" s="218" t="s">
        <v>309</v>
      </c>
      <c r="I9" s="223">
        <v>43830</v>
      </c>
      <c r="J9" s="218" t="s">
        <v>2587</v>
      </c>
      <c r="K9" s="218" t="s">
        <v>2588</v>
      </c>
      <c r="L9" s="218" t="s">
        <v>2589</v>
      </c>
      <c r="M9" s="218" t="s">
        <v>2590</v>
      </c>
      <c r="N9" s="218">
        <v>85.06</v>
      </c>
      <c r="O9" s="218" t="s">
        <v>292</v>
      </c>
      <c r="P9" s="218">
        <v>110</v>
      </c>
      <c r="Q9" s="218" t="s">
        <v>752</v>
      </c>
      <c r="R9" s="218" t="s">
        <v>1587</v>
      </c>
      <c r="S9" s="218" t="s">
        <v>396</v>
      </c>
      <c r="T9" s="218" t="s">
        <v>2591</v>
      </c>
      <c r="U9" s="218" t="s">
        <v>740</v>
      </c>
      <c r="V9" s="218" t="s">
        <v>381</v>
      </c>
      <c r="W9" s="218" t="s">
        <v>295</v>
      </c>
      <c r="X9" s="218" t="s">
        <v>379</v>
      </c>
      <c r="Y9" s="218">
        <v>99.86</v>
      </c>
      <c r="Z9" s="218">
        <f>P9</f>
        <v>110</v>
      </c>
    </row>
    <row r="10" spans="1:26">
      <c r="A10" s="218" t="s">
        <v>2592</v>
      </c>
      <c r="B10" s="218"/>
      <c r="C10" s="218"/>
      <c r="D10" s="218"/>
      <c r="E10" s="218"/>
      <c r="F10" s="219" t="s">
        <v>2593</v>
      </c>
      <c r="G10" s="218" t="s">
        <v>202</v>
      </c>
      <c r="H10" s="218" t="s">
        <v>309</v>
      </c>
      <c r="I10" s="223">
        <v>43769</v>
      </c>
      <c r="J10" s="218" t="s">
        <v>2594</v>
      </c>
      <c r="K10" s="218" t="s">
        <v>2595</v>
      </c>
      <c r="L10" s="218" t="s">
        <v>2596</v>
      </c>
      <c r="M10" s="218" t="s">
        <v>1601</v>
      </c>
      <c r="N10" s="218">
        <v>136.80000000000001</v>
      </c>
      <c r="O10" s="218" t="s">
        <v>292</v>
      </c>
      <c r="P10" s="218">
        <v>160</v>
      </c>
      <c r="Q10" s="218" t="s">
        <v>752</v>
      </c>
      <c r="R10" s="218" t="s">
        <v>1587</v>
      </c>
      <c r="S10" s="218" t="s">
        <v>396</v>
      </c>
      <c r="T10" s="218" t="s">
        <v>2591</v>
      </c>
      <c r="U10" s="218" t="s">
        <v>743</v>
      </c>
      <c r="V10" s="218" t="s">
        <v>381</v>
      </c>
      <c r="W10" s="218" t="s">
        <v>295</v>
      </c>
      <c r="X10" s="218" t="s">
        <v>379</v>
      </c>
      <c r="Y10" s="218">
        <v>154.09</v>
      </c>
      <c r="Z10" s="218">
        <f t="shared" ref="Z10:Z73" si="0">P10</f>
        <v>160</v>
      </c>
    </row>
    <row r="11" spans="1:26">
      <c r="A11" s="218" t="s">
        <v>2592</v>
      </c>
      <c r="B11" s="218"/>
      <c r="C11" s="218"/>
      <c r="D11" s="218"/>
      <c r="E11" s="218"/>
      <c r="F11" s="219" t="s">
        <v>2597</v>
      </c>
      <c r="G11" s="218" t="s">
        <v>202</v>
      </c>
      <c r="H11" s="218" t="s">
        <v>309</v>
      </c>
      <c r="I11" s="223">
        <v>43769</v>
      </c>
      <c r="J11" s="218" t="s">
        <v>2594</v>
      </c>
      <c r="K11" s="218" t="s">
        <v>2595</v>
      </c>
      <c r="L11" s="218" t="s">
        <v>2596</v>
      </c>
      <c r="M11" s="218" t="s">
        <v>1602</v>
      </c>
      <c r="N11" s="218">
        <v>17.100000000000001</v>
      </c>
      <c r="O11" s="218" t="s">
        <v>292</v>
      </c>
      <c r="P11" s="218">
        <v>20</v>
      </c>
      <c r="Q11" s="218" t="s">
        <v>752</v>
      </c>
      <c r="R11" s="218" t="s">
        <v>1587</v>
      </c>
      <c r="S11" s="218" t="s">
        <v>396</v>
      </c>
      <c r="T11" s="218" t="s">
        <v>2591</v>
      </c>
      <c r="U11" s="218" t="s">
        <v>743</v>
      </c>
      <c r="V11" s="218" t="s">
        <v>381</v>
      </c>
      <c r="W11" s="218" t="s">
        <v>295</v>
      </c>
      <c r="X11" s="218" t="s">
        <v>379</v>
      </c>
      <c r="Y11" s="218">
        <v>19.260000000000002</v>
      </c>
      <c r="Z11" s="218">
        <f t="shared" si="0"/>
        <v>20</v>
      </c>
    </row>
    <row r="12" spans="1:26">
      <c r="A12" s="218" t="s">
        <v>2592</v>
      </c>
      <c r="B12" s="218"/>
      <c r="C12" s="218"/>
      <c r="D12" s="218"/>
      <c r="E12" s="218"/>
      <c r="F12" s="219" t="s">
        <v>2598</v>
      </c>
      <c r="G12" s="218" t="s">
        <v>202</v>
      </c>
      <c r="H12" s="218" t="s">
        <v>309</v>
      </c>
      <c r="I12" s="223">
        <v>43769</v>
      </c>
      <c r="J12" s="218" t="s">
        <v>2594</v>
      </c>
      <c r="K12" s="218" t="s">
        <v>2595</v>
      </c>
      <c r="L12" s="218" t="s">
        <v>2596</v>
      </c>
      <c r="M12" s="218" t="s">
        <v>1603</v>
      </c>
      <c r="N12" s="218">
        <v>684.02</v>
      </c>
      <c r="O12" s="218" t="s">
        <v>292</v>
      </c>
      <c r="P12" s="218">
        <v>800</v>
      </c>
      <c r="Q12" s="218" t="s">
        <v>752</v>
      </c>
      <c r="R12" s="218" t="s">
        <v>1587</v>
      </c>
      <c r="S12" s="218" t="s">
        <v>396</v>
      </c>
      <c r="T12" s="218" t="s">
        <v>2591</v>
      </c>
      <c r="U12" s="218" t="s">
        <v>743</v>
      </c>
      <c r="V12" s="218" t="s">
        <v>381</v>
      </c>
      <c r="W12" s="218" t="s">
        <v>295</v>
      </c>
      <c r="X12" s="218" t="s">
        <v>379</v>
      </c>
      <c r="Y12" s="218">
        <v>770.49</v>
      </c>
      <c r="Z12" s="218">
        <f t="shared" si="0"/>
        <v>800</v>
      </c>
    </row>
    <row r="13" spans="1:26">
      <c r="A13" s="218" t="s">
        <v>2592</v>
      </c>
      <c r="B13" s="218"/>
      <c r="C13" s="218"/>
      <c r="D13" s="218"/>
      <c r="E13" s="218"/>
      <c r="F13" s="219" t="s">
        <v>2599</v>
      </c>
      <c r="G13" s="218" t="s">
        <v>205</v>
      </c>
      <c r="H13" s="218" t="s">
        <v>309</v>
      </c>
      <c r="I13" s="223">
        <v>43769</v>
      </c>
      <c r="J13" s="218" t="s">
        <v>2600</v>
      </c>
      <c r="K13" s="218" t="s">
        <v>2601</v>
      </c>
      <c r="L13" s="218" t="s">
        <v>2596</v>
      </c>
      <c r="M13" s="218" t="s">
        <v>2602</v>
      </c>
      <c r="N13" s="218">
        <v>650.35</v>
      </c>
      <c r="O13" s="218" t="s">
        <v>292</v>
      </c>
      <c r="P13" s="218">
        <v>800</v>
      </c>
      <c r="Q13" s="218" t="s">
        <v>640</v>
      </c>
      <c r="R13" s="218" t="s">
        <v>1580</v>
      </c>
      <c r="S13" s="218" t="s">
        <v>396</v>
      </c>
      <c r="T13" s="218" t="s">
        <v>2591</v>
      </c>
      <c r="U13" s="218" t="s">
        <v>2591</v>
      </c>
      <c r="V13" s="218" t="s">
        <v>381</v>
      </c>
      <c r="W13" s="218" t="s">
        <v>295</v>
      </c>
      <c r="X13" s="218" t="s">
        <v>379</v>
      </c>
      <c r="Y13" s="218">
        <v>732.56</v>
      </c>
      <c r="Z13" s="218">
        <f t="shared" si="0"/>
        <v>800</v>
      </c>
    </row>
    <row r="14" spans="1:26">
      <c r="A14" s="218" t="s">
        <v>2592</v>
      </c>
      <c r="B14" s="218"/>
      <c r="C14" s="218"/>
      <c r="D14" s="218"/>
      <c r="E14" s="218"/>
      <c r="F14" s="219" t="s">
        <v>2603</v>
      </c>
      <c r="G14" s="218" t="s">
        <v>205</v>
      </c>
      <c r="H14" s="218" t="s">
        <v>309</v>
      </c>
      <c r="I14" s="223">
        <v>43769</v>
      </c>
      <c r="J14" s="218" t="s">
        <v>2604</v>
      </c>
      <c r="K14" s="218" t="s">
        <v>2601</v>
      </c>
      <c r="L14" s="218" t="s">
        <v>2596</v>
      </c>
      <c r="M14" s="218" t="s">
        <v>2605</v>
      </c>
      <c r="N14" s="218">
        <v>488.54</v>
      </c>
      <c r="O14" s="218" t="s">
        <v>292</v>
      </c>
      <c r="P14" s="218">
        <v>600.96</v>
      </c>
      <c r="Q14" s="218" t="s">
        <v>640</v>
      </c>
      <c r="R14" s="218" t="s">
        <v>1580</v>
      </c>
      <c r="S14" s="218" t="s">
        <v>396</v>
      </c>
      <c r="T14" s="218" t="s">
        <v>2591</v>
      </c>
      <c r="U14" s="218" t="s">
        <v>2591</v>
      </c>
      <c r="V14" s="218" t="s">
        <v>381</v>
      </c>
      <c r="W14" s="218" t="s">
        <v>295</v>
      </c>
      <c r="X14" s="218" t="s">
        <v>379</v>
      </c>
      <c r="Y14" s="218">
        <v>550.29999999999995</v>
      </c>
      <c r="Z14" s="218">
        <f t="shared" si="0"/>
        <v>600.96</v>
      </c>
    </row>
    <row r="15" spans="1:26">
      <c r="A15" s="218" t="s">
        <v>2592</v>
      </c>
      <c r="B15" s="218"/>
      <c r="C15" s="218"/>
      <c r="D15" s="218"/>
      <c r="E15" s="218"/>
      <c r="F15" s="219" t="s">
        <v>2606</v>
      </c>
      <c r="G15" s="218" t="s">
        <v>206</v>
      </c>
      <c r="H15" s="218" t="s">
        <v>309</v>
      </c>
      <c r="I15" s="223">
        <v>43769</v>
      </c>
      <c r="J15" s="218" t="s">
        <v>2594</v>
      </c>
      <c r="K15" s="218" t="s">
        <v>2595</v>
      </c>
      <c r="L15" s="218" t="s">
        <v>2596</v>
      </c>
      <c r="M15" s="218" t="s">
        <v>1601</v>
      </c>
      <c r="N15" s="218">
        <v>-136.80000000000001</v>
      </c>
      <c r="O15" s="218" t="s">
        <v>292</v>
      </c>
      <c r="P15" s="218">
        <v>-160</v>
      </c>
      <c r="Q15" s="218" t="s">
        <v>752</v>
      </c>
      <c r="R15" s="218" t="s">
        <v>1587</v>
      </c>
      <c r="S15" s="218" t="s">
        <v>396</v>
      </c>
      <c r="T15" s="218" t="s">
        <v>2591</v>
      </c>
      <c r="U15" s="218" t="s">
        <v>743</v>
      </c>
      <c r="V15" s="218" t="s">
        <v>381</v>
      </c>
      <c r="W15" s="218" t="s">
        <v>295</v>
      </c>
      <c r="X15" s="218" t="s">
        <v>379</v>
      </c>
      <c r="Y15" s="218">
        <v>-154.09</v>
      </c>
      <c r="Z15" s="218">
        <f t="shared" si="0"/>
        <v>-160</v>
      </c>
    </row>
    <row r="16" spans="1:26">
      <c r="A16" s="218" t="s">
        <v>2592</v>
      </c>
      <c r="B16" s="218"/>
      <c r="C16" s="218"/>
      <c r="D16" s="218"/>
      <c r="E16" s="218"/>
      <c r="F16" s="219" t="s">
        <v>2607</v>
      </c>
      <c r="G16" s="218" t="s">
        <v>206</v>
      </c>
      <c r="H16" s="218" t="s">
        <v>309</v>
      </c>
      <c r="I16" s="223">
        <v>43769</v>
      </c>
      <c r="J16" s="218" t="s">
        <v>2594</v>
      </c>
      <c r="K16" s="218" t="s">
        <v>2595</v>
      </c>
      <c r="L16" s="218" t="s">
        <v>2596</v>
      </c>
      <c r="M16" s="218" t="s">
        <v>1602</v>
      </c>
      <c r="N16" s="218">
        <v>-17.100000000000001</v>
      </c>
      <c r="O16" s="218" t="s">
        <v>292</v>
      </c>
      <c r="P16" s="218">
        <v>-20</v>
      </c>
      <c r="Q16" s="218" t="s">
        <v>752</v>
      </c>
      <c r="R16" s="218" t="s">
        <v>1587</v>
      </c>
      <c r="S16" s="218" t="s">
        <v>396</v>
      </c>
      <c r="T16" s="218" t="s">
        <v>2591</v>
      </c>
      <c r="U16" s="218" t="s">
        <v>743</v>
      </c>
      <c r="V16" s="218" t="s">
        <v>381</v>
      </c>
      <c r="W16" s="218" t="s">
        <v>295</v>
      </c>
      <c r="X16" s="218" t="s">
        <v>379</v>
      </c>
      <c r="Y16" s="218">
        <v>-19.260000000000002</v>
      </c>
      <c r="Z16" s="218">
        <f t="shared" si="0"/>
        <v>-20</v>
      </c>
    </row>
    <row r="17" spans="1:26">
      <c r="A17" s="218" t="s">
        <v>2592</v>
      </c>
      <c r="B17" s="218"/>
      <c r="C17" s="218"/>
      <c r="D17" s="218"/>
      <c r="E17" s="218"/>
      <c r="F17" s="219" t="s">
        <v>2608</v>
      </c>
      <c r="G17" s="218" t="s">
        <v>206</v>
      </c>
      <c r="H17" s="218" t="s">
        <v>309</v>
      </c>
      <c r="I17" s="223">
        <v>43769</v>
      </c>
      <c r="J17" s="218" t="s">
        <v>2594</v>
      </c>
      <c r="K17" s="218" t="s">
        <v>2595</v>
      </c>
      <c r="L17" s="218" t="s">
        <v>2596</v>
      </c>
      <c r="M17" s="218" t="s">
        <v>1603</v>
      </c>
      <c r="N17" s="218">
        <v>-684.02</v>
      </c>
      <c r="O17" s="218" t="s">
        <v>292</v>
      </c>
      <c r="P17" s="218">
        <v>-800</v>
      </c>
      <c r="Q17" s="218" t="s">
        <v>752</v>
      </c>
      <c r="R17" s="218" t="s">
        <v>1587</v>
      </c>
      <c r="S17" s="218" t="s">
        <v>396</v>
      </c>
      <c r="T17" s="218" t="s">
        <v>2591</v>
      </c>
      <c r="U17" s="218" t="s">
        <v>743</v>
      </c>
      <c r="V17" s="218" t="s">
        <v>381</v>
      </c>
      <c r="W17" s="218" t="s">
        <v>295</v>
      </c>
      <c r="X17" s="218" t="s">
        <v>379</v>
      </c>
      <c r="Y17" s="218">
        <v>-770.49</v>
      </c>
      <c r="Z17" s="218">
        <f t="shared" si="0"/>
        <v>-800</v>
      </c>
    </row>
    <row r="18" spans="1:26">
      <c r="A18" s="218" t="s">
        <v>2592</v>
      </c>
      <c r="B18" s="218"/>
      <c r="C18" s="218"/>
      <c r="D18" s="218"/>
      <c r="E18" s="218"/>
      <c r="F18" s="219" t="s">
        <v>2609</v>
      </c>
      <c r="G18" s="218" t="s">
        <v>206</v>
      </c>
      <c r="H18" s="218" t="s">
        <v>309</v>
      </c>
      <c r="I18" s="223">
        <v>43830</v>
      </c>
      <c r="J18" s="218" t="s">
        <v>2610</v>
      </c>
      <c r="K18" s="218" t="s">
        <v>2611</v>
      </c>
      <c r="L18" s="218" t="s">
        <v>2612</v>
      </c>
      <c r="M18" s="218" t="s">
        <v>2613</v>
      </c>
      <c r="N18" s="218">
        <v>1016.17</v>
      </c>
      <c r="O18" s="218" t="s">
        <v>292</v>
      </c>
      <c r="P18" s="218">
        <v>1250</v>
      </c>
      <c r="Q18" s="218" t="s">
        <v>752</v>
      </c>
      <c r="R18" s="218" t="s">
        <v>1587</v>
      </c>
      <c r="S18" s="218" t="s">
        <v>396</v>
      </c>
      <c r="T18" s="218" t="s">
        <v>2591</v>
      </c>
      <c r="U18" s="218" t="s">
        <v>743</v>
      </c>
      <c r="V18" s="218" t="s">
        <v>381</v>
      </c>
      <c r="W18" s="218" t="s">
        <v>295</v>
      </c>
      <c r="X18" s="218" t="s">
        <v>379</v>
      </c>
      <c r="Y18" s="218">
        <v>1192.96</v>
      </c>
      <c r="Z18" s="218">
        <f t="shared" si="0"/>
        <v>1250</v>
      </c>
    </row>
    <row r="19" spans="1:26">
      <c r="A19" s="218" t="s">
        <v>2592</v>
      </c>
      <c r="B19" s="218"/>
      <c r="C19" s="218"/>
      <c r="D19" s="218"/>
      <c r="E19" s="218"/>
      <c r="F19" s="219" t="s">
        <v>2614</v>
      </c>
      <c r="G19" s="218" t="s">
        <v>211</v>
      </c>
      <c r="H19" s="218" t="s">
        <v>309</v>
      </c>
      <c r="I19" s="223">
        <v>43830</v>
      </c>
      <c r="J19" s="218" t="s">
        <v>2615</v>
      </c>
      <c r="K19" s="218" t="s">
        <v>2616</v>
      </c>
      <c r="L19" s="218" t="s">
        <v>2617</v>
      </c>
      <c r="M19" s="218" t="s">
        <v>2618</v>
      </c>
      <c r="N19" s="218">
        <v>5.8</v>
      </c>
      <c r="O19" s="218" t="s">
        <v>292</v>
      </c>
      <c r="P19" s="218">
        <v>7.5</v>
      </c>
      <c r="Q19" s="218" t="s">
        <v>555</v>
      </c>
      <c r="R19" s="218" t="s">
        <v>1606</v>
      </c>
      <c r="S19" s="218" t="s">
        <v>400</v>
      </c>
      <c r="T19" s="218" t="s">
        <v>556</v>
      </c>
      <c r="U19" s="218" t="s">
        <v>2591</v>
      </c>
      <c r="V19" s="218" t="s">
        <v>381</v>
      </c>
      <c r="W19" s="218" t="s">
        <v>295</v>
      </c>
      <c r="X19" s="218" t="s">
        <v>379</v>
      </c>
      <c r="Y19" s="218">
        <v>6.81</v>
      </c>
      <c r="Z19" s="218">
        <f t="shared" si="0"/>
        <v>7.5</v>
      </c>
    </row>
    <row r="20" spans="1:26">
      <c r="A20" s="218" t="s">
        <v>2592</v>
      </c>
      <c r="B20" s="218"/>
      <c r="C20" s="218"/>
      <c r="D20" s="218"/>
      <c r="E20" s="218"/>
      <c r="F20" s="219" t="s">
        <v>2619</v>
      </c>
      <c r="G20" s="218" t="s">
        <v>211</v>
      </c>
      <c r="H20" s="218" t="s">
        <v>309</v>
      </c>
      <c r="I20" s="223">
        <v>43830</v>
      </c>
      <c r="J20" s="218" t="s">
        <v>2615</v>
      </c>
      <c r="K20" s="218" t="s">
        <v>2616</v>
      </c>
      <c r="L20" s="218" t="s">
        <v>2617</v>
      </c>
      <c r="M20" s="218" t="s">
        <v>2620</v>
      </c>
      <c r="N20" s="218">
        <v>22.49</v>
      </c>
      <c r="O20" s="218" t="s">
        <v>292</v>
      </c>
      <c r="P20" s="218">
        <v>29.08</v>
      </c>
      <c r="Q20" s="218" t="s">
        <v>555</v>
      </c>
      <c r="R20" s="218" t="s">
        <v>1606</v>
      </c>
      <c r="S20" s="218" t="s">
        <v>400</v>
      </c>
      <c r="T20" s="218" t="s">
        <v>495</v>
      </c>
      <c r="U20" s="218" t="s">
        <v>2591</v>
      </c>
      <c r="V20" s="218" t="s">
        <v>381</v>
      </c>
      <c r="W20" s="218" t="s">
        <v>295</v>
      </c>
      <c r="X20" s="218" t="s">
        <v>379</v>
      </c>
      <c r="Y20" s="218">
        <v>26.4</v>
      </c>
      <c r="Z20" s="218">
        <f t="shared" si="0"/>
        <v>29.08</v>
      </c>
    </row>
    <row r="21" spans="1:26">
      <c r="A21" s="218" t="s">
        <v>2592</v>
      </c>
      <c r="B21" s="218"/>
      <c r="C21" s="218"/>
      <c r="D21" s="218"/>
      <c r="E21" s="218"/>
      <c r="F21" s="219" t="s">
        <v>2621</v>
      </c>
      <c r="G21" s="218" t="s">
        <v>211</v>
      </c>
      <c r="H21" s="218" t="s">
        <v>309</v>
      </c>
      <c r="I21" s="223">
        <v>43830</v>
      </c>
      <c r="J21" s="218" t="s">
        <v>2587</v>
      </c>
      <c r="K21" s="218" t="s">
        <v>2622</v>
      </c>
      <c r="L21" s="218" t="s">
        <v>2589</v>
      </c>
      <c r="M21" s="218" t="s">
        <v>2623</v>
      </c>
      <c r="N21" s="218">
        <v>243.57</v>
      </c>
      <c r="O21" s="218" t="s">
        <v>292</v>
      </c>
      <c r="P21" s="218">
        <v>315</v>
      </c>
      <c r="Q21" s="218" t="s">
        <v>752</v>
      </c>
      <c r="R21" s="218" t="s">
        <v>1587</v>
      </c>
      <c r="S21" s="218" t="s">
        <v>396</v>
      </c>
      <c r="T21" s="218" t="s">
        <v>2591</v>
      </c>
      <c r="U21" s="218" t="s">
        <v>740</v>
      </c>
      <c r="V21" s="218" t="s">
        <v>381</v>
      </c>
      <c r="W21" s="218" t="s">
        <v>295</v>
      </c>
      <c r="X21" s="218" t="s">
        <v>379</v>
      </c>
      <c r="Y21" s="218">
        <v>285.95</v>
      </c>
      <c r="Z21" s="218">
        <f t="shared" si="0"/>
        <v>315</v>
      </c>
    </row>
    <row r="22" spans="1:26">
      <c r="A22" s="218" t="s">
        <v>2592</v>
      </c>
      <c r="B22" s="218"/>
      <c r="C22" s="218"/>
      <c r="D22" s="218"/>
      <c r="E22" s="218"/>
      <c r="F22" s="219" t="s">
        <v>2624</v>
      </c>
      <c r="G22" s="218" t="s">
        <v>211</v>
      </c>
      <c r="H22" s="218" t="s">
        <v>309</v>
      </c>
      <c r="I22" s="223">
        <v>43830</v>
      </c>
      <c r="J22" s="218" t="s">
        <v>2587</v>
      </c>
      <c r="K22" s="218" t="s">
        <v>2622</v>
      </c>
      <c r="L22" s="218" t="s">
        <v>2589</v>
      </c>
      <c r="M22" s="218" t="s">
        <v>2625</v>
      </c>
      <c r="N22" s="218">
        <v>243.57</v>
      </c>
      <c r="O22" s="218" t="s">
        <v>292</v>
      </c>
      <c r="P22" s="218">
        <v>315</v>
      </c>
      <c r="Q22" s="218" t="s">
        <v>752</v>
      </c>
      <c r="R22" s="218" t="s">
        <v>1587</v>
      </c>
      <c r="S22" s="218" t="s">
        <v>396</v>
      </c>
      <c r="T22" s="218" t="s">
        <v>2591</v>
      </c>
      <c r="U22" s="218" t="s">
        <v>740</v>
      </c>
      <c r="V22" s="218" t="s">
        <v>381</v>
      </c>
      <c r="W22" s="218" t="s">
        <v>295</v>
      </c>
      <c r="X22" s="218" t="s">
        <v>379</v>
      </c>
      <c r="Y22" s="218">
        <v>285.95</v>
      </c>
      <c r="Z22" s="218">
        <f t="shared" si="0"/>
        <v>315</v>
      </c>
    </row>
    <row r="23" spans="1:26">
      <c r="A23" s="218" t="s">
        <v>2592</v>
      </c>
      <c r="B23" s="218"/>
      <c r="C23" s="218"/>
      <c r="D23" s="218"/>
      <c r="E23" s="218"/>
      <c r="F23" s="219" t="s">
        <v>2626</v>
      </c>
      <c r="G23" s="218" t="s">
        <v>211</v>
      </c>
      <c r="H23" s="218" t="s">
        <v>309</v>
      </c>
      <c r="I23" s="223">
        <v>43830</v>
      </c>
      <c r="J23" s="218" t="s">
        <v>2587</v>
      </c>
      <c r="K23" s="218" t="s">
        <v>2627</v>
      </c>
      <c r="L23" s="218" t="s">
        <v>2589</v>
      </c>
      <c r="M23" s="218" t="s">
        <v>2628</v>
      </c>
      <c r="N23" s="218">
        <v>81.19</v>
      </c>
      <c r="O23" s="218" t="s">
        <v>292</v>
      </c>
      <c r="P23" s="218">
        <v>105</v>
      </c>
      <c r="Q23" s="218" t="s">
        <v>752</v>
      </c>
      <c r="R23" s="218" t="s">
        <v>1587</v>
      </c>
      <c r="S23" s="218" t="s">
        <v>396</v>
      </c>
      <c r="T23" s="218" t="s">
        <v>2591</v>
      </c>
      <c r="U23" s="218" t="s">
        <v>740</v>
      </c>
      <c r="V23" s="218" t="s">
        <v>381</v>
      </c>
      <c r="W23" s="218" t="s">
        <v>295</v>
      </c>
      <c r="X23" s="218" t="s">
        <v>379</v>
      </c>
      <c r="Y23" s="218">
        <v>95.32</v>
      </c>
      <c r="Z23" s="218">
        <f t="shared" si="0"/>
        <v>105</v>
      </c>
    </row>
    <row r="24" spans="1:26">
      <c r="A24" s="218" t="s">
        <v>2592</v>
      </c>
      <c r="B24" s="218"/>
      <c r="C24" s="218"/>
      <c r="D24" s="218"/>
      <c r="E24" s="218"/>
      <c r="F24" s="219" t="s">
        <v>2629</v>
      </c>
      <c r="G24" s="218" t="s">
        <v>217</v>
      </c>
      <c r="H24" s="218" t="s">
        <v>309</v>
      </c>
      <c r="I24" s="223">
        <v>43830</v>
      </c>
      <c r="J24" s="218" t="s">
        <v>2587</v>
      </c>
      <c r="K24" s="218" t="s">
        <v>2630</v>
      </c>
      <c r="L24" s="218" t="s">
        <v>2589</v>
      </c>
      <c r="M24" s="218" t="s">
        <v>2631</v>
      </c>
      <c r="N24" s="218">
        <v>11.6</v>
      </c>
      <c r="O24" s="218" t="s">
        <v>292</v>
      </c>
      <c r="P24" s="218">
        <v>15</v>
      </c>
      <c r="Q24" s="218" t="s">
        <v>752</v>
      </c>
      <c r="R24" s="218" t="s">
        <v>1587</v>
      </c>
      <c r="S24" s="218" t="s">
        <v>396</v>
      </c>
      <c r="T24" s="218" t="s">
        <v>2591</v>
      </c>
      <c r="U24" s="218" t="s">
        <v>740</v>
      </c>
      <c r="V24" s="218" t="s">
        <v>381</v>
      </c>
      <c r="W24" s="218" t="s">
        <v>295</v>
      </c>
      <c r="X24" s="218" t="s">
        <v>379</v>
      </c>
      <c r="Y24" s="218">
        <v>13.62</v>
      </c>
      <c r="Z24" s="218">
        <f t="shared" si="0"/>
        <v>15</v>
      </c>
    </row>
    <row r="25" spans="1:26">
      <c r="A25" s="218" t="s">
        <v>2592</v>
      </c>
      <c r="B25" s="218"/>
      <c r="C25" s="218"/>
      <c r="D25" s="218"/>
      <c r="E25" s="218"/>
      <c r="F25" s="219" t="s">
        <v>2632</v>
      </c>
      <c r="G25" s="218" t="s">
        <v>217</v>
      </c>
      <c r="H25" s="218" t="s">
        <v>309</v>
      </c>
      <c r="I25" s="223">
        <v>43830</v>
      </c>
      <c r="J25" s="218" t="s">
        <v>2587</v>
      </c>
      <c r="K25" s="218" t="s">
        <v>2630</v>
      </c>
      <c r="L25" s="218" t="s">
        <v>2589</v>
      </c>
      <c r="M25" s="218" t="s">
        <v>757</v>
      </c>
      <c r="N25" s="218">
        <v>15.47</v>
      </c>
      <c r="O25" s="218" t="s">
        <v>292</v>
      </c>
      <c r="P25" s="218">
        <v>20</v>
      </c>
      <c r="Q25" s="218" t="s">
        <v>752</v>
      </c>
      <c r="R25" s="218" t="s">
        <v>1587</v>
      </c>
      <c r="S25" s="218" t="s">
        <v>396</v>
      </c>
      <c r="T25" s="218" t="s">
        <v>2591</v>
      </c>
      <c r="U25" s="218" t="s">
        <v>740</v>
      </c>
      <c r="V25" s="218" t="s">
        <v>381</v>
      </c>
      <c r="W25" s="218" t="s">
        <v>295</v>
      </c>
      <c r="X25" s="218" t="s">
        <v>379</v>
      </c>
      <c r="Y25" s="218">
        <v>18.16</v>
      </c>
      <c r="Z25" s="218">
        <f t="shared" si="0"/>
        <v>20</v>
      </c>
    </row>
    <row r="26" spans="1:26">
      <c r="A26" s="218" t="s">
        <v>2592</v>
      </c>
      <c r="B26" s="218"/>
      <c r="C26" s="218"/>
      <c r="D26" s="218"/>
      <c r="E26" s="218"/>
      <c r="F26" s="219" t="s">
        <v>2633</v>
      </c>
      <c r="G26" s="218" t="s">
        <v>217</v>
      </c>
      <c r="H26" s="218" t="s">
        <v>309</v>
      </c>
      <c r="I26" s="223">
        <v>43830</v>
      </c>
      <c r="J26" s="218" t="s">
        <v>2587</v>
      </c>
      <c r="K26" s="218" t="s">
        <v>2630</v>
      </c>
      <c r="L26" s="218" t="s">
        <v>2589</v>
      </c>
      <c r="M26" s="218" t="s">
        <v>2634</v>
      </c>
      <c r="N26" s="218">
        <v>386.63</v>
      </c>
      <c r="O26" s="218" t="s">
        <v>292</v>
      </c>
      <c r="P26" s="218">
        <v>500</v>
      </c>
      <c r="Q26" s="218" t="s">
        <v>752</v>
      </c>
      <c r="R26" s="218" t="s">
        <v>1587</v>
      </c>
      <c r="S26" s="218" t="s">
        <v>396</v>
      </c>
      <c r="T26" s="218" t="s">
        <v>2591</v>
      </c>
      <c r="U26" s="218" t="s">
        <v>740</v>
      </c>
      <c r="V26" s="218" t="s">
        <v>381</v>
      </c>
      <c r="W26" s="218" t="s">
        <v>295</v>
      </c>
      <c r="X26" s="218" t="s">
        <v>379</v>
      </c>
      <c r="Y26" s="218">
        <v>453.9</v>
      </c>
      <c r="Z26" s="218">
        <f t="shared" si="0"/>
        <v>500</v>
      </c>
    </row>
    <row r="27" spans="1:26">
      <c r="A27" s="218" t="s">
        <v>2592</v>
      </c>
      <c r="B27" s="218"/>
      <c r="C27" s="218"/>
      <c r="D27" s="218"/>
      <c r="E27" s="218"/>
      <c r="F27" s="219" t="s">
        <v>2635</v>
      </c>
      <c r="G27" s="218" t="s">
        <v>217</v>
      </c>
      <c r="H27" s="218" t="s">
        <v>309</v>
      </c>
      <c r="I27" s="223">
        <v>43830</v>
      </c>
      <c r="J27" s="218" t="s">
        <v>2587</v>
      </c>
      <c r="K27" s="218" t="s">
        <v>2630</v>
      </c>
      <c r="L27" s="218" t="s">
        <v>2589</v>
      </c>
      <c r="M27" s="218" t="s">
        <v>2636</v>
      </c>
      <c r="N27" s="218">
        <v>274.51</v>
      </c>
      <c r="O27" s="218" t="s">
        <v>292</v>
      </c>
      <c r="P27" s="218">
        <v>355</v>
      </c>
      <c r="Q27" s="218" t="s">
        <v>752</v>
      </c>
      <c r="R27" s="218" t="s">
        <v>1587</v>
      </c>
      <c r="S27" s="218" t="s">
        <v>396</v>
      </c>
      <c r="T27" s="218" t="s">
        <v>2591</v>
      </c>
      <c r="U27" s="218" t="s">
        <v>740</v>
      </c>
      <c r="V27" s="218" t="s">
        <v>381</v>
      </c>
      <c r="W27" s="218" t="s">
        <v>295</v>
      </c>
      <c r="X27" s="218" t="s">
        <v>379</v>
      </c>
      <c r="Y27" s="218">
        <v>322.27</v>
      </c>
      <c r="Z27" s="218">
        <f t="shared" si="0"/>
        <v>355</v>
      </c>
    </row>
    <row r="28" spans="1:26">
      <c r="A28" s="218" t="s">
        <v>2592</v>
      </c>
      <c r="B28" s="218"/>
      <c r="C28" s="218"/>
      <c r="D28" s="218"/>
      <c r="E28" s="218"/>
      <c r="F28" s="219" t="s">
        <v>2637</v>
      </c>
      <c r="G28" s="218" t="s">
        <v>217</v>
      </c>
      <c r="H28" s="218" t="s">
        <v>309</v>
      </c>
      <c r="I28" s="223">
        <v>43830</v>
      </c>
      <c r="J28" s="218" t="s">
        <v>2587</v>
      </c>
      <c r="K28" s="218" t="s">
        <v>2588</v>
      </c>
      <c r="L28" s="218" t="s">
        <v>2589</v>
      </c>
      <c r="M28" s="218" t="s">
        <v>2590</v>
      </c>
      <c r="N28" s="218">
        <v>11.6</v>
      </c>
      <c r="O28" s="218" t="s">
        <v>292</v>
      </c>
      <c r="P28" s="218">
        <v>15</v>
      </c>
      <c r="Q28" s="218" t="s">
        <v>752</v>
      </c>
      <c r="R28" s="218" t="s">
        <v>1587</v>
      </c>
      <c r="S28" s="218" t="s">
        <v>396</v>
      </c>
      <c r="T28" s="218" t="s">
        <v>2591</v>
      </c>
      <c r="U28" s="218" t="s">
        <v>740</v>
      </c>
      <c r="V28" s="218" t="s">
        <v>381</v>
      </c>
      <c r="W28" s="218" t="s">
        <v>295</v>
      </c>
      <c r="X28" s="218" t="s">
        <v>379</v>
      </c>
      <c r="Y28" s="218">
        <v>13.62</v>
      </c>
      <c r="Z28" s="218">
        <f t="shared" si="0"/>
        <v>15</v>
      </c>
    </row>
    <row r="29" spans="1:26">
      <c r="A29" s="218" t="s">
        <v>2592</v>
      </c>
      <c r="B29" s="218"/>
      <c r="C29" s="218"/>
      <c r="D29" s="218"/>
      <c r="E29" s="218"/>
      <c r="F29" s="219" t="s">
        <v>2638</v>
      </c>
      <c r="G29" s="218" t="s">
        <v>217</v>
      </c>
      <c r="H29" s="218" t="s">
        <v>309</v>
      </c>
      <c r="I29" s="223">
        <v>43830</v>
      </c>
      <c r="J29" s="218" t="s">
        <v>2587</v>
      </c>
      <c r="K29" s="218" t="s">
        <v>2627</v>
      </c>
      <c r="L29" s="218" t="s">
        <v>2589</v>
      </c>
      <c r="M29" s="218" t="s">
        <v>2628</v>
      </c>
      <c r="N29" s="218">
        <v>112.12</v>
      </c>
      <c r="O29" s="218" t="s">
        <v>292</v>
      </c>
      <c r="P29" s="218">
        <v>145</v>
      </c>
      <c r="Q29" s="218" t="s">
        <v>752</v>
      </c>
      <c r="R29" s="218" t="s">
        <v>1587</v>
      </c>
      <c r="S29" s="218" t="s">
        <v>396</v>
      </c>
      <c r="T29" s="218" t="s">
        <v>2591</v>
      </c>
      <c r="U29" s="218" t="s">
        <v>740</v>
      </c>
      <c r="V29" s="218" t="s">
        <v>381</v>
      </c>
      <c r="W29" s="218" t="s">
        <v>295</v>
      </c>
      <c r="X29" s="218" t="s">
        <v>379</v>
      </c>
      <c r="Y29" s="218">
        <v>131.63</v>
      </c>
      <c r="Z29" s="218">
        <f t="shared" si="0"/>
        <v>145</v>
      </c>
    </row>
    <row r="30" spans="1:26">
      <c r="A30" s="218" t="s">
        <v>2592</v>
      </c>
      <c r="B30" s="218"/>
      <c r="C30" s="218"/>
      <c r="D30" s="218"/>
      <c r="E30" s="218"/>
      <c r="F30" s="219" t="s">
        <v>2639</v>
      </c>
      <c r="G30" s="218" t="s">
        <v>218</v>
      </c>
      <c r="H30" s="218" t="s">
        <v>309</v>
      </c>
      <c r="I30" s="223">
        <v>43769</v>
      </c>
      <c r="J30" s="218" t="s">
        <v>2640</v>
      </c>
      <c r="K30" s="218" t="s">
        <v>2595</v>
      </c>
      <c r="L30" s="218" t="s">
        <v>2596</v>
      </c>
      <c r="M30" s="218" t="s">
        <v>1673</v>
      </c>
      <c r="N30" s="218">
        <v>-6.48</v>
      </c>
      <c r="O30" s="218" t="s">
        <v>292</v>
      </c>
      <c r="P30" s="218">
        <v>-7.92</v>
      </c>
      <c r="Q30" s="218" t="s">
        <v>1050</v>
      </c>
      <c r="R30" s="218" t="s">
        <v>1674</v>
      </c>
      <c r="S30" s="218" t="s">
        <v>400</v>
      </c>
      <c r="T30" s="218" t="s">
        <v>499</v>
      </c>
      <c r="U30" s="218" t="s">
        <v>2591</v>
      </c>
      <c r="V30" s="218" t="s">
        <v>381</v>
      </c>
      <c r="W30" s="218" t="s">
        <v>295</v>
      </c>
      <c r="X30" s="218" t="s">
        <v>379</v>
      </c>
      <c r="Y30" s="218">
        <v>-7.3</v>
      </c>
      <c r="Z30" s="218">
        <f t="shared" si="0"/>
        <v>-7.92</v>
      </c>
    </row>
    <row r="31" spans="1:26">
      <c r="A31" s="218" t="s">
        <v>2592</v>
      </c>
      <c r="B31" s="218"/>
      <c r="C31" s="218"/>
      <c r="D31" s="218"/>
      <c r="E31" s="218"/>
      <c r="F31" s="219" t="s">
        <v>2641</v>
      </c>
      <c r="G31" s="218" t="s">
        <v>218</v>
      </c>
      <c r="H31" s="218" t="s">
        <v>309</v>
      </c>
      <c r="I31" s="223">
        <v>43769</v>
      </c>
      <c r="J31" s="218" t="s">
        <v>2640</v>
      </c>
      <c r="K31" s="218" t="s">
        <v>2595</v>
      </c>
      <c r="L31" s="218" t="s">
        <v>2596</v>
      </c>
      <c r="M31" s="218" t="s">
        <v>1675</v>
      </c>
      <c r="N31" s="218">
        <v>-54.53</v>
      </c>
      <c r="O31" s="218" t="s">
        <v>292</v>
      </c>
      <c r="P31" s="218">
        <v>-66.62</v>
      </c>
      <c r="Q31" s="218" t="s">
        <v>615</v>
      </c>
      <c r="R31" s="218" t="s">
        <v>1676</v>
      </c>
      <c r="S31" s="218" t="s">
        <v>400</v>
      </c>
      <c r="T31" s="218" t="s">
        <v>499</v>
      </c>
      <c r="U31" s="218" t="s">
        <v>2591</v>
      </c>
      <c r="V31" s="218" t="s">
        <v>381</v>
      </c>
      <c r="W31" s="218" t="s">
        <v>295</v>
      </c>
      <c r="X31" s="218" t="s">
        <v>379</v>
      </c>
      <c r="Y31" s="218">
        <v>-61.42</v>
      </c>
      <c r="Z31" s="218">
        <f t="shared" si="0"/>
        <v>-66.62</v>
      </c>
    </row>
    <row r="32" spans="1:26">
      <c r="A32" s="218" t="s">
        <v>2592</v>
      </c>
      <c r="B32" s="218"/>
      <c r="C32" s="218"/>
      <c r="D32" s="218"/>
      <c r="E32" s="218"/>
      <c r="F32" s="219" t="s">
        <v>2642</v>
      </c>
      <c r="G32" s="218" t="s">
        <v>218</v>
      </c>
      <c r="H32" s="218" t="s">
        <v>309</v>
      </c>
      <c r="I32" s="223">
        <v>43830</v>
      </c>
      <c r="J32" s="218" t="s">
        <v>2587</v>
      </c>
      <c r="K32" s="218" t="s">
        <v>2630</v>
      </c>
      <c r="L32" s="218" t="s">
        <v>2589</v>
      </c>
      <c r="M32" s="218" t="s">
        <v>766</v>
      </c>
      <c r="N32" s="218">
        <v>69.59</v>
      </c>
      <c r="O32" s="218" t="s">
        <v>292</v>
      </c>
      <c r="P32" s="218">
        <v>90</v>
      </c>
      <c r="Q32" s="218" t="s">
        <v>752</v>
      </c>
      <c r="R32" s="218" t="s">
        <v>1587</v>
      </c>
      <c r="S32" s="218" t="s">
        <v>396</v>
      </c>
      <c r="T32" s="218" t="s">
        <v>2591</v>
      </c>
      <c r="U32" s="218" t="s">
        <v>740</v>
      </c>
      <c r="V32" s="218" t="s">
        <v>381</v>
      </c>
      <c r="W32" s="218" t="s">
        <v>295</v>
      </c>
      <c r="X32" s="218" t="s">
        <v>379</v>
      </c>
      <c r="Y32" s="218">
        <v>81.7</v>
      </c>
      <c r="Z32" s="218">
        <f t="shared" si="0"/>
        <v>90</v>
      </c>
    </row>
    <row r="33" spans="1:26">
      <c r="A33" s="218" t="s">
        <v>2592</v>
      </c>
      <c r="B33" s="218"/>
      <c r="C33" s="218"/>
      <c r="D33" s="218"/>
      <c r="E33" s="218"/>
      <c r="F33" s="219" t="s">
        <v>2643</v>
      </c>
      <c r="G33" s="218" t="s">
        <v>218</v>
      </c>
      <c r="H33" s="218" t="s">
        <v>309</v>
      </c>
      <c r="I33" s="223">
        <v>43830</v>
      </c>
      <c r="J33" s="218" t="s">
        <v>2587</v>
      </c>
      <c r="K33" s="218" t="s">
        <v>2630</v>
      </c>
      <c r="L33" s="218" t="s">
        <v>2589</v>
      </c>
      <c r="M33" s="218" t="s">
        <v>2644</v>
      </c>
      <c r="N33" s="218">
        <v>174.66</v>
      </c>
      <c r="O33" s="218" t="s">
        <v>292</v>
      </c>
      <c r="P33" s="218">
        <v>225.88</v>
      </c>
      <c r="Q33" s="218" t="s">
        <v>752</v>
      </c>
      <c r="R33" s="218" t="s">
        <v>1587</v>
      </c>
      <c r="S33" s="218" t="s">
        <v>396</v>
      </c>
      <c r="T33" s="218" t="s">
        <v>2591</v>
      </c>
      <c r="U33" s="218" t="s">
        <v>740</v>
      </c>
      <c r="V33" s="218" t="s">
        <v>381</v>
      </c>
      <c r="W33" s="218" t="s">
        <v>295</v>
      </c>
      <c r="X33" s="218" t="s">
        <v>379</v>
      </c>
      <c r="Y33" s="218">
        <v>205.05</v>
      </c>
      <c r="Z33" s="218">
        <f t="shared" si="0"/>
        <v>225.88</v>
      </c>
    </row>
    <row r="34" spans="1:26">
      <c r="A34" s="218" t="s">
        <v>2592</v>
      </c>
      <c r="B34" s="218"/>
      <c r="C34" s="218"/>
      <c r="D34" s="218"/>
      <c r="E34" s="218"/>
      <c r="F34" s="219" t="s">
        <v>2645</v>
      </c>
      <c r="G34" s="218" t="s">
        <v>218</v>
      </c>
      <c r="H34" s="218" t="s">
        <v>309</v>
      </c>
      <c r="I34" s="223">
        <v>43830</v>
      </c>
      <c r="J34" s="218" t="s">
        <v>2587</v>
      </c>
      <c r="K34" s="218" t="s">
        <v>2630</v>
      </c>
      <c r="L34" s="218" t="s">
        <v>2589</v>
      </c>
      <c r="M34" s="218" t="s">
        <v>2646</v>
      </c>
      <c r="N34" s="218">
        <v>96.66</v>
      </c>
      <c r="O34" s="218" t="s">
        <v>292</v>
      </c>
      <c r="P34" s="218">
        <v>125</v>
      </c>
      <c r="Q34" s="218" t="s">
        <v>752</v>
      </c>
      <c r="R34" s="218" t="s">
        <v>1587</v>
      </c>
      <c r="S34" s="218" t="s">
        <v>396</v>
      </c>
      <c r="T34" s="218" t="s">
        <v>2591</v>
      </c>
      <c r="U34" s="218" t="s">
        <v>740</v>
      </c>
      <c r="V34" s="218" t="s">
        <v>381</v>
      </c>
      <c r="W34" s="218" t="s">
        <v>295</v>
      </c>
      <c r="X34" s="218" t="s">
        <v>379</v>
      </c>
      <c r="Y34" s="218">
        <v>113.48</v>
      </c>
      <c r="Z34" s="218">
        <f t="shared" si="0"/>
        <v>125</v>
      </c>
    </row>
    <row r="35" spans="1:26">
      <c r="A35" s="218" t="s">
        <v>2592</v>
      </c>
      <c r="B35" s="218"/>
      <c r="C35" s="218"/>
      <c r="D35" s="218"/>
      <c r="E35" s="218"/>
      <c r="F35" s="219" t="s">
        <v>2647</v>
      </c>
      <c r="G35" s="218" t="s">
        <v>218</v>
      </c>
      <c r="H35" s="218" t="s">
        <v>309</v>
      </c>
      <c r="I35" s="223">
        <v>43830</v>
      </c>
      <c r="J35" s="218" t="s">
        <v>2587</v>
      </c>
      <c r="K35" s="218" t="s">
        <v>2648</v>
      </c>
      <c r="L35" s="218" t="s">
        <v>2589</v>
      </c>
      <c r="M35" s="218" t="s">
        <v>2649</v>
      </c>
      <c r="N35" s="218">
        <v>193.31</v>
      </c>
      <c r="O35" s="218" t="s">
        <v>292</v>
      </c>
      <c r="P35" s="218">
        <v>250</v>
      </c>
      <c r="Q35" s="218" t="s">
        <v>752</v>
      </c>
      <c r="R35" s="218" t="s">
        <v>1587</v>
      </c>
      <c r="S35" s="218" t="s">
        <v>396</v>
      </c>
      <c r="T35" s="218" t="s">
        <v>2591</v>
      </c>
      <c r="U35" s="218" t="s">
        <v>740</v>
      </c>
      <c r="V35" s="218" t="s">
        <v>381</v>
      </c>
      <c r="W35" s="218" t="s">
        <v>295</v>
      </c>
      <c r="X35" s="218" t="s">
        <v>379</v>
      </c>
      <c r="Y35" s="218">
        <v>226.94</v>
      </c>
      <c r="Z35" s="218">
        <f t="shared" si="0"/>
        <v>250</v>
      </c>
    </row>
    <row r="36" spans="1:26">
      <c r="A36" s="218" t="s">
        <v>2592</v>
      </c>
      <c r="B36" s="218"/>
      <c r="C36" s="218"/>
      <c r="D36" s="218"/>
      <c r="E36" s="218"/>
      <c r="F36" s="219" t="s">
        <v>2650</v>
      </c>
      <c r="G36" s="218" t="s">
        <v>218</v>
      </c>
      <c r="H36" s="218" t="s">
        <v>309</v>
      </c>
      <c r="I36" s="223">
        <v>43830</v>
      </c>
      <c r="J36" s="218" t="s">
        <v>2587</v>
      </c>
      <c r="K36" s="218" t="s">
        <v>2651</v>
      </c>
      <c r="L36" s="218" t="s">
        <v>2589</v>
      </c>
      <c r="M36" s="218" t="s">
        <v>2652</v>
      </c>
      <c r="N36" s="218">
        <v>77.33</v>
      </c>
      <c r="O36" s="218" t="s">
        <v>292</v>
      </c>
      <c r="P36" s="218">
        <v>100</v>
      </c>
      <c r="Q36" s="218" t="s">
        <v>752</v>
      </c>
      <c r="R36" s="218" t="s">
        <v>1587</v>
      </c>
      <c r="S36" s="218" t="s">
        <v>396</v>
      </c>
      <c r="T36" s="218" t="s">
        <v>2591</v>
      </c>
      <c r="U36" s="218" t="s">
        <v>740</v>
      </c>
      <c r="V36" s="218" t="s">
        <v>381</v>
      </c>
      <c r="W36" s="218" t="s">
        <v>295</v>
      </c>
      <c r="X36" s="218" t="s">
        <v>379</v>
      </c>
      <c r="Y36" s="218">
        <v>90.78</v>
      </c>
      <c r="Z36" s="218">
        <f t="shared" si="0"/>
        <v>100</v>
      </c>
    </row>
    <row r="37" spans="1:26">
      <c r="A37" s="218" t="s">
        <v>2592</v>
      </c>
      <c r="B37" s="218"/>
      <c r="C37" s="218"/>
      <c r="D37" s="218"/>
      <c r="E37" s="218"/>
      <c r="F37" s="219" t="s">
        <v>2653</v>
      </c>
      <c r="G37" s="218" t="s">
        <v>218</v>
      </c>
      <c r="H37" s="218" t="s">
        <v>309</v>
      </c>
      <c r="I37" s="223">
        <v>43830</v>
      </c>
      <c r="J37" s="218" t="s">
        <v>2587</v>
      </c>
      <c r="K37" s="218" t="s">
        <v>2630</v>
      </c>
      <c r="L37" s="218" t="s">
        <v>2589</v>
      </c>
      <c r="M37" s="218" t="s">
        <v>2654</v>
      </c>
      <c r="N37" s="218">
        <v>96.66</v>
      </c>
      <c r="O37" s="218" t="s">
        <v>292</v>
      </c>
      <c r="P37" s="218">
        <v>125</v>
      </c>
      <c r="Q37" s="218" t="s">
        <v>752</v>
      </c>
      <c r="R37" s="218" t="s">
        <v>1587</v>
      </c>
      <c r="S37" s="218" t="s">
        <v>396</v>
      </c>
      <c r="T37" s="218" t="s">
        <v>2591</v>
      </c>
      <c r="U37" s="218" t="s">
        <v>740</v>
      </c>
      <c r="V37" s="218" t="s">
        <v>381</v>
      </c>
      <c r="W37" s="218" t="s">
        <v>295</v>
      </c>
      <c r="X37" s="218" t="s">
        <v>379</v>
      </c>
      <c r="Y37" s="218">
        <v>113.48</v>
      </c>
      <c r="Z37" s="218">
        <f t="shared" si="0"/>
        <v>125</v>
      </c>
    </row>
    <row r="38" spans="1:26">
      <c r="A38" s="218" t="s">
        <v>2592</v>
      </c>
      <c r="B38" s="218"/>
      <c r="C38" s="218"/>
      <c r="D38" s="218"/>
      <c r="E38" s="218"/>
      <c r="F38" s="219" t="s">
        <v>2655</v>
      </c>
      <c r="G38" s="218" t="s">
        <v>218</v>
      </c>
      <c r="H38" s="218" t="s">
        <v>309</v>
      </c>
      <c r="I38" s="223">
        <v>43830</v>
      </c>
      <c r="J38" s="218" t="s">
        <v>2587</v>
      </c>
      <c r="K38" s="218" t="s">
        <v>2648</v>
      </c>
      <c r="L38" s="218" t="s">
        <v>2589</v>
      </c>
      <c r="M38" s="218" t="s">
        <v>2656</v>
      </c>
      <c r="N38" s="218">
        <v>193.31</v>
      </c>
      <c r="O38" s="218" t="s">
        <v>292</v>
      </c>
      <c r="P38" s="218">
        <v>250</v>
      </c>
      <c r="Q38" s="218" t="s">
        <v>752</v>
      </c>
      <c r="R38" s="218" t="s">
        <v>1587</v>
      </c>
      <c r="S38" s="218" t="s">
        <v>396</v>
      </c>
      <c r="T38" s="218" t="s">
        <v>2591</v>
      </c>
      <c r="U38" s="218" t="s">
        <v>740</v>
      </c>
      <c r="V38" s="218" t="s">
        <v>381</v>
      </c>
      <c r="W38" s="218" t="s">
        <v>295</v>
      </c>
      <c r="X38" s="218" t="s">
        <v>379</v>
      </c>
      <c r="Y38" s="218">
        <v>226.94</v>
      </c>
      <c r="Z38" s="218">
        <f t="shared" si="0"/>
        <v>250</v>
      </c>
    </row>
    <row r="39" spans="1:26">
      <c r="A39" s="218" t="s">
        <v>2592</v>
      </c>
      <c r="B39" s="218"/>
      <c r="C39" s="218"/>
      <c r="D39" s="218"/>
      <c r="E39" s="218"/>
      <c r="F39" s="219" t="s">
        <v>2657</v>
      </c>
      <c r="G39" s="218" t="s">
        <v>218</v>
      </c>
      <c r="H39" s="218" t="s">
        <v>309</v>
      </c>
      <c r="I39" s="223">
        <v>43830</v>
      </c>
      <c r="J39" s="218" t="s">
        <v>2587</v>
      </c>
      <c r="K39" s="218" t="s">
        <v>2651</v>
      </c>
      <c r="L39" s="218" t="s">
        <v>2589</v>
      </c>
      <c r="M39" s="218" t="s">
        <v>2658</v>
      </c>
      <c r="N39" s="218">
        <v>77.33</v>
      </c>
      <c r="O39" s="218" t="s">
        <v>292</v>
      </c>
      <c r="P39" s="218">
        <v>100</v>
      </c>
      <c r="Q39" s="218" t="s">
        <v>752</v>
      </c>
      <c r="R39" s="218" t="s">
        <v>1587</v>
      </c>
      <c r="S39" s="218" t="s">
        <v>396</v>
      </c>
      <c r="T39" s="218" t="s">
        <v>2591</v>
      </c>
      <c r="U39" s="218" t="s">
        <v>740</v>
      </c>
      <c r="V39" s="218" t="s">
        <v>381</v>
      </c>
      <c r="W39" s="218" t="s">
        <v>295</v>
      </c>
      <c r="X39" s="218" t="s">
        <v>379</v>
      </c>
      <c r="Y39" s="218">
        <v>90.78</v>
      </c>
      <c r="Z39" s="218">
        <f t="shared" si="0"/>
        <v>100</v>
      </c>
    </row>
    <row r="40" spans="1:26">
      <c r="A40" s="218" t="s">
        <v>2592</v>
      </c>
      <c r="B40" s="218"/>
      <c r="C40" s="218"/>
      <c r="D40" s="218"/>
      <c r="E40" s="218"/>
      <c r="F40" s="219" t="s">
        <v>2659</v>
      </c>
      <c r="G40" s="218" t="s">
        <v>218</v>
      </c>
      <c r="H40" s="218" t="s">
        <v>309</v>
      </c>
      <c r="I40" s="223">
        <v>43830</v>
      </c>
      <c r="J40" s="218" t="s">
        <v>2587</v>
      </c>
      <c r="K40" s="218" t="s">
        <v>2630</v>
      </c>
      <c r="L40" s="218" t="s">
        <v>2589</v>
      </c>
      <c r="M40" s="218" t="s">
        <v>2654</v>
      </c>
      <c r="N40" s="218">
        <v>96.66</v>
      </c>
      <c r="O40" s="218" t="s">
        <v>292</v>
      </c>
      <c r="P40" s="218">
        <v>125</v>
      </c>
      <c r="Q40" s="218" t="s">
        <v>752</v>
      </c>
      <c r="R40" s="218" t="s">
        <v>1587</v>
      </c>
      <c r="S40" s="218" t="s">
        <v>396</v>
      </c>
      <c r="T40" s="218" t="s">
        <v>2591</v>
      </c>
      <c r="U40" s="218" t="s">
        <v>740</v>
      </c>
      <c r="V40" s="218" t="s">
        <v>381</v>
      </c>
      <c r="W40" s="218" t="s">
        <v>295</v>
      </c>
      <c r="X40" s="218" t="s">
        <v>379</v>
      </c>
      <c r="Y40" s="218">
        <v>113.48</v>
      </c>
      <c r="Z40" s="218">
        <f t="shared" si="0"/>
        <v>125</v>
      </c>
    </row>
    <row r="41" spans="1:26">
      <c r="A41" s="218" t="s">
        <v>2592</v>
      </c>
      <c r="B41" s="218"/>
      <c r="C41" s="218"/>
      <c r="D41" s="218"/>
      <c r="E41" s="218"/>
      <c r="F41" s="219" t="s">
        <v>2660</v>
      </c>
      <c r="G41" s="218" t="s">
        <v>218</v>
      </c>
      <c r="H41" s="218" t="s">
        <v>309</v>
      </c>
      <c r="I41" s="223">
        <v>43830</v>
      </c>
      <c r="J41" s="218" t="s">
        <v>2587</v>
      </c>
      <c r="K41" s="218" t="s">
        <v>2648</v>
      </c>
      <c r="L41" s="218" t="s">
        <v>2589</v>
      </c>
      <c r="M41" s="218" t="s">
        <v>2656</v>
      </c>
      <c r="N41" s="218">
        <v>193.31</v>
      </c>
      <c r="O41" s="218" t="s">
        <v>292</v>
      </c>
      <c r="P41" s="218">
        <v>250</v>
      </c>
      <c r="Q41" s="218" t="s">
        <v>752</v>
      </c>
      <c r="R41" s="218" t="s">
        <v>1587</v>
      </c>
      <c r="S41" s="218" t="s">
        <v>396</v>
      </c>
      <c r="T41" s="218" t="s">
        <v>2591</v>
      </c>
      <c r="U41" s="218" t="s">
        <v>740</v>
      </c>
      <c r="V41" s="218" t="s">
        <v>381</v>
      </c>
      <c r="W41" s="218" t="s">
        <v>295</v>
      </c>
      <c r="X41" s="218" t="s">
        <v>379</v>
      </c>
      <c r="Y41" s="218">
        <v>226.94</v>
      </c>
      <c r="Z41" s="218">
        <f t="shared" si="0"/>
        <v>250</v>
      </c>
    </row>
    <row r="42" spans="1:26">
      <c r="A42" s="218" t="s">
        <v>2592</v>
      </c>
      <c r="B42" s="218"/>
      <c r="C42" s="218"/>
      <c r="D42" s="218"/>
      <c r="E42" s="218"/>
      <c r="F42" s="219" t="s">
        <v>2661</v>
      </c>
      <c r="G42" s="218" t="s">
        <v>218</v>
      </c>
      <c r="H42" s="218" t="s">
        <v>309</v>
      </c>
      <c r="I42" s="223">
        <v>43830</v>
      </c>
      <c r="J42" s="218" t="s">
        <v>2587</v>
      </c>
      <c r="K42" s="218" t="s">
        <v>2651</v>
      </c>
      <c r="L42" s="218" t="s">
        <v>2589</v>
      </c>
      <c r="M42" s="218" t="s">
        <v>2662</v>
      </c>
      <c r="N42" s="218">
        <v>77.33</v>
      </c>
      <c r="O42" s="218" t="s">
        <v>292</v>
      </c>
      <c r="P42" s="218">
        <v>100</v>
      </c>
      <c r="Q42" s="218" t="s">
        <v>752</v>
      </c>
      <c r="R42" s="218" t="s">
        <v>1587</v>
      </c>
      <c r="S42" s="218" t="s">
        <v>396</v>
      </c>
      <c r="T42" s="218" t="s">
        <v>2591</v>
      </c>
      <c r="U42" s="218" t="s">
        <v>740</v>
      </c>
      <c r="V42" s="218" t="s">
        <v>381</v>
      </c>
      <c r="W42" s="218" t="s">
        <v>295</v>
      </c>
      <c r="X42" s="218" t="s">
        <v>379</v>
      </c>
      <c r="Y42" s="218">
        <v>90.78</v>
      </c>
      <c r="Z42" s="218">
        <f t="shared" si="0"/>
        <v>100</v>
      </c>
    </row>
    <row r="43" spans="1:26">
      <c r="A43" s="218" t="s">
        <v>2592</v>
      </c>
      <c r="B43" s="218"/>
      <c r="C43" s="218"/>
      <c r="D43" s="218"/>
      <c r="E43" s="218"/>
      <c r="F43" s="219" t="s">
        <v>2663</v>
      </c>
      <c r="G43" s="218" t="s">
        <v>218</v>
      </c>
      <c r="H43" s="218" t="s">
        <v>309</v>
      </c>
      <c r="I43" s="223">
        <v>43830</v>
      </c>
      <c r="J43" s="218" t="s">
        <v>2587</v>
      </c>
      <c r="K43" s="218" t="s">
        <v>2664</v>
      </c>
      <c r="L43" s="218" t="s">
        <v>2589</v>
      </c>
      <c r="M43" s="218" t="s">
        <v>2665</v>
      </c>
      <c r="N43" s="218">
        <v>509.67</v>
      </c>
      <c r="O43" s="218" t="s">
        <v>292</v>
      </c>
      <c r="P43" s="218">
        <v>659.11</v>
      </c>
      <c r="Q43" s="218" t="s">
        <v>752</v>
      </c>
      <c r="R43" s="218" t="s">
        <v>1587</v>
      </c>
      <c r="S43" s="218" t="s">
        <v>396</v>
      </c>
      <c r="T43" s="218" t="s">
        <v>2591</v>
      </c>
      <c r="U43" s="218" t="s">
        <v>740</v>
      </c>
      <c r="V43" s="218" t="s">
        <v>381</v>
      </c>
      <c r="W43" s="218" t="s">
        <v>295</v>
      </c>
      <c r="X43" s="218" t="s">
        <v>379</v>
      </c>
      <c r="Y43" s="218">
        <v>598.34</v>
      </c>
      <c r="Z43" s="218">
        <f t="shared" si="0"/>
        <v>659.11</v>
      </c>
    </row>
    <row r="44" spans="1:26">
      <c r="A44" s="218" t="s">
        <v>2592</v>
      </c>
      <c r="B44" s="218"/>
      <c r="C44" s="218"/>
      <c r="D44" s="218"/>
      <c r="E44" s="218"/>
      <c r="F44" s="219" t="s">
        <v>2666</v>
      </c>
      <c r="G44" s="218" t="s">
        <v>220</v>
      </c>
      <c r="H44" s="218" t="s">
        <v>309</v>
      </c>
      <c r="I44" s="223">
        <v>43769</v>
      </c>
      <c r="J44" s="218" t="s">
        <v>2667</v>
      </c>
      <c r="K44" s="218" t="s">
        <v>2595</v>
      </c>
      <c r="L44" s="218" t="s">
        <v>2596</v>
      </c>
      <c r="M44" s="218" t="s">
        <v>1678</v>
      </c>
      <c r="N44" s="218">
        <v>-2.7</v>
      </c>
      <c r="O44" s="218" t="s">
        <v>292</v>
      </c>
      <c r="P44" s="218">
        <v>-3.3</v>
      </c>
      <c r="Q44" s="218" t="s">
        <v>595</v>
      </c>
      <c r="R44" s="218" t="s">
        <v>1679</v>
      </c>
      <c r="S44" s="218" t="s">
        <v>400</v>
      </c>
      <c r="T44" s="218" t="s">
        <v>469</v>
      </c>
      <c r="U44" s="218" t="s">
        <v>2591</v>
      </c>
      <c r="V44" s="218" t="s">
        <v>381</v>
      </c>
      <c r="W44" s="218" t="s">
        <v>295</v>
      </c>
      <c r="X44" s="218" t="s">
        <v>379</v>
      </c>
      <c r="Y44" s="218">
        <v>-3.04</v>
      </c>
      <c r="Z44" s="218">
        <f t="shared" si="0"/>
        <v>-3.3</v>
      </c>
    </row>
    <row r="45" spans="1:26">
      <c r="A45" s="218" t="s">
        <v>2592</v>
      </c>
      <c r="B45" s="218"/>
      <c r="C45" s="218"/>
      <c r="D45" s="218"/>
      <c r="E45" s="218"/>
      <c r="F45" s="219" t="s">
        <v>2668</v>
      </c>
      <c r="G45" s="218" t="s">
        <v>221</v>
      </c>
      <c r="H45" s="218" t="s">
        <v>309</v>
      </c>
      <c r="I45" s="223">
        <v>43769</v>
      </c>
      <c r="J45" s="218" t="s">
        <v>2669</v>
      </c>
      <c r="K45" s="218" t="s">
        <v>2595</v>
      </c>
      <c r="L45" s="218" t="s">
        <v>2596</v>
      </c>
      <c r="M45" s="218" t="s">
        <v>1683</v>
      </c>
      <c r="N45" s="218">
        <v>-345.34</v>
      </c>
      <c r="O45" s="218" t="s">
        <v>292</v>
      </c>
      <c r="P45" s="218">
        <v>-420</v>
      </c>
      <c r="Q45" s="218" t="s">
        <v>1034</v>
      </c>
      <c r="R45" s="218" t="s">
        <v>1572</v>
      </c>
      <c r="S45" s="218" t="s">
        <v>396</v>
      </c>
      <c r="T45" s="218" t="s">
        <v>2591</v>
      </c>
      <c r="U45" s="218" t="s">
        <v>2591</v>
      </c>
      <c r="V45" s="218" t="s">
        <v>381</v>
      </c>
      <c r="W45" s="218" t="s">
        <v>295</v>
      </c>
      <c r="X45" s="218" t="s">
        <v>379</v>
      </c>
      <c r="Y45" s="218">
        <v>-388.99</v>
      </c>
      <c r="Z45" s="218">
        <f t="shared" si="0"/>
        <v>-420</v>
      </c>
    </row>
    <row r="46" spans="1:26">
      <c r="A46" s="218" t="s">
        <v>2592</v>
      </c>
      <c r="B46" s="218"/>
      <c r="C46" s="218"/>
      <c r="D46" s="218"/>
      <c r="E46" s="218"/>
      <c r="F46" s="219" t="s">
        <v>2670</v>
      </c>
      <c r="G46" s="218" t="s">
        <v>223</v>
      </c>
      <c r="H46" s="218" t="s">
        <v>309</v>
      </c>
      <c r="I46" s="223">
        <v>43830</v>
      </c>
      <c r="J46" s="218" t="s">
        <v>2587</v>
      </c>
      <c r="K46" s="218" t="s">
        <v>2651</v>
      </c>
      <c r="L46" s="218" t="s">
        <v>2589</v>
      </c>
      <c r="M46" s="218" t="s">
        <v>2671</v>
      </c>
      <c r="N46" s="218">
        <v>7.73</v>
      </c>
      <c r="O46" s="218" t="s">
        <v>292</v>
      </c>
      <c r="P46" s="218">
        <v>10</v>
      </c>
      <c r="Q46" s="218" t="s">
        <v>752</v>
      </c>
      <c r="R46" s="218" t="s">
        <v>1587</v>
      </c>
      <c r="S46" s="218" t="s">
        <v>396</v>
      </c>
      <c r="T46" s="218" t="s">
        <v>2591</v>
      </c>
      <c r="U46" s="218" t="s">
        <v>740</v>
      </c>
      <c r="V46" s="218" t="s">
        <v>381</v>
      </c>
      <c r="W46" s="218" t="s">
        <v>295</v>
      </c>
      <c r="X46" s="218" t="s">
        <v>379</v>
      </c>
      <c r="Y46" s="218">
        <v>9.07</v>
      </c>
      <c r="Z46" s="218">
        <f t="shared" si="0"/>
        <v>10</v>
      </c>
    </row>
    <row r="47" spans="1:26">
      <c r="A47" s="218" t="s">
        <v>2592</v>
      </c>
      <c r="B47" s="218"/>
      <c r="C47" s="218"/>
      <c r="D47" s="218"/>
      <c r="E47" s="218"/>
      <c r="F47" s="219" t="s">
        <v>2672</v>
      </c>
      <c r="G47" s="218" t="s">
        <v>223</v>
      </c>
      <c r="H47" s="218" t="s">
        <v>309</v>
      </c>
      <c r="I47" s="223">
        <v>43830</v>
      </c>
      <c r="J47" s="218" t="s">
        <v>2587</v>
      </c>
      <c r="K47" s="218" t="s">
        <v>2673</v>
      </c>
      <c r="L47" s="218" t="s">
        <v>2589</v>
      </c>
      <c r="M47" s="218" t="s">
        <v>2674</v>
      </c>
      <c r="N47" s="218">
        <v>96.66</v>
      </c>
      <c r="O47" s="218" t="s">
        <v>292</v>
      </c>
      <c r="P47" s="218">
        <v>125</v>
      </c>
      <c r="Q47" s="218" t="s">
        <v>752</v>
      </c>
      <c r="R47" s="218" t="s">
        <v>1587</v>
      </c>
      <c r="S47" s="218" t="s">
        <v>396</v>
      </c>
      <c r="T47" s="218" t="s">
        <v>2591</v>
      </c>
      <c r="U47" s="218" t="s">
        <v>740</v>
      </c>
      <c r="V47" s="218" t="s">
        <v>381</v>
      </c>
      <c r="W47" s="218" t="s">
        <v>295</v>
      </c>
      <c r="X47" s="218" t="s">
        <v>379</v>
      </c>
      <c r="Y47" s="218">
        <v>113.48</v>
      </c>
      <c r="Z47" s="218">
        <f t="shared" si="0"/>
        <v>125</v>
      </c>
    </row>
    <row r="48" spans="1:26">
      <c r="A48" s="218" t="s">
        <v>2592</v>
      </c>
      <c r="B48" s="218"/>
      <c r="C48" s="218"/>
      <c r="D48" s="218"/>
      <c r="E48" s="218"/>
      <c r="F48" s="219" t="s">
        <v>2675</v>
      </c>
      <c r="G48" s="218" t="s">
        <v>223</v>
      </c>
      <c r="H48" s="218" t="s">
        <v>309</v>
      </c>
      <c r="I48" s="223">
        <v>43830</v>
      </c>
      <c r="J48" s="218" t="s">
        <v>2587</v>
      </c>
      <c r="K48" s="218" t="s">
        <v>2676</v>
      </c>
      <c r="L48" s="218" t="s">
        <v>2589</v>
      </c>
      <c r="M48" s="218" t="s">
        <v>2677</v>
      </c>
      <c r="N48" s="218">
        <v>18.559999999999999</v>
      </c>
      <c r="O48" s="218" t="s">
        <v>292</v>
      </c>
      <c r="P48" s="218">
        <v>24</v>
      </c>
      <c r="Q48" s="218" t="s">
        <v>752</v>
      </c>
      <c r="R48" s="218" t="s">
        <v>1587</v>
      </c>
      <c r="S48" s="218" t="s">
        <v>396</v>
      </c>
      <c r="T48" s="218" t="s">
        <v>2591</v>
      </c>
      <c r="U48" s="218" t="s">
        <v>740</v>
      </c>
      <c r="V48" s="218" t="s">
        <v>381</v>
      </c>
      <c r="W48" s="218" t="s">
        <v>295</v>
      </c>
      <c r="X48" s="218" t="s">
        <v>379</v>
      </c>
      <c r="Y48" s="218">
        <v>21.79</v>
      </c>
      <c r="Z48" s="218">
        <f t="shared" si="0"/>
        <v>24</v>
      </c>
    </row>
    <row r="49" spans="1:26">
      <c r="A49" s="218" t="s">
        <v>2592</v>
      </c>
      <c r="B49" s="218"/>
      <c r="C49" s="218"/>
      <c r="D49" s="218"/>
      <c r="E49" s="218"/>
      <c r="F49" s="219" t="s">
        <v>2678</v>
      </c>
      <c r="G49" s="218" t="s">
        <v>224</v>
      </c>
      <c r="H49" s="218" t="s">
        <v>309</v>
      </c>
      <c r="I49" s="223">
        <v>43830</v>
      </c>
      <c r="J49" s="218" t="s">
        <v>2587</v>
      </c>
      <c r="K49" s="218" t="s">
        <v>2630</v>
      </c>
      <c r="L49" s="218" t="s">
        <v>2589</v>
      </c>
      <c r="M49" s="218" t="s">
        <v>1450</v>
      </c>
      <c r="N49" s="218">
        <v>23.2</v>
      </c>
      <c r="O49" s="218" t="s">
        <v>292</v>
      </c>
      <c r="P49" s="218">
        <v>30</v>
      </c>
      <c r="Q49" s="218" t="s">
        <v>752</v>
      </c>
      <c r="R49" s="218" t="s">
        <v>1587</v>
      </c>
      <c r="S49" s="218" t="s">
        <v>396</v>
      </c>
      <c r="T49" s="218" t="s">
        <v>2591</v>
      </c>
      <c r="U49" s="218" t="s">
        <v>740</v>
      </c>
      <c r="V49" s="218" t="s">
        <v>381</v>
      </c>
      <c r="W49" s="218" t="s">
        <v>295</v>
      </c>
      <c r="X49" s="218" t="s">
        <v>379</v>
      </c>
      <c r="Y49" s="218">
        <v>27.24</v>
      </c>
      <c r="Z49" s="218">
        <f t="shared" si="0"/>
        <v>30</v>
      </c>
    </row>
    <row r="50" spans="1:26">
      <c r="A50" s="218" t="s">
        <v>2592</v>
      </c>
      <c r="B50" s="218"/>
      <c r="C50" s="218"/>
      <c r="D50" s="218"/>
      <c r="E50" s="218"/>
      <c r="F50" s="219" t="s">
        <v>2679</v>
      </c>
      <c r="G50" s="218" t="s">
        <v>224</v>
      </c>
      <c r="H50" s="218" t="s">
        <v>309</v>
      </c>
      <c r="I50" s="223">
        <v>43830</v>
      </c>
      <c r="J50" s="218" t="s">
        <v>2587</v>
      </c>
      <c r="K50" s="218" t="s">
        <v>2630</v>
      </c>
      <c r="L50" s="218" t="s">
        <v>2589</v>
      </c>
      <c r="M50" s="218" t="s">
        <v>2644</v>
      </c>
      <c r="N50" s="218">
        <v>62.01</v>
      </c>
      <c r="O50" s="218" t="s">
        <v>292</v>
      </c>
      <c r="P50" s="218">
        <v>80.19</v>
      </c>
      <c r="Q50" s="218" t="s">
        <v>752</v>
      </c>
      <c r="R50" s="218" t="s">
        <v>1587</v>
      </c>
      <c r="S50" s="218" t="s">
        <v>396</v>
      </c>
      <c r="T50" s="218" t="s">
        <v>2591</v>
      </c>
      <c r="U50" s="218" t="s">
        <v>740</v>
      </c>
      <c r="V50" s="218" t="s">
        <v>381</v>
      </c>
      <c r="W50" s="218" t="s">
        <v>295</v>
      </c>
      <c r="X50" s="218" t="s">
        <v>379</v>
      </c>
      <c r="Y50" s="218">
        <v>72.8</v>
      </c>
      <c r="Z50" s="218">
        <f t="shared" si="0"/>
        <v>80.19</v>
      </c>
    </row>
    <row r="51" spans="1:26">
      <c r="A51" s="218" t="s">
        <v>2592</v>
      </c>
      <c r="B51" s="218"/>
      <c r="C51" s="218"/>
      <c r="D51" s="218"/>
      <c r="E51" s="218"/>
      <c r="F51" s="219" t="s">
        <v>2680</v>
      </c>
      <c r="G51" s="218" t="s">
        <v>224</v>
      </c>
      <c r="H51" s="218" t="s">
        <v>309</v>
      </c>
      <c r="I51" s="223">
        <v>43830</v>
      </c>
      <c r="J51" s="218" t="s">
        <v>2587</v>
      </c>
      <c r="K51" s="218" t="s">
        <v>2630</v>
      </c>
      <c r="L51" s="218" t="s">
        <v>2589</v>
      </c>
      <c r="M51" s="218" t="s">
        <v>2681</v>
      </c>
      <c r="N51" s="218">
        <v>90.86</v>
      </c>
      <c r="O51" s="218" t="s">
        <v>292</v>
      </c>
      <c r="P51" s="218">
        <v>117.5</v>
      </c>
      <c r="Q51" s="218" t="s">
        <v>752</v>
      </c>
      <c r="R51" s="218" t="s">
        <v>1587</v>
      </c>
      <c r="S51" s="218" t="s">
        <v>396</v>
      </c>
      <c r="T51" s="218" t="s">
        <v>2591</v>
      </c>
      <c r="U51" s="218" t="s">
        <v>740</v>
      </c>
      <c r="V51" s="218" t="s">
        <v>381</v>
      </c>
      <c r="W51" s="218" t="s">
        <v>295</v>
      </c>
      <c r="X51" s="218" t="s">
        <v>379</v>
      </c>
      <c r="Y51" s="218">
        <v>106.67</v>
      </c>
      <c r="Z51" s="218">
        <f t="shared" si="0"/>
        <v>117.5</v>
      </c>
    </row>
    <row r="52" spans="1:26">
      <c r="A52" s="218" t="s">
        <v>2592</v>
      </c>
      <c r="B52" s="218"/>
      <c r="C52" s="218"/>
      <c r="D52" s="218"/>
      <c r="E52" s="218"/>
      <c r="F52" s="219" t="s">
        <v>2682</v>
      </c>
      <c r="G52" s="218" t="s">
        <v>224</v>
      </c>
      <c r="H52" s="218" t="s">
        <v>309</v>
      </c>
      <c r="I52" s="223">
        <v>43830</v>
      </c>
      <c r="J52" s="218" t="s">
        <v>2587</v>
      </c>
      <c r="K52" s="218" t="s">
        <v>2648</v>
      </c>
      <c r="L52" s="218" t="s">
        <v>2589</v>
      </c>
      <c r="M52" s="218" t="s">
        <v>2683</v>
      </c>
      <c r="N52" s="218">
        <v>100.52</v>
      </c>
      <c r="O52" s="218" t="s">
        <v>292</v>
      </c>
      <c r="P52" s="218">
        <v>130</v>
      </c>
      <c r="Q52" s="218" t="s">
        <v>752</v>
      </c>
      <c r="R52" s="218" t="s">
        <v>1587</v>
      </c>
      <c r="S52" s="218" t="s">
        <v>396</v>
      </c>
      <c r="T52" s="218" t="s">
        <v>2591</v>
      </c>
      <c r="U52" s="218" t="s">
        <v>740</v>
      </c>
      <c r="V52" s="218" t="s">
        <v>381</v>
      </c>
      <c r="W52" s="218" t="s">
        <v>295</v>
      </c>
      <c r="X52" s="218" t="s">
        <v>379</v>
      </c>
      <c r="Y52" s="218">
        <v>118.01</v>
      </c>
      <c r="Z52" s="218">
        <f t="shared" si="0"/>
        <v>130</v>
      </c>
    </row>
    <row r="53" spans="1:26">
      <c r="A53" s="218" t="s">
        <v>2592</v>
      </c>
      <c r="B53" s="218"/>
      <c r="C53" s="218"/>
      <c r="D53" s="218"/>
      <c r="E53" s="218"/>
      <c r="F53" s="219" t="s">
        <v>2684</v>
      </c>
      <c r="G53" s="218" t="s">
        <v>224</v>
      </c>
      <c r="H53" s="218" t="s">
        <v>309</v>
      </c>
      <c r="I53" s="223">
        <v>43830</v>
      </c>
      <c r="J53" s="218" t="s">
        <v>2587</v>
      </c>
      <c r="K53" s="218" t="s">
        <v>2648</v>
      </c>
      <c r="L53" s="218" t="s">
        <v>2589</v>
      </c>
      <c r="M53" s="218" t="s">
        <v>2685</v>
      </c>
      <c r="N53" s="218">
        <v>162.38</v>
      </c>
      <c r="O53" s="218" t="s">
        <v>292</v>
      </c>
      <c r="P53" s="218">
        <v>210</v>
      </c>
      <c r="Q53" s="218" t="s">
        <v>752</v>
      </c>
      <c r="R53" s="218" t="s">
        <v>1587</v>
      </c>
      <c r="S53" s="218" t="s">
        <v>396</v>
      </c>
      <c r="T53" s="218" t="s">
        <v>2591</v>
      </c>
      <c r="U53" s="218" t="s">
        <v>740</v>
      </c>
      <c r="V53" s="218" t="s">
        <v>381</v>
      </c>
      <c r="W53" s="218" t="s">
        <v>295</v>
      </c>
      <c r="X53" s="218" t="s">
        <v>379</v>
      </c>
      <c r="Y53" s="218">
        <v>190.63</v>
      </c>
      <c r="Z53" s="218">
        <f t="shared" si="0"/>
        <v>210</v>
      </c>
    </row>
    <row r="54" spans="1:26">
      <c r="A54" s="218" t="s">
        <v>2592</v>
      </c>
      <c r="B54" s="218"/>
      <c r="C54" s="218"/>
      <c r="D54" s="218"/>
      <c r="E54" s="218"/>
      <c r="F54" s="219" t="s">
        <v>2686</v>
      </c>
      <c r="G54" s="218" t="s">
        <v>224</v>
      </c>
      <c r="H54" s="218" t="s">
        <v>309</v>
      </c>
      <c r="I54" s="223">
        <v>43830</v>
      </c>
      <c r="J54" s="218" t="s">
        <v>2587</v>
      </c>
      <c r="K54" s="218" t="s">
        <v>2651</v>
      </c>
      <c r="L54" s="218" t="s">
        <v>2589</v>
      </c>
      <c r="M54" s="218" t="s">
        <v>2658</v>
      </c>
      <c r="N54" s="218">
        <v>77.33</v>
      </c>
      <c r="O54" s="218" t="s">
        <v>292</v>
      </c>
      <c r="P54" s="218">
        <v>100</v>
      </c>
      <c r="Q54" s="218" t="s">
        <v>752</v>
      </c>
      <c r="R54" s="218" t="s">
        <v>1587</v>
      </c>
      <c r="S54" s="218" t="s">
        <v>396</v>
      </c>
      <c r="T54" s="218" t="s">
        <v>2591</v>
      </c>
      <c r="U54" s="218" t="s">
        <v>740</v>
      </c>
      <c r="V54" s="218" t="s">
        <v>381</v>
      </c>
      <c r="W54" s="218" t="s">
        <v>295</v>
      </c>
      <c r="X54" s="218" t="s">
        <v>379</v>
      </c>
      <c r="Y54" s="218">
        <v>90.78</v>
      </c>
      <c r="Z54" s="218">
        <f t="shared" si="0"/>
        <v>100</v>
      </c>
    </row>
    <row r="55" spans="1:26">
      <c r="A55" s="218" t="s">
        <v>2592</v>
      </c>
      <c r="B55" s="218"/>
      <c r="C55" s="218"/>
      <c r="D55" s="218"/>
      <c r="E55" s="218"/>
      <c r="F55" s="219" t="s">
        <v>2687</v>
      </c>
      <c r="G55" s="218" t="s">
        <v>224</v>
      </c>
      <c r="H55" s="218" t="s">
        <v>309</v>
      </c>
      <c r="I55" s="223">
        <v>43830</v>
      </c>
      <c r="J55" s="218" t="s">
        <v>2587</v>
      </c>
      <c r="K55" s="218" t="s">
        <v>2630</v>
      </c>
      <c r="L55" s="218" t="s">
        <v>2589</v>
      </c>
      <c r="M55" s="218" t="s">
        <v>2688</v>
      </c>
      <c r="N55" s="218">
        <v>43.06</v>
      </c>
      <c r="O55" s="218" t="s">
        <v>292</v>
      </c>
      <c r="P55" s="218">
        <v>55.69</v>
      </c>
      <c r="Q55" s="218" t="s">
        <v>752</v>
      </c>
      <c r="R55" s="218" t="s">
        <v>1587</v>
      </c>
      <c r="S55" s="218" t="s">
        <v>396</v>
      </c>
      <c r="T55" s="218" t="s">
        <v>2591</v>
      </c>
      <c r="U55" s="218" t="s">
        <v>740</v>
      </c>
      <c r="V55" s="218" t="s">
        <v>381</v>
      </c>
      <c r="W55" s="218" t="s">
        <v>295</v>
      </c>
      <c r="X55" s="218" t="s">
        <v>379</v>
      </c>
      <c r="Y55" s="218">
        <v>50.55</v>
      </c>
      <c r="Z55" s="218">
        <f t="shared" si="0"/>
        <v>55.69</v>
      </c>
    </row>
    <row r="56" spans="1:26">
      <c r="A56" s="218" t="s">
        <v>2592</v>
      </c>
      <c r="B56" s="218"/>
      <c r="C56" s="218"/>
      <c r="D56" s="218"/>
      <c r="E56" s="218"/>
      <c r="F56" s="219" t="s">
        <v>2689</v>
      </c>
      <c r="G56" s="218" t="s">
        <v>224</v>
      </c>
      <c r="H56" s="218" t="s">
        <v>309</v>
      </c>
      <c r="I56" s="223">
        <v>43830</v>
      </c>
      <c r="J56" s="218" t="s">
        <v>2587</v>
      </c>
      <c r="K56" s="218" t="s">
        <v>2630</v>
      </c>
      <c r="L56" s="218" t="s">
        <v>2589</v>
      </c>
      <c r="M56" s="218" t="s">
        <v>1450</v>
      </c>
      <c r="N56" s="218">
        <v>23.2</v>
      </c>
      <c r="O56" s="218" t="s">
        <v>292</v>
      </c>
      <c r="P56" s="218">
        <v>30</v>
      </c>
      <c r="Q56" s="218" t="s">
        <v>752</v>
      </c>
      <c r="R56" s="218" t="s">
        <v>1587</v>
      </c>
      <c r="S56" s="218" t="s">
        <v>396</v>
      </c>
      <c r="T56" s="218" t="s">
        <v>2591</v>
      </c>
      <c r="U56" s="218" t="s">
        <v>740</v>
      </c>
      <c r="V56" s="218" t="s">
        <v>381</v>
      </c>
      <c r="W56" s="218" t="s">
        <v>295</v>
      </c>
      <c r="X56" s="218" t="s">
        <v>379</v>
      </c>
      <c r="Y56" s="218">
        <v>27.24</v>
      </c>
      <c r="Z56" s="218">
        <f t="shared" si="0"/>
        <v>30</v>
      </c>
    </row>
    <row r="57" spans="1:26">
      <c r="A57" s="218" t="s">
        <v>2592</v>
      </c>
      <c r="B57" s="218"/>
      <c r="C57" s="218"/>
      <c r="D57" s="218"/>
      <c r="E57" s="218"/>
      <c r="F57" s="219" t="s">
        <v>2690</v>
      </c>
      <c r="G57" s="218" t="s">
        <v>224</v>
      </c>
      <c r="H57" s="218" t="s">
        <v>309</v>
      </c>
      <c r="I57" s="223">
        <v>43830</v>
      </c>
      <c r="J57" s="218" t="s">
        <v>2587</v>
      </c>
      <c r="K57" s="218" t="s">
        <v>2664</v>
      </c>
      <c r="L57" s="218" t="s">
        <v>2589</v>
      </c>
      <c r="M57" s="218" t="s">
        <v>2691</v>
      </c>
      <c r="N57" s="218">
        <v>70.34</v>
      </c>
      <c r="O57" s="218" t="s">
        <v>292</v>
      </c>
      <c r="P57" s="218">
        <v>90.88</v>
      </c>
      <c r="Q57" s="218" t="s">
        <v>752</v>
      </c>
      <c r="R57" s="218" t="s">
        <v>1587</v>
      </c>
      <c r="S57" s="218" t="s">
        <v>396</v>
      </c>
      <c r="T57" s="218" t="s">
        <v>2591</v>
      </c>
      <c r="U57" s="218" t="s">
        <v>740</v>
      </c>
      <c r="V57" s="218" t="s">
        <v>381</v>
      </c>
      <c r="W57" s="218" t="s">
        <v>295</v>
      </c>
      <c r="X57" s="218" t="s">
        <v>379</v>
      </c>
      <c r="Y57" s="218">
        <v>82.58</v>
      </c>
      <c r="Z57" s="218">
        <f t="shared" si="0"/>
        <v>90.88</v>
      </c>
    </row>
    <row r="58" spans="1:26">
      <c r="A58" s="218" t="s">
        <v>2592</v>
      </c>
      <c r="B58" s="218"/>
      <c r="C58" s="218"/>
      <c r="D58" s="218"/>
      <c r="E58" s="218"/>
      <c r="F58" s="219" t="s">
        <v>2692</v>
      </c>
      <c r="G58" s="218" t="s">
        <v>224</v>
      </c>
      <c r="H58" s="218" t="s">
        <v>309</v>
      </c>
      <c r="I58" s="223">
        <v>43830</v>
      </c>
      <c r="J58" s="218" t="s">
        <v>2587</v>
      </c>
      <c r="K58" s="218" t="s">
        <v>2651</v>
      </c>
      <c r="L58" s="218" t="s">
        <v>2589</v>
      </c>
      <c r="M58" s="218" t="s">
        <v>2693</v>
      </c>
      <c r="N58" s="218">
        <v>220.95</v>
      </c>
      <c r="O58" s="218" t="s">
        <v>292</v>
      </c>
      <c r="P58" s="218">
        <v>285.74</v>
      </c>
      <c r="Q58" s="218" t="s">
        <v>752</v>
      </c>
      <c r="R58" s="218" t="s">
        <v>1587</v>
      </c>
      <c r="S58" s="218" t="s">
        <v>396</v>
      </c>
      <c r="T58" s="218" t="s">
        <v>2591</v>
      </c>
      <c r="U58" s="218" t="s">
        <v>740</v>
      </c>
      <c r="V58" s="218" t="s">
        <v>381</v>
      </c>
      <c r="W58" s="218" t="s">
        <v>295</v>
      </c>
      <c r="X58" s="218" t="s">
        <v>379</v>
      </c>
      <c r="Y58" s="218">
        <v>259.39</v>
      </c>
      <c r="Z58" s="218">
        <f t="shared" si="0"/>
        <v>285.74</v>
      </c>
    </row>
    <row r="59" spans="1:26">
      <c r="A59" s="218" t="s">
        <v>2592</v>
      </c>
      <c r="B59" s="218"/>
      <c r="C59" s="218"/>
      <c r="D59" s="218"/>
      <c r="E59" s="218"/>
      <c r="F59" s="219" t="s">
        <v>2694</v>
      </c>
      <c r="G59" s="218" t="s">
        <v>224</v>
      </c>
      <c r="H59" s="218" t="s">
        <v>309</v>
      </c>
      <c r="I59" s="223">
        <v>43830</v>
      </c>
      <c r="J59" s="218" t="s">
        <v>2587</v>
      </c>
      <c r="K59" s="218" t="s">
        <v>2664</v>
      </c>
      <c r="L59" s="218" t="s">
        <v>2589</v>
      </c>
      <c r="M59" s="218" t="s">
        <v>2695</v>
      </c>
      <c r="N59" s="218">
        <v>96.66</v>
      </c>
      <c r="O59" s="218" t="s">
        <v>292</v>
      </c>
      <c r="P59" s="218">
        <v>125</v>
      </c>
      <c r="Q59" s="218" t="s">
        <v>752</v>
      </c>
      <c r="R59" s="218" t="s">
        <v>1587</v>
      </c>
      <c r="S59" s="218" t="s">
        <v>396</v>
      </c>
      <c r="T59" s="218" t="s">
        <v>2591</v>
      </c>
      <c r="U59" s="218" t="s">
        <v>740</v>
      </c>
      <c r="V59" s="218" t="s">
        <v>381</v>
      </c>
      <c r="W59" s="218" t="s">
        <v>295</v>
      </c>
      <c r="X59" s="218" t="s">
        <v>379</v>
      </c>
      <c r="Y59" s="218">
        <v>113.48</v>
      </c>
      <c r="Z59" s="218">
        <f t="shared" si="0"/>
        <v>125</v>
      </c>
    </row>
    <row r="60" spans="1:26">
      <c r="A60" s="218" t="s">
        <v>2592</v>
      </c>
      <c r="B60" s="218"/>
      <c r="C60" s="218"/>
      <c r="D60" s="218"/>
      <c r="E60" s="218"/>
      <c r="F60" s="219" t="s">
        <v>2696</v>
      </c>
      <c r="G60" s="218" t="s">
        <v>224</v>
      </c>
      <c r="H60" s="218" t="s">
        <v>309</v>
      </c>
      <c r="I60" s="223">
        <v>43830</v>
      </c>
      <c r="J60" s="218" t="s">
        <v>2587</v>
      </c>
      <c r="K60" s="218" t="s">
        <v>2651</v>
      </c>
      <c r="L60" s="218" t="s">
        <v>2589</v>
      </c>
      <c r="M60" s="218" t="s">
        <v>2697</v>
      </c>
      <c r="N60" s="218">
        <v>77.33</v>
      </c>
      <c r="O60" s="218" t="s">
        <v>292</v>
      </c>
      <c r="P60" s="218">
        <v>100</v>
      </c>
      <c r="Q60" s="218" t="s">
        <v>752</v>
      </c>
      <c r="R60" s="218" t="s">
        <v>1587</v>
      </c>
      <c r="S60" s="218" t="s">
        <v>396</v>
      </c>
      <c r="T60" s="218" t="s">
        <v>2591</v>
      </c>
      <c r="U60" s="218" t="s">
        <v>740</v>
      </c>
      <c r="V60" s="218" t="s">
        <v>381</v>
      </c>
      <c r="W60" s="218" t="s">
        <v>295</v>
      </c>
      <c r="X60" s="218" t="s">
        <v>379</v>
      </c>
      <c r="Y60" s="218">
        <v>90.78</v>
      </c>
      <c r="Z60" s="218">
        <f t="shared" si="0"/>
        <v>100</v>
      </c>
    </row>
    <row r="61" spans="1:26">
      <c r="A61" s="218" t="s">
        <v>2592</v>
      </c>
      <c r="B61" s="218"/>
      <c r="C61" s="218"/>
      <c r="D61" s="218"/>
      <c r="E61" s="218"/>
      <c r="F61" s="219" t="s">
        <v>2698</v>
      </c>
      <c r="G61" s="218" t="s">
        <v>224</v>
      </c>
      <c r="H61" s="218" t="s">
        <v>309</v>
      </c>
      <c r="I61" s="223">
        <v>43830</v>
      </c>
      <c r="J61" s="218" t="s">
        <v>2587</v>
      </c>
      <c r="K61" s="218" t="s">
        <v>2630</v>
      </c>
      <c r="L61" s="218" t="s">
        <v>2589</v>
      </c>
      <c r="M61" s="218" t="s">
        <v>2699</v>
      </c>
      <c r="N61" s="218">
        <v>96.66</v>
      </c>
      <c r="O61" s="218" t="s">
        <v>292</v>
      </c>
      <c r="P61" s="218">
        <v>125</v>
      </c>
      <c r="Q61" s="218" t="s">
        <v>752</v>
      </c>
      <c r="R61" s="218" t="s">
        <v>1587</v>
      </c>
      <c r="S61" s="218" t="s">
        <v>396</v>
      </c>
      <c r="T61" s="218" t="s">
        <v>2591</v>
      </c>
      <c r="U61" s="218" t="s">
        <v>740</v>
      </c>
      <c r="V61" s="218" t="s">
        <v>381</v>
      </c>
      <c r="W61" s="218" t="s">
        <v>295</v>
      </c>
      <c r="X61" s="218" t="s">
        <v>379</v>
      </c>
      <c r="Y61" s="218">
        <v>113.48</v>
      </c>
      <c r="Z61" s="218">
        <f t="shared" si="0"/>
        <v>125</v>
      </c>
    </row>
    <row r="62" spans="1:26">
      <c r="A62" s="218" t="s">
        <v>2592</v>
      </c>
      <c r="B62" s="218"/>
      <c r="C62" s="218"/>
      <c r="D62" s="218"/>
      <c r="E62" s="218"/>
      <c r="F62" s="219" t="s">
        <v>2700</v>
      </c>
      <c r="G62" s="218" t="s">
        <v>224</v>
      </c>
      <c r="H62" s="218" t="s">
        <v>309</v>
      </c>
      <c r="I62" s="223">
        <v>43830</v>
      </c>
      <c r="J62" s="218" t="s">
        <v>2587</v>
      </c>
      <c r="K62" s="218" t="s">
        <v>2651</v>
      </c>
      <c r="L62" s="218" t="s">
        <v>2589</v>
      </c>
      <c r="M62" s="218" t="s">
        <v>757</v>
      </c>
      <c r="N62" s="218">
        <v>15.47</v>
      </c>
      <c r="O62" s="218" t="s">
        <v>292</v>
      </c>
      <c r="P62" s="218">
        <v>20</v>
      </c>
      <c r="Q62" s="218" t="s">
        <v>752</v>
      </c>
      <c r="R62" s="218" t="s">
        <v>1587</v>
      </c>
      <c r="S62" s="218" t="s">
        <v>396</v>
      </c>
      <c r="T62" s="218" t="s">
        <v>2591</v>
      </c>
      <c r="U62" s="218" t="s">
        <v>740</v>
      </c>
      <c r="V62" s="218" t="s">
        <v>381</v>
      </c>
      <c r="W62" s="218" t="s">
        <v>295</v>
      </c>
      <c r="X62" s="218" t="s">
        <v>379</v>
      </c>
      <c r="Y62" s="218">
        <v>18.16</v>
      </c>
      <c r="Z62" s="218">
        <f t="shared" si="0"/>
        <v>20</v>
      </c>
    </row>
    <row r="63" spans="1:26">
      <c r="A63" s="218" t="s">
        <v>2592</v>
      </c>
      <c r="B63" s="218"/>
      <c r="C63" s="218"/>
      <c r="D63" s="218"/>
      <c r="E63" s="218"/>
      <c r="F63" s="219" t="s">
        <v>2701</v>
      </c>
      <c r="G63" s="218" t="s">
        <v>225</v>
      </c>
      <c r="H63" s="218" t="s">
        <v>309</v>
      </c>
      <c r="I63" s="223">
        <v>43830</v>
      </c>
      <c r="J63" s="218" t="s">
        <v>2702</v>
      </c>
      <c r="K63" s="218" t="s">
        <v>2703</v>
      </c>
      <c r="L63" s="218" t="s">
        <v>2704</v>
      </c>
      <c r="M63" s="218" t="s">
        <v>2705</v>
      </c>
      <c r="N63" s="218">
        <v>69.59</v>
      </c>
      <c r="O63" s="218" t="s">
        <v>292</v>
      </c>
      <c r="P63" s="218">
        <v>90</v>
      </c>
      <c r="Q63" s="218" t="s">
        <v>1034</v>
      </c>
      <c r="R63" s="218" t="s">
        <v>1572</v>
      </c>
      <c r="S63" s="218" t="s">
        <v>396</v>
      </c>
      <c r="T63" s="218" t="s">
        <v>2591</v>
      </c>
      <c r="U63" s="218" t="s">
        <v>2591</v>
      </c>
      <c r="V63" s="218" t="s">
        <v>381</v>
      </c>
      <c r="W63" s="218" t="s">
        <v>295</v>
      </c>
      <c r="X63" s="218" t="s">
        <v>379</v>
      </c>
      <c r="Y63" s="218">
        <v>81.7</v>
      </c>
      <c r="Z63" s="218">
        <f t="shared" si="0"/>
        <v>90</v>
      </c>
    </row>
    <row r="64" spans="1:26">
      <c r="A64" s="218" t="s">
        <v>2592</v>
      </c>
      <c r="B64" s="218"/>
      <c r="C64" s="218"/>
      <c r="D64" s="218"/>
      <c r="E64" s="218"/>
      <c r="F64" s="219" t="s">
        <v>2706</v>
      </c>
      <c r="G64" s="218" t="s">
        <v>227</v>
      </c>
      <c r="H64" s="218" t="s">
        <v>309</v>
      </c>
      <c r="I64" s="223">
        <v>43830</v>
      </c>
      <c r="J64" s="218" t="s">
        <v>2587</v>
      </c>
      <c r="K64" s="218" t="s">
        <v>2630</v>
      </c>
      <c r="L64" s="218" t="s">
        <v>2589</v>
      </c>
      <c r="M64" s="218" t="s">
        <v>2707</v>
      </c>
      <c r="N64" s="218">
        <v>23.2</v>
      </c>
      <c r="O64" s="218" t="s">
        <v>292</v>
      </c>
      <c r="P64" s="218">
        <v>30</v>
      </c>
      <c r="Q64" s="218" t="s">
        <v>752</v>
      </c>
      <c r="R64" s="218" t="s">
        <v>1587</v>
      </c>
      <c r="S64" s="218" t="s">
        <v>396</v>
      </c>
      <c r="T64" s="218" t="s">
        <v>2591</v>
      </c>
      <c r="U64" s="218" t="s">
        <v>740</v>
      </c>
      <c r="V64" s="218" t="s">
        <v>381</v>
      </c>
      <c r="W64" s="218" t="s">
        <v>295</v>
      </c>
      <c r="X64" s="218" t="s">
        <v>379</v>
      </c>
      <c r="Y64" s="218">
        <v>27.24</v>
      </c>
      <c r="Z64" s="218">
        <f t="shared" si="0"/>
        <v>30</v>
      </c>
    </row>
    <row r="65" spans="1:26">
      <c r="A65" s="218" t="s">
        <v>2592</v>
      </c>
      <c r="B65" s="218"/>
      <c r="C65" s="218"/>
      <c r="D65" s="218"/>
      <c r="E65" s="218"/>
      <c r="F65" s="219" t="s">
        <v>2708</v>
      </c>
      <c r="G65" s="218" t="s">
        <v>227</v>
      </c>
      <c r="H65" s="218" t="s">
        <v>309</v>
      </c>
      <c r="I65" s="223">
        <v>43830</v>
      </c>
      <c r="J65" s="218" t="s">
        <v>2587</v>
      </c>
      <c r="K65" s="218" t="s">
        <v>2630</v>
      </c>
      <c r="L65" s="218" t="s">
        <v>2589</v>
      </c>
      <c r="M65" s="218" t="s">
        <v>2709</v>
      </c>
      <c r="N65" s="218">
        <v>52.12</v>
      </c>
      <c r="O65" s="218" t="s">
        <v>292</v>
      </c>
      <c r="P65" s="218">
        <v>67.400000000000006</v>
      </c>
      <c r="Q65" s="218" t="s">
        <v>752</v>
      </c>
      <c r="R65" s="218" t="s">
        <v>1587</v>
      </c>
      <c r="S65" s="218" t="s">
        <v>396</v>
      </c>
      <c r="T65" s="218" t="s">
        <v>2591</v>
      </c>
      <c r="U65" s="218" t="s">
        <v>740</v>
      </c>
      <c r="V65" s="218" t="s">
        <v>381</v>
      </c>
      <c r="W65" s="218" t="s">
        <v>295</v>
      </c>
      <c r="X65" s="218" t="s">
        <v>379</v>
      </c>
      <c r="Y65" s="218">
        <v>61.19</v>
      </c>
      <c r="Z65" s="218">
        <f t="shared" si="0"/>
        <v>67.400000000000006</v>
      </c>
    </row>
    <row r="66" spans="1:26">
      <c r="A66" s="218" t="s">
        <v>2592</v>
      </c>
      <c r="B66" s="218"/>
      <c r="C66" s="218"/>
      <c r="D66" s="218"/>
      <c r="E66" s="218"/>
      <c r="F66" s="219" t="s">
        <v>2710</v>
      </c>
      <c r="G66" s="218" t="s">
        <v>227</v>
      </c>
      <c r="H66" s="218" t="s">
        <v>309</v>
      </c>
      <c r="I66" s="223">
        <v>43830</v>
      </c>
      <c r="J66" s="218" t="s">
        <v>2587</v>
      </c>
      <c r="K66" s="218" t="s">
        <v>2630</v>
      </c>
      <c r="L66" s="218" t="s">
        <v>2589</v>
      </c>
      <c r="M66" s="218" t="s">
        <v>2711</v>
      </c>
      <c r="N66" s="218">
        <v>15.47</v>
      </c>
      <c r="O66" s="218" t="s">
        <v>292</v>
      </c>
      <c r="P66" s="218">
        <v>20</v>
      </c>
      <c r="Q66" s="218" t="s">
        <v>752</v>
      </c>
      <c r="R66" s="218" t="s">
        <v>1587</v>
      </c>
      <c r="S66" s="218" t="s">
        <v>396</v>
      </c>
      <c r="T66" s="218" t="s">
        <v>2591</v>
      </c>
      <c r="U66" s="218" t="s">
        <v>740</v>
      </c>
      <c r="V66" s="218" t="s">
        <v>381</v>
      </c>
      <c r="W66" s="218" t="s">
        <v>295</v>
      </c>
      <c r="X66" s="218" t="s">
        <v>379</v>
      </c>
      <c r="Y66" s="218">
        <v>18.16</v>
      </c>
      <c r="Z66" s="218">
        <f t="shared" si="0"/>
        <v>20</v>
      </c>
    </row>
    <row r="67" spans="1:26">
      <c r="A67" s="218" t="s">
        <v>2592</v>
      </c>
      <c r="B67" s="218"/>
      <c r="C67" s="218"/>
      <c r="D67" s="218"/>
      <c r="E67" s="218"/>
      <c r="F67" s="219" t="s">
        <v>2712</v>
      </c>
      <c r="G67" s="218" t="s">
        <v>227</v>
      </c>
      <c r="H67" s="218" t="s">
        <v>309</v>
      </c>
      <c r="I67" s="223">
        <v>43830</v>
      </c>
      <c r="J67" s="218" t="s">
        <v>2587</v>
      </c>
      <c r="K67" s="218" t="s">
        <v>2676</v>
      </c>
      <c r="L67" s="218" t="s">
        <v>2589</v>
      </c>
      <c r="M67" s="218" t="s">
        <v>2713</v>
      </c>
      <c r="N67" s="218">
        <v>23.2</v>
      </c>
      <c r="O67" s="218" t="s">
        <v>292</v>
      </c>
      <c r="P67" s="218">
        <v>30</v>
      </c>
      <c r="Q67" s="218" t="s">
        <v>752</v>
      </c>
      <c r="R67" s="218" t="s">
        <v>1587</v>
      </c>
      <c r="S67" s="218" t="s">
        <v>396</v>
      </c>
      <c r="T67" s="218" t="s">
        <v>2591</v>
      </c>
      <c r="U67" s="218" t="s">
        <v>740</v>
      </c>
      <c r="V67" s="218" t="s">
        <v>381</v>
      </c>
      <c r="W67" s="218" t="s">
        <v>295</v>
      </c>
      <c r="X67" s="218" t="s">
        <v>379</v>
      </c>
      <c r="Y67" s="218">
        <v>27.24</v>
      </c>
      <c r="Z67" s="218">
        <f t="shared" si="0"/>
        <v>30</v>
      </c>
    </row>
    <row r="68" spans="1:26">
      <c r="A68" s="218" t="s">
        <v>2592</v>
      </c>
      <c r="B68" s="218"/>
      <c r="C68" s="218"/>
      <c r="D68" s="218"/>
      <c r="E68" s="218"/>
      <c r="F68" s="219" t="s">
        <v>2714</v>
      </c>
      <c r="G68" s="218" t="s">
        <v>227</v>
      </c>
      <c r="H68" s="218" t="s">
        <v>309</v>
      </c>
      <c r="I68" s="223">
        <v>43830</v>
      </c>
      <c r="J68" s="218" t="s">
        <v>2587</v>
      </c>
      <c r="K68" s="218" t="s">
        <v>2673</v>
      </c>
      <c r="L68" s="218" t="s">
        <v>2589</v>
      </c>
      <c r="M68" s="218" t="s">
        <v>2715</v>
      </c>
      <c r="N68" s="218">
        <v>139.19</v>
      </c>
      <c r="O68" s="218" t="s">
        <v>292</v>
      </c>
      <c r="P68" s="218">
        <v>180</v>
      </c>
      <c r="Q68" s="218" t="s">
        <v>752</v>
      </c>
      <c r="R68" s="218" t="s">
        <v>1587</v>
      </c>
      <c r="S68" s="218" t="s">
        <v>396</v>
      </c>
      <c r="T68" s="218" t="s">
        <v>2591</v>
      </c>
      <c r="U68" s="218" t="s">
        <v>740</v>
      </c>
      <c r="V68" s="218" t="s">
        <v>381</v>
      </c>
      <c r="W68" s="218" t="s">
        <v>295</v>
      </c>
      <c r="X68" s="218" t="s">
        <v>379</v>
      </c>
      <c r="Y68" s="218">
        <v>163.41</v>
      </c>
      <c r="Z68" s="218">
        <f t="shared" si="0"/>
        <v>180</v>
      </c>
    </row>
    <row r="69" spans="1:26">
      <c r="A69" s="218" t="s">
        <v>2592</v>
      </c>
      <c r="B69" s="218"/>
      <c r="C69" s="218"/>
      <c r="D69" s="218"/>
      <c r="E69" s="218"/>
      <c r="F69" s="219" t="s">
        <v>2716</v>
      </c>
      <c r="G69" s="218" t="s">
        <v>227</v>
      </c>
      <c r="H69" s="218" t="s">
        <v>309</v>
      </c>
      <c r="I69" s="223">
        <v>43830</v>
      </c>
      <c r="J69" s="218" t="s">
        <v>2587</v>
      </c>
      <c r="K69" s="218" t="s">
        <v>2630</v>
      </c>
      <c r="L69" s="218" t="s">
        <v>2589</v>
      </c>
      <c r="M69" s="218" t="s">
        <v>2717</v>
      </c>
      <c r="N69" s="218">
        <v>48.71</v>
      </c>
      <c r="O69" s="218" t="s">
        <v>292</v>
      </c>
      <c r="P69" s="218">
        <v>63</v>
      </c>
      <c r="Q69" s="218" t="s">
        <v>752</v>
      </c>
      <c r="R69" s="218" t="s">
        <v>1587</v>
      </c>
      <c r="S69" s="218" t="s">
        <v>396</v>
      </c>
      <c r="T69" s="218" t="s">
        <v>2591</v>
      </c>
      <c r="U69" s="218" t="s">
        <v>740</v>
      </c>
      <c r="V69" s="218" t="s">
        <v>381</v>
      </c>
      <c r="W69" s="218" t="s">
        <v>295</v>
      </c>
      <c r="X69" s="218" t="s">
        <v>379</v>
      </c>
      <c r="Y69" s="218">
        <v>57.18</v>
      </c>
      <c r="Z69" s="218">
        <f t="shared" si="0"/>
        <v>63</v>
      </c>
    </row>
    <row r="70" spans="1:26">
      <c r="A70" s="218" t="s">
        <v>2592</v>
      </c>
      <c r="B70" s="218"/>
      <c r="C70" s="218"/>
      <c r="D70" s="218"/>
      <c r="E70" s="218"/>
      <c r="F70" s="219" t="s">
        <v>2718</v>
      </c>
      <c r="G70" s="218" t="s">
        <v>227</v>
      </c>
      <c r="H70" s="218" t="s">
        <v>309</v>
      </c>
      <c r="I70" s="223">
        <v>43830</v>
      </c>
      <c r="J70" s="218" t="s">
        <v>2587</v>
      </c>
      <c r="K70" s="218" t="s">
        <v>2630</v>
      </c>
      <c r="L70" s="218" t="s">
        <v>2589</v>
      </c>
      <c r="M70" s="218" t="s">
        <v>2719</v>
      </c>
      <c r="N70" s="218">
        <v>27.06</v>
      </c>
      <c r="O70" s="218" t="s">
        <v>292</v>
      </c>
      <c r="P70" s="218">
        <v>35</v>
      </c>
      <c r="Q70" s="218" t="s">
        <v>752</v>
      </c>
      <c r="R70" s="218" t="s">
        <v>1587</v>
      </c>
      <c r="S70" s="218" t="s">
        <v>396</v>
      </c>
      <c r="T70" s="218" t="s">
        <v>2591</v>
      </c>
      <c r="U70" s="218" t="s">
        <v>740</v>
      </c>
      <c r="V70" s="218" t="s">
        <v>381</v>
      </c>
      <c r="W70" s="218" t="s">
        <v>295</v>
      </c>
      <c r="X70" s="218" t="s">
        <v>379</v>
      </c>
      <c r="Y70" s="218">
        <v>31.77</v>
      </c>
      <c r="Z70" s="218">
        <f t="shared" si="0"/>
        <v>35</v>
      </c>
    </row>
    <row r="71" spans="1:26">
      <c r="A71" s="218" t="s">
        <v>2592</v>
      </c>
      <c r="B71" s="218"/>
      <c r="C71" s="218"/>
      <c r="D71" s="218"/>
      <c r="E71" s="218"/>
      <c r="F71" s="219" t="s">
        <v>2720</v>
      </c>
      <c r="G71" s="218" t="s">
        <v>227</v>
      </c>
      <c r="H71" s="218" t="s">
        <v>309</v>
      </c>
      <c r="I71" s="223">
        <v>43830</v>
      </c>
      <c r="J71" s="218" t="s">
        <v>2587</v>
      </c>
      <c r="K71" s="218" t="s">
        <v>2676</v>
      </c>
      <c r="L71" s="218" t="s">
        <v>2589</v>
      </c>
      <c r="M71" s="218" t="s">
        <v>2721</v>
      </c>
      <c r="N71" s="218">
        <v>15.47</v>
      </c>
      <c r="O71" s="218" t="s">
        <v>292</v>
      </c>
      <c r="P71" s="218">
        <v>20</v>
      </c>
      <c r="Q71" s="218" t="s">
        <v>752</v>
      </c>
      <c r="R71" s="218" t="s">
        <v>1587</v>
      </c>
      <c r="S71" s="218" t="s">
        <v>396</v>
      </c>
      <c r="T71" s="218" t="s">
        <v>2591</v>
      </c>
      <c r="U71" s="218" t="s">
        <v>740</v>
      </c>
      <c r="V71" s="218" t="s">
        <v>381</v>
      </c>
      <c r="W71" s="218" t="s">
        <v>295</v>
      </c>
      <c r="X71" s="218" t="s">
        <v>379</v>
      </c>
      <c r="Y71" s="218">
        <v>18.16</v>
      </c>
      <c r="Z71" s="218">
        <f t="shared" si="0"/>
        <v>20</v>
      </c>
    </row>
    <row r="72" spans="1:26">
      <c r="A72" s="218" t="s">
        <v>2592</v>
      </c>
      <c r="B72" s="218"/>
      <c r="C72" s="218"/>
      <c r="D72" s="218"/>
      <c r="E72" s="218"/>
      <c r="F72" s="219" t="s">
        <v>2722</v>
      </c>
      <c r="G72" s="218" t="s">
        <v>227</v>
      </c>
      <c r="H72" s="218" t="s">
        <v>309</v>
      </c>
      <c r="I72" s="223">
        <v>43830</v>
      </c>
      <c r="J72" s="218" t="s">
        <v>2587</v>
      </c>
      <c r="K72" s="218" t="s">
        <v>2651</v>
      </c>
      <c r="L72" s="218" t="s">
        <v>2589</v>
      </c>
      <c r="M72" s="218" t="s">
        <v>2723</v>
      </c>
      <c r="N72" s="218">
        <v>15.47</v>
      </c>
      <c r="O72" s="218" t="s">
        <v>292</v>
      </c>
      <c r="P72" s="218">
        <v>20</v>
      </c>
      <c r="Q72" s="218" t="s">
        <v>752</v>
      </c>
      <c r="R72" s="218" t="s">
        <v>1587</v>
      </c>
      <c r="S72" s="218" t="s">
        <v>396</v>
      </c>
      <c r="T72" s="218" t="s">
        <v>2591</v>
      </c>
      <c r="U72" s="218" t="s">
        <v>740</v>
      </c>
      <c r="V72" s="218" t="s">
        <v>381</v>
      </c>
      <c r="W72" s="218" t="s">
        <v>295</v>
      </c>
      <c r="X72" s="218" t="s">
        <v>379</v>
      </c>
      <c r="Y72" s="218">
        <v>18.16</v>
      </c>
      <c r="Z72" s="218">
        <f t="shared" si="0"/>
        <v>20</v>
      </c>
    </row>
    <row r="73" spans="1:26">
      <c r="A73" s="218" t="s">
        <v>2592</v>
      </c>
      <c r="B73" s="218"/>
      <c r="C73" s="218"/>
      <c r="D73" s="218"/>
      <c r="E73" s="218"/>
      <c r="F73" s="219" t="s">
        <v>2724</v>
      </c>
      <c r="G73" s="218" t="s">
        <v>227</v>
      </c>
      <c r="H73" s="218" t="s">
        <v>309</v>
      </c>
      <c r="I73" s="223">
        <v>43830</v>
      </c>
      <c r="J73" s="218" t="s">
        <v>2587</v>
      </c>
      <c r="K73" s="218" t="s">
        <v>2673</v>
      </c>
      <c r="L73" s="218" t="s">
        <v>2589</v>
      </c>
      <c r="M73" s="218" t="s">
        <v>2715</v>
      </c>
      <c r="N73" s="218">
        <v>30.93</v>
      </c>
      <c r="O73" s="218" t="s">
        <v>292</v>
      </c>
      <c r="P73" s="218">
        <v>40</v>
      </c>
      <c r="Q73" s="218" t="s">
        <v>752</v>
      </c>
      <c r="R73" s="218" t="s">
        <v>1587</v>
      </c>
      <c r="S73" s="218" t="s">
        <v>396</v>
      </c>
      <c r="T73" s="218" t="s">
        <v>2591</v>
      </c>
      <c r="U73" s="218" t="s">
        <v>740</v>
      </c>
      <c r="V73" s="218" t="s">
        <v>381</v>
      </c>
      <c r="W73" s="218" t="s">
        <v>295</v>
      </c>
      <c r="X73" s="218" t="s">
        <v>379</v>
      </c>
      <c r="Y73" s="218">
        <v>36.31</v>
      </c>
      <c r="Z73" s="218">
        <f t="shared" si="0"/>
        <v>40</v>
      </c>
    </row>
    <row r="74" spans="1:26">
      <c r="A74" s="218" t="s">
        <v>2592</v>
      </c>
      <c r="B74" s="218"/>
      <c r="C74" s="218"/>
      <c r="D74" s="218"/>
      <c r="E74" s="218"/>
      <c r="F74" s="219" t="s">
        <v>2725</v>
      </c>
      <c r="G74" s="218" t="s">
        <v>227</v>
      </c>
      <c r="H74" s="218" t="s">
        <v>309</v>
      </c>
      <c r="I74" s="223">
        <v>43830</v>
      </c>
      <c r="J74" s="218" t="s">
        <v>2587</v>
      </c>
      <c r="K74" s="218" t="s">
        <v>2630</v>
      </c>
      <c r="L74" s="218" t="s">
        <v>2589</v>
      </c>
      <c r="M74" s="218" t="s">
        <v>2726</v>
      </c>
      <c r="N74" s="218">
        <v>92.79</v>
      </c>
      <c r="O74" s="218" t="s">
        <v>292</v>
      </c>
      <c r="P74" s="218">
        <v>120</v>
      </c>
      <c r="Q74" s="218" t="s">
        <v>752</v>
      </c>
      <c r="R74" s="218" t="s">
        <v>1587</v>
      </c>
      <c r="S74" s="218" t="s">
        <v>396</v>
      </c>
      <c r="T74" s="218" t="s">
        <v>2591</v>
      </c>
      <c r="U74" s="218" t="s">
        <v>740</v>
      </c>
      <c r="V74" s="218" t="s">
        <v>381</v>
      </c>
      <c r="W74" s="218" t="s">
        <v>295</v>
      </c>
      <c r="X74" s="218" t="s">
        <v>379</v>
      </c>
      <c r="Y74" s="218">
        <v>108.93</v>
      </c>
      <c r="Z74" s="218">
        <f t="shared" ref="Z74:Z137" si="1">P74</f>
        <v>120</v>
      </c>
    </row>
    <row r="75" spans="1:26">
      <c r="A75" s="218" t="s">
        <v>2592</v>
      </c>
      <c r="B75" s="218"/>
      <c r="C75" s="218"/>
      <c r="D75" s="218"/>
      <c r="E75" s="218"/>
      <c r="F75" s="219" t="s">
        <v>2727</v>
      </c>
      <c r="G75" s="218" t="s">
        <v>227</v>
      </c>
      <c r="H75" s="218" t="s">
        <v>309</v>
      </c>
      <c r="I75" s="223">
        <v>43830</v>
      </c>
      <c r="J75" s="218" t="s">
        <v>2587</v>
      </c>
      <c r="K75" s="218" t="s">
        <v>2728</v>
      </c>
      <c r="L75" s="218" t="s">
        <v>2589</v>
      </c>
      <c r="M75" s="218" t="s">
        <v>2729</v>
      </c>
      <c r="N75" s="218">
        <v>15.47</v>
      </c>
      <c r="O75" s="218" t="s">
        <v>292</v>
      </c>
      <c r="P75" s="218">
        <v>20</v>
      </c>
      <c r="Q75" s="218" t="s">
        <v>752</v>
      </c>
      <c r="R75" s="218" t="s">
        <v>1587</v>
      </c>
      <c r="S75" s="218" t="s">
        <v>396</v>
      </c>
      <c r="T75" s="218" t="s">
        <v>2591</v>
      </c>
      <c r="U75" s="218" t="s">
        <v>740</v>
      </c>
      <c r="V75" s="218" t="s">
        <v>381</v>
      </c>
      <c r="W75" s="218" t="s">
        <v>295</v>
      </c>
      <c r="X75" s="218" t="s">
        <v>379</v>
      </c>
      <c r="Y75" s="218">
        <v>18.16</v>
      </c>
      <c r="Z75" s="218">
        <f t="shared" si="1"/>
        <v>20</v>
      </c>
    </row>
    <row r="76" spans="1:26">
      <c r="A76" s="218" t="s">
        <v>2592</v>
      </c>
      <c r="B76" s="218"/>
      <c r="C76" s="218"/>
      <c r="D76" s="218"/>
      <c r="E76" s="218"/>
      <c r="F76" s="219" t="s">
        <v>2730</v>
      </c>
      <c r="G76" s="218" t="s">
        <v>227</v>
      </c>
      <c r="H76" s="218" t="s">
        <v>309</v>
      </c>
      <c r="I76" s="223">
        <v>43830</v>
      </c>
      <c r="J76" s="218" t="s">
        <v>2587</v>
      </c>
      <c r="K76" s="218" t="s">
        <v>2630</v>
      </c>
      <c r="L76" s="218" t="s">
        <v>2589</v>
      </c>
      <c r="M76" s="218" t="s">
        <v>2634</v>
      </c>
      <c r="N76" s="218">
        <v>96.66</v>
      </c>
      <c r="O76" s="218" t="s">
        <v>292</v>
      </c>
      <c r="P76" s="218">
        <v>125</v>
      </c>
      <c r="Q76" s="218" t="s">
        <v>752</v>
      </c>
      <c r="R76" s="218" t="s">
        <v>1587</v>
      </c>
      <c r="S76" s="218" t="s">
        <v>396</v>
      </c>
      <c r="T76" s="218" t="s">
        <v>2591</v>
      </c>
      <c r="U76" s="218" t="s">
        <v>740</v>
      </c>
      <c r="V76" s="218" t="s">
        <v>381</v>
      </c>
      <c r="W76" s="218" t="s">
        <v>295</v>
      </c>
      <c r="X76" s="218" t="s">
        <v>379</v>
      </c>
      <c r="Y76" s="218">
        <v>113.48</v>
      </c>
      <c r="Z76" s="218">
        <f t="shared" si="1"/>
        <v>125</v>
      </c>
    </row>
    <row r="77" spans="1:26">
      <c r="A77" s="218" t="s">
        <v>2592</v>
      </c>
      <c r="B77" s="218"/>
      <c r="C77" s="218"/>
      <c r="D77" s="218"/>
      <c r="E77" s="218"/>
      <c r="F77" s="219" t="s">
        <v>2731</v>
      </c>
      <c r="G77" s="218" t="s">
        <v>227</v>
      </c>
      <c r="H77" s="218" t="s">
        <v>309</v>
      </c>
      <c r="I77" s="223">
        <v>43830</v>
      </c>
      <c r="J77" s="218" t="s">
        <v>2587</v>
      </c>
      <c r="K77" s="218" t="s">
        <v>2588</v>
      </c>
      <c r="L77" s="218" t="s">
        <v>2589</v>
      </c>
      <c r="M77" s="218" t="s">
        <v>2732</v>
      </c>
      <c r="N77" s="218">
        <v>231.98</v>
      </c>
      <c r="O77" s="218" t="s">
        <v>292</v>
      </c>
      <c r="P77" s="218">
        <v>300</v>
      </c>
      <c r="Q77" s="218" t="s">
        <v>752</v>
      </c>
      <c r="R77" s="218" t="s">
        <v>1587</v>
      </c>
      <c r="S77" s="218" t="s">
        <v>396</v>
      </c>
      <c r="T77" s="218" t="s">
        <v>2591</v>
      </c>
      <c r="U77" s="218" t="s">
        <v>740</v>
      </c>
      <c r="V77" s="218" t="s">
        <v>381</v>
      </c>
      <c r="W77" s="218" t="s">
        <v>295</v>
      </c>
      <c r="X77" s="218" t="s">
        <v>379</v>
      </c>
      <c r="Y77" s="218">
        <v>272.33999999999997</v>
      </c>
      <c r="Z77" s="218">
        <f t="shared" si="1"/>
        <v>300</v>
      </c>
    </row>
    <row r="78" spans="1:26">
      <c r="A78" s="218" t="s">
        <v>2592</v>
      </c>
      <c r="B78" s="218"/>
      <c r="C78" s="218"/>
      <c r="D78" s="218"/>
      <c r="E78" s="218"/>
      <c r="F78" s="219" t="s">
        <v>2733</v>
      </c>
      <c r="G78" s="218" t="s">
        <v>227</v>
      </c>
      <c r="H78" s="218" t="s">
        <v>309</v>
      </c>
      <c r="I78" s="223">
        <v>43830</v>
      </c>
      <c r="J78" s="218" t="s">
        <v>2587</v>
      </c>
      <c r="K78" s="218" t="s">
        <v>2651</v>
      </c>
      <c r="L78" s="218" t="s">
        <v>2589</v>
      </c>
      <c r="M78" s="218" t="s">
        <v>2734</v>
      </c>
      <c r="N78" s="218">
        <v>115.99</v>
      </c>
      <c r="O78" s="218" t="s">
        <v>292</v>
      </c>
      <c r="P78" s="218">
        <v>150</v>
      </c>
      <c r="Q78" s="218" t="s">
        <v>752</v>
      </c>
      <c r="R78" s="218" t="s">
        <v>1587</v>
      </c>
      <c r="S78" s="218" t="s">
        <v>396</v>
      </c>
      <c r="T78" s="218" t="s">
        <v>2591</v>
      </c>
      <c r="U78" s="218" t="s">
        <v>740</v>
      </c>
      <c r="V78" s="218" t="s">
        <v>381</v>
      </c>
      <c r="W78" s="218" t="s">
        <v>295</v>
      </c>
      <c r="X78" s="218" t="s">
        <v>379</v>
      </c>
      <c r="Y78" s="218">
        <v>136.16999999999999</v>
      </c>
      <c r="Z78" s="218">
        <f t="shared" si="1"/>
        <v>150</v>
      </c>
    </row>
    <row r="79" spans="1:26">
      <c r="A79" s="218" t="s">
        <v>2592</v>
      </c>
      <c r="B79" s="218"/>
      <c r="C79" s="218"/>
      <c r="D79" s="218"/>
      <c r="E79" s="218"/>
      <c r="F79" s="219" t="s">
        <v>2735</v>
      </c>
      <c r="G79" s="218" t="s">
        <v>227</v>
      </c>
      <c r="H79" s="218" t="s">
        <v>309</v>
      </c>
      <c r="I79" s="223">
        <v>43830</v>
      </c>
      <c r="J79" s="218" t="s">
        <v>2587</v>
      </c>
      <c r="K79" s="218" t="s">
        <v>2630</v>
      </c>
      <c r="L79" s="218" t="s">
        <v>2589</v>
      </c>
      <c r="M79" s="218" t="s">
        <v>2736</v>
      </c>
      <c r="N79" s="218">
        <v>86.6</v>
      </c>
      <c r="O79" s="218" t="s">
        <v>292</v>
      </c>
      <c r="P79" s="218">
        <v>112</v>
      </c>
      <c r="Q79" s="218" t="s">
        <v>752</v>
      </c>
      <c r="R79" s="218" t="s">
        <v>1587</v>
      </c>
      <c r="S79" s="218" t="s">
        <v>396</v>
      </c>
      <c r="T79" s="218" t="s">
        <v>2591</v>
      </c>
      <c r="U79" s="218" t="s">
        <v>740</v>
      </c>
      <c r="V79" s="218" t="s">
        <v>381</v>
      </c>
      <c r="W79" s="218" t="s">
        <v>295</v>
      </c>
      <c r="X79" s="218" t="s">
        <v>379</v>
      </c>
      <c r="Y79" s="218">
        <v>101.67</v>
      </c>
      <c r="Z79" s="218">
        <f t="shared" si="1"/>
        <v>112</v>
      </c>
    </row>
    <row r="80" spans="1:26">
      <c r="A80" s="218" t="s">
        <v>2592</v>
      </c>
      <c r="B80" s="218"/>
      <c r="C80" s="218"/>
      <c r="D80" s="218"/>
      <c r="E80" s="218"/>
      <c r="F80" s="219" t="s">
        <v>2737</v>
      </c>
      <c r="G80" s="218" t="s">
        <v>227</v>
      </c>
      <c r="H80" s="218" t="s">
        <v>309</v>
      </c>
      <c r="I80" s="223">
        <v>43830</v>
      </c>
      <c r="J80" s="218" t="s">
        <v>2587</v>
      </c>
      <c r="K80" s="218" t="s">
        <v>2630</v>
      </c>
      <c r="L80" s="218" t="s">
        <v>2589</v>
      </c>
      <c r="M80" s="218" t="s">
        <v>2738</v>
      </c>
      <c r="N80" s="218">
        <v>231.98</v>
      </c>
      <c r="O80" s="218" t="s">
        <v>292</v>
      </c>
      <c r="P80" s="218">
        <v>300</v>
      </c>
      <c r="Q80" s="218" t="s">
        <v>752</v>
      </c>
      <c r="R80" s="218" t="s">
        <v>1587</v>
      </c>
      <c r="S80" s="218" t="s">
        <v>396</v>
      </c>
      <c r="T80" s="218" t="s">
        <v>2591</v>
      </c>
      <c r="U80" s="218" t="s">
        <v>740</v>
      </c>
      <c r="V80" s="218" t="s">
        <v>381</v>
      </c>
      <c r="W80" s="218" t="s">
        <v>295</v>
      </c>
      <c r="X80" s="218" t="s">
        <v>379</v>
      </c>
      <c r="Y80" s="218">
        <v>272.33999999999997</v>
      </c>
      <c r="Z80" s="218">
        <f t="shared" si="1"/>
        <v>300</v>
      </c>
    </row>
    <row r="81" spans="1:26">
      <c r="A81" s="218" t="s">
        <v>2592</v>
      </c>
      <c r="B81" s="218"/>
      <c r="C81" s="218"/>
      <c r="D81" s="218"/>
      <c r="E81" s="218"/>
      <c r="F81" s="219" t="s">
        <v>2739</v>
      </c>
      <c r="G81" s="218" t="s">
        <v>227</v>
      </c>
      <c r="H81" s="218" t="s">
        <v>309</v>
      </c>
      <c r="I81" s="223">
        <v>43830</v>
      </c>
      <c r="J81" s="218" t="s">
        <v>2587</v>
      </c>
      <c r="K81" s="218" t="s">
        <v>2664</v>
      </c>
      <c r="L81" s="218" t="s">
        <v>2589</v>
      </c>
      <c r="M81" s="218" t="s">
        <v>2740</v>
      </c>
      <c r="N81" s="218">
        <v>270.64</v>
      </c>
      <c r="O81" s="218" t="s">
        <v>292</v>
      </c>
      <c r="P81" s="218">
        <v>350</v>
      </c>
      <c r="Q81" s="218" t="s">
        <v>752</v>
      </c>
      <c r="R81" s="218" t="s">
        <v>1587</v>
      </c>
      <c r="S81" s="218" t="s">
        <v>396</v>
      </c>
      <c r="T81" s="218" t="s">
        <v>2591</v>
      </c>
      <c r="U81" s="218" t="s">
        <v>740</v>
      </c>
      <c r="V81" s="218" t="s">
        <v>381</v>
      </c>
      <c r="W81" s="218" t="s">
        <v>295</v>
      </c>
      <c r="X81" s="218" t="s">
        <v>379</v>
      </c>
      <c r="Y81" s="218">
        <v>317.73</v>
      </c>
      <c r="Z81" s="218">
        <f t="shared" si="1"/>
        <v>350</v>
      </c>
    </row>
    <row r="82" spans="1:26">
      <c r="A82" s="218" t="s">
        <v>2592</v>
      </c>
      <c r="B82" s="218"/>
      <c r="C82" s="218"/>
      <c r="D82" s="218"/>
      <c r="E82" s="218"/>
      <c r="F82" s="219" t="s">
        <v>2741</v>
      </c>
      <c r="G82" s="218" t="s">
        <v>227</v>
      </c>
      <c r="H82" s="218" t="s">
        <v>309</v>
      </c>
      <c r="I82" s="223">
        <v>43830</v>
      </c>
      <c r="J82" s="218" t="s">
        <v>2587</v>
      </c>
      <c r="K82" s="218" t="s">
        <v>2651</v>
      </c>
      <c r="L82" s="218" t="s">
        <v>2589</v>
      </c>
      <c r="M82" s="218" t="s">
        <v>2742</v>
      </c>
      <c r="N82" s="218">
        <v>11.6</v>
      </c>
      <c r="O82" s="218" t="s">
        <v>292</v>
      </c>
      <c r="P82" s="218">
        <v>15</v>
      </c>
      <c r="Q82" s="218" t="s">
        <v>752</v>
      </c>
      <c r="R82" s="218" t="s">
        <v>1587</v>
      </c>
      <c r="S82" s="218" t="s">
        <v>396</v>
      </c>
      <c r="T82" s="218" t="s">
        <v>2591</v>
      </c>
      <c r="U82" s="218" t="s">
        <v>740</v>
      </c>
      <c r="V82" s="218" t="s">
        <v>381</v>
      </c>
      <c r="W82" s="218" t="s">
        <v>295</v>
      </c>
      <c r="X82" s="218" t="s">
        <v>379</v>
      </c>
      <c r="Y82" s="218">
        <v>13.62</v>
      </c>
      <c r="Z82" s="218">
        <f t="shared" si="1"/>
        <v>15</v>
      </c>
    </row>
    <row r="83" spans="1:26">
      <c r="A83" s="218" t="s">
        <v>2592</v>
      </c>
      <c r="B83" s="218"/>
      <c r="C83" s="218"/>
      <c r="D83" s="218"/>
      <c r="E83" s="218"/>
      <c r="F83" s="219" t="s">
        <v>2743</v>
      </c>
      <c r="G83" s="218" t="s">
        <v>227</v>
      </c>
      <c r="H83" s="218" t="s">
        <v>309</v>
      </c>
      <c r="I83" s="223">
        <v>43830</v>
      </c>
      <c r="J83" s="218" t="s">
        <v>2587</v>
      </c>
      <c r="K83" s="218" t="s">
        <v>2651</v>
      </c>
      <c r="L83" s="218" t="s">
        <v>2589</v>
      </c>
      <c r="M83" s="218" t="s">
        <v>2744</v>
      </c>
      <c r="N83" s="218">
        <v>11.6</v>
      </c>
      <c r="O83" s="218" t="s">
        <v>292</v>
      </c>
      <c r="P83" s="218">
        <v>15</v>
      </c>
      <c r="Q83" s="218" t="s">
        <v>752</v>
      </c>
      <c r="R83" s="218" t="s">
        <v>1587</v>
      </c>
      <c r="S83" s="218" t="s">
        <v>396</v>
      </c>
      <c r="T83" s="218" t="s">
        <v>2591</v>
      </c>
      <c r="U83" s="218" t="s">
        <v>740</v>
      </c>
      <c r="V83" s="218" t="s">
        <v>381</v>
      </c>
      <c r="W83" s="218" t="s">
        <v>295</v>
      </c>
      <c r="X83" s="218" t="s">
        <v>379</v>
      </c>
      <c r="Y83" s="218">
        <v>13.62</v>
      </c>
      <c r="Z83" s="218">
        <f t="shared" si="1"/>
        <v>15</v>
      </c>
    </row>
    <row r="84" spans="1:26">
      <c r="A84" s="218" t="s">
        <v>2592</v>
      </c>
      <c r="B84" s="218"/>
      <c r="C84" s="218"/>
      <c r="D84" s="218"/>
      <c r="E84" s="218"/>
      <c r="F84" s="219" t="s">
        <v>2745</v>
      </c>
      <c r="G84" s="218" t="s">
        <v>227</v>
      </c>
      <c r="H84" s="218" t="s">
        <v>309</v>
      </c>
      <c r="I84" s="223">
        <v>43830</v>
      </c>
      <c r="J84" s="218" t="s">
        <v>2587</v>
      </c>
      <c r="K84" s="218" t="s">
        <v>2630</v>
      </c>
      <c r="L84" s="218" t="s">
        <v>2589</v>
      </c>
      <c r="M84" s="218" t="s">
        <v>2746</v>
      </c>
      <c r="N84" s="218">
        <v>15.47</v>
      </c>
      <c r="O84" s="218" t="s">
        <v>292</v>
      </c>
      <c r="P84" s="218">
        <v>20</v>
      </c>
      <c r="Q84" s="218" t="s">
        <v>752</v>
      </c>
      <c r="R84" s="218" t="s">
        <v>1587</v>
      </c>
      <c r="S84" s="218" t="s">
        <v>396</v>
      </c>
      <c r="T84" s="218" t="s">
        <v>2591</v>
      </c>
      <c r="U84" s="218" t="s">
        <v>740</v>
      </c>
      <c r="V84" s="218" t="s">
        <v>381</v>
      </c>
      <c r="W84" s="218" t="s">
        <v>295</v>
      </c>
      <c r="X84" s="218" t="s">
        <v>379</v>
      </c>
      <c r="Y84" s="218">
        <v>18.16</v>
      </c>
      <c r="Z84" s="218">
        <f t="shared" si="1"/>
        <v>20</v>
      </c>
    </row>
    <row r="85" spans="1:26">
      <c r="A85" s="218" t="s">
        <v>2592</v>
      </c>
      <c r="B85" s="218"/>
      <c r="C85" s="218"/>
      <c r="D85" s="218"/>
      <c r="E85" s="218"/>
      <c r="F85" s="219" t="s">
        <v>2747</v>
      </c>
      <c r="G85" s="218" t="s">
        <v>227</v>
      </c>
      <c r="H85" s="218" t="s">
        <v>309</v>
      </c>
      <c r="I85" s="223">
        <v>43830</v>
      </c>
      <c r="J85" s="218" t="s">
        <v>2587</v>
      </c>
      <c r="K85" s="218" t="s">
        <v>2748</v>
      </c>
      <c r="L85" s="218" t="s">
        <v>2589</v>
      </c>
      <c r="M85" s="218" t="s">
        <v>2749</v>
      </c>
      <c r="N85" s="218">
        <v>502.62</v>
      </c>
      <c r="O85" s="218" t="s">
        <v>292</v>
      </c>
      <c r="P85" s="218">
        <v>650</v>
      </c>
      <c r="Q85" s="218" t="s">
        <v>752</v>
      </c>
      <c r="R85" s="218" t="s">
        <v>1587</v>
      </c>
      <c r="S85" s="218" t="s">
        <v>396</v>
      </c>
      <c r="T85" s="218" t="s">
        <v>2591</v>
      </c>
      <c r="U85" s="218" t="s">
        <v>740</v>
      </c>
      <c r="V85" s="218" t="s">
        <v>381</v>
      </c>
      <c r="W85" s="218" t="s">
        <v>295</v>
      </c>
      <c r="X85" s="218" t="s">
        <v>379</v>
      </c>
      <c r="Y85" s="218">
        <v>590.07000000000005</v>
      </c>
      <c r="Z85" s="218">
        <f t="shared" si="1"/>
        <v>650</v>
      </c>
    </row>
    <row r="86" spans="1:26">
      <c r="A86" s="218" t="s">
        <v>2592</v>
      </c>
      <c r="B86" s="218"/>
      <c r="C86" s="218"/>
      <c r="D86" s="218"/>
      <c r="E86" s="218"/>
      <c r="F86" s="219" t="s">
        <v>2750</v>
      </c>
      <c r="G86" s="218" t="s">
        <v>227</v>
      </c>
      <c r="H86" s="218" t="s">
        <v>309</v>
      </c>
      <c r="I86" s="223">
        <v>43830</v>
      </c>
      <c r="J86" s="218" t="s">
        <v>2587</v>
      </c>
      <c r="K86" s="218" t="s">
        <v>2630</v>
      </c>
      <c r="L86" s="218" t="s">
        <v>2589</v>
      </c>
      <c r="M86" s="218" t="s">
        <v>2751</v>
      </c>
      <c r="N86" s="218">
        <v>54.13</v>
      </c>
      <c r="O86" s="218" t="s">
        <v>292</v>
      </c>
      <c r="P86" s="218">
        <v>70</v>
      </c>
      <c r="Q86" s="218" t="s">
        <v>752</v>
      </c>
      <c r="R86" s="218" t="s">
        <v>1587</v>
      </c>
      <c r="S86" s="218" t="s">
        <v>396</v>
      </c>
      <c r="T86" s="218" t="s">
        <v>2591</v>
      </c>
      <c r="U86" s="218" t="s">
        <v>740</v>
      </c>
      <c r="V86" s="218" t="s">
        <v>381</v>
      </c>
      <c r="W86" s="218" t="s">
        <v>295</v>
      </c>
      <c r="X86" s="218" t="s">
        <v>379</v>
      </c>
      <c r="Y86" s="218">
        <v>63.55</v>
      </c>
      <c r="Z86" s="218">
        <f t="shared" si="1"/>
        <v>70</v>
      </c>
    </row>
    <row r="87" spans="1:26">
      <c r="A87" s="218" t="s">
        <v>2592</v>
      </c>
      <c r="B87" s="218"/>
      <c r="C87" s="218"/>
      <c r="D87" s="218"/>
      <c r="E87" s="218"/>
      <c r="F87" s="219" t="s">
        <v>2752</v>
      </c>
      <c r="G87" s="218" t="s">
        <v>227</v>
      </c>
      <c r="H87" s="218" t="s">
        <v>309</v>
      </c>
      <c r="I87" s="223">
        <v>43830</v>
      </c>
      <c r="J87" s="218" t="s">
        <v>2587</v>
      </c>
      <c r="K87" s="218" t="s">
        <v>2630</v>
      </c>
      <c r="L87" s="218" t="s">
        <v>2589</v>
      </c>
      <c r="M87" s="218" t="s">
        <v>2753</v>
      </c>
      <c r="N87" s="218">
        <v>38.659999999999997</v>
      </c>
      <c r="O87" s="218" t="s">
        <v>292</v>
      </c>
      <c r="P87" s="218">
        <v>50</v>
      </c>
      <c r="Q87" s="218" t="s">
        <v>752</v>
      </c>
      <c r="R87" s="218" t="s">
        <v>1587</v>
      </c>
      <c r="S87" s="218" t="s">
        <v>396</v>
      </c>
      <c r="T87" s="218" t="s">
        <v>2591</v>
      </c>
      <c r="U87" s="218" t="s">
        <v>740</v>
      </c>
      <c r="V87" s="218" t="s">
        <v>381</v>
      </c>
      <c r="W87" s="218" t="s">
        <v>295</v>
      </c>
      <c r="X87" s="218" t="s">
        <v>379</v>
      </c>
      <c r="Y87" s="218">
        <v>45.39</v>
      </c>
      <c r="Z87" s="218">
        <f t="shared" si="1"/>
        <v>50</v>
      </c>
    </row>
    <row r="88" spans="1:26">
      <c r="A88" s="218" t="s">
        <v>2592</v>
      </c>
      <c r="B88" s="218"/>
      <c r="C88" s="218"/>
      <c r="D88" s="218"/>
      <c r="E88" s="218"/>
      <c r="F88" s="219" t="s">
        <v>2754</v>
      </c>
      <c r="G88" s="218" t="s">
        <v>227</v>
      </c>
      <c r="H88" s="218" t="s">
        <v>309</v>
      </c>
      <c r="I88" s="223">
        <v>43830</v>
      </c>
      <c r="J88" s="218" t="s">
        <v>2587</v>
      </c>
      <c r="K88" s="218" t="s">
        <v>2630</v>
      </c>
      <c r="L88" s="218" t="s">
        <v>2589</v>
      </c>
      <c r="M88" s="218" t="s">
        <v>1450</v>
      </c>
      <c r="N88" s="218">
        <v>23.2</v>
      </c>
      <c r="O88" s="218" t="s">
        <v>292</v>
      </c>
      <c r="P88" s="218">
        <v>30</v>
      </c>
      <c r="Q88" s="218" t="s">
        <v>752</v>
      </c>
      <c r="R88" s="218" t="s">
        <v>1587</v>
      </c>
      <c r="S88" s="218" t="s">
        <v>396</v>
      </c>
      <c r="T88" s="218" t="s">
        <v>2591</v>
      </c>
      <c r="U88" s="218" t="s">
        <v>740</v>
      </c>
      <c r="V88" s="218" t="s">
        <v>381</v>
      </c>
      <c r="W88" s="218" t="s">
        <v>295</v>
      </c>
      <c r="X88" s="218" t="s">
        <v>379</v>
      </c>
      <c r="Y88" s="218">
        <v>27.24</v>
      </c>
      <c r="Z88" s="218">
        <f t="shared" si="1"/>
        <v>30</v>
      </c>
    </row>
    <row r="89" spans="1:26">
      <c r="A89" s="218" t="s">
        <v>2592</v>
      </c>
      <c r="B89" s="218"/>
      <c r="C89" s="218"/>
      <c r="D89" s="218"/>
      <c r="E89" s="218"/>
      <c r="F89" s="219" t="s">
        <v>2755</v>
      </c>
      <c r="G89" s="218" t="s">
        <v>227</v>
      </c>
      <c r="H89" s="218" t="s">
        <v>309</v>
      </c>
      <c r="I89" s="223">
        <v>43830</v>
      </c>
      <c r="J89" s="218" t="s">
        <v>2587</v>
      </c>
      <c r="K89" s="218" t="s">
        <v>2630</v>
      </c>
      <c r="L89" s="218" t="s">
        <v>2589</v>
      </c>
      <c r="M89" s="218" t="s">
        <v>2644</v>
      </c>
      <c r="N89" s="218">
        <v>27.45</v>
      </c>
      <c r="O89" s="218" t="s">
        <v>292</v>
      </c>
      <c r="P89" s="218">
        <v>35.5</v>
      </c>
      <c r="Q89" s="218" t="s">
        <v>752</v>
      </c>
      <c r="R89" s="218" t="s">
        <v>1587</v>
      </c>
      <c r="S89" s="218" t="s">
        <v>396</v>
      </c>
      <c r="T89" s="218" t="s">
        <v>2591</v>
      </c>
      <c r="U89" s="218" t="s">
        <v>740</v>
      </c>
      <c r="V89" s="218" t="s">
        <v>381</v>
      </c>
      <c r="W89" s="218" t="s">
        <v>295</v>
      </c>
      <c r="X89" s="218" t="s">
        <v>379</v>
      </c>
      <c r="Y89" s="218">
        <v>32.229999999999997</v>
      </c>
      <c r="Z89" s="218">
        <f t="shared" si="1"/>
        <v>35.5</v>
      </c>
    </row>
    <row r="90" spans="1:26">
      <c r="A90" s="218" t="s">
        <v>2592</v>
      </c>
      <c r="B90" s="218"/>
      <c r="C90" s="218"/>
      <c r="D90" s="218"/>
      <c r="E90" s="218"/>
      <c r="F90" s="219" t="s">
        <v>2756</v>
      </c>
      <c r="G90" s="218" t="s">
        <v>227</v>
      </c>
      <c r="H90" s="218" t="s">
        <v>309</v>
      </c>
      <c r="I90" s="223">
        <v>43830</v>
      </c>
      <c r="J90" s="218" t="s">
        <v>2587</v>
      </c>
      <c r="K90" s="218" t="s">
        <v>2757</v>
      </c>
      <c r="L90" s="218" t="s">
        <v>2589</v>
      </c>
      <c r="M90" s="218" t="s">
        <v>2758</v>
      </c>
      <c r="N90" s="218">
        <v>46.4</v>
      </c>
      <c r="O90" s="218" t="s">
        <v>292</v>
      </c>
      <c r="P90" s="218">
        <v>60</v>
      </c>
      <c r="Q90" s="218" t="s">
        <v>752</v>
      </c>
      <c r="R90" s="218" t="s">
        <v>1587</v>
      </c>
      <c r="S90" s="218" t="s">
        <v>396</v>
      </c>
      <c r="T90" s="218" t="s">
        <v>2591</v>
      </c>
      <c r="U90" s="218" t="s">
        <v>740</v>
      </c>
      <c r="V90" s="218" t="s">
        <v>381</v>
      </c>
      <c r="W90" s="218" t="s">
        <v>295</v>
      </c>
      <c r="X90" s="218" t="s">
        <v>379</v>
      </c>
      <c r="Y90" s="218">
        <v>54.47</v>
      </c>
      <c r="Z90" s="218">
        <f t="shared" si="1"/>
        <v>60</v>
      </c>
    </row>
    <row r="91" spans="1:26">
      <c r="A91" s="218" t="s">
        <v>2592</v>
      </c>
      <c r="B91" s="218"/>
      <c r="C91" s="218"/>
      <c r="D91" s="218"/>
      <c r="E91" s="218"/>
      <c r="F91" s="219" t="s">
        <v>2759</v>
      </c>
      <c r="G91" s="218" t="s">
        <v>227</v>
      </c>
      <c r="H91" s="218" t="s">
        <v>309</v>
      </c>
      <c r="I91" s="223">
        <v>43830</v>
      </c>
      <c r="J91" s="218" t="s">
        <v>2587</v>
      </c>
      <c r="K91" s="218" t="s">
        <v>2757</v>
      </c>
      <c r="L91" s="218" t="s">
        <v>2589</v>
      </c>
      <c r="M91" s="218" t="s">
        <v>2760</v>
      </c>
      <c r="N91" s="218">
        <v>123.72</v>
      </c>
      <c r="O91" s="218" t="s">
        <v>292</v>
      </c>
      <c r="P91" s="218">
        <v>160</v>
      </c>
      <c r="Q91" s="218" t="s">
        <v>752</v>
      </c>
      <c r="R91" s="218" t="s">
        <v>1587</v>
      </c>
      <c r="S91" s="218" t="s">
        <v>396</v>
      </c>
      <c r="T91" s="218" t="s">
        <v>2591</v>
      </c>
      <c r="U91" s="218" t="s">
        <v>740</v>
      </c>
      <c r="V91" s="218" t="s">
        <v>381</v>
      </c>
      <c r="W91" s="218" t="s">
        <v>295</v>
      </c>
      <c r="X91" s="218" t="s">
        <v>379</v>
      </c>
      <c r="Y91" s="218">
        <v>145.24</v>
      </c>
      <c r="Z91" s="218">
        <f t="shared" si="1"/>
        <v>160</v>
      </c>
    </row>
    <row r="92" spans="1:26">
      <c r="A92" s="218" t="s">
        <v>2592</v>
      </c>
      <c r="B92" s="218"/>
      <c r="C92" s="218"/>
      <c r="D92" s="218"/>
      <c r="E92" s="218"/>
      <c r="F92" s="219" t="s">
        <v>2761</v>
      </c>
      <c r="G92" s="218" t="s">
        <v>227</v>
      </c>
      <c r="H92" s="218" t="s">
        <v>309</v>
      </c>
      <c r="I92" s="223">
        <v>43830</v>
      </c>
      <c r="J92" s="218" t="s">
        <v>2587</v>
      </c>
      <c r="K92" s="218" t="s">
        <v>2673</v>
      </c>
      <c r="L92" s="218" t="s">
        <v>2589</v>
      </c>
      <c r="M92" s="218" t="s">
        <v>2762</v>
      </c>
      <c r="N92" s="218">
        <v>448.49</v>
      </c>
      <c r="O92" s="218" t="s">
        <v>292</v>
      </c>
      <c r="P92" s="218">
        <v>580</v>
      </c>
      <c r="Q92" s="218" t="s">
        <v>752</v>
      </c>
      <c r="R92" s="218" t="s">
        <v>1587</v>
      </c>
      <c r="S92" s="218" t="s">
        <v>396</v>
      </c>
      <c r="T92" s="218" t="s">
        <v>2591</v>
      </c>
      <c r="U92" s="218" t="s">
        <v>740</v>
      </c>
      <c r="V92" s="218" t="s">
        <v>381</v>
      </c>
      <c r="W92" s="218" t="s">
        <v>295</v>
      </c>
      <c r="X92" s="218" t="s">
        <v>379</v>
      </c>
      <c r="Y92" s="218">
        <v>526.52</v>
      </c>
      <c r="Z92" s="218">
        <f t="shared" si="1"/>
        <v>580</v>
      </c>
    </row>
    <row r="93" spans="1:26">
      <c r="A93" s="218" t="s">
        <v>2592</v>
      </c>
      <c r="B93" s="218"/>
      <c r="C93" s="218"/>
      <c r="D93" s="218"/>
      <c r="E93" s="218"/>
      <c r="F93" s="219" t="s">
        <v>2763</v>
      </c>
      <c r="G93" s="218" t="s">
        <v>227</v>
      </c>
      <c r="H93" s="218" t="s">
        <v>309</v>
      </c>
      <c r="I93" s="223">
        <v>43830</v>
      </c>
      <c r="J93" s="218" t="s">
        <v>2587</v>
      </c>
      <c r="K93" s="218" t="s">
        <v>2748</v>
      </c>
      <c r="L93" s="218" t="s">
        <v>2589</v>
      </c>
      <c r="M93" s="218" t="s">
        <v>2764</v>
      </c>
      <c r="N93" s="218">
        <v>216.51</v>
      </c>
      <c r="O93" s="218" t="s">
        <v>292</v>
      </c>
      <c r="P93" s="218">
        <v>280</v>
      </c>
      <c r="Q93" s="218" t="s">
        <v>752</v>
      </c>
      <c r="R93" s="218" t="s">
        <v>1587</v>
      </c>
      <c r="S93" s="218" t="s">
        <v>396</v>
      </c>
      <c r="T93" s="218" t="s">
        <v>2591</v>
      </c>
      <c r="U93" s="218" t="s">
        <v>740</v>
      </c>
      <c r="V93" s="218" t="s">
        <v>381</v>
      </c>
      <c r="W93" s="218" t="s">
        <v>295</v>
      </c>
      <c r="X93" s="218" t="s">
        <v>379</v>
      </c>
      <c r="Y93" s="218">
        <v>254.18</v>
      </c>
      <c r="Z93" s="218">
        <f t="shared" si="1"/>
        <v>280</v>
      </c>
    </row>
    <row r="94" spans="1:26">
      <c r="A94" s="218" t="s">
        <v>2592</v>
      </c>
      <c r="B94" s="218"/>
      <c r="C94" s="218"/>
      <c r="D94" s="218"/>
      <c r="E94" s="218"/>
      <c r="F94" s="219" t="s">
        <v>2765</v>
      </c>
      <c r="G94" s="218" t="s">
        <v>227</v>
      </c>
      <c r="H94" s="218" t="s">
        <v>309</v>
      </c>
      <c r="I94" s="223">
        <v>43830</v>
      </c>
      <c r="J94" s="218" t="s">
        <v>2587</v>
      </c>
      <c r="K94" s="218" t="s">
        <v>2676</v>
      </c>
      <c r="L94" s="218" t="s">
        <v>2589</v>
      </c>
      <c r="M94" s="218" t="s">
        <v>2766</v>
      </c>
      <c r="N94" s="218">
        <v>46.4</v>
      </c>
      <c r="O94" s="218" t="s">
        <v>292</v>
      </c>
      <c r="P94" s="218">
        <v>60</v>
      </c>
      <c r="Q94" s="218" t="s">
        <v>752</v>
      </c>
      <c r="R94" s="218" t="s">
        <v>1587</v>
      </c>
      <c r="S94" s="218" t="s">
        <v>396</v>
      </c>
      <c r="T94" s="218" t="s">
        <v>2591</v>
      </c>
      <c r="U94" s="218" t="s">
        <v>740</v>
      </c>
      <c r="V94" s="218" t="s">
        <v>381</v>
      </c>
      <c r="W94" s="218" t="s">
        <v>295</v>
      </c>
      <c r="X94" s="218" t="s">
        <v>379</v>
      </c>
      <c r="Y94" s="218">
        <v>54.47</v>
      </c>
      <c r="Z94" s="218">
        <f t="shared" si="1"/>
        <v>60</v>
      </c>
    </row>
    <row r="95" spans="1:26">
      <c r="A95" s="218" t="s">
        <v>2592</v>
      </c>
      <c r="B95" s="218"/>
      <c r="C95" s="218"/>
      <c r="D95" s="218"/>
      <c r="E95" s="218"/>
      <c r="F95" s="219" t="s">
        <v>2767</v>
      </c>
      <c r="G95" s="218" t="s">
        <v>227</v>
      </c>
      <c r="H95" s="218" t="s">
        <v>309</v>
      </c>
      <c r="I95" s="223">
        <v>43830</v>
      </c>
      <c r="J95" s="218" t="s">
        <v>2587</v>
      </c>
      <c r="K95" s="218" t="s">
        <v>2651</v>
      </c>
      <c r="L95" s="218" t="s">
        <v>2589</v>
      </c>
      <c r="M95" s="218" t="s">
        <v>2768</v>
      </c>
      <c r="N95" s="218">
        <v>23.2</v>
      </c>
      <c r="O95" s="218" t="s">
        <v>292</v>
      </c>
      <c r="P95" s="218">
        <v>30</v>
      </c>
      <c r="Q95" s="218" t="s">
        <v>752</v>
      </c>
      <c r="R95" s="218" t="s">
        <v>1587</v>
      </c>
      <c r="S95" s="218" t="s">
        <v>396</v>
      </c>
      <c r="T95" s="218" t="s">
        <v>2591</v>
      </c>
      <c r="U95" s="218" t="s">
        <v>740</v>
      </c>
      <c r="V95" s="218" t="s">
        <v>381</v>
      </c>
      <c r="W95" s="218" t="s">
        <v>295</v>
      </c>
      <c r="X95" s="218" t="s">
        <v>379</v>
      </c>
      <c r="Y95" s="218">
        <v>27.24</v>
      </c>
      <c r="Z95" s="218">
        <f t="shared" si="1"/>
        <v>30</v>
      </c>
    </row>
    <row r="96" spans="1:26">
      <c r="A96" s="218" t="s">
        <v>2592</v>
      </c>
      <c r="B96" s="218"/>
      <c r="C96" s="218"/>
      <c r="D96" s="218"/>
      <c r="E96" s="218"/>
      <c r="F96" s="219" t="s">
        <v>2769</v>
      </c>
      <c r="G96" s="218" t="s">
        <v>227</v>
      </c>
      <c r="H96" s="218" t="s">
        <v>309</v>
      </c>
      <c r="I96" s="223">
        <v>43830</v>
      </c>
      <c r="J96" s="218" t="s">
        <v>2587</v>
      </c>
      <c r="K96" s="218" t="s">
        <v>2630</v>
      </c>
      <c r="L96" s="218" t="s">
        <v>2589</v>
      </c>
      <c r="M96" s="218" t="s">
        <v>2770</v>
      </c>
      <c r="N96" s="218">
        <v>121.79</v>
      </c>
      <c r="O96" s="218" t="s">
        <v>292</v>
      </c>
      <c r="P96" s="218">
        <v>157.5</v>
      </c>
      <c r="Q96" s="218" t="s">
        <v>752</v>
      </c>
      <c r="R96" s="218" t="s">
        <v>1587</v>
      </c>
      <c r="S96" s="218" t="s">
        <v>396</v>
      </c>
      <c r="T96" s="218" t="s">
        <v>2591</v>
      </c>
      <c r="U96" s="218" t="s">
        <v>740</v>
      </c>
      <c r="V96" s="218" t="s">
        <v>381</v>
      </c>
      <c r="W96" s="218" t="s">
        <v>295</v>
      </c>
      <c r="X96" s="218" t="s">
        <v>379</v>
      </c>
      <c r="Y96" s="218">
        <v>142.97999999999999</v>
      </c>
      <c r="Z96" s="218">
        <f t="shared" si="1"/>
        <v>157.5</v>
      </c>
    </row>
    <row r="97" spans="1:26">
      <c r="A97" s="218" t="s">
        <v>2592</v>
      </c>
      <c r="B97" s="218"/>
      <c r="C97" s="218"/>
      <c r="D97" s="218"/>
      <c r="E97" s="218"/>
      <c r="F97" s="219" t="s">
        <v>2771</v>
      </c>
      <c r="G97" s="218" t="s">
        <v>227</v>
      </c>
      <c r="H97" s="218" t="s">
        <v>309</v>
      </c>
      <c r="I97" s="223">
        <v>43830</v>
      </c>
      <c r="J97" s="218" t="s">
        <v>2587</v>
      </c>
      <c r="K97" s="218" t="s">
        <v>2630</v>
      </c>
      <c r="L97" s="218" t="s">
        <v>2589</v>
      </c>
      <c r="M97" s="218" t="s">
        <v>2772</v>
      </c>
      <c r="N97" s="218">
        <v>20.88</v>
      </c>
      <c r="O97" s="218" t="s">
        <v>292</v>
      </c>
      <c r="P97" s="218">
        <v>27</v>
      </c>
      <c r="Q97" s="218" t="s">
        <v>752</v>
      </c>
      <c r="R97" s="218" t="s">
        <v>1587</v>
      </c>
      <c r="S97" s="218" t="s">
        <v>396</v>
      </c>
      <c r="T97" s="218" t="s">
        <v>2591</v>
      </c>
      <c r="U97" s="218" t="s">
        <v>740</v>
      </c>
      <c r="V97" s="218" t="s">
        <v>381</v>
      </c>
      <c r="W97" s="218" t="s">
        <v>295</v>
      </c>
      <c r="X97" s="218" t="s">
        <v>379</v>
      </c>
      <c r="Y97" s="218">
        <v>24.51</v>
      </c>
      <c r="Z97" s="218">
        <f t="shared" si="1"/>
        <v>27</v>
      </c>
    </row>
    <row r="98" spans="1:26">
      <c r="A98" s="218" t="s">
        <v>2592</v>
      </c>
      <c r="B98" s="218"/>
      <c r="C98" s="218"/>
      <c r="D98" s="218"/>
      <c r="E98" s="218"/>
      <c r="F98" s="219" t="s">
        <v>2773</v>
      </c>
      <c r="G98" s="218" t="s">
        <v>227</v>
      </c>
      <c r="H98" s="218" t="s">
        <v>309</v>
      </c>
      <c r="I98" s="223">
        <v>43830</v>
      </c>
      <c r="J98" s="218" t="s">
        <v>2587</v>
      </c>
      <c r="K98" s="218" t="s">
        <v>2630</v>
      </c>
      <c r="L98" s="218" t="s">
        <v>2589</v>
      </c>
      <c r="M98" s="218" t="s">
        <v>757</v>
      </c>
      <c r="N98" s="218">
        <v>115.99</v>
      </c>
      <c r="O98" s="218" t="s">
        <v>292</v>
      </c>
      <c r="P98" s="218">
        <v>150</v>
      </c>
      <c r="Q98" s="218" t="s">
        <v>752</v>
      </c>
      <c r="R98" s="218" t="s">
        <v>1587</v>
      </c>
      <c r="S98" s="218" t="s">
        <v>396</v>
      </c>
      <c r="T98" s="218" t="s">
        <v>2591</v>
      </c>
      <c r="U98" s="218" t="s">
        <v>740</v>
      </c>
      <c r="V98" s="218" t="s">
        <v>381</v>
      </c>
      <c r="W98" s="218" t="s">
        <v>295</v>
      </c>
      <c r="X98" s="218" t="s">
        <v>379</v>
      </c>
      <c r="Y98" s="218">
        <v>136.16999999999999</v>
      </c>
      <c r="Z98" s="218">
        <f t="shared" si="1"/>
        <v>150</v>
      </c>
    </row>
    <row r="99" spans="1:26">
      <c r="A99" s="218" t="s">
        <v>2592</v>
      </c>
      <c r="B99" s="218"/>
      <c r="C99" s="218"/>
      <c r="D99" s="218"/>
      <c r="E99" s="218"/>
      <c r="F99" s="219" t="s">
        <v>2774</v>
      </c>
      <c r="G99" s="218" t="s">
        <v>227</v>
      </c>
      <c r="H99" s="218" t="s">
        <v>309</v>
      </c>
      <c r="I99" s="223">
        <v>43830</v>
      </c>
      <c r="J99" s="218" t="s">
        <v>2587</v>
      </c>
      <c r="K99" s="218" t="s">
        <v>2775</v>
      </c>
      <c r="L99" s="218" t="s">
        <v>2589</v>
      </c>
      <c r="M99" s="218" t="s">
        <v>2776</v>
      </c>
      <c r="N99" s="218">
        <v>104.39</v>
      </c>
      <c r="O99" s="218" t="s">
        <v>292</v>
      </c>
      <c r="P99" s="218">
        <v>135</v>
      </c>
      <c r="Q99" s="218" t="s">
        <v>752</v>
      </c>
      <c r="R99" s="218" t="s">
        <v>1587</v>
      </c>
      <c r="S99" s="218" t="s">
        <v>396</v>
      </c>
      <c r="T99" s="218" t="s">
        <v>2591</v>
      </c>
      <c r="U99" s="218" t="s">
        <v>740</v>
      </c>
      <c r="V99" s="218" t="s">
        <v>381</v>
      </c>
      <c r="W99" s="218" t="s">
        <v>295</v>
      </c>
      <c r="X99" s="218" t="s">
        <v>379</v>
      </c>
      <c r="Y99" s="218">
        <v>122.55</v>
      </c>
      <c r="Z99" s="218">
        <f t="shared" si="1"/>
        <v>135</v>
      </c>
    </row>
    <row r="100" spans="1:26">
      <c r="A100" s="218" t="s">
        <v>2592</v>
      </c>
      <c r="B100" s="218"/>
      <c r="C100" s="218"/>
      <c r="D100" s="218"/>
      <c r="E100" s="218"/>
      <c r="F100" s="219" t="s">
        <v>2777</v>
      </c>
      <c r="G100" s="218" t="s">
        <v>227</v>
      </c>
      <c r="H100" s="218" t="s">
        <v>309</v>
      </c>
      <c r="I100" s="223">
        <v>43830</v>
      </c>
      <c r="J100" s="218" t="s">
        <v>2587</v>
      </c>
      <c r="K100" s="218" t="s">
        <v>2648</v>
      </c>
      <c r="L100" s="218" t="s">
        <v>2589</v>
      </c>
      <c r="M100" s="218" t="s">
        <v>2778</v>
      </c>
      <c r="N100" s="218">
        <v>104.39</v>
      </c>
      <c r="O100" s="218" t="s">
        <v>292</v>
      </c>
      <c r="P100" s="218">
        <v>135</v>
      </c>
      <c r="Q100" s="218" t="s">
        <v>752</v>
      </c>
      <c r="R100" s="218" t="s">
        <v>1587</v>
      </c>
      <c r="S100" s="218" t="s">
        <v>396</v>
      </c>
      <c r="T100" s="218" t="s">
        <v>2591</v>
      </c>
      <c r="U100" s="218" t="s">
        <v>740</v>
      </c>
      <c r="V100" s="218" t="s">
        <v>381</v>
      </c>
      <c r="W100" s="218" t="s">
        <v>295</v>
      </c>
      <c r="X100" s="218" t="s">
        <v>379</v>
      </c>
      <c r="Y100" s="218">
        <v>122.55</v>
      </c>
      <c r="Z100" s="218">
        <f t="shared" si="1"/>
        <v>135</v>
      </c>
    </row>
    <row r="101" spans="1:26">
      <c r="A101" s="218" t="s">
        <v>2592</v>
      </c>
      <c r="B101" s="218"/>
      <c r="C101" s="218"/>
      <c r="D101" s="218"/>
      <c r="E101" s="218"/>
      <c r="F101" s="219" t="s">
        <v>2779</v>
      </c>
      <c r="G101" s="218" t="s">
        <v>227</v>
      </c>
      <c r="H101" s="218" t="s">
        <v>309</v>
      </c>
      <c r="I101" s="223">
        <v>43830</v>
      </c>
      <c r="J101" s="218" t="s">
        <v>2587</v>
      </c>
      <c r="K101" s="218" t="s">
        <v>2630</v>
      </c>
      <c r="L101" s="218" t="s">
        <v>2589</v>
      </c>
      <c r="M101" s="218" t="s">
        <v>2780</v>
      </c>
      <c r="N101" s="218">
        <v>139.19</v>
      </c>
      <c r="O101" s="218" t="s">
        <v>292</v>
      </c>
      <c r="P101" s="218">
        <v>180</v>
      </c>
      <c r="Q101" s="218" t="s">
        <v>752</v>
      </c>
      <c r="R101" s="218" t="s">
        <v>1587</v>
      </c>
      <c r="S101" s="218" t="s">
        <v>396</v>
      </c>
      <c r="T101" s="218" t="s">
        <v>2591</v>
      </c>
      <c r="U101" s="218" t="s">
        <v>740</v>
      </c>
      <c r="V101" s="218" t="s">
        <v>381</v>
      </c>
      <c r="W101" s="218" t="s">
        <v>295</v>
      </c>
      <c r="X101" s="218" t="s">
        <v>379</v>
      </c>
      <c r="Y101" s="218">
        <v>163.41</v>
      </c>
      <c r="Z101" s="218">
        <f t="shared" si="1"/>
        <v>180</v>
      </c>
    </row>
    <row r="102" spans="1:26">
      <c r="A102" s="218" t="s">
        <v>2592</v>
      </c>
      <c r="B102" s="218"/>
      <c r="C102" s="218"/>
      <c r="D102" s="218"/>
      <c r="E102" s="218"/>
      <c r="F102" s="219" t="s">
        <v>2781</v>
      </c>
      <c r="G102" s="218" t="s">
        <v>229</v>
      </c>
      <c r="H102" s="218" t="s">
        <v>309</v>
      </c>
      <c r="I102" s="223">
        <v>43830</v>
      </c>
      <c r="J102" s="218" t="s">
        <v>2782</v>
      </c>
      <c r="K102" s="218" t="s">
        <v>2783</v>
      </c>
      <c r="L102" s="218" t="s">
        <v>2784</v>
      </c>
      <c r="M102" s="218" t="s">
        <v>2785</v>
      </c>
      <c r="N102" s="218">
        <v>1073.07</v>
      </c>
      <c r="O102" s="218" t="s">
        <v>292</v>
      </c>
      <c r="P102" s="218">
        <v>1320</v>
      </c>
      <c r="Q102" s="218" t="s">
        <v>752</v>
      </c>
      <c r="R102" s="218" t="s">
        <v>1587</v>
      </c>
      <c r="S102" s="218" t="s">
        <v>396</v>
      </c>
      <c r="T102" s="218" t="s">
        <v>2591</v>
      </c>
      <c r="U102" s="218" t="s">
        <v>737</v>
      </c>
      <c r="V102" s="218" t="s">
        <v>381</v>
      </c>
      <c r="W102" s="218" t="s">
        <v>295</v>
      </c>
      <c r="X102" s="218" t="s">
        <v>379</v>
      </c>
      <c r="Y102" s="218">
        <v>1259.76</v>
      </c>
      <c r="Z102" s="218">
        <f t="shared" si="1"/>
        <v>1320</v>
      </c>
    </row>
    <row r="103" spans="1:26">
      <c r="A103" s="218" t="s">
        <v>2592</v>
      </c>
      <c r="B103" s="218"/>
      <c r="C103" s="218"/>
      <c r="D103" s="218"/>
      <c r="E103" s="218"/>
      <c r="F103" s="219" t="s">
        <v>2786</v>
      </c>
      <c r="G103" s="218" t="s">
        <v>229</v>
      </c>
      <c r="H103" s="218" t="s">
        <v>309</v>
      </c>
      <c r="I103" s="223">
        <v>43830</v>
      </c>
      <c r="J103" s="218" t="s">
        <v>2782</v>
      </c>
      <c r="K103" s="218" t="s">
        <v>2787</v>
      </c>
      <c r="L103" s="218" t="s">
        <v>2784</v>
      </c>
      <c r="M103" s="218" t="s">
        <v>2788</v>
      </c>
      <c r="N103" s="218">
        <v>373.95</v>
      </c>
      <c r="O103" s="218" t="s">
        <v>292</v>
      </c>
      <c r="P103" s="218">
        <v>460</v>
      </c>
      <c r="Q103" s="218" t="s">
        <v>752</v>
      </c>
      <c r="R103" s="218" t="s">
        <v>1587</v>
      </c>
      <c r="S103" s="218" t="s">
        <v>396</v>
      </c>
      <c r="T103" s="218" t="s">
        <v>2591</v>
      </c>
      <c r="U103" s="218" t="s">
        <v>737</v>
      </c>
      <c r="V103" s="218" t="s">
        <v>381</v>
      </c>
      <c r="W103" s="218" t="s">
        <v>295</v>
      </c>
      <c r="X103" s="218" t="s">
        <v>379</v>
      </c>
      <c r="Y103" s="218">
        <v>439.01</v>
      </c>
      <c r="Z103" s="218">
        <f t="shared" si="1"/>
        <v>460</v>
      </c>
    </row>
    <row r="104" spans="1:26">
      <c r="A104" s="218" t="s">
        <v>2592</v>
      </c>
      <c r="B104" s="218"/>
      <c r="C104" s="218"/>
      <c r="D104" s="218"/>
      <c r="E104" s="218"/>
      <c r="F104" s="219" t="s">
        <v>2789</v>
      </c>
      <c r="G104" s="218" t="s">
        <v>229</v>
      </c>
      <c r="H104" s="218" t="s">
        <v>309</v>
      </c>
      <c r="I104" s="223">
        <v>43830</v>
      </c>
      <c r="J104" s="218" t="s">
        <v>2782</v>
      </c>
      <c r="K104" s="218" t="s">
        <v>2783</v>
      </c>
      <c r="L104" s="218" t="s">
        <v>2784</v>
      </c>
      <c r="M104" s="218" t="s">
        <v>2790</v>
      </c>
      <c r="N104" s="218">
        <v>621.9</v>
      </c>
      <c r="O104" s="218" t="s">
        <v>292</v>
      </c>
      <c r="P104" s="218">
        <v>765</v>
      </c>
      <c r="Q104" s="218" t="s">
        <v>752</v>
      </c>
      <c r="R104" s="218" t="s">
        <v>1587</v>
      </c>
      <c r="S104" s="218" t="s">
        <v>396</v>
      </c>
      <c r="T104" s="218" t="s">
        <v>2591</v>
      </c>
      <c r="U104" s="218" t="s">
        <v>737</v>
      </c>
      <c r="V104" s="218" t="s">
        <v>381</v>
      </c>
      <c r="W104" s="218" t="s">
        <v>295</v>
      </c>
      <c r="X104" s="218" t="s">
        <v>379</v>
      </c>
      <c r="Y104" s="218">
        <v>730.1</v>
      </c>
      <c r="Z104" s="218">
        <f t="shared" si="1"/>
        <v>765</v>
      </c>
    </row>
    <row r="105" spans="1:26">
      <c r="A105" s="218" t="s">
        <v>2592</v>
      </c>
      <c r="B105" s="218"/>
      <c r="C105" s="218"/>
      <c r="D105" s="218"/>
      <c r="E105" s="218"/>
      <c r="F105" s="219" t="s">
        <v>2791</v>
      </c>
      <c r="G105" s="218" t="s">
        <v>229</v>
      </c>
      <c r="H105" s="218" t="s">
        <v>309</v>
      </c>
      <c r="I105" s="223">
        <v>43830</v>
      </c>
      <c r="J105" s="218" t="s">
        <v>2782</v>
      </c>
      <c r="K105" s="218" t="s">
        <v>2783</v>
      </c>
      <c r="L105" s="218" t="s">
        <v>2784</v>
      </c>
      <c r="M105" s="218" t="s">
        <v>2792</v>
      </c>
      <c r="N105" s="218">
        <v>532.47</v>
      </c>
      <c r="O105" s="218" t="s">
        <v>292</v>
      </c>
      <c r="P105" s="218">
        <v>655</v>
      </c>
      <c r="Q105" s="218" t="s">
        <v>752</v>
      </c>
      <c r="R105" s="218" t="s">
        <v>1587</v>
      </c>
      <c r="S105" s="218" t="s">
        <v>396</v>
      </c>
      <c r="T105" s="218" t="s">
        <v>2591</v>
      </c>
      <c r="U105" s="218" t="s">
        <v>737</v>
      </c>
      <c r="V105" s="218" t="s">
        <v>381</v>
      </c>
      <c r="W105" s="218" t="s">
        <v>295</v>
      </c>
      <c r="X105" s="218" t="s">
        <v>379</v>
      </c>
      <c r="Y105" s="218">
        <v>625.11</v>
      </c>
      <c r="Z105" s="218">
        <f t="shared" si="1"/>
        <v>655</v>
      </c>
    </row>
    <row r="106" spans="1:26">
      <c r="A106" s="218" t="s">
        <v>2592</v>
      </c>
      <c r="B106" s="218"/>
      <c r="C106" s="218"/>
      <c r="D106" s="218"/>
      <c r="E106" s="218"/>
      <c r="F106" s="219" t="s">
        <v>2793</v>
      </c>
      <c r="G106" s="218" t="s">
        <v>229</v>
      </c>
      <c r="H106" s="218" t="s">
        <v>309</v>
      </c>
      <c r="I106" s="223">
        <v>43830</v>
      </c>
      <c r="J106" s="218" t="s">
        <v>2610</v>
      </c>
      <c r="K106" s="218" t="s">
        <v>2611</v>
      </c>
      <c r="L106" s="218" t="s">
        <v>2612</v>
      </c>
      <c r="M106" s="218" t="s">
        <v>2794</v>
      </c>
      <c r="N106" s="218">
        <v>48.78</v>
      </c>
      <c r="O106" s="218" t="s">
        <v>292</v>
      </c>
      <c r="P106" s="218">
        <v>60</v>
      </c>
      <c r="Q106" s="218" t="s">
        <v>752</v>
      </c>
      <c r="R106" s="218" t="s">
        <v>1587</v>
      </c>
      <c r="S106" s="218" t="s">
        <v>396</v>
      </c>
      <c r="T106" s="218" t="s">
        <v>2591</v>
      </c>
      <c r="U106" s="218" t="s">
        <v>743</v>
      </c>
      <c r="V106" s="218" t="s">
        <v>381</v>
      </c>
      <c r="W106" s="218" t="s">
        <v>295</v>
      </c>
      <c r="X106" s="218" t="s">
        <v>379</v>
      </c>
      <c r="Y106" s="218">
        <v>57.27</v>
      </c>
      <c r="Z106" s="218">
        <f t="shared" si="1"/>
        <v>60</v>
      </c>
    </row>
    <row r="107" spans="1:26">
      <c r="A107" s="218" t="s">
        <v>2592</v>
      </c>
      <c r="B107" s="218"/>
      <c r="C107" s="218"/>
      <c r="D107" s="218"/>
      <c r="E107" s="218"/>
      <c r="F107" s="219" t="s">
        <v>2795</v>
      </c>
      <c r="G107" s="218" t="s">
        <v>229</v>
      </c>
      <c r="H107" s="218" t="s">
        <v>309</v>
      </c>
      <c r="I107" s="223">
        <v>43830</v>
      </c>
      <c r="J107" s="218" t="s">
        <v>2587</v>
      </c>
      <c r="K107" s="218" t="s">
        <v>2630</v>
      </c>
      <c r="L107" s="218" t="s">
        <v>2589</v>
      </c>
      <c r="M107" s="218" t="s">
        <v>766</v>
      </c>
      <c r="N107" s="218">
        <v>69.59</v>
      </c>
      <c r="O107" s="218" t="s">
        <v>292</v>
      </c>
      <c r="P107" s="218">
        <v>90</v>
      </c>
      <c r="Q107" s="218" t="s">
        <v>752</v>
      </c>
      <c r="R107" s="218" t="s">
        <v>1587</v>
      </c>
      <c r="S107" s="218" t="s">
        <v>396</v>
      </c>
      <c r="T107" s="218" t="s">
        <v>2591</v>
      </c>
      <c r="U107" s="218" t="s">
        <v>740</v>
      </c>
      <c r="V107" s="218" t="s">
        <v>381</v>
      </c>
      <c r="W107" s="218" t="s">
        <v>295</v>
      </c>
      <c r="X107" s="218" t="s">
        <v>379</v>
      </c>
      <c r="Y107" s="218">
        <v>81.7</v>
      </c>
      <c r="Z107" s="218">
        <f t="shared" si="1"/>
        <v>90</v>
      </c>
    </row>
    <row r="108" spans="1:26">
      <c r="A108" s="218" t="s">
        <v>2592</v>
      </c>
      <c r="B108" s="218"/>
      <c r="C108" s="218"/>
      <c r="D108" s="218"/>
      <c r="E108" s="218"/>
      <c r="F108" s="219" t="s">
        <v>2796</v>
      </c>
      <c r="G108" s="218" t="s">
        <v>229</v>
      </c>
      <c r="H108" s="218" t="s">
        <v>309</v>
      </c>
      <c r="I108" s="223">
        <v>43830</v>
      </c>
      <c r="J108" s="218" t="s">
        <v>2587</v>
      </c>
      <c r="K108" s="218" t="s">
        <v>2630</v>
      </c>
      <c r="L108" s="218" t="s">
        <v>2589</v>
      </c>
      <c r="M108" s="218" t="s">
        <v>2644</v>
      </c>
      <c r="N108" s="218">
        <v>168.18</v>
      </c>
      <c r="O108" s="218" t="s">
        <v>292</v>
      </c>
      <c r="P108" s="218">
        <v>217.5</v>
      </c>
      <c r="Q108" s="218" t="s">
        <v>752</v>
      </c>
      <c r="R108" s="218" t="s">
        <v>1587</v>
      </c>
      <c r="S108" s="218" t="s">
        <v>396</v>
      </c>
      <c r="T108" s="218" t="s">
        <v>2591</v>
      </c>
      <c r="U108" s="218" t="s">
        <v>740</v>
      </c>
      <c r="V108" s="218" t="s">
        <v>381</v>
      </c>
      <c r="W108" s="218" t="s">
        <v>295</v>
      </c>
      <c r="X108" s="218" t="s">
        <v>379</v>
      </c>
      <c r="Y108" s="218">
        <v>197.44</v>
      </c>
      <c r="Z108" s="218">
        <f t="shared" si="1"/>
        <v>217.5</v>
      </c>
    </row>
    <row r="109" spans="1:26">
      <c r="A109" s="218" t="s">
        <v>2592</v>
      </c>
      <c r="B109" s="218"/>
      <c r="C109" s="218"/>
      <c r="D109" s="218"/>
      <c r="E109" s="218"/>
      <c r="F109" s="219" t="s">
        <v>2797</v>
      </c>
      <c r="G109" s="218" t="s">
        <v>229</v>
      </c>
      <c r="H109" s="218" t="s">
        <v>309</v>
      </c>
      <c r="I109" s="223">
        <v>43830</v>
      </c>
      <c r="J109" s="218" t="s">
        <v>2587</v>
      </c>
      <c r="K109" s="218" t="s">
        <v>2630</v>
      </c>
      <c r="L109" s="218" t="s">
        <v>2589</v>
      </c>
      <c r="M109" s="218" t="s">
        <v>2798</v>
      </c>
      <c r="N109" s="218">
        <v>13.53</v>
      </c>
      <c r="O109" s="218" t="s">
        <v>292</v>
      </c>
      <c r="P109" s="218">
        <v>17.5</v>
      </c>
      <c r="Q109" s="218" t="s">
        <v>752</v>
      </c>
      <c r="R109" s="218" t="s">
        <v>1587</v>
      </c>
      <c r="S109" s="218" t="s">
        <v>396</v>
      </c>
      <c r="T109" s="218" t="s">
        <v>2591</v>
      </c>
      <c r="U109" s="218" t="s">
        <v>740</v>
      </c>
      <c r="V109" s="218" t="s">
        <v>381</v>
      </c>
      <c r="W109" s="218" t="s">
        <v>295</v>
      </c>
      <c r="X109" s="218" t="s">
        <v>379</v>
      </c>
      <c r="Y109" s="218">
        <v>15.88</v>
      </c>
      <c r="Z109" s="218">
        <f t="shared" si="1"/>
        <v>17.5</v>
      </c>
    </row>
    <row r="110" spans="1:26">
      <c r="A110" s="218" t="s">
        <v>2592</v>
      </c>
      <c r="B110" s="218"/>
      <c r="C110" s="218"/>
      <c r="D110" s="218"/>
      <c r="E110" s="218"/>
      <c r="F110" s="219" t="s">
        <v>2799</v>
      </c>
      <c r="G110" s="218" t="s">
        <v>229</v>
      </c>
      <c r="H110" s="218" t="s">
        <v>309</v>
      </c>
      <c r="I110" s="223">
        <v>43830</v>
      </c>
      <c r="J110" s="218" t="s">
        <v>2587</v>
      </c>
      <c r="K110" s="218" t="s">
        <v>2651</v>
      </c>
      <c r="L110" s="218" t="s">
        <v>2589</v>
      </c>
      <c r="M110" s="218" t="s">
        <v>2800</v>
      </c>
      <c r="N110" s="218">
        <v>38.659999999999997</v>
      </c>
      <c r="O110" s="218" t="s">
        <v>292</v>
      </c>
      <c r="P110" s="218">
        <v>50</v>
      </c>
      <c r="Q110" s="218" t="s">
        <v>752</v>
      </c>
      <c r="R110" s="218" t="s">
        <v>1587</v>
      </c>
      <c r="S110" s="218" t="s">
        <v>396</v>
      </c>
      <c r="T110" s="218" t="s">
        <v>2591</v>
      </c>
      <c r="U110" s="218" t="s">
        <v>740</v>
      </c>
      <c r="V110" s="218" t="s">
        <v>381</v>
      </c>
      <c r="W110" s="218" t="s">
        <v>295</v>
      </c>
      <c r="X110" s="218" t="s">
        <v>379</v>
      </c>
      <c r="Y110" s="218">
        <v>45.39</v>
      </c>
      <c r="Z110" s="218">
        <f t="shared" si="1"/>
        <v>50</v>
      </c>
    </row>
    <row r="111" spans="1:26">
      <c r="A111" s="218" t="s">
        <v>2592</v>
      </c>
      <c r="B111" s="218"/>
      <c r="C111" s="218"/>
      <c r="D111" s="218"/>
      <c r="E111" s="218"/>
      <c r="F111" s="219" t="s">
        <v>2801</v>
      </c>
      <c r="G111" s="218" t="s">
        <v>229</v>
      </c>
      <c r="H111" s="218" t="s">
        <v>309</v>
      </c>
      <c r="I111" s="223">
        <v>43830</v>
      </c>
      <c r="J111" s="218" t="s">
        <v>2587</v>
      </c>
      <c r="K111" s="218" t="s">
        <v>2630</v>
      </c>
      <c r="L111" s="218" t="s">
        <v>2589</v>
      </c>
      <c r="M111" s="218" t="s">
        <v>2802</v>
      </c>
      <c r="N111" s="218">
        <v>48.33</v>
      </c>
      <c r="O111" s="218" t="s">
        <v>292</v>
      </c>
      <c r="P111" s="218">
        <v>62.5</v>
      </c>
      <c r="Q111" s="218" t="s">
        <v>752</v>
      </c>
      <c r="R111" s="218" t="s">
        <v>1587</v>
      </c>
      <c r="S111" s="218" t="s">
        <v>396</v>
      </c>
      <c r="T111" s="218" t="s">
        <v>2591</v>
      </c>
      <c r="U111" s="218" t="s">
        <v>740</v>
      </c>
      <c r="V111" s="218" t="s">
        <v>381</v>
      </c>
      <c r="W111" s="218" t="s">
        <v>295</v>
      </c>
      <c r="X111" s="218" t="s">
        <v>379</v>
      </c>
      <c r="Y111" s="218">
        <v>56.74</v>
      </c>
      <c r="Z111" s="218">
        <f t="shared" si="1"/>
        <v>62.5</v>
      </c>
    </row>
    <row r="112" spans="1:26">
      <c r="A112" s="218" t="s">
        <v>2592</v>
      </c>
      <c r="B112" s="218"/>
      <c r="C112" s="218"/>
      <c r="D112" s="218"/>
      <c r="E112" s="218"/>
      <c r="F112" s="219" t="s">
        <v>2803</v>
      </c>
      <c r="G112" s="218" t="s">
        <v>229</v>
      </c>
      <c r="H112" s="218" t="s">
        <v>309</v>
      </c>
      <c r="I112" s="223">
        <v>43830</v>
      </c>
      <c r="J112" s="218" t="s">
        <v>2587</v>
      </c>
      <c r="K112" s="218" t="s">
        <v>2648</v>
      </c>
      <c r="L112" s="218" t="s">
        <v>2589</v>
      </c>
      <c r="M112" s="218" t="s">
        <v>2804</v>
      </c>
      <c r="N112" s="218">
        <v>96.66</v>
      </c>
      <c r="O112" s="218" t="s">
        <v>292</v>
      </c>
      <c r="P112" s="218">
        <v>125</v>
      </c>
      <c r="Q112" s="218" t="s">
        <v>752</v>
      </c>
      <c r="R112" s="218" t="s">
        <v>1587</v>
      </c>
      <c r="S112" s="218" t="s">
        <v>396</v>
      </c>
      <c r="T112" s="218" t="s">
        <v>2591</v>
      </c>
      <c r="U112" s="218" t="s">
        <v>740</v>
      </c>
      <c r="V112" s="218" t="s">
        <v>381</v>
      </c>
      <c r="W112" s="218" t="s">
        <v>295</v>
      </c>
      <c r="X112" s="218" t="s">
        <v>379</v>
      </c>
      <c r="Y112" s="218">
        <v>113.48</v>
      </c>
      <c r="Z112" s="218">
        <f t="shared" si="1"/>
        <v>125</v>
      </c>
    </row>
    <row r="113" spans="1:26">
      <c r="A113" s="218" t="s">
        <v>2592</v>
      </c>
      <c r="B113" s="218"/>
      <c r="C113" s="218"/>
      <c r="D113" s="218"/>
      <c r="E113" s="218"/>
      <c r="F113" s="219" t="s">
        <v>2805</v>
      </c>
      <c r="G113" s="218" t="s">
        <v>229</v>
      </c>
      <c r="H113" s="218" t="s">
        <v>309</v>
      </c>
      <c r="I113" s="223">
        <v>43830</v>
      </c>
      <c r="J113" s="218" t="s">
        <v>2587</v>
      </c>
      <c r="K113" s="218" t="s">
        <v>2651</v>
      </c>
      <c r="L113" s="218" t="s">
        <v>2589</v>
      </c>
      <c r="M113" s="218" t="s">
        <v>1654</v>
      </c>
      <c r="N113" s="218">
        <v>38.659999999999997</v>
      </c>
      <c r="O113" s="218" t="s">
        <v>292</v>
      </c>
      <c r="P113" s="218">
        <v>50</v>
      </c>
      <c r="Q113" s="218" t="s">
        <v>752</v>
      </c>
      <c r="R113" s="218" t="s">
        <v>1587</v>
      </c>
      <c r="S113" s="218" t="s">
        <v>396</v>
      </c>
      <c r="T113" s="218" t="s">
        <v>2591</v>
      </c>
      <c r="U113" s="218" t="s">
        <v>740</v>
      </c>
      <c r="V113" s="218" t="s">
        <v>381</v>
      </c>
      <c r="W113" s="218" t="s">
        <v>295</v>
      </c>
      <c r="X113" s="218" t="s">
        <v>379</v>
      </c>
      <c r="Y113" s="218">
        <v>45.39</v>
      </c>
      <c r="Z113" s="218">
        <f t="shared" si="1"/>
        <v>50</v>
      </c>
    </row>
    <row r="114" spans="1:26">
      <c r="A114" s="218" t="s">
        <v>2592</v>
      </c>
      <c r="B114" s="218"/>
      <c r="C114" s="218"/>
      <c r="D114" s="218"/>
      <c r="E114" s="218"/>
      <c r="F114" s="219" t="s">
        <v>2806</v>
      </c>
      <c r="G114" s="218" t="s">
        <v>229</v>
      </c>
      <c r="H114" s="218" t="s">
        <v>309</v>
      </c>
      <c r="I114" s="223">
        <v>43830</v>
      </c>
      <c r="J114" s="218" t="s">
        <v>2587</v>
      </c>
      <c r="K114" s="218" t="s">
        <v>2630</v>
      </c>
      <c r="L114" s="218" t="s">
        <v>2589</v>
      </c>
      <c r="M114" s="218" t="s">
        <v>2807</v>
      </c>
      <c r="N114" s="218">
        <v>144.99</v>
      </c>
      <c r="O114" s="218" t="s">
        <v>292</v>
      </c>
      <c r="P114" s="218">
        <v>187.5</v>
      </c>
      <c r="Q114" s="218" t="s">
        <v>752</v>
      </c>
      <c r="R114" s="218" t="s">
        <v>1587</v>
      </c>
      <c r="S114" s="218" t="s">
        <v>396</v>
      </c>
      <c r="T114" s="218" t="s">
        <v>2591</v>
      </c>
      <c r="U114" s="218" t="s">
        <v>740</v>
      </c>
      <c r="V114" s="218" t="s">
        <v>381</v>
      </c>
      <c r="W114" s="218" t="s">
        <v>295</v>
      </c>
      <c r="X114" s="218" t="s">
        <v>379</v>
      </c>
      <c r="Y114" s="218">
        <v>170.22</v>
      </c>
      <c r="Z114" s="218">
        <f t="shared" si="1"/>
        <v>187.5</v>
      </c>
    </row>
    <row r="115" spans="1:26">
      <c r="A115" s="218" t="s">
        <v>2592</v>
      </c>
      <c r="B115" s="218"/>
      <c r="C115" s="218"/>
      <c r="D115" s="218"/>
      <c r="E115" s="218"/>
      <c r="F115" s="219" t="s">
        <v>2808</v>
      </c>
      <c r="G115" s="218" t="s">
        <v>229</v>
      </c>
      <c r="H115" s="218" t="s">
        <v>309</v>
      </c>
      <c r="I115" s="223">
        <v>43830</v>
      </c>
      <c r="J115" s="218" t="s">
        <v>2587</v>
      </c>
      <c r="K115" s="218" t="s">
        <v>2648</v>
      </c>
      <c r="L115" s="218" t="s">
        <v>2589</v>
      </c>
      <c r="M115" s="218" t="s">
        <v>2809</v>
      </c>
      <c r="N115" s="218">
        <v>289.97000000000003</v>
      </c>
      <c r="O115" s="218" t="s">
        <v>292</v>
      </c>
      <c r="P115" s="218">
        <v>375</v>
      </c>
      <c r="Q115" s="218" t="s">
        <v>752</v>
      </c>
      <c r="R115" s="218" t="s">
        <v>1587</v>
      </c>
      <c r="S115" s="218" t="s">
        <v>396</v>
      </c>
      <c r="T115" s="218" t="s">
        <v>2591</v>
      </c>
      <c r="U115" s="218" t="s">
        <v>740</v>
      </c>
      <c r="V115" s="218" t="s">
        <v>381</v>
      </c>
      <c r="W115" s="218" t="s">
        <v>295</v>
      </c>
      <c r="X115" s="218" t="s">
        <v>379</v>
      </c>
      <c r="Y115" s="218">
        <v>340.42</v>
      </c>
      <c r="Z115" s="218">
        <f t="shared" si="1"/>
        <v>375</v>
      </c>
    </row>
    <row r="116" spans="1:26">
      <c r="A116" s="218" t="s">
        <v>2592</v>
      </c>
      <c r="B116" s="218"/>
      <c r="C116" s="218"/>
      <c r="D116" s="218"/>
      <c r="E116" s="218"/>
      <c r="F116" s="219" t="s">
        <v>2810</v>
      </c>
      <c r="G116" s="218" t="s">
        <v>229</v>
      </c>
      <c r="H116" s="218" t="s">
        <v>309</v>
      </c>
      <c r="I116" s="223">
        <v>43830</v>
      </c>
      <c r="J116" s="218" t="s">
        <v>2587</v>
      </c>
      <c r="K116" s="218" t="s">
        <v>2651</v>
      </c>
      <c r="L116" s="218" t="s">
        <v>2589</v>
      </c>
      <c r="M116" s="218" t="s">
        <v>1645</v>
      </c>
      <c r="N116" s="218">
        <v>38.659999999999997</v>
      </c>
      <c r="O116" s="218" t="s">
        <v>292</v>
      </c>
      <c r="P116" s="218">
        <v>50</v>
      </c>
      <c r="Q116" s="218" t="s">
        <v>752</v>
      </c>
      <c r="R116" s="218" t="s">
        <v>1587</v>
      </c>
      <c r="S116" s="218" t="s">
        <v>396</v>
      </c>
      <c r="T116" s="218" t="s">
        <v>2591</v>
      </c>
      <c r="U116" s="218" t="s">
        <v>740</v>
      </c>
      <c r="V116" s="218" t="s">
        <v>381</v>
      </c>
      <c r="W116" s="218" t="s">
        <v>295</v>
      </c>
      <c r="X116" s="218" t="s">
        <v>379</v>
      </c>
      <c r="Y116" s="218">
        <v>45.39</v>
      </c>
      <c r="Z116" s="218">
        <f t="shared" si="1"/>
        <v>50</v>
      </c>
    </row>
    <row r="117" spans="1:26">
      <c r="A117" s="218" t="s">
        <v>2592</v>
      </c>
      <c r="B117" s="218"/>
      <c r="C117" s="218"/>
      <c r="D117" s="218"/>
      <c r="E117" s="218"/>
      <c r="F117" s="219" t="s">
        <v>2811</v>
      </c>
      <c r="G117" s="218" t="s">
        <v>229</v>
      </c>
      <c r="H117" s="218" t="s">
        <v>309</v>
      </c>
      <c r="I117" s="223">
        <v>43830</v>
      </c>
      <c r="J117" s="218" t="s">
        <v>2587</v>
      </c>
      <c r="K117" s="218" t="s">
        <v>2630</v>
      </c>
      <c r="L117" s="218" t="s">
        <v>2589</v>
      </c>
      <c r="M117" s="218" t="s">
        <v>2654</v>
      </c>
      <c r="N117" s="218">
        <v>96.66</v>
      </c>
      <c r="O117" s="218" t="s">
        <v>292</v>
      </c>
      <c r="P117" s="218">
        <v>125</v>
      </c>
      <c r="Q117" s="218" t="s">
        <v>752</v>
      </c>
      <c r="R117" s="218" t="s">
        <v>1587</v>
      </c>
      <c r="S117" s="218" t="s">
        <v>396</v>
      </c>
      <c r="T117" s="218" t="s">
        <v>2591</v>
      </c>
      <c r="U117" s="218" t="s">
        <v>740</v>
      </c>
      <c r="V117" s="218" t="s">
        <v>381</v>
      </c>
      <c r="W117" s="218" t="s">
        <v>295</v>
      </c>
      <c r="X117" s="218" t="s">
        <v>379</v>
      </c>
      <c r="Y117" s="218">
        <v>113.48</v>
      </c>
      <c r="Z117" s="218">
        <f t="shared" si="1"/>
        <v>125</v>
      </c>
    </row>
    <row r="118" spans="1:26">
      <c r="A118" s="218" t="s">
        <v>2592</v>
      </c>
      <c r="B118" s="218"/>
      <c r="C118" s="218"/>
      <c r="D118" s="218"/>
      <c r="E118" s="218"/>
      <c r="F118" s="219" t="s">
        <v>2812</v>
      </c>
      <c r="G118" s="218" t="s">
        <v>229</v>
      </c>
      <c r="H118" s="218" t="s">
        <v>309</v>
      </c>
      <c r="I118" s="223">
        <v>43830</v>
      </c>
      <c r="J118" s="218" t="s">
        <v>2587</v>
      </c>
      <c r="K118" s="218" t="s">
        <v>2648</v>
      </c>
      <c r="L118" s="218" t="s">
        <v>2589</v>
      </c>
      <c r="M118" s="218" t="s">
        <v>2656</v>
      </c>
      <c r="N118" s="218">
        <v>193.31</v>
      </c>
      <c r="O118" s="218" t="s">
        <v>292</v>
      </c>
      <c r="P118" s="218">
        <v>250</v>
      </c>
      <c r="Q118" s="218" t="s">
        <v>752</v>
      </c>
      <c r="R118" s="218" t="s">
        <v>1587</v>
      </c>
      <c r="S118" s="218" t="s">
        <v>396</v>
      </c>
      <c r="T118" s="218" t="s">
        <v>2591</v>
      </c>
      <c r="U118" s="218" t="s">
        <v>740</v>
      </c>
      <c r="V118" s="218" t="s">
        <v>381</v>
      </c>
      <c r="W118" s="218" t="s">
        <v>295</v>
      </c>
      <c r="X118" s="218" t="s">
        <v>379</v>
      </c>
      <c r="Y118" s="218">
        <v>226.94</v>
      </c>
      <c r="Z118" s="218">
        <f t="shared" si="1"/>
        <v>250</v>
      </c>
    </row>
    <row r="119" spans="1:26">
      <c r="A119" s="218" t="s">
        <v>2592</v>
      </c>
      <c r="B119" s="218"/>
      <c r="C119" s="218"/>
      <c r="D119" s="218"/>
      <c r="E119" s="218"/>
      <c r="F119" s="219" t="s">
        <v>2813</v>
      </c>
      <c r="G119" s="218" t="s">
        <v>229</v>
      </c>
      <c r="H119" s="218" t="s">
        <v>309</v>
      </c>
      <c r="I119" s="223">
        <v>43830</v>
      </c>
      <c r="J119" s="218" t="s">
        <v>2814</v>
      </c>
      <c r="K119" s="218" t="s">
        <v>2591</v>
      </c>
      <c r="L119" s="218" t="s">
        <v>2815</v>
      </c>
      <c r="M119" s="218" t="s">
        <v>2816</v>
      </c>
      <c r="N119" s="218">
        <v>1059.3599999999999</v>
      </c>
      <c r="O119" s="218" t="s">
        <v>292</v>
      </c>
      <c r="P119" s="218">
        <v>1370</v>
      </c>
      <c r="Q119" s="218" t="s">
        <v>752</v>
      </c>
      <c r="R119" s="218" t="s">
        <v>1587</v>
      </c>
      <c r="S119" s="218" t="s">
        <v>396</v>
      </c>
      <c r="T119" s="218" t="s">
        <v>2591</v>
      </c>
      <c r="U119" s="218" t="s">
        <v>743</v>
      </c>
      <c r="V119" s="218" t="s">
        <v>381</v>
      </c>
      <c r="W119" s="218" t="s">
        <v>295</v>
      </c>
      <c r="X119" s="218" t="s">
        <v>379</v>
      </c>
      <c r="Y119" s="218">
        <v>1243.67</v>
      </c>
      <c r="Z119" s="218">
        <f t="shared" si="1"/>
        <v>1370</v>
      </c>
    </row>
    <row r="120" spans="1:26">
      <c r="A120" s="218" t="s">
        <v>2592</v>
      </c>
      <c r="B120" s="218"/>
      <c r="C120" s="218"/>
      <c r="D120" s="218"/>
      <c r="E120" s="218"/>
      <c r="F120" s="219" t="s">
        <v>2817</v>
      </c>
      <c r="G120" s="218" t="s">
        <v>229</v>
      </c>
      <c r="H120" s="218" t="s">
        <v>309</v>
      </c>
      <c r="I120" s="223">
        <v>43830</v>
      </c>
      <c r="J120" s="218" t="s">
        <v>2814</v>
      </c>
      <c r="K120" s="218" t="s">
        <v>2591</v>
      </c>
      <c r="L120" s="218" t="s">
        <v>2815</v>
      </c>
      <c r="M120" s="218" t="s">
        <v>2818</v>
      </c>
      <c r="N120" s="218">
        <v>54.13</v>
      </c>
      <c r="O120" s="218" t="s">
        <v>292</v>
      </c>
      <c r="P120" s="218">
        <v>70</v>
      </c>
      <c r="Q120" s="218" t="s">
        <v>752</v>
      </c>
      <c r="R120" s="218" t="s">
        <v>1587</v>
      </c>
      <c r="S120" s="218" t="s">
        <v>396</v>
      </c>
      <c r="T120" s="218" t="s">
        <v>2591</v>
      </c>
      <c r="U120" s="218" t="s">
        <v>743</v>
      </c>
      <c r="V120" s="218" t="s">
        <v>381</v>
      </c>
      <c r="W120" s="218" t="s">
        <v>295</v>
      </c>
      <c r="X120" s="218" t="s">
        <v>379</v>
      </c>
      <c r="Y120" s="218">
        <v>63.55</v>
      </c>
      <c r="Z120" s="218">
        <f t="shared" si="1"/>
        <v>70</v>
      </c>
    </row>
    <row r="121" spans="1:26">
      <c r="A121" s="218" t="s">
        <v>2592</v>
      </c>
      <c r="B121" s="218"/>
      <c r="C121" s="218"/>
      <c r="D121" s="218"/>
      <c r="E121" s="218"/>
      <c r="F121" s="219" t="s">
        <v>2819</v>
      </c>
      <c r="G121" s="218" t="s">
        <v>230</v>
      </c>
      <c r="H121" s="218" t="s">
        <v>309</v>
      </c>
      <c r="I121" s="223">
        <v>43830</v>
      </c>
      <c r="J121" s="218" t="s">
        <v>2610</v>
      </c>
      <c r="K121" s="218" t="s">
        <v>2820</v>
      </c>
      <c r="L121" s="218" t="s">
        <v>2612</v>
      </c>
      <c r="M121" s="218" t="s">
        <v>2816</v>
      </c>
      <c r="N121" s="218">
        <v>1113.72</v>
      </c>
      <c r="O121" s="218" t="s">
        <v>292</v>
      </c>
      <c r="P121" s="218">
        <v>1370</v>
      </c>
      <c r="Q121" s="218" t="s">
        <v>752</v>
      </c>
      <c r="R121" s="218" t="s">
        <v>1587</v>
      </c>
      <c r="S121" s="218" t="s">
        <v>396</v>
      </c>
      <c r="T121" s="218" t="s">
        <v>2591</v>
      </c>
      <c r="U121" s="218" t="s">
        <v>743</v>
      </c>
      <c r="V121" s="218" t="s">
        <v>381</v>
      </c>
      <c r="W121" s="218" t="s">
        <v>295</v>
      </c>
      <c r="X121" s="218" t="s">
        <v>379</v>
      </c>
      <c r="Y121" s="218">
        <v>1307.49</v>
      </c>
      <c r="Z121" s="218">
        <f t="shared" si="1"/>
        <v>1370</v>
      </c>
    </row>
    <row r="122" spans="1:26">
      <c r="A122" s="218" t="s">
        <v>2592</v>
      </c>
      <c r="B122" s="218"/>
      <c r="C122" s="218"/>
      <c r="D122" s="218"/>
      <c r="E122" s="218"/>
      <c r="F122" s="219" t="s">
        <v>2821</v>
      </c>
      <c r="G122" s="218" t="s">
        <v>230</v>
      </c>
      <c r="H122" s="218" t="s">
        <v>309</v>
      </c>
      <c r="I122" s="223">
        <v>43830</v>
      </c>
      <c r="J122" s="218" t="s">
        <v>2610</v>
      </c>
      <c r="K122" s="218" t="s">
        <v>2820</v>
      </c>
      <c r="L122" s="218" t="s">
        <v>2612</v>
      </c>
      <c r="M122" s="218" t="s">
        <v>2818</v>
      </c>
      <c r="N122" s="218">
        <v>56.91</v>
      </c>
      <c r="O122" s="218" t="s">
        <v>292</v>
      </c>
      <c r="P122" s="218">
        <v>70</v>
      </c>
      <c r="Q122" s="218" t="s">
        <v>752</v>
      </c>
      <c r="R122" s="218" t="s">
        <v>1587</v>
      </c>
      <c r="S122" s="218" t="s">
        <v>396</v>
      </c>
      <c r="T122" s="218" t="s">
        <v>2591</v>
      </c>
      <c r="U122" s="218" t="s">
        <v>743</v>
      </c>
      <c r="V122" s="218" t="s">
        <v>381</v>
      </c>
      <c r="W122" s="218" t="s">
        <v>295</v>
      </c>
      <c r="X122" s="218" t="s">
        <v>379</v>
      </c>
      <c r="Y122" s="218">
        <v>66.81</v>
      </c>
      <c r="Z122" s="218">
        <f t="shared" si="1"/>
        <v>70</v>
      </c>
    </row>
    <row r="123" spans="1:26">
      <c r="A123" s="218" t="s">
        <v>2592</v>
      </c>
      <c r="B123" s="218"/>
      <c r="C123" s="218"/>
      <c r="D123" s="218"/>
      <c r="E123" s="218"/>
      <c r="F123" s="219" t="s">
        <v>2822</v>
      </c>
      <c r="G123" s="218" t="s">
        <v>230</v>
      </c>
      <c r="H123" s="218" t="s">
        <v>309</v>
      </c>
      <c r="I123" s="223">
        <v>43830</v>
      </c>
      <c r="J123" s="218" t="s">
        <v>2814</v>
      </c>
      <c r="K123" s="218" t="s">
        <v>2591</v>
      </c>
      <c r="L123" s="218" t="s">
        <v>2815</v>
      </c>
      <c r="M123" s="218" t="s">
        <v>2816</v>
      </c>
      <c r="N123" s="218">
        <v>-1059.3599999999999</v>
      </c>
      <c r="O123" s="218" t="s">
        <v>292</v>
      </c>
      <c r="P123" s="218">
        <v>-1370</v>
      </c>
      <c r="Q123" s="218" t="s">
        <v>752</v>
      </c>
      <c r="R123" s="218" t="s">
        <v>1587</v>
      </c>
      <c r="S123" s="218" t="s">
        <v>396</v>
      </c>
      <c r="T123" s="218" t="s">
        <v>2591</v>
      </c>
      <c r="U123" s="218" t="s">
        <v>743</v>
      </c>
      <c r="V123" s="218" t="s">
        <v>381</v>
      </c>
      <c r="W123" s="218" t="s">
        <v>295</v>
      </c>
      <c r="X123" s="218" t="s">
        <v>379</v>
      </c>
      <c r="Y123" s="218">
        <v>-1243.67</v>
      </c>
      <c r="Z123" s="218">
        <f t="shared" si="1"/>
        <v>-1370</v>
      </c>
    </row>
    <row r="124" spans="1:26">
      <c r="A124" s="218" t="s">
        <v>2592</v>
      </c>
      <c r="B124" s="218"/>
      <c r="C124" s="218"/>
      <c r="D124" s="218"/>
      <c r="E124" s="218"/>
      <c r="F124" s="219" t="s">
        <v>2823</v>
      </c>
      <c r="G124" s="218" t="s">
        <v>230</v>
      </c>
      <c r="H124" s="218" t="s">
        <v>309</v>
      </c>
      <c r="I124" s="223">
        <v>43830</v>
      </c>
      <c r="J124" s="218" t="s">
        <v>2814</v>
      </c>
      <c r="K124" s="218" t="s">
        <v>2591</v>
      </c>
      <c r="L124" s="218" t="s">
        <v>2815</v>
      </c>
      <c r="M124" s="218" t="s">
        <v>2818</v>
      </c>
      <c r="N124" s="218">
        <v>-54.13</v>
      </c>
      <c r="O124" s="218" t="s">
        <v>292</v>
      </c>
      <c r="P124" s="218">
        <v>-70</v>
      </c>
      <c r="Q124" s="218" t="s">
        <v>752</v>
      </c>
      <c r="R124" s="218" t="s">
        <v>1587</v>
      </c>
      <c r="S124" s="218" t="s">
        <v>396</v>
      </c>
      <c r="T124" s="218" t="s">
        <v>2591</v>
      </c>
      <c r="U124" s="218" t="s">
        <v>743</v>
      </c>
      <c r="V124" s="218" t="s">
        <v>381</v>
      </c>
      <c r="W124" s="218" t="s">
        <v>295</v>
      </c>
      <c r="X124" s="218" t="s">
        <v>379</v>
      </c>
      <c r="Y124" s="218">
        <v>-63.55</v>
      </c>
      <c r="Z124" s="218">
        <f t="shared" si="1"/>
        <v>-70</v>
      </c>
    </row>
    <row r="125" spans="1:26">
      <c r="A125" s="218" t="s">
        <v>2592</v>
      </c>
      <c r="B125" s="218"/>
      <c r="C125" s="218"/>
      <c r="D125" s="218"/>
      <c r="E125" s="218"/>
      <c r="F125" s="219" t="s">
        <v>2824</v>
      </c>
      <c r="G125" s="218" t="s">
        <v>232</v>
      </c>
      <c r="H125" s="218" t="s">
        <v>309</v>
      </c>
      <c r="I125" s="223">
        <v>43769</v>
      </c>
      <c r="J125" s="218" t="s">
        <v>2825</v>
      </c>
      <c r="K125" s="218" t="s">
        <v>2595</v>
      </c>
      <c r="L125" s="218" t="s">
        <v>2596</v>
      </c>
      <c r="M125" s="218" t="s">
        <v>1768</v>
      </c>
      <c r="N125" s="218">
        <v>-34.380000000000003</v>
      </c>
      <c r="O125" s="218" t="s">
        <v>292</v>
      </c>
      <c r="P125" s="218">
        <v>-42</v>
      </c>
      <c r="Q125" s="218" t="s">
        <v>1442</v>
      </c>
      <c r="R125" s="218" t="s">
        <v>1769</v>
      </c>
      <c r="S125" s="218" t="s">
        <v>396</v>
      </c>
      <c r="T125" s="218" t="s">
        <v>2591</v>
      </c>
      <c r="U125" s="218" t="s">
        <v>2591</v>
      </c>
      <c r="V125" s="218" t="s">
        <v>381</v>
      </c>
      <c r="W125" s="218" t="s">
        <v>295</v>
      </c>
      <c r="X125" s="218" t="s">
        <v>379</v>
      </c>
      <c r="Y125" s="218">
        <v>-38.729999999999997</v>
      </c>
      <c r="Z125" s="218">
        <f t="shared" si="1"/>
        <v>-42</v>
      </c>
    </row>
    <row r="126" spans="1:26">
      <c r="A126" s="218" t="s">
        <v>2592</v>
      </c>
      <c r="B126" s="218"/>
      <c r="C126" s="218"/>
      <c r="D126" s="218"/>
      <c r="E126" s="218"/>
      <c r="F126" s="219" t="s">
        <v>2826</v>
      </c>
      <c r="G126" s="218" t="s">
        <v>233</v>
      </c>
      <c r="H126" s="218" t="s">
        <v>309</v>
      </c>
      <c r="I126" s="223">
        <v>43830</v>
      </c>
      <c r="J126" s="218" t="s">
        <v>2587</v>
      </c>
      <c r="K126" s="218" t="s">
        <v>2630</v>
      </c>
      <c r="L126" s="218" t="s">
        <v>2589</v>
      </c>
      <c r="M126" s="218" t="s">
        <v>1450</v>
      </c>
      <c r="N126" s="218">
        <v>23.2</v>
      </c>
      <c r="O126" s="218" t="s">
        <v>292</v>
      </c>
      <c r="P126" s="218">
        <v>30</v>
      </c>
      <c r="Q126" s="218" t="s">
        <v>752</v>
      </c>
      <c r="R126" s="218" t="s">
        <v>1587</v>
      </c>
      <c r="S126" s="218" t="s">
        <v>396</v>
      </c>
      <c r="T126" s="218" t="s">
        <v>2591</v>
      </c>
      <c r="U126" s="218" t="s">
        <v>740</v>
      </c>
      <c r="V126" s="218" t="s">
        <v>381</v>
      </c>
      <c r="W126" s="218" t="s">
        <v>295</v>
      </c>
      <c r="X126" s="218" t="s">
        <v>379</v>
      </c>
      <c r="Y126" s="218">
        <v>27.24</v>
      </c>
      <c r="Z126" s="218">
        <f t="shared" si="1"/>
        <v>30</v>
      </c>
    </row>
    <row r="127" spans="1:26">
      <c r="A127" s="218" t="s">
        <v>2592</v>
      </c>
      <c r="B127" s="218"/>
      <c r="C127" s="218"/>
      <c r="D127" s="218"/>
      <c r="E127" s="218"/>
      <c r="F127" s="219" t="s">
        <v>2827</v>
      </c>
      <c r="G127" s="218" t="s">
        <v>233</v>
      </c>
      <c r="H127" s="218" t="s">
        <v>309</v>
      </c>
      <c r="I127" s="223">
        <v>43830</v>
      </c>
      <c r="J127" s="218" t="s">
        <v>2587</v>
      </c>
      <c r="K127" s="218" t="s">
        <v>2630</v>
      </c>
      <c r="L127" s="218" t="s">
        <v>2589</v>
      </c>
      <c r="M127" s="218" t="s">
        <v>2644</v>
      </c>
      <c r="N127" s="218">
        <v>37.5</v>
      </c>
      <c r="O127" s="218" t="s">
        <v>292</v>
      </c>
      <c r="P127" s="218">
        <v>48.5</v>
      </c>
      <c r="Q127" s="218" t="s">
        <v>752</v>
      </c>
      <c r="R127" s="218" t="s">
        <v>1587</v>
      </c>
      <c r="S127" s="218" t="s">
        <v>396</v>
      </c>
      <c r="T127" s="218" t="s">
        <v>2591</v>
      </c>
      <c r="U127" s="218" t="s">
        <v>740</v>
      </c>
      <c r="V127" s="218" t="s">
        <v>381</v>
      </c>
      <c r="W127" s="218" t="s">
        <v>295</v>
      </c>
      <c r="X127" s="218" t="s">
        <v>379</v>
      </c>
      <c r="Y127" s="218">
        <v>44.02</v>
      </c>
      <c r="Z127" s="218">
        <f t="shared" si="1"/>
        <v>48.5</v>
      </c>
    </row>
    <row r="128" spans="1:26">
      <c r="A128" s="218" t="s">
        <v>2592</v>
      </c>
      <c r="B128" s="218"/>
      <c r="C128" s="218"/>
      <c r="D128" s="218"/>
      <c r="E128" s="218"/>
      <c r="F128" s="219" t="s">
        <v>2828</v>
      </c>
      <c r="G128" s="218" t="s">
        <v>233</v>
      </c>
      <c r="H128" s="218" t="s">
        <v>309</v>
      </c>
      <c r="I128" s="223">
        <v>43830</v>
      </c>
      <c r="J128" s="218" t="s">
        <v>2587</v>
      </c>
      <c r="K128" s="218" t="s">
        <v>2630</v>
      </c>
      <c r="L128" s="218" t="s">
        <v>2589</v>
      </c>
      <c r="M128" s="218" t="s">
        <v>2829</v>
      </c>
      <c r="N128" s="218">
        <v>48.33</v>
      </c>
      <c r="O128" s="218" t="s">
        <v>292</v>
      </c>
      <c r="P128" s="218">
        <v>62.5</v>
      </c>
      <c r="Q128" s="218" t="s">
        <v>752</v>
      </c>
      <c r="R128" s="218" t="s">
        <v>1587</v>
      </c>
      <c r="S128" s="218" t="s">
        <v>396</v>
      </c>
      <c r="T128" s="218" t="s">
        <v>2591</v>
      </c>
      <c r="U128" s="218" t="s">
        <v>740</v>
      </c>
      <c r="V128" s="218" t="s">
        <v>381</v>
      </c>
      <c r="W128" s="218" t="s">
        <v>295</v>
      </c>
      <c r="X128" s="218" t="s">
        <v>379</v>
      </c>
      <c r="Y128" s="218">
        <v>56.74</v>
      </c>
      <c r="Z128" s="218">
        <f t="shared" si="1"/>
        <v>62.5</v>
      </c>
    </row>
    <row r="129" spans="1:26">
      <c r="A129" s="218" t="s">
        <v>2592</v>
      </c>
      <c r="B129" s="218"/>
      <c r="C129" s="218"/>
      <c r="D129" s="218"/>
      <c r="E129" s="218"/>
      <c r="F129" s="219" t="s">
        <v>2830</v>
      </c>
      <c r="G129" s="218" t="s">
        <v>233</v>
      </c>
      <c r="H129" s="218" t="s">
        <v>309</v>
      </c>
      <c r="I129" s="223">
        <v>43830</v>
      </c>
      <c r="J129" s="218" t="s">
        <v>2587</v>
      </c>
      <c r="K129" s="218" t="s">
        <v>2648</v>
      </c>
      <c r="L129" s="218" t="s">
        <v>2589</v>
      </c>
      <c r="M129" s="218" t="s">
        <v>2831</v>
      </c>
      <c r="N129" s="218">
        <v>96.66</v>
      </c>
      <c r="O129" s="218" t="s">
        <v>292</v>
      </c>
      <c r="P129" s="218">
        <v>125</v>
      </c>
      <c r="Q129" s="218" t="s">
        <v>752</v>
      </c>
      <c r="R129" s="218" t="s">
        <v>1587</v>
      </c>
      <c r="S129" s="218" t="s">
        <v>396</v>
      </c>
      <c r="T129" s="218" t="s">
        <v>2591</v>
      </c>
      <c r="U129" s="218" t="s">
        <v>740</v>
      </c>
      <c r="V129" s="218" t="s">
        <v>381</v>
      </c>
      <c r="W129" s="218" t="s">
        <v>295</v>
      </c>
      <c r="X129" s="218" t="s">
        <v>379</v>
      </c>
      <c r="Y129" s="218">
        <v>113.48</v>
      </c>
      <c r="Z129" s="218">
        <f t="shared" si="1"/>
        <v>125</v>
      </c>
    </row>
    <row r="130" spans="1:26">
      <c r="A130" s="218" t="s">
        <v>2592</v>
      </c>
      <c r="B130" s="218"/>
      <c r="C130" s="218"/>
      <c r="D130" s="218"/>
      <c r="E130" s="218"/>
      <c r="F130" s="219" t="s">
        <v>2832</v>
      </c>
      <c r="G130" s="218" t="s">
        <v>233</v>
      </c>
      <c r="H130" s="218" t="s">
        <v>309</v>
      </c>
      <c r="I130" s="223">
        <v>43830</v>
      </c>
      <c r="J130" s="218" t="s">
        <v>2587</v>
      </c>
      <c r="K130" s="218" t="s">
        <v>2676</v>
      </c>
      <c r="L130" s="218" t="s">
        <v>2589</v>
      </c>
      <c r="M130" s="218" t="s">
        <v>2833</v>
      </c>
      <c r="N130" s="218">
        <v>23.2</v>
      </c>
      <c r="O130" s="218" t="s">
        <v>292</v>
      </c>
      <c r="P130" s="218">
        <v>30</v>
      </c>
      <c r="Q130" s="218" t="s">
        <v>752</v>
      </c>
      <c r="R130" s="218" t="s">
        <v>1587</v>
      </c>
      <c r="S130" s="218" t="s">
        <v>396</v>
      </c>
      <c r="T130" s="218" t="s">
        <v>2591</v>
      </c>
      <c r="U130" s="218" t="s">
        <v>740</v>
      </c>
      <c r="V130" s="218" t="s">
        <v>381</v>
      </c>
      <c r="W130" s="218" t="s">
        <v>295</v>
      </c>
      <c r="X130" s="218" t="s">
        <v>379</v>
      </c>
      <c r="Y130" s="218">
        <v>27.24</v>
      </c>
      <c r="Z130" s="218">
        <f t="shared" si="1"/>
        <v>30</v>
      </c>
    </row>
    <row r="131" spans="1:26">
      <c r="A131" s="218" t="s">
        <v>2592</v>
      </c>
      <c r="B131" s="218"/>
      <c r="C131" s="218"/>
      <c r="D131" s="218"/>
      <c r="E131" s="218"/>
      <c r="F131" s="219" t="s">
        <v>2834</v>
      </c>
      <c r="G131" s="218" t="s">
        <v>233</v>
      </c>
      <c r="H131" s="218" t="s">
        <v>309</v>
      </c>
      <c r="I131" s="223">
        <v>43830</v>
      </c>
      <c r="J131" s="218" t="s">
        <v>2587</v>
      </c>
      <c r="K131" s="218" t="s">
        <v>2673</v>
      </c>
      <c r="L131" s="218" t="s">
        <v>2589</v>
      </c>
      <c r="M131" s="218" t="s">
        <v>2835</v>
      </c>
      <c r="N131" s="218">
        <v>77.33</v>
      </c>
      <c r="O131" s="218" t="s">
        <v>292</v>
      </c>
      <c r="P131" s="218">
        <v>100</v>
      </c>
      <c r="Q131" s="218" t="s">
        <v>752</v>
      </c>
      <c r="R131" s="218" t="s">
        <v>1587</v>
      </c>
      <c r="S131" s="218" t="s">
        <v>396</v>
      </c>
      <c r="T131" s="218" t="s">
        <v>2591</v>
      </c>
      <c r="U131" s="218" t="s">
        <v>740</v>
      </c>
      <c r="V131" s="218" t="s">
        <v>381</v>
      </c>
      <c r="W131" s="218" t="s">
        <v>295</v>
      </c>
      <c r="X131" s="218" t="s">
        <v>379</v>
      </c>
      <c r="Y131" s="218">
        <v>90.78</v>
      </c>
      <c r="Z131" s="218">
        <f t="shared" si="1"/>
        <v>100</v>
      </c>
    </row>
    <row r="132" spans="1:26">
      <c r="A132" s="218" t="s">
        <v>2592</v>
      </c>
      <c r="B132" s="218"/>
      <c r="C132" s="218"/>
      <c r="D132" s="218"/>
      <c r="E132" s="218"/>
      <c r="F132" s="219" t="s">
        <v>2836</v>
      </c>
      <c r="G132" s="218" t="s">
        <v>233</v>
      </c>
      <c r="H132" s="218" t="s">
        <v>309</v>
      </c>
      <c r="I132" s="223">
        <v>43830</v>
      </c>
      <c r="J132" s="218" t="s">
        <v>2587</v>
      </c>
      <c r="K132" s="218" t="s">
        <v>2630</v>
      </c>
      <c r="L132" s="218" t="s">
        <v>2589</v>
      </c>
      <c r="M132" s="218" t="s">
        <v>2837</v>
      </c>
      <c r="N132" s="218">
        <v>77.33</v>
      </c>
      <c r="O132" s="218" t="s">
        <v>292</v>
      </c>
      <c r="P132" s="218">
        <v>100</v>
      </c>
      <c r="Q132" s="218" t="s">
        <v>752</v>
      </c>
      <c r="R132" s="218" t="s">
        <v>1587</v>
      </c>
      <c r="S132" s="218" t="s">
        <v>396</v>
      </c>
      <c r="T132" s="218" t="s">
        <v>2591</v>
      </c>
      <c r="U132" s="218" t="s">
        <v>740</v>
      </c>
      <c r="V132" s="218" t="s">
        <v>381</v>
      </c>
      <c r="W132" s="218" t="s">
        <v>295</v>
      </c>
      <c r="X132" s="218" t="s">
        <v>379</v>
      </c>
      <c r="Y132" s="218">
        <v>90.78</v>
      </c>
      <c r="Z132" s="218">
        <f t="shared" si="1"/>
        <v>100</v>
      </c>
    </row>
    <row r="133" spans="1:26">
      <c r="A133" s="218" t="s">
        <v>2592</v>
      </c>
      <c r="B133" s="218"/>
      <c r="C133" s="218"/>
      <c r="D133" s="218"/>
      <c r="E133" s="218"/>
      <c r="F133" s="219" t="s">
        <v>2838</v>
      </c>
      <c r="G133" s="218" t="s">
        <v>233</v>
      </c>
      <c r="H133" s="218" t="s">
        <v>309</v>
      </c>
      <c r="I133" s="223">
        <v>43830</v>
      </c>
      <c r="J133" s="218" t="s">
        <v>2587</v>
      </c>
      <c r="K133" s="218" t="s">
        <v>2630</v>
      </c>
      <c r="L133" s="218" t="s">
        <v>2589</v>
      </c>
      <c r="M133" s="218" t="s">
        <v>2839</v>
      </c>
      <c r="N133" s="218">
        <v>20.79</v>
      </c>
      <c r="O133" s="218" t="s">
        <v>292</v>
      </c>
      <c r="P133" s="218">
        <v>26.88</v>
      </c>
      <c r="Q133" s="218" t="s">
        <v>752</v>
      </c>
      <c r="R133" s="218" t="s">
        <v>1587</v>
      </c>
      <c r="S133" s="218" t="s">
        <v>396</v>
      </c>
      <c r="T133" s="218" t="s">
        <v>2591</v>
      </c>
      <c r="U133" s="218" t="s">
        <v>740</v>
      </c>
      <c r="V133" s="218" t="s">
        <v>381</v>
      </c>
      <c r="W133" s="218" t="s">
        <v>295</v>
      </c>
      <c r="X133" s="218" t="s">
        <v>379</v>
      </c>
      <c r="Y133" s="218">
        <v>24.41</v>
      </c>
      <c r="Z133" s="218">
        <f t="shared" si="1"/>
        <v>26.88</v>
      </c>
    </row>
    <row r="134" spans="1:26">
      <c r="A134" s="218" t="s">
        <v>2592</v>
      </c>
      <c r="B134" s="218"/>
      <c r="C134" s="218"/>
      <c r="D134" s="218"/>
      <c r="E134" s="218"/>
      <c r="F134" s="219" t="s">
        <v>2840</v>
      </c>
      <c r="G134" s="218" t="s">
        <v>233</v>
      </c>
      <c r="H134" s="218" t="s">
        <v>309</v>
      </c>
      <c r="I134" s="223">
        <v>43830</v>
      </c>
      <c r="J134" s="218" t="s">
        <v>2587</v>
      </c>
      <c r="K134" s="218" t="s">
        <v>2676</v>
      </c>
      <c r="L134" s="218" t="s">
        <v>2589</v>
      </c>
      <c r="M134" s="218" t="s">
        <v>2841</v>
      </c>
      <c r="N134" s="218">
        <v>46.4</v>
      </c>
      <c r="O134" s="218" t="s">
        <v>292</v>
      </c>
      <c r="P134" s="218">
        <v>60</v>
      </c>
      <c r="Q134" s="218" t="s">
        <v>752</v>
      </c>
      <c r="R134" s="218" t="s">
        <v>1587</v>
      </c>
      <c r="S134" s="218" t="s">
        <v>396</v>
      </c>
      <c r="T134" s="218" t="s">
        <v>2591</v>
      </c>
      <c r="U134" s="218" t="s">
        <v>740</v>
      </c>
      <c r="V134" s="218" t="s">
        <v>381</v>
      </c>
      <c r="W134" s="218" t="s">
        <v>295</v>
      </c>
      <c r="X134" s="218" t="s">
        <v>379</v>
      </c>
      <c r="Y134" s="218">
        <v>54.47</v>
      </c>
      <c r="Z134" s="218">
        <f t="shared" si="1"/>
        <v>60</v>
      </c>
    </row>
    <row r="135" spans="1:26">
      <c r="A135" s="218" t="s">
        <v>2592</v>
      </c>
      <c r="B135" s="218"/>
      <c r="C135" s="218"/>
      <c r="D135" s="218"/>
      <c r="E135" s="218"/>
      <c r="F135" s="219" t="s">
        <v>2842</v>
      </c>
      <c r="G135" s="218" t="s">
        <v>233</v>
      </c>
      <c r="H135" s="218" t="s">
        <v>309</v>
      </c>
      <c r="I135" s="223">
        <v>43830</v>
      </c>
      <c r="J135" s="218" t="s">
        <v>2587</v>
      </c>
      <c r="K135" s="218" t="s">
        <v>2673</v>
      </c>
      <c r="L135" s="218" t="s">
        <v>2589</v>
      </c>
      <c r="M135" s="218" t="s">
        <v>2843</v>
      </c>
      <c r="N135" s="218">
        <v>77.33</v>
      </c>
      <c r="O135" s="218" t="s">
        <v>292</v>
      </c>
      <c r="P135" s="218">
        <v>100</v>
      </c>
      <c r="Q135" s="218" t="s">
        <v>752</v>
      </c>
      <c r="R135" s="218" t="s">
        <v>1587</v>
      </c>
      <c r="S135" s="218" t="s">
        <v>396</v>
      </c>
      <c r="T135" s="218" t="s">
        <v>2591</v>
      </c>
      <c r="U135" s="218" t="s">
        <v>740</v>
      </c>
      <c r="V135" s="218" t="s">
        <v>381</v>
      </c>
      <c r="W135" s="218" t="s">
        <v>295</v>
      </c>
      <c r="X135" s="218" t="s">
        <v>379</v>
      </c>
      <c r="Y135" s="218">
        <v>90.78</v>
      </c>
      <c r="Z135" s="218">
        <f t="shared" si="1"/>
        <v>100</v>
      </c>
    </row>
    <row r="136" spans="1:26">
      <c r="A136" s="218" t="s">
        <v>2592</v>
      </c>
      <c r="B136" s="218"/>
      <c r="C136" s="218"/>
      <c r="D136" s="218"/>
      <c r="E136" s="218"/>
      <c r="F136" s="219" t="s">
        <v>2844</v>
      </c>
      <c r="G136" s="218" t="s">
        <v>233</v>
      </c>
      <c r="H136" s="218" t="s">
        <v>309</v>
      </c>
      <c r="I136" s="223">
        <v>43830</v>
      </c>
      <c r="J136" s="218" t="s">
        <v>2587</v>
      </c>
      <c r="K136" s="218" t="s">
        <v>2630</v>
      </c>
      <c r="L136" s="218" t="s">
        <v>2589</v>
      </c>
      <c r="M136" s="218" t="s">
        <v>2845</v>
      </c>
      <c r="N136" s="218">
        <v>3.87</v>
      </c>
      <c r="O136" s="218" t="s">
        <v>292</v>
      </c>
      <c r="P136" s="218">
        <v>5</v>
      </c>
      <c r="Q136" s="218" t="s">
        <v>752</v>
      </c>
      <c r="R136" s="218" t="s">
        <v>1587</v>
      </c>
      <c r="S136" s="218" t="s">
        <v>396</v>
      </c>
      <c r="T136" s="218" t="s">
        <v>2591</v>
      </c>
      <c r="U136" s="218" t="s">
        <v>740</v>
      </c>
      <c r="V136" s="218" t="s">
        <v>381</v>
      </c>
      <c r="W136" s="218" t="s">
        <v>295</v>
      </c>
      <c r="X136" s="218" t="s">
        <v>379</v>
      </c>
      <c r="Y136" s="218">
        <v>4.54</v>
      </c>
      <c r="Z136" s="218">
        <f t="shared" si="1"/>
        <v>5</v>
      </c>
    </row>
    <row r="137" spans="1:26">
      <c r="A137" s="218" t="s">
        <v>2592</v>
      </c>
      <c r="B137" s="218"/>
      <c r="C137" s="218"/>
      <c r="D137" s="218"/>
      <c r="E137" s="218"/>
      <c r="F137" s="219" t="s">
        <v>2846</v>
      </c>
      <c r="G137" s="218" t="s">
        <v>233</v>
      </c>
      <c r="H137" s="218" t="s">
        <v>309</v>
      </c>
      <c r="I137" s="223">
        <v>43830</v>
      </c>
      <c r="J137" s="218" t="s">
        <v>2587</v>
      </c>
      <c r="K137" s="218" t="s">
        <v>2630</v>
      </c>
      <c r="L137" s="218" t="s">
        <v>2589</v>
      </c>
      <c r="M137" s="218" t="s">
        <v>757</v>
      </c>
      <c r="N137" s="218">
        <v>38.659999999999997</v>
      </c>
      <c r="O137" s="218" t="s">
        <v>292</v>
      </c>
      <c r="P137" s="218">
        <v>50</v>
      </c>
      <c r="Q137" s="218" t="s">
        <v>752</v>
      </c>
      <c r="R137" s="218" t="s">
        <v>1587</v>
      </c>
      <c r="S137" s="218" t="s">
        <v>396</v>
      </c>
      <c r="T137" s="218" t="s">
        <v>2591</v>
      </c>
      <c r="U137" s="218" t="s">
        <v>740</v>
      </c>
      <c r="V137" s="218" t="s">
        <v>381</v>
      </c>
      <c r="W137" s="218" t="s">
        <v>295</v>
      </c>
      <c r="X137" s="218" t="s">
        <v>379</v>
      </c>
      <c r="Y137" s="218">
        <v>45.39</v>
      </c>
      <c r="Z137" s="218">
        <f t="shared" si="1"/>
        <v>50</v>
      </c>
    </row>
    <row r="138" spans="1:26">
      <c r="A138" s="218" t="s">
        <v>2592</v>
      </c>
      <c r="B138" s="218"/>
      <c r="C138" s="218"/>
      <c r="D138" s="218"/>
      <c r="E138" s="218"/>
      <c r="F138" s="219" t="s">
        <v>2847</v>
      </c>
      <c r="G138" s="218" t="s">
        <v>233</v>
      </c>
      <c r="H138" s="218" t="s">
        <v>309</v>
      </c>
      <c r="I138" s="223">
        <v>43830</v>
      </c>
      <c r="J138" s="218" t="s">
        <v>2587</v>
      </c>
      <c r="K138" s="218" t="s">
        <v>2630</v>
      </c>
      <c r="L138" s="218" t="s">
        <v>2589</v>
      </c>
      <c r="M138" s="218" t="s">
        <v>2848</v>
      </c>
      <c r="N138" s="218">
        <v>18.940000000000001</v>
      </c>
      <c r="O138" s="218" t="s">
        <v>292</v>
      </c>
      <c r="P138" s="218">
        <v>24.5</v>
      </c>
      <c r="Q138" s="218" t="s">
        <v>752</v>
      </c>
      <c r="R138" s="218" t="s">
        <v>1587</v>
      </c>
      <c r="S138" s="218" t="s">
        <v>396</v>
      </c>
      <c r="T138" s="218" t="s">
        <v>2591</v>
      </c>
      <c r="U138" s="218" t="s">
        <v>740</v>
      </c>
      <c r="V138" s="218" t="s">
        <v>381</v>
      </c>
      <c r="W138" s="218" t="s">
        <v>295</v>
      </c>
      <c r="X138" s="218" t="s">
        <v>379</v>
      </c>
      <c r="Y138" s="218">
        <v>22.24</v>
      </c>
      <c r="Z138" s="218">
        <f t="shared" ref="Z138:Z201" si="2">P138</f>
        <v>24.5</v>
      </c>
    </row>
    <row r="139" spans="1:26">
      <c r="A139" s="218" t="s">
        <v>2592</v>
      </c>
      <c r="B139" s="218"/>
      <c r="C139" s="218"/>
      <c r="D139" s="218"/>
      <c r="E139" s="218"/>
      <c r="F139" s="219" t="s">
        <v>2849</v>
      </c>
      <c r="G139" s="218" t="s">
        <v>233</v>
      </c>
      <c r="H139" s="218" t="s">
        <v>309</v>
      </c>
      <c r="I139" s="223">
        <v>43830</v>
      </c>
      <c r="J139" s="218" t="s">
        <v>2587</v>
      </c>
      <c r="K139" s="218" t="s">
        <v>2748</v>
      </c>
      <c r="L139" s="218" t="s">
        <v>2589</v>
      </c>
      <c r="M139" s="218" t="s">
        <v>2850</v>
      </c>
      <c r="N139" s="218">
        <v>77.33</v>
      </c>
      <c r="O139" s="218" t="s">
        <v>292</v>
      </c>
      <c r="P139" s="218">
        <v>100</v>
      </c>
      <c r="Q139" s="218" t="s">
        <v>752</v>
      </c>
      <c r="R139" s="218" t="s">
        <v>1587</v>
      </c>
      <c r="S139" s="218" t="s">
        <v>396</v>
      </c>
      <c r="T139" s="218" t="s">
        <v>2591</v>
      </c>
      <c r="U139" s="218" t="s">
        <v>740</v>
      </c>
      <c r="V139" s="218" t="s">
        <v>381</v>
      </c>
      <c r="W139" s="218" t="s">
        <v>295</v>
      </c>
      <c r="X139" s="218" t="s">
        <v>379</v>
      </c>
      <c r="Y139" s="218">
        <v>90.78</v>
      </c>
      <c r="Z139" s="218">
        <f t="shared" si="2"/>
        <v>100</v>
      </c>
    </row>
    <row r="140" spans="1:26">
      <c r="A140" s="218" t="s">
        <v>2592</v>
      </c>
      <c r="B140" s="218"/>
      <c r="C140" s="218"/>
      <c r="D140" s="218"/>
      <c r="E140" s="218"/>
      <c r="F140" s="219" t="s">
        <v>2851</v>
      </c>
      <c r="G140" s="218" t="s">
        <v>233</v>
      </c>
      <c r="H140" s="218" t="s">
        <v>309</v>
      </c>
      <c r="I140" s="223">
        <v>43830</v>
      </c>
      <c r="J140" s="218" t="s">
        <v>2587</v>
      </c>
      <c r="K140" s="218" t="s">
        <v>2748</v>
      </c>
      <c r="L140" s="218" t="s">
        <v>2589</v>
      </c>
      <c r="M140" s="218" t="s">
        <v>2852</v>
      </c>
      <c r="N140" s="218">
        <v>324.77</v>
      </c>
      <c r="O140" s="218" t="s">
        <v>292</v>
      </c>
      <c r="P140" s="218">
        <v>420</v>
      </c>
      <c r="Q140" s="218" t="s">
        <v>752</v>
      </c>
      <c r="R140" s="218" t="s">
        <v>1587</v>
      </c>
      <c r="S140" s="218" t="s">
        <v>396</v>
      </c>
      <c r="T140" s="218" t="s">
        <v>2591</v>
      </c>
      <c r="U140" s="218" t="s">
        <v>740</v>
      </c>
      <c r="V140" s="218" t="s">
        <v>381</v>
      </c>
      <c r="W140" s="218" t="s">
        <v>295</v>
      </c>
      <c r="X140" s="218" t="s">
        <v>379</v>
      </c>
      <c r="Y140" s="218">
        <v>381.27</v>
      </c>
      <c r="Z140" s="218">
        <f t="shared" si="2"/>
        <v>420</v>
      </c>
    </row>
    <row r="141" spans="1:26">
      <c r="A141" s="218" t="s">
        <v>2592</v>
      </c>
      <c r="B141" s="218"/>
      <c r="C141" s="218"/>
      <c r="D141" s="218"/>
      <c r="E141" s="218"/>
      <c r="F141" s="219" t="s">
        <v>2853</v>
      </c>
      <c r="G141" s="218" t="s">
        <v>233</v>
      </c>
      <c r="H141" s="218" t="s">
        <v>309</v>
      </c>
      <c r="I141" s="223">
        <v>43830</v>
      </c>
      <c r="J141" s="218" t="s">
        <v>2587</v>
      </c>
      <c r="K141" s="218" t="s">
        <v>2748</v>
      </c>
      <c r="L141" s="218" t="s">
        <v>2589</v>
      </c>
      <c r="M141" s="218" t="s">
        <v>2854</v>
      </c>
      <c r="N141" s="218">
        <v>85.06</v>
      </c>
      <c r="O141" s="218" t="s">
        <v>292</v>
      </c>
      <c r="P141" s="218">
        <v>110</v>
      </c>
      <c r="Q141" s="218" t="s">
        <v>752</v>
      </c>
      <c r="R141" s="218" t="s">
        <v>1587</v>
      </c>
      <c r="S141" s="218" t="s">
        <v>396</v>
      </c>
      <c r="T141" s="218" t="s">
        <v>2591</v>
      </c>
      <c r="U141" s="218" t="s">
        <v>740</v>
      </c>
      <c r="V141" s="218" t="s">
        <v>381</v>
      </c>
      <c r="W141" s="218" t="s">
        <v>295</v>
      </c>
      <c r="X141" s="218" t="s">
        <v>379</v>
      </c>
      <c r="Y141" s="218">
        <v>99.86</v>
      </c>
      <c r="Z141" s="218">
        <f t="shared" si="2"/>
        <v>110</v>
      </c>
    </row>
    <row r="142" spans="1:26">
      <c r="A142" s="218" t="s">
        <v>2592</v>
      </c>
      <c r="B142" s="218"/>
      <c r="C142" s="218"/>
      <c r="D142" s="218"/>
      <c r="E142" s="218"/>
      <c r="F142" s="219" t="s">
        <v>2855</v>
      </c>
      <c r="G142" s="218" t="s">
        <v>233</v>
      </c>
      <c r="H142" s="218" t="s">
        <v>309</v>
      </c>
      <c r="I142" s="223">
        <v>43830</v>
      </c>
      <c r="J142" s="218" t="s">
        <v>2587</v>
      </c>
      <c r="K142" s="218" t="s">
        <v>2856</v>
      </c>
      <c r="L142" s="218" t="s">
        <v>2589</v>
      </c>
      <c r="M142" s="218" t="s">
        <v>2857</v>
      </c>
      <c r="N142" s="218">
        <v>81.19</v>
      </c>
      <c r="O142" s="218" t="s">
        <v>292</v>
      </c>
      <c r="P142" s="218">
        <v>105</v>
      </c>
      <c r="Q142" s="218" t="s">
        <v>752</v>
      </c>
      <c r="R142" s="218" t="s">
        <v>1587</v>
      </c>
      <c r="S142" s="218" t="s">
        <v>396</v>
      </c>
      <c r="T142" s="218" t="s">
        <v>2591</v>
      </c>
      <c r="U142" s="218" t="s">
        <v>740</v>
      </c>
      <c r="V142" s="218" t="s">
        <v>381</v>
      </c>
      <c r="W142" s="218" t="s">
        <v>295</v>
      </c>
      <c r="X142" s="218" t="s">
        <v>379</v>
      </c>
      <c r="Y142" s="218">
        <v>95.32</v>
      </c>
      <c r="Z142" s="218">
        <f t="shared" si="2"/>
        <v>105</v>
      </c>
    </row>
    <row r="143" spans="1:26">
      <c r="A143" s="218" t="s">
        <v>2592</v>
      </c>
      <c r="B143" s="218"/>
      <c r="C143" s="218"/>
      <c r="D143" s="218"/>
      <c r="E143" s="218"/>
      <c r="F143" s="219" t="s">
        <v>2858</v>
      </c>
      <c r="G143" s="218" t="s">
        <v>233</v>
      </c>
      <c r="H143" s="218" t="s">
        <v>309</v>
      </c>
      <c r="I143" s="223">
        <v>43830</v>
      </c>
      <c r="J143" s="218" t="s">
        <v>2587</v>
      </c>
      <c r="K143" s="218" t="s">
        <v>2856</v>
      </c>
      <c r="L143" s="218" t="s">
        <v>2589</v>
      </c>
      <c r="M143" s="218" t="s">
        <v>2859</v>
      </c>
      <c r="N143" s="218">
        <v>541.28</v>
      </c>
      <c r="O143" s="218" t="s">
        <v>292</v>
      </c>
      <c r="P143" s="218">
        <v>700</v>
      </c>
      <c r="Q143" s="218" t="s">
        <v>752</v>
      </c>
      <c r="R143" s="218" t="s">
        <v>1587</v>
      </c>
      <c r="S143" s="218" t="s">
        <v>396</v>
      </c>
      <c r="T143" s="218" t="s">
        <v>2591</v>
      </c>
      <c r="U143" s="218" t="s">
        <v>740</v>
      </c>
      <c r="V143" s="218" t="s">
        <v>381</v>
      </c>
      <c r="W143" s="218" t="s">
        <v>295</v>
      </c>
      <c r="X143" s="218" t="s">
        <v>379</v>
      </c>
      <c r="Y143" s="218">
        <v>635.45000000000005</v>
      </c>
      <c r="Z143" s="218">
        <f t="shared" si="2"/>
        <v>700</v>
      </c>
    </row>
    <row r="144" spans="1:26">
      <c r="A144" s="218" t="s">
        <v>2592</v>
      </c>
      <c r="B144" s="218"/>
      <c r="C144" s="218"/>
      <c r="D144" s="218"/>
      <c r="E144" s="218"/>
      <c r="F144" s="219" t="s">
        <v>2860</v>
      </c>
      <c r="G144" s="218" t="s">
        <v>233</v>
      </c>
      <c r="H144" s="218" t="s">
        <v>309</v>
      </c>
      <c r="I144" s="223">
        <v>43830</v>
      </c>
      <c r="J144" s="218" t="s">
        <v>2587</v>
      </c>
      <c r="K144" s="218" t="s">
        <v>2664</v>
      </c>
      <c r="L144" s="218" t="s">
        <v>2589</v>
      </c>
      <c r="M144" s="218" t="s">
        <v>2861</v>
      </c>
      <c r="N144" s="218">
        <v>185.58</v>
      </c>
      <c r="O144" s="218" t="s">
        <v>292</v>
      </c>
      <c r="P144" s="218">
        <v>240</v>
      </c>
      <c r="Q144" s="218" t="s">
        <v>752</v>
      </c>
      <c r="R144" s="218" t="s">
        <v>1587</v>
      </c>
      <c r="S144" s="218" t="s">
        <v>396</v>
      </c>
      <c r="T144" s="218" t="s">
        <v>2591</v>
      </c>
      <c r="U144" s="218" t="s">
        <v>740</v>
      </c>
      <c r="V144" s="218" t="s">
        <v>381</v>
      </c>
      <c r="W144" s="218" t="s">
        <v>295</v>
      </c>
      <c r="X144" s="218" t="s">
        <v>379</v>
      </c>
      <c r="Y144" s="218">
        <v>217.87</v>
      </c>
      <c r="Z144" s="218">
        <f t="shared" si="2"/>
        <v>240</v>
      </c>
    </row>
    <row r="145" spans="1:26">
      <c r="A145" s="218" t="s">
        <v>2592</v>
      </c>
      <c r="B145" s="218"/>
      <c r="C145" s="218"/>
      <c r="D145" s="218"/>
      <c r="E145" s="218"/>
      <c r="F145" s="219" t="s">
        <v>2862</v>
      </c>
      <c r="G145" s="218" t="s">
        <v>233</v>
      </c>
      <c r="H145" s="218" t="s">
        <v>309</v>
      </c>
      <c r="I145" s="223">
        <v>43830</v>
      </c>
      <c r="J145" s="218" t="s">
        <v>2587</v>
      </c>
      <c r="K145" s="218" t="s">
        <v>2664</v>
      </c>
      <c r="L145" s="218" t="s">
        <v>2589</v>
      </c>
      <c r="M145" s="218" t="s">
        <v>2863</v>
      </c>
      <c r="N145" s="218">
        <v>92.79</v>
      </c>
      <c r="O145" s="218" t="s">
        <v>292</v>
      </c>
      <c r="P145" s="218">
        <v>120</v>
      </c>
      <c r="Q145" s="218" t="s">
        <v>752</v>
      </c>
      <c r="R145" s="218" t="s">
        <v>1587</v>
      </c>
      <c r="S145" s="218" t="s">
        <v>396</v>
      </c>
      <c r="T145" s="218" t="s">
        <v>2591</v>
      </c>
      <c r="U145" s="218" t="s">
        <v>740</v>
      </c>
      <c r="V145" s="218" t="s">
        <v>381</v>
      </c>
      <c r="W145" s="218" t="s">
        <v>295</v>
      </c>
      <c r="X145" s="218" t="s">
        <v>379</v>
      </c>
      <c r="Y145" s="218">
        <v>108.93</v>
      </c>
      <c r="Z145" s="218">
        <f t="shared" si="2"/>
        <v>120</v>
      </c>
    </row>
    <row r="146" spans="1:26">
      <c r="A146" s="218" t="s">
        <v>2592</v>
      </c>
      <c r="B146" s="218"/>
      <c r="C146" s="218"/>
      <c r="D146" s="218"/>
      <c r="E146" s="218"/>
      <c r="F146" s="219" t="s">
        <v>2864</v>
      </c>
      <c r="G146" s="218" t="s">
        <v>233</v>
      </c>
      <c r="H146" s="218" t="s">
        <v>309</v>
      </c>
      <c r="I146" s="223">
        <v>43830</v>
      </c>
      <c r="J146" s="218" t="s">
        <v>2587</v>
      </c>
      <c r="K146" s="218" t="s">
        <v>2664</v>
      </c>
      <c r="L146" s="218" t="s">
        <v>2589</v>
      </c>
      <c r="M146" s="218" t="s">
        <v>2865</v>
      </c>
      <c r="N146" s="218">
        <v>61.86</v>
      </c>
      <c r="O146" s="218" t="s">
        <v>292</v>
      </c>
      <c r="P146" s="218">
        <v>80</v>
      </c>
      <c r="Q146" s="218" t="s">
        <v>752</v>
      </c>
      <c r="R146" s="218" t="s">
        <v>1587</v>
      </c>
      <c r="S146" s="218" t="s">
        <v>396</v>
      </c>
      <c r="T146" s="218" t="s">
        <v>2591</v>
      </c>
      <c r="U146" s="218" t="s">
        <v>740</v>
      </c>
      <c r="V146" s="218" t="s">
        <v>381</v>
      </c>
      <c r="W146" s="218" t="s">
        <v>295</v>
      </c>
      <c r="X146" s="218" t="s">
        <v>379</v>
      </c>
      <c r="Y146" s="218">
        <v>72.62</v>
      </c>
      <c r="Z146" s="218">
        <f t="shared" si="2"/>
        <v>80</v>
      </c>
    </row>
    <row r="147" spans="1:26">
      <c r="A147" s="218" t="s">
        <v>2592</v>
      </c>
      <c r="B147" s="218"/>
      <c r="C147" s="218"/>
      <c r="D147" s="218"/>
      <c r="E147" s="218"/>
      <c r="F147" s="219" t="s">
        <v>2866</v>
      </c>
      <c r="G147" s="218" t="s">
        <v>233</v>
      </c>
      <c r="H147" s="218" t="s">
        <v>309</v>
      </c>
      <c r="I147" s="223">
        <v>43830</v>
      </c>
      <c r="J147" s="218" t="s">
        <v>2587</v>
      </c>
      <c r="K147" s="218" t="s">
        <v>2630</v>
      </c>
      <c r="L147" s="218" t="s">
        <v>2589</v>
      </c>
      <c r="M147" s="218" t="s">
        <v>2867</v>
      </c>
      <c r="N147" s="218">
        <v>11.6</v>
      </c>
      <c r="O147" s="218" t="s">
        <v>292</v>
      </c>
      <c r="P147" s="218">
        <v>15</v>
      </c>
      <c r="Q147" s="218" t="s">
        <v>752</v>
      </c>
      <c r="R147" s="218" t="s">
        <v>1587</v>
      </c>
      <c r="S147" s="218" t="s">
        <v>396</v>
      </c>
      <c r="T147" s="218" t="s">
        <v>2591</v>
      </c>
      <c r="U147" s="218" t="s">
        <v>740</v>
      </c>
      <c r="V147" s="218" t="s">
        <v>381</v>
      </c>
      <c r="W147" s="218" t="s">
        <v>295</v>
      </c>
      <c r="X147" s="218" t="s">
        <v>379</v>
      </c>
      <c r="Y147" s="218">
        <v>13.62</v>
      </c>
      <c r="Z147" s="218">
        <f t="shared" si="2"/>
        <v>15</v>
      </c>
    </row>
    <row r="148" spans="1:26">
      <c r="A148" s="218" t="s">
        <v>2592</v>
      </c>
      <c r="B148" s="218"/>
      <c r="C148" s="218"/>
      <c r="D148" s="218"/>
      <c r="E148" s="218"/>
      <c r="F148" s="219" t="s">
        <v>2868</v>
      </c>
      <c r="G148" s="218" t="s">
        <v>233</v>
      </c>
      <c r="H148" s="218" t="s">
        <v>309</v>
      </c>
      <c r="I148" s="223">
        <v>43830</v>
      </c>
      <c r="J148" s="218" t="s">
        <v>2587</v>
      </c>
      <c r="K148" s="218" t="s">
        <v>2676</v>
      </c>
      <c r="L148" s="218" t="s">
        <v>2589</v>
      </c>
      <c r="M148" s="218" t="s">
        <v>2869</v>
      </c>
      <c r="N148" s="218">
        <v>69.59</v>
      </c>
      <c r="O148" s="218" t="s">
        <v>292</v>
      </c>
      <c r="P148" s="218">
        <v>90</v>
      </c>
      <c r="Q148" s="218" t="s">
        <v>752</v>
      </c>
      <c r="R148" s="218" t="s">
        <v>1587</v>
      </c>
      <c r="S148" s="218" t="s">
        <v>396</v>
      </c>
      <c r="T148" s="218" t="s">
        <v>2591</v>
      </c>
      <c r="U148" s="218" t="s">
        <v>740</v>
      </c>
      <c r="V148" s="218" t="s">
        <v>381</v>
      </c>
      <c r="W148" s="218" t="s">
        <v>295</v>
      </c>
      <c r="X148" s="218" t="s">
        <v>379</v>
      </c>
      <c r="Y148" s="218">
        <v>81.7</v>
      </c>
      <c r="Z148" s="218">
        <f t="shared" si="2"/>
        <v>90</v>
      </c>
    </row>
    <row r="149" spans="1:26">
      <c r="A149" s="218" t="s">
        <v>2592</v>
      </c>
      <c r="B149" s="218"/>
      <c r="C149" s="218"/>
      <c r="D149" s="218"/>
      <c r="E149" s="218"/>
      <c r="F149" s="219" t="s">
        <v>2870</v>
      </c>
      <c r="G149" s="218" t="s">
        <v>233</v>
      </c>
      <c r="H149" s="218" t="s">
        <v>309</v>
      </c>
      <c r="I149" s="223">
        <v>43830</v>
      </c>
      <c r="J149" s="218" t="s">
        <v>2587</v>
      </c>
      <c r="K149" s="218" t="s">
        <v>2664</v>
      </c>
      <c r="L149" s="218" t="s">
        <v>2589</v>
      </c>
      <c r="M149" s="218" t="s">
        <v>2871</v>
      </c>
      <c r="N149" s="218">
        <v>92.79</v>
      </c>
      <c r="O149" s="218" t="s">
        <v>292</v>
      </c>
      <c r="P149" s="218">
        <v>120</v>
      </c>
      <c r="Q149" s="218" t="s">
        <v>752</v>
      </c>
      <c r="R149" s="218" t="s">
        <v>1587</v>
      </c>
      <c r="S149" s="218" t="s">
        <v>396</v>
      </c>
      <c r="T149" s="218" t="s">
        <v>2591</v>
      </c>
      <c r="U149" s="218" t="s">
        <v>740</v>
      </c>
      <c r="V149" s="218" t="s">
        <v>381</v>
      </c>
      <c r="W149" s="218" t="s">
        <v>295</v>
      </c>
      <c r="X149" s="218" t="s">
        <v>379</v>
      </c>
      <c r="Y149" s="218">
        <v>108.93</v>
      </c>
      <c r="Z149" s="218">
        <f t="shared" si="2"/>
        <v>120</v>
      </c>
    </row>
    <row r="150" spans="1:26">
      <c r="A150" s="218" t="s">
        <v>2592</v>
      </c>
      <c r="B150" s="218"/>
      <c r="C150" s="218"/>
      <c r="D150" s="218"/>
      <c r="E150" s="218"/>
      <c r="F150" s="219" t="s">
        <v>2872</v>
      </c>
      <c r="G150" s="218" t="s">
        <v>233</v>
      </c>
      <c r="H150" s="218" t="s">
        <v>309</v>
      </c>
      <c r="I150" s="223">
        <v>43830</v>
      </c>
      <c r="J150" s="218" t="s">
        <v>2587</v>
      </c>
      <c r="K150" s="218" t="s">
        <v>2673</v>
      </c>
      <c r="L150" s="218" t="s">
        <v>2589</v>
      </c>
      <c r="M150" s="218" t="s">
        <v>2873</v>
      </c>
      <c r="N150" s="218">
        <v>154.65</v>
      </c>
      <c r="O150" s="218" t="s">
        <v>292</v>
      </c>
      <c r="P150" s="218">
        <v>200</v>
      </c>
      <c r="Q150" s="218" t="s">
        <v>752</v>
      </c>
      <c r="R150" s="218" t="s">
        <v>1587</v>
      </c>
      <c r="S150" s="218" t="s">
        <v>396</v>
      </c>
      <c r="T150" s="218" t="s">
        <v>2591</v>
      </c>
      <c r="U150" s="218" t="s">
        <v>740</v>
      </c>
      <c r="V150" s="218" t="s">
        <v>381</v>
      </c>
      <c r="W150" s="218" t="s">
        <v>295</v>
      </c>
      <c r="X150" s="218" t="s">
        <v>379</v>
      </c>
      <c r="Y150" s="218">
        <v>181.56</v>
      </c>
      <c r="Z150" s="218">
        <f t="shared" si="2"/>
        <v>200</v>
      </c>
    </row>
    <row r="151" spans="1:26">
      <c r="A151" s="218" t="s">
        <v>2592</v>
      </c>
      <c r="B151" s="218"/>
      <c r="C151" s="218"/>
      <c r="D151" s="218"/>
      <c r="E151" s="218"/>
      <c r="F151" s="219" t="s">
        <v>2874</v>
      </c>
      <c r="G151" s="218" t="s">
        <v>233</v>
      </c>
      <c r="H151" s="218" t="s">
        <v>309</v>
      </c>
      <c r="I151" s="223">
        <v>43830</v>
      </c>
      <c r="J151" s="218" t="s">
        <v>2587</v>
      </c>
      <c r="K151" s="218" t="s">
        <v>2630</v>
      </c>
      <c r="L151" s="218" t="s">
        <v>2589</v>
      </c>
      <c r="M151" s="218" t="s">
        <v>2875</v>
      </c>
      <c r="N151" s="218">
        <v>15.47</v>
      </c>
      <c r="O151" s="218" t="s">
        <v>292</v>
      </c>
      <c r="P151" s="218">
        <v>20</v>
      </c>
      <c r="Q151" s="218" t="s">
        <v>752</v>
      </c>
      <c r="R151" s="218" t="s">
        <v>1587</v>
      </c>
      <c r="S151" s="218" t="s">
        <v>396</v>
      </c>
      <c r="T151" s="218" t="s">
        <v>2591</v>
      </c>
      <c r="U151" s="218" t="s">
        <v>740</v>
      </c>
      <c r="V151" s="218" t="s">
        <v>381</v>
      </c>
      <c r="W151" s="218" t="s">
        <v>295</v>
      </c>
      <c r="X151" s="218" t="s">
        <v>379</v>
      </c>
      <c r="Y151" s="218">
        <v>18.16</v>
      </c>
      <c r="Z151" s="218">
        <f t="shared" si="2"/>
        <v>20</v>
      </c>
    </row>
    <row r="152" spans="1:26">
      <c r="A152" s="218" t="s">
        <v>2592</v>
      </c>
      <c r="B152" s="218"/>
      <c r="C152" s="218"/>
      <c r="D152" s="218"/>
      <c r="E152" s="218"/>
      <c r="F152" s="219" t="s">
        <v>2876</v>
      </c>
      <c r="G152" s="218" t="s">
        <v>233</v>
      </c>
      <c r="H152" s="218" t="s">
        <v>309</v>
      </c>
      <c r="I152" s="223">
        <v>43830</v>
      </c>
      <c r="J152" s="218" t="s">
        <v>2587</v>
      </c>
      <c r="K152" s="218" t="s">
        <v>2630</v>
      </c>
      <c r="L152" s="218" t="s">
        <v>2589</v>
      </c>
      <c r="M152" s="218" t="s">
        <v>2877</v>
      </c>
      <c r="N152" s="218">
        <v>139.19</v>
      </c>
      <c r="O152" s="218" t="s">
        <v>292</v>
      </c>
      <c r="P152" s="218">
        <v>180</v>
      </c>
      <c r="Q152" s="218" t="s">
        <v>752</v>
      </c>
      <c r="R152" s="218" t="s">
        <v>1587</v>
      </c>
      <c r="S152" s="218" t="s">
        <v>396</v>
      </c>
      <c r="T152" s="218" t="s">
        <v>2591</v>
      </c>
      <c r="U152" s="218" t="s">
        <v>740</v>
      </c>
      <c r="V152" s="218" t="s">
        <v>381</v>
      </c>
      <c r="W152" s="218" t="s">
        <v>295</v>
      </c>
      <c r="X152" s="218" t="s">
        <v>379</v>
      </c>
      <c r="Y152" s="218">
        <v>163.41</v>
      </c>
      <c r="Z152" s="218">
        <f t="shared" si="2"/>
        <v>180</v>
      </c>
    </row>
    <row r="153" spans="1:26">
      <c r="A153" s="218" t="s">
        <v>2592</v>
      </c>
      <c r="B153" s="218"/>
      <c r="C153" s="218"/>
      <c r="D153" s="218"/>
      <c r="E153" s="218"/>
      <c r="F153" s="219" t="s">
        <v>2878</v>
      </c>
      <c r="G153" s="218" t="s">
        <v>233</v>
      </c>
      <c r="H153" s="218" t="s">
        <v>309</v>
      </c>
      <c r="I153" s="223">
        <v>43830</v>
      </c>
      <c r="J153" s="218" t="s">
        <v>2587</v>
      </c>
      <c r="K153" s="218" t="s">
        <v>2673</v>
      </c>
      <c r="L153" s="218" t="s">
        <v>2589</v>
      </c>
      <c r="M153" s="218" t="s">
        <v>2879</v>
      </c>
      <c r="N153" s="218">
        <v>46.4</v>
      </c>
      <c r="O153" s="218" t="s">
        <v>292</v>
      </c>
      <c r="P153" s="218">
        <v>60</v>
      </c>
      <c r="Q153" s="218" t="s">
        <v>752</v>
      </c>
      <c r="R153" s="218" t="s">
        <v>1587</v>
      </c>
      <c r="S153" s="218" t="s">
        <v>396</v>
      </c>
      <c r="T153" s="218" t="s">
        <v>2591</v>
      </c>
      <c r="U153" s="218" t="s">
        <v>740</v>
      </c>
      <c r="V153" s="218" t="s">
        <v>381</v>
      </c>
      <c r="W153" s="218" t="s">
        <v>295</v>
      </c>
      <c r="X153" s="218" t="s">
        <v>379</v>
      </c>
      <c r="Y153" s="218">
        <v>54.47</v>
      </c>
      <c r="Z153" s="218">
        <f t="shared" si="2"/>
        <v>60</v>
      </c>
    </row>
    <row r="154" spans="1:26">
      <c r="A154" s="218" t="s">
        <v>2592</v>
      </c>
      <c r="B154" s="218"/>
      <c r="C154" s="218"/>
      <c r="D154" s="218"/>
      <c r="E154" s="218"/>
      <c r="F154" s="219" t="s">
        <v>2880</v>
      </c>
      <c r="G154" s="218" t="s">
        <v>233</v>
      </c>
      <c r="H154" s="218" t="s">
        <v>309</v>
      </c>
      <c r="I154" s="223">
        <v>43830</v>
      </c>
      <c r="J154" s="218" t="s">
        <v>2587</v>
      </c>
      <c r="K154" s="218" t="s">
        <v>2630</v>
      </c>
      <c r="L154" s="218" t="s">
        <v>2589</v>
      </c>
      <c r="M154" s="218" t="s">
        <v>2881</v>
      </c>
      <c r="N154" s="218">
        <v>463.95</v>
      </c>
      <c r="O154" s="218" t="s">
        <v>292</v>
      </c>
      <c r="P154" s="218">
        <v>600</v>
      </c>
      <c r="Q154" s="218" t="s">
        <v>752</v>
      </c>
      <c r="R154" s="218" t="s">
        <v>1587</v>
      </c>
      <c r="S154" s="218" t="s">
        <v>396</v>
      </c>
      <c r="T154" s="218" t="s">
        <v>2591</v>
      </c>
      <c r="U154" s="218" t="s">
        <v>740</v>
      </c>
      <c r="V154" s="218" t="s">
        <v>381</v>
      </c>
      <c r="W154" s="218" t="s">
        <v>295</v>
      </c>
      <c r="X154" s="218" t="s">
        <v>379</v>
      </c>
      <c r="Y154" s="218">
        <v>544.66999999999996</v>
      </c>
      <c r="Z154" s="218">
        <f t="shared" si="2"/>
        <v>600</v>
      </c>
    </row>
    <row r="155" spans="1:26">
      <c r="A155" s="218" t="s">
        <v>2592</v>
      </c>
      <c r="B155" s="218"/>
      <c r="C155" s="218"/>
      <c r="D155" s="218"/>
      <c r="E155" s="218"/>
      <c r="F155" s="219" t="s">
        <v>2882</v>
      </c>
      <c r="G155" s="218" t="s">
        <v>233</v>
      </c>
      <c r="H155" s="218" t="s">
        <v>309</v>
      </c>
      <c r="I155" s="223">
        <v>43830</v>
      </c>
      <c r="J155" s="218" t="s">
        <v>2587</v>
      </c>
      <c r="K155" s="218" t="s">
        <v>2651</v>
      </c>
      <c r="L155" s="218" t="s">
        <v>2589</v>
      </c>
      <c r="M155" s="218" t="s">
        <v>2883</v>
      </c>
      <c r="N155" s="218">
        <v>11.02</v>
      </c>
      <c r="O155" s="218" t="s">
        <v>292</v>
      </c>
      <c r="P155" s="218">
        <v>14.26</v>
      </c>
      <c r="Q155" s="218" t="s">
        <v>752</v>
      </c>
      <c r="R155" s="218" t="s">
        <v>1587</v>
      </c>
      <c r="S155" s="218" t="s">
        <v>396</v>
      </c>
      <c r="T155" s="218" t="s">
        <v>2591</v>
      </c>
      <c r="U155" s="218" t="s">
        <v>740</v>
      </c>
      <c r="V155" s="218" t="s">
        <v>381</v>
      </c>
      <c r="W155" s="218" t="s">
        <v>295</v>
      </c>
      <c r="X155" s="218" t="s">
        <v>379</v>
      </c>
      <c r="Y155" s="218">
        <v>12.94</v>
      </c>
      <c r="Z155" s="218">
        <f t="shared" si="2"/>
        <v>14.26</v>
      </c>
    </row>
    <row r="156" spans="1:26">
      <c r="A156" s="218" t="s">
        <v>2592</v>
      </c>
      <c r="B156" s="218"/>
      <c r="C156" s="218"/>
      <c r="D156" s="218"/>
      <c r="E156" s="218"/>
      <c r="F156" s="219" t="s">
        <v>2884</v>
      </c>
      <c r="G156" s="218" t="s">
        <v>233</v>
      </c>
      <c r="H156" s="218" t="s">
        <v>309</v>
      </c>
      <c r="I156" s="223">
        <v>43830</v>
      </c>
      <c r="J156" s="218" t="s">
        <v>2587</v>
      </c>
      <c r="K156" s="218" t="s">
        <v>2651</v>
      </c>
      <c r="L156" s="218" t="s">
        <v>2589</v>
      </c>
      <c r="M156" s="218" t="s">
        <v>757</v>
      </c>
      <c r="N156" s="218">
        <v>46.4</v>
      </c>
      <c r="O156" s="218" t="s">
        <v>292</v>
      </c>
      <c r="P156" s="218">
        <v>60</v>
      </c>
      <c r="Q156" s="218" t="s">
        <v>752</v>
      </c>
      <c r="R156" s="218" t="s">
        <v>1587</v>
      </c>
      <c r="S156" s="218" t="s">
        <v>396</v>
      </c>
      <c r="T156" s="218" t="s">
        <v>2591</v>
      </c>
      <c r="U156" s="218" t="s">
        <v>740</v>
      </c>
      <c r="V156" s="218" t="s">
        <v>381</v>
      </c>
      <c r="W156" s="218" t="s">
        <v>295</v>
      </c>
      <c r="X156" s="218" t="s">
        <v>379</v>
      </c>
      <c r="Y156" s="218">
        <v>54.47</v>
      </c>
      <c r="Z156" s="218">
        <f t="shared" si="2"/>
        <v>60</v>
      </c>
    </row>
    <row r="157" spans="1:26">
      <c r="A157" s="218" t="s">
        <v>2592</v>
      </c>
      <c r="B157" s="218"/>
      <c r="C157" s="218"/>
      <c r="D157" s="218"/>
      <c r="E157" s="218"/>
      <c r="F157" s="219" t="s">
        <v>2885</v>
      </c>
      <c r="G157" s="218" t="s">
        <v>237</v>
      </c>
      <c r="H157" s="218" t="s">
        <v>309</v>
      </c>
      <c r="I157" s="223">
        <v>43830</v>
      </c>
      <c r="J157" s="218" t="s">
        <v>2587</v>
      </c>
      <c r="K157" s="218" t="s">
        <v>2627</v>
      </c>
      <c r="L157" s="218" t="s">
        <v>2589</v>
      </c>
      <c r="M157" s="218" t="s">
        <v>2628</v>
      </c>
      <c r="N157" s="218">
        <v>193.31</v>
      </c>
      <c r="O157" s="218" t="s">
        <v>292</v>
      </c>
      <c r="P157" s="218">
        <v>250</v>
      </c>
      <c r="Q157" s="218" t="s">
        <v>752</v>
      </c>
      <c r="R157" s="218" t="s">
        <v>1587</v>
      </c>
      <c r="S157" s="218" t="s">
        <v>396</v>
      </c>
      <c r="T157" s="218" t="s">
        <v>2591</v>
      </c>
      <c r="U157" s="218" t="s">
        <v>740</v>
      </c>
      <c r="V157" s="218" t="s">
        <v>381</v>
      </c>
      <c r="W157" s="218" t="s">
        <v>295</v>
      </c>
      <c r="X157" s="218" t="s">
        <v>379</v>
      </c>
      <c r="Y157" s="218">
        <v>226.94</v>
      </c>
      <c r="Z157" s="218">
        <f t="shared" si="2"/>
        <v>250</v>
      </c>
    </row>
    <row r="158" spans="1:26">
      <c r="A158" s="218" t="s">
        <v>2592</v>
      </c>
      <c r="B158" s="218"/>
      <c r="C158" s="218"/>
      <c r="D158" s="218"/>
      <c r="E158" s="218"/>
      <c r="F158" s="219" t="s">
        <v>2886</v>
      </c>
      <c r="G158" s="218" t="s">
        <v>237</v>
      </c>
      <c r="H158" s="218" t="s">
        <v>309</v>
      </c>
      <c r="I158" s="223">
        <v>43830</v>
      </c>
      <c r="J158" s="218" t="s">
        <v>2587</v>
      </c>
      <c r="K158" s="218" t="s">
        <v>2630</v>
      </c>
      <c r="L158" s="218" t="s">
        <v>2589</v>
      </c>
      <c r="M158" s="218" t="s">
        <v>766</v>
      </c>
      <c r="N158" s="218">
        <v>69.59</v>
      </c>
      <c r="O158" s="218" t="s">
        <v>292</v>
      </c>
      <c r="P158" s="218">
        <v>90</v>
      </c>
      <c r="Q158" s="218" t="s">
        <v>752</v>
      </c>
      <c r="R158" s="218" t="s">
        <v>1587</v>
      </c>
      <c r="S158" s="218" t="s">
        <v>396</v>
      </c>
      <c r="T158" s="218" t="s">
        <v>2591</v>
      </c>
      <c r="U158" s="218" t="s">
        <v>740</v>
      </c>
      <c r="V158" s="218" t="s">
        <v>381</v>
      </c>
      <c r="W158" s="218" t="s">
        <v>295</v>
      </c>
      <c r="X158" s="218" t="s">
        <v>379</v>
      </c>
      <c r="Y158" s="218">
        <v>81.7</v>
      </c>
      <c r="Z158" s="218">
        <f t="shared" si="2"/>
        <v>90</v>
      </c>
    </row>
    <row r="159" spans="1:26">
      <c r="A159" s="218" t="s">
        <v>2592</v>
      </c>
      <c r="B159" s="218"/>
      <c r="C159" s="218"/>
      <c r="D159" s="218"/>
      <c r="E159" s="218"/>
      <c r="F159" s="219" t="s">
        <v>2887</v>
      </c>
      <c r="G159" s="218" t="s">
        <v>237</v>
      </c>
      <c r="H159" s="218" t="s">
        <v>309</v>
      </c>
      <c r="I159" s="223">
        <v>43830</v>
      </c>
      <c r="J159" s="218" t="s">
        <v>2587</v>
      </c>
      <c r="K159" s="218" t="s">
        <v>2630</v>
      </c>
      <c r="L159" s="218" t="s">
        <v>2589</v>
      </c>
      <c r="M159" s="218" t="s">
        <v>2644</v>
      </c>
      <c r="N159" s="218">
        <v>168.18</v>
      </c>
      <c r="O159" s="218" t="s">
        <v>292</v>
      </c>
      <c r="P159" s="218">
        <v>217.5</v>
      </c>
      <c r="Q159" s="218" t="s">
        <v>752</v>
      </c>
      <c r="R159" s="218" t="s">
        <v>1587</v>
      </c>
      <c r="S159" s="218" t="s">
        <v>396</v>
      </c>
      <c r="T159" s="218" t="s">
        <v>2591</v>
      </c>
      <c r="U159" s="218" t="s">
        <v>740</v>
      </c>
      <c r="V159" s="218" t="s">
        <v>381</v>
      </c>
      <c r="W159" s="218" t="s">
        <v>295</v>
      </c>
      <c r="X159" s="218" t="s">
        <v>379</v>
      </c>
      <c r="Y159" s="218">
        <v>197.44</v>
      </c>
      <c r="Z159" s="218">
        <f t="shared" si="2"/>
        <v>217.5</v>
      </c>
    </row>
    <row r="160" spans="1:26">
      <c r="A160" s="218" t="s">
        <v>2592</v>
      </c>
      <c r="B160" s="218"/>
      <c r="C160" s="218"/>
      <c r="D160" s="218"/>
      <c r="E160" s="218"/>
      <c r="F160" s="219" t="s">
        <v>2888</v>
      </c>
      <c r="G160" s="218" t="s">
        <v>237</v>
      </c>
      <c r="H160" s="218" t="s">
        <v>309</v>
      </c>
      <c r="I160" s="223">
        <v>43830</v>
      </c>
      <c r="J160" s="218" t="s">
        <v>2587</v>
      </c>
      <c r="K160" s="218" t="s">
        <v>2630</v>
      </c>
      <c r="L160" s="218" t="s">
        <v>2589</v>
      </c>
      <c r="M160" s="218" t="s">
        <v>2798</v>
      </c>
      <c r="N160" s="218">
        <v>19.329999999999998</v>
      </c>
      <c r="O160" s="218" t="s">
        <v>292</v>
      </c>
      <c r="P160" s="218">
        <v>25</v>
      </c>
      <c r="Q160" s="218" t="s">
        <v>752</v>
      </c>
      <c r="R160" s="218" t="s">
        <v>1587</v>
      </c>
      <c r="S160" s="218" t="s">
        <v>396</v>
      </c>
      <c r="T160" s="218" t="s">
        <v>2591</v>
      </c>
      <c r="U160" s="218" t="s">
        <v>740</v>
      </c>
      <c r="V160" s="218" t="s">
        <v>381</v>
      </c>
      <c r="W160" s="218" t="s">
        <v>295</v>
      </c>
      <c r="X160" s="218" t="s">
        <v>379</v>
      </c>
      <c r="Y160" s="218">
        <v>22.69</v>
      </c>
      <c r="Z160" s="218">
        <f t="shared" si="2"/>
        <v>25</v>
      </c>
    </row>
    <row r="161" spans="1:26">
      <c r="A161" s="218" t="s">
        <v>2592</v>
      </c>
      <c r="B161" s="218"/>
      <c r="C161" s="218"/>
      <c r="D161" s="218"/>
      <c r="E161" s="218"/>
      <c r="F161" s="219" t="s">
        <v>2889</v>
      </c>
      <c r="G161" s="218" t="s">
        <v>237</v>
      </c>
      <c r="H161" s="218" t="s">
        <v>309</v>
      </c>
      <c r="I161" s="223">
        <v>43830</v>
      </c>
      <c r="J161" s="218" t="s">
        <v>2587</v>
      </c>
      <c r="K161" s="218" t="s">
        <v>2651</v>
      </c>
      <c r="L161" s="218" t="s">
        <v>2589</v>
      </c>
      <c r="M161" s="218" t="s">
        <v>2800</v>
      </c>
      <c r="N161" s="218">
        <v>38.659999999999997</v>
      </c>
      <c r="O161" s="218" t="s">
        <v>292</v>
      </c>
      <c r="P161" s="218">
        <v>50</v>
      </c>
      <c r="Q161" s="218" t="s">
        <v>752</v>
      </c>
      <c r="R161" s="218" t="s">
        <v>1587</v>
      </c>
      <c r="S161" s="218" t="s">
        <v>396</v>
      </c>
      <c r="T161" s="218" t="s">
        <v>2591</v>
      </c>
      <c r="U161" s="218" t="s">
        <v>740</v>
      </c>
      <c r="V161" s="218" t="s">
        <v>381</v>
      </c>
      <c r="W161" s="218" t="s">
        <v>295</v>
      </c>
      <c r="X161" s="218" t="s">
        <v>379</v>
      </c>
      <c r="Y161" s="218">
        <v>45.39</v>
      </c>
      <c r="Z161" s="218">
        <f t="shared" si="2"/>
        <v>50</v>
      </c>
    </row>
    <row r="162" spans="1:26">
      <c r="A162" s="218" t="s">
        <v>2592</v>
      </c>
      <c r="B162" s="218"/>
      <c r="C162" s="218"/>
      <c r="D162" s="218"/>
      <c r="E162" s="218"/>
      <c r="F162" s="219" t="s">
        <v>2890</v>
      </c>
      <c r="G162" s="218" t="s">
        <v>237</v>
      </c>
      <c r="H162" s="218" t="s">
        <v>309</v>
      </c>
      <c r="I162" s="223">
        <v>43830</v>
      </c>
      <c r="J162" s="218" t="s">
        <v>2587</v>
      </c>
      <c r="K162" s="218" t="s">
        <v>2630</v>
      </c>
      <c r="L162" s="218" t="s">
        <v>2589</v>
      </c>
      <c r="M162" s="218" t="s">
        <v>2891</v>
      </c>
      <c r="N162" s="218">
        <v>96.66</v>
      </c>
      <c r="O162" s="218" t="s">
        <v>292</v>
      </c>
      <c r="P162" s="218">
        <v>125</v>
      </c>
      <c r="Q162" s="218" t="s">
        <v>752</v>
      </c>
      <c r="R162" s="218" t="s">
        <v>1587</v>
      </c>
      <c r="S162" s="218" t="s">
        <v>396</v>
      </c>
      <c r="T162" s="218" t="s">
        <v>2591</v>
      </c>
      <c r="U162" s="218" t="s">
        <v>740</v>
      </c>
      <c r="V162" s="218" t="s">
        <v>381</v>
      </c>
      <c r="W162" s="218" t="s">
        <v>295</v>
      </c>
      <c r="X162" s="218" t="s">
        <v>379</v>
      </c>
      <c r="Y162" s="218">
        <v>113.48</v>
      </c>
      <c r="Z162" s="218">
        <f t="shared" si="2"/>
        <v>125</v>
      </c>
    </row>
    <row r="163" spans="1:26">
      <c r="A163" s="218" t="s">
        <v>2592</v>
      </c>
      <c r="B163" s="218"/>
      <c r="C163" s="218"/>
      <c r="D163" s="218"/>
      <c r="E163" s="218"/>
      <c r="F163" s="219" t="s">
        <v>2892</v>
      </c>
      <c r="G163" s="218" t="s">
        <v>237</v>
      </c>
      <c r="H163" s="218" t="s">
        <v>309</v>
      </c>
      <c r="I163" s="223">
        <v>43830</v>
      </c>
      <c r="J163" s="218" t="s">
        <v>2587</v>
      </c>
      <c r="K163" s="218" t="s">
        <v>2648</v>
      </c>
      <c r="L163" s="218" t="s">
        <v>2589</v>
      </c>
      <c r="M163" s="218" t="s">
        <v>2656</v>
      </c>
      <c r="N163" s="218">
        <v>193.31</v>
      </c>
      <c r="O163" s="218" t="s">
        <v>292</v>
      </c>
      <c r="P163" s="218">
        <v>250</v>
      </c>
      <c r="Q163" s="218" t="s">
        <v>752</v>
      </c>
      <c r="R163" s="218" t="s">
        <v>1587</v>
      </c>
      <c r="S163" s="218" t="s">
        <v>396</v>
      </c>
      <c r="T163" s="218" t="s">
        <v>2591</v>
      </c>
      <c r="U163" s="218" t="s">
        <v>740</v>
      </c>
      <c r="V163" s="218" t="s">
        <v>381</v>
      </c>
      <c r="W163" s="218" t="s">
        <v>295</v>
      </c>
      <c r="X163" s="218" t="s">
        <v>379</v>
      </c>
      <c r="Y163" s="218">
        <v>226.94</v>
      </c>
      <c r="Z163" s="218">
        <f t="shared" si="2"/>
        <v>250</v>
      </c>
    </row>
    <row r="164" spans="1:26">
      <c r="A164" s="218" t="s">
        <v>2592</v>
      </c>
      <c r="B164" s="218"/>
      <c r="C164" s="218"/>
      <c r="D164" s="218"/>
      <c r="E164" s="218"/>
      <c r="F164" s="219" t="s">
        <v>2893</v>
      </c>
      <c r="G164" s="218" t="s">
        <v>237</v>
      </c>
      <c r="H164" s="218" t="s">
        <v>309</v>
      </c>
      <c r="I164" s="223">
        <v>43830</v>
      </c>
      <c r="J164" s="218" t="s">
        <v>2587</v>
      </c>
      <c r="K164" s="218" t="s">
        <v>2651</v>
      </c>
      <c r="L164" s="218" t="s">
        <v>2589</v>
      </c>
      <c r="M164" s="218" t="s">
        <v>1654</v>
      </c>
      <c r="N164" s="218">
        <v>38.659999999999997</v>
      </c>
      <c r="O164" s="218" t="s">
        <v>292</v>
      </c>
      <c r="P164" s="218">
        <v>50</v>
      </c>
      <c r="Q164" s="218" t="s">
        <v>752</v>
      </c>
      <c r="R164" s="218" t="s">
        <v>1587</v>
      </c>
      <c r="S164" s="218" t="s">
        <v>396</v>
      </c>
      <c r="T164" s="218" t="s">
        <v>2591</v>
      </c>
      <c r="U164" s="218" t="s">
        <v>740</v>
      </c>
      <c r="V164" s="218" t="s">
        <v>381</v>
      </c>
      <c r="W164" s="218" t="s">
        <v>295</v>
      </c>
      <c r="X164" s="218" t="s">
        <v>379</v>
      </c>
      <c r="Y164" s="218">
        <v>45.39</v>
      </c>
      <c r="Z164" s="218">
        <f t="shared" si="2"/>
        <v>50</v>
      </c>
    </row>
    <row r="165" spans="1:26">
      <c r="A165" s="218" t="s">
        <v>2592</v>
      </c>
      <c r="B165" s="218"/>
      <c r="C165" s="218"/>
      <c r="D165" s="218"/>
      <c r="E165" s="218"/>
      <c r="F165" s="219" t="s">
        <v>2894</v>
      </c>
      <c r="G165" s="218" t="s">
        <v>237</v>
      </c>
      <c r="H165" s="218" t="s">
        <v>309</v>
      </c>
      <c r="I165" s="223">
        <v>43830</v>
      </c>
      <c r="J165" s="218" t="s">
        <v>2587</v>
      </c>
      <c r="K165" s="218" t="s">
        <v>2630</v>
      </c>
      <c r="L165" s="218" t="s">
        <v>2589</v>
      </c>
      <c r="M165" s="218" t="s">
        <v>2895</v>
      </c>
      <c r="N165" s="218">
        <v>96.66</v>
      </c>
      <c r="O165" s="218" t="s">
        <v>292</v>
      </c>
      <c r="P165" s="218">
        <v>125</v>
      </c>
      <c r="Q165" s="218" t="s">
        <v>752</v>
      </c>
      <c r="R165" s="218" t="s">
        <v>1587</v>
      </c>
      <c r="S165" s="218" t="s">
        <v>396</v>
      </c>
      <c r="T165" s="218" t="s">
        <v>2591</v>
      </c>
      <c r="U165" s="218" t="s">
        <v>740</v>
      </c>
      <c r="V165" s="218" t="s">
        <v>381</v>
      </c>
      <c r="W165" s="218" t="s">
        <v>295</v>
      </c>
      <c r="X165" s="218" t="s">
        <v>379</v>
      </c>
      <c r="Y165" s="218">
        <v>113.48</v>
      </c>
      <c r="Z165" s="218">
        <f t="shared" si="2"/>
        <v>125</v>
      </c>
    </row>
    <row r="166" spans="1:26">
      <c r="A166" s="218" t="s">
        <v>2592</v>
      </c>
      <c r="B166" s="218"/>
      <c r="C166" s="218"/>
      <c r="D166" s="218"/>
      <c r="E166" s="218"/>
      <c r="F166" s="219" t="s">
        <v>2896</v>
      </c>
      <c r="G166" s="218" t="s">
        <v>237</v>
      </c>
      <c r="H166" s="218" t="s">
        <v>309</v>
      </c>
      <c r="I166" s="223">
        <v>43830</v>
      </c>
      <c r="J166" s="218" t="s">
        <v>2587</v>
      </c>
      <c r="K166" s="218" t="s">
        <v>2648</v>
      </c>
      <c r="L166" s="218" t="s">
        <v>2589</v>
      </c>
      <c r="M166" s="218" t="s">
        <v>2656</v>
      </c>
      <c r="N166" s="218">
        <v>193.31</v>
      </c>
      <c r="O166" s="218" t="s">
        <v>292</v>
      </c>
      <c r="P166" s="218">
        <v>250</v>
      </c>
      <c r="Q166" s="218" t="s">
        <v>752</v>
      </c>
      <c r="R166" s="218" t="s">
        <v>1587</v>
      </c>
      <c r="S166" s="218" t="s">
        <v>396</v>
      </c>
      <c r="T166" s="218" t="s">
        <v>2591</v>
      </c>
      <c r="U166" s="218" t="s">
        <v>740</v>
      </c>
      <c r="V166" s="218" t="s">
        <v>381</v>
      </c>
      <c r="W166" s="218" t="s">
        <v>295</v>
      </c>
      <c r="X166" s="218" t="s">
        <v>379</v>
      </c>
      <c r="Y166" s="218">
        <v>226.94</v>
      </c>
      <c r="Z166" s="218">
        <f t="shared" si="2"/>
        <v>250</v>
      </c>
    </row>
    <row r="167" spans="1:26">
      <c r="A167" s="218" t="s">
        <v>2592</v>
      </c>
      <c r="B167" s="218"/>
      <c r="C167" s="218"/>
      <c r="D167" s="218"/>
      <c r="E167" s="218"/>
      <c r="F167" s="219" t="s">
        <v>2897</v>
      </c>
      <c r="G167" s="218" t="s">
        <v>237</v>
      </c>
      <c r="H167" s="218" t="s">
        <v>309</v>
      </c>
      <c r="I167" s="223">
        <v>43830</v>
      </c>
      <c r="J167" s="218" t="s">
        <v>2587</v>
      </c>
      <c r="K167" s="218" t="s">
        <v>2651</v>
      </c>
      <c r="L167" s="218" t="s">
        <v>2589</v>
      </c>
      <c r="M167" s="218" t="s">
        <v>1645</v>
      </c>
      <c r="N167" s="218">
        <v>38.659999999999997</v>
      </c>
      <c r="O167" s="218" t="s">
        <v>292</v>
      </c>
      <c r="P167" s="218">
        <v>50</v>
      </c>
      <c r="Q167" s="218" t="s">
        <v>752</v>
      </c>
      <c r="R167" s="218" t="s">
        <v>1587</v>
      </c>
      <c r="S167" s="218" t="s">
        <v>396</v>
      </c>
      <c r="T167" s="218" t="s">
        <v>2591</v>
      </c>
      <c r="U167" s="218" t="s">
        <v>740</v>
      </c>
      <c r="V167" s="218" t="s">
        <v>381</v>
      </c>
      <c r="W167" s="218" t="s">
        <v>295</v>
      </c>
      <c r="X167" s="218" t="s">
        <v>379</v>
      </c>
      <c r="Y167" s="218">
        <v>45.39</v>
      </c>
      <c r="Z167" s="218">
        <f t="shared" si="2"/>
        <v>50</v>
      </c>
    </row>
    <row r="168" spans="1:26">
      <c r="A168" s="218" t="s">
        <v>2592</v>
      </c>
      <c r="B168" s="218"/>
      <c r="C168" s="218"/>
      <c r="D168" s="218"/>
      <c r="E168" s="218"/>
      <c r="F168" s="219" t="s">
        <v>2898</v>
      </c>
      <c r="G168" s="218" t="s">
        <v>237</v>
      </c>
      <c r="H168" s="218" t="s">
        <v>309</v>
      </c>
      <c r="I168" s="223">
        <v>43830</v>
      </c>
      <c r="J168" s="218" t="s">
        <v>2587</v>
      </c>
      <c r="K168" s="218" t="s">
        <v>2630</v>
      </c>
      <c r="L168" s="218" t="s">
        <v>2589</v>
      </c>
      <c r="M168" s="218" t="s">
        <v>2654</v>
      </c>
      <c r="N168" s="218">
        <v>96.66</v>
      </c>
      <c r="O168" s="218" t="s">
        <v>292</v>
      </c>
      <c r="P168" s="218">
        <v>125</v>
      </c>
      <c r="Q168" s="218" t="s">
        <v>752</v>
      </c>
      <c r="R168" s="218" t="s">
        <v>1587</v>
      </c>
      <c r="S168" s="218" t="s">
        <v>396</v>
      </c>
      <c r="T168" s="218" t="s">
        <v>2591</v>
      </c>
      <c r="U168" s="218" t="s">
        <v>740</v>
      </c>
      <c r="V168" s="218" t="s">
        <v>381</v>
      </c>
      <c r="W168" s="218" t="s">
        <v>295</v>
      </c>
      <c r="X168" s="218" t="s">
        <v>379</v>
      </c>
      <c r="Y168" s="218">
        <v>113.48</v>
      </c>
      <c r="Z168" s="218">
        <f t="shared" si="2"/>
        <v>125</v>
      </c>
    </row>
    <row r="169" spans="1:26">
      <c r="A169" s="218" t="s">
        <v>2592</v>
      </c>
      <c r="B169" s="218"/>
      <c r="C169" s="218"/>
      <c r="D169" s="218"/>
      <c r="E169" s="218"/>
      <c r="F169" s="219" t="s">
        <v>2899</v>
      </c>
      <c r="G169" s="218" t="s">
        <v>237</v>
      </c>
      <c r="H169" s="218" t="s">
        <v>309</v>
      </c>
      <c r="I169" s="223">
        <v>43830</v>
      </c>
      <c r="J169" s="218" t="s">
        <v>2587</v>
      </c>
      <c r="K169" s="218" t="s">
        <v>2648</v>
      </c>
      <c r="L169" s="218" t="s">
        <v>2589</v>
      </c>
      <c r="M169" s="218" t="s">
        <v>2656</v>
      </c>
      <c r="N169" s="218">
        <v>193.31</v>
      </c>
      <c r="O169" s="218" t="s">
        <v>292</v>
      </c>
      <c r="P169" s="218">
        <v>250</v>
      </c>
      <c r="Q169" s="218" t="s">
        <v>752</v>
      </c>
      <c r="R169" s="218" t="s">
        <v>1587</v>
      </c>
      <c r="S169" s="218" t="s">
        <v>396</v>
      </c>
      <c r="T169" s="218" t="s">
        <v>2591</v>
      </c>
      <c r="U169" s="218" t="s">
        <v>740</v>
      </c>
      <c r="V169" s="218" t="s">
        <v>381</v>
      </c>
      <c r="W169" s="218" t="s">
        <v>295</v>
      </c>
      <c r="X169" s="218" t="s">
        <v>379</v>
      </c>
      <c r="Y169" s="218">
        <v>226.94</v>
      </c>
      <c r="Z169" s="218">
        <f t="shared" si="2"/>
        <v>250</v>
      </c>
    </row>
    <row r="170" spans="1:26">
      <c r="A170" s="218" t="s">
        <v>2592</v>
      </c>
      <c r="B170" s="218"/>
      <c r="C170" s="218"/>
      <c r="D170" s="218"/>
      <c r="E170" s="218"/>
      <c r="F170" s="219" t="s">
        <v>2900</v>
      </c>
      <c r="G170" s="218" t="s">
        <v>238</v>
      </c>
      <c r="H170" s="218" t="s">
        <v>309</v>
      </c>
      <c r="I170" s="223">
        <v>43830</v>
      </c>
      <c r="J170" s="218" t="s">
        <v>2587</v>
      </c>
      <c r="K170" s="218" t="s">
        <v>2630</v>
      </c>
      <c r="L170" s="218" t="s">
        <v>2589</v>
      </c>
      <c r="M170" s="218" t="s">
        <v>2901</v>
      </c>
      <c r="N170" s="218">
        <v>174.66</v>
      </c>
      <c r="O170" s="218" t="s">
        <v>292</v>
      </c>
      <c r="P170" s="218">
        <v>225.88</v>
      </c>
      <c r="Q170" s="218" t="s">
        <v>752</v>
      </c>
      <c r="R170" s="218" t="s">
        <v>1587</v>
      </c>
      <c r="S170" s="218" t="s">
        <v>396</v>
      </c>
      <c r="T170" s="218" t="s">
        <v>2591</v>
      </c>
      <c r="U170" s="218" t="s">
        <v>740</v>
      </c>
      <c r="V170" s="218" t="s">
        <v>381</v>
      </c>
      <c r="W170" s="218" t="s">
        <v>295</v>
      </c>
      <c r="X170" s="218" t="s">
        <v>379</v>
      </c>
      <c r="Y170" s="218">
        <v>205.05</v>
      </c>
      <c r="Z170" s="218">
        <f t="shared" si="2"/>
        <v>225.88</v>
      </c>
    </row>
    <row r="171" spans="1:26">
      <c r="A171" s="218" t="s">
        <v>2592</v>
      </c>
      <c r="B171" s="218"/>
      <c r="C171" s="218"/>
      <c r="D171" s="218"/>
      <c r="E171" s="218"/>
      <c r="F171" s="219" t="s">
        <v>2902</v>
      </c>
      <c r="G171" s="218" t="s">
        <v>238</v>
      </c>
      <c r="H171" s="218" t="s">
        <v>309</v>
      </c>
      <c r="I171" s="223">
        <v>43830</v>
      </c>
      <c r="J171" s="218" t="s">
        <v>2587</v>
      </c>
      <c r="K171" s="218" t="s">
        <v>2630</v>
      </c>
      <c r="L171" s="218" t="s">
        <v>2589</v>
      </c>
      <c r="M171" s="218" t="s">
        <v>1450</v>
      </c>
      <c r="N171" s="218">
        <v>23.2</v>
      </c>
      <c r="O171" s="218" t="s">
        <v>292</v>
      </c>
      <c r="P171" s="218">
        <v>30</v>
      </c>
      <c r="Q171" s="218" t="s">
        <v>752</v>
      </c>
      <c r="R171" s="218" t="s">
        <v>1587</v>
      </c>
      <c r="S171" s="218" t="s">
        <v>396</v>
      </c>
      <c r="T171" s="218" t="s">
        <v>2591</v>
      </c>
      <c r="U171" s="218" t="s">
        <v>740</v>
      </c>
      <c r="V171" s="218" t="s">
        <v>381</v>
      </c>
      <c r="W171" s="218" t="s">
        <v>295</v>
      </c>
      <c r="X171" s="218" t="s">
        <v>379</v>
      </c>
      <c r="Y171" s="218">
        <v>27.24</v>
      </c>
      <c r="Z171" s="218">
        <f t="shared" si="2"/>
        <v>30</v>
      </c>
    </row>
    <row r="172" spans="1:26">
      <c r="A172" s="218" t="s">
        <v>2592</v>
      </c>
      <c r="B172" s="218"/>
      <c r="C172" s="218"/>
      <c r="D172" s="218"/>
      <c r="E172" s="218"/>
      <c r="F172" s="219" t="s">
        <v>2903</v>
      </c>
      <c r="G172" s="218" t="s">
        <v>238</v>
      </c>
      <c r="H172" s="218" t="s">
        <v>309</v>
      </c>
      <c r="I172" s="223">
        <v>43830</v>
      </c>
      <c r="J172" s="218" t="s">
        <v>2587</v>
      </c>
      <c r="K172" s="218" t="s">
        <v>2630</v>
      </c>
      <c r="L172" s="218" t="s">
        <v>2589</v>
      </c>
      <c r="M172" s="218" t="s">
        <v>2904</v>
      </c>
      <c r="N172" s="218">
        <v>579.94000000000005</v>
      </c>
      <c r="O172" s="218" t="s">
        <v>292</v>
      </c>
      <c r="P172" s="218">
        <v>750</v>
      </c>
      <c r="Q172" s="218" t="s">
        <v>752</v>
      </c>
      <c r="R172" s="218" t="s">
        <v>1587</v>
      </c>
      <c r="S172" s="218" t="s">
        <v>396</v>
      </c>
      <c r="T172" s="218" t="s">
        <v>2591</v>
      </c>
      <c r="U172" s="218" t="s">
        <v>740</v>
      </c>
      <c r="V172" s="218" t="s">
        <v>381</v>
      </c>
      <c r="W172" s="218" t="s">
        <v>295</v>
      </c>
      <c r="X172" s="218" t="s">
        <v>379</v>
      </c>
      <c r="Y172" s="218">
        <v>680.84</v>
      </c>
      <c r="Z172" s="218">
        <f t="shared" si="2"/>
        <v>750</v>
      </c>
    </row>
    <row r="173" spans="1:26">
      <c r="A173" s="218" t="s">
        <v>2592</v>
      </c>
      <c r="B173" s="218"/>
      <c r="C173" s="218"/>
      <c r="D173" s="218"/>
      <c r="E173" s="218"/>
      <c r="F173" s="219" t="s">
        <v>2905</v>
      </c>
      <c r="G173" s="218" t="s">
        <v>238</v>
      </c>
      <c r="H173" s="218" t="s">
        <v>309</v>
      </c>
      <c r="I173" s="223">
        <v>43830</v>
      </c>
      <c r="J173" s="218" t="s">
        <v>2587</v>
      </c>
      <c r="K173" s="218" t="s">
        <v>2664</v>
      </c>
      <c r="L173" s="218" t="s">
        <v>2589</v>
      </c>
      <c r="M173" s="218" t="s">
        <v>2906</v>
      </c>
      <c r="N173" s="218">
        <v>579.94000000000005</v>
      </c>
      <c r="O173" s="218" t="s">
        <v>292</v>
      </c>
      <c r="P173" s="218">
        <v>750</v>
      </c>
      <c r="Q173" s="218" t="s">
        <v>752</v>
      </c>
      <c r="R173" s="218" t="s">
        <v>1587</v>
      </c>
      <c r="S173" s="218" t="s">
        <v>396</v>
      </c>
      <c r="T173" s="218" t="s">
        <v>2591</v>
      </c>
      <c r="U173" s="218" t="s">
        <v>740</v>
      </c>
      <c r="V173" s="218" t="s">
        <v>381</v>
      </c>
      <c r="W173" s="218" t="s">
        <v>295</v>
      </c>
      <c r="X173" s="218" t="s">
        <v>379</v>
      </c>
      <c r="Y173" s="218">
        <v>680.84</v>
      </c>
      <c r="Z173" s="218">
        <f t="shared" si="2"/>
        <v>750</v>
      </c>
    </row>
    <row r="174" spans="1:26">
      <c r="A174" s="218" t="s">
        <v>2592</v>
      </c>
      <c r="B174" s="218"/>
      <c r="C174" s="218"/>
      <c r="D174" s="218"/>
      <c r="E174" s="218"/>
      <c r="F174" s="219" t="s">
        <v>2907</v>
      </c>
      <c r="G174" s="218" t="s">
        <v>238</v>
      </c>
      <c r="H174" s="218" t="s">
        <v>309</v>
      </c>
      <c r="I174" s="223">
        <v>43830</v>
      </c>
      <c r="J174" s="218" t="s">
        <v>2587</v>
      </c>
      <c r="K174" s="218" t="s">
        <v>2651</v>
      </c>
      <c r="L174" s="218" t="s">
        <v>2589</v>
      </c>
      <c r="M174" s="218" t="s">
        <v>2908</v>
      </c>
      <c r="N174" s="218">
        <v>231.7</v>
      </c>
      <c r="O174" s="218" t="s">
        <v>292</v>
      </c>
      <c r="P174" s="218">
        <v>300</v>
      </c>
      <c r="Q174" s="218" t="s">
        <v>752</v>
      </c>
      <c r="R174" s="218" t="s">
        <v>1587</v>
      </c>
      <c r="S174" s="218" t="s">
        <v>396</v>
      </c>
      <c r="T174" s="218" t="s">
        <v>2591</v>
      </c>
      <c r="U174" s="218" t="s">
        <v>740</v>
      </c>
      <c r="V174" s="218" t="s">
        <v>381</v>
      </c>
      <c r="W174" s="218" t="s">
        <v>295</v>
      </c>
      <c r="X174" s="218" t="s">
        <v>379</v>
      </c>
      <c r="Y174" s="218">
        <v>272.01</v>
      </c>
      <c r="Z174" s="218">
        <f t="shared" si="2"/>
        <v>300</v>
      </c>
    </row>
    <row r="175" spans="1:26">
      <c r="A175" s="218" t="s">
        <v>2592</v>
      </c>
      <c r="B175" s="218"/>
      <c r="C175" s="218"/>
      <c r="D175" s="218"/>
      <c r="E175" s="218"/>
      <c r="F175" s="219" t="s">
        <v>2909</v>
      </c>
      <c r="G175" s="218" t="s">
        <v>238</v>
      </c>
      <c r="H175" s="218" t="s">
        <v>309</v>
      </c>
      <c r="I175" s="223">
        <v>43830</v>
      </c>
      <c r="J175" s="218" t="s">
        <v>2587</v>
      </c>
      <c r="K175" s="218" t="s">
        <v>2651</v>
      </c>
      <c r="L175" s="218" t="s">
        <v>2589</v>
      </c>
      <c r="M175" s="218" t="s">
        <v>757</v>
      </c>
      <c r="N175" s="218">
        <v>46.4</v>
      </c>
      <c r="O175" s="218" t="s">
        <v>292</v>
      </c>
      <c r="P175" s="218">
        <v>60</v>
      </c>
      <c r="Q175" s="218" t="s">
        <v>752</v>
      </c>
      <c r="R175" s="218" t="s">
        <v>1587</v>
      </c>
      <c r="S175" s="218" t="s">
        <v>396</v>
      </c>
      <c r="T175" s="218" t="s">
        <v>2591</v>
      </c>
      <c r="U175" s="218" t="s">
        <v>740</v>
      </c>
      <c r="V175" s="218" t="s">
        <v>381</v>
      </c>
      <c r="W175" s="218" t="s">
        <v>295</v>
      </c>
      <c r="X175" s="218" t="s">
        <v>379</v>
      </c>
      <c r="Y175" s="218">
        <v>54.47</v>
      </c>
      <c r="Z175" s="218">
        <f t="shared" si="2"/>
        <v>60</v>
      </c>
    </row>
    <row r="176" spans="1:26">
      <c r="A176" s="218" t="s">
        <v>2592</v>
      </c>
      <c r="B176" s="218"/>
      <c r="C176" s="218"/>
      <c r="D176" s="218"/>
      <c r="E176" s="218"/>
      <c r="F176" s="219" t="s">
        <v>2910</v>
      </c>
      <c r="G176" s="218" t="s">
        <v>238</v>
      </c>
      <c r="H176" s="218" t="s">
        <v>309</v>
      </c>
      <c r="I176" s="223">
        <v>43830</v>
      </c>
      <c r="J176" s="218" t="s">
        <v>2587</v>
      </c>
      <c r="K176" s="218" t="s">
        <v>2630</v>
      </c>
      <c r="L176" s="218" t="s">
        <v>2589</v>
      </c>
      <c r="M176" s="218" t="s">
        <v>2904</v>
      </c>
      <c r="N176" s="218">
        <v>579.94000000000005</v>
      </c>
      <c r="O176" s="218" t="s">
        <v>292</v>
      </c>
      <c r="P176" s="218">
        <v>750</v>
      </c>
      <c r="Q176" s="218" t="s">
        <v>752</v>
      </c>
      <c r="R176" s="218" t="s">
        <v>1587</v>
      </c>
      <c r="S176" s="218" t="s">
        <v>396</v>
      </c>
      <c r="T176" s="218" t="s">
        <v>2591</v>
      </c>
      <c r="U176" s="218" t="s">
        <v>740</v>
      </c>
      <c r="V176" s="218" t="s">
        <v>381</v>
      </c>
      <c r="W176" s="218" t="s">
        <v>295</v>
      </c>
      <c r="X176" s="218" t="s">
        <v>379</v>
      </c>
      <c r="Y176" s="218">
        <v>680.84</v>
      </c>
      <c r="Z176" s="218">
        <f t="shared" si="2"/>
        <v>750</v>
      </c>
    </row>
    <row r="177" spans="1:26">
      <c r="A177" s="218" t="s">
        <v>2592</v>
      </c>
      <c r="B177" s="218"/>
      <c r="C177" s="218"/>
      <c r="D177" s="218"/>
      <c r="E177" s="218"/>
      <c r="F177" s="219" t="s">
        <v>2911</v>
      </c>
      <c r="G177" s="218" t="s">
        <v>239</v>
      </c>
      <c r="H177" s="218" t="s">
        <v>309</v>
      </c>
      <c r="I177" s="223">
        <v>43830</v>
      </c>
      <c r="J177" s="218" t="s">
        <v>2782</v>
      </c>
      <c r="K177" s="218" t="s">
        <v>2912</v>
      </c>
      <c r="L177" s="218" t="s">
        <v>2784</v>
      </c>
      <c r="M177" s="218" t="s">
        <v>2913</v>
      </c>
      <c r="N177" s="218">
        <v>146.33000000000001</v>
      </c>
      <c r="O177" s="218" t="s">
        <v>292</v>
      </c>
      <c r="P177" s="218">
        <v>180</v>
      </c>
      <c r="Q177" s="218" t="s">
        <v>752</v>
      </c>
      <c r="R177" s="218" t="s">
        <v>1587</v>
      </c>
      <c r="S177" s="218" t="s">
        <v>396</v>
      </c>
      <c r="T177" s="218" t="s">
        <v>2591</v>
      </c>
      <c r="U177" s="218" t="s">
        <v>737</v>
      </c>
      <c r="V177" s="218" t="s">
        <v>381</v>
      </c>
      <c r="W177" s="218" t="s">
        <v>295</v>
      </c>
      <c r="X177" s="218" t="s">
        <v>379</v>
      </c>
      <c r="Y177" s="218">
        <v>171.79</v>
      </c>
      <c r="Z177" s="218">
        <f t="shared" si="2"/>
        <v>180</v>
      </c>
    </row>
    <row r="178" spans="1:26">
      <c r="A178" s="218" t="s">
        <v>2592</v>
      </c>
      <c r="B178" s="218"/>
      <c r="C178" s="218"/>
      <c r="D178" s="218"/>
      <c r="E178" s="218"/>
      <c r="F178" s="219" t="s">
        <v>2914</v>
      </c>
      <c r="G178" s="218" t="s">
        <v>239</v>
      </c>
      <c r="H178" s="218" t="s">
        <v>309</v>
      </c>
      <c r="I178" s="223">
        <v>43830</v>
      </c>
      <c r="J178" s="218" t="s">
        <v>2782</v>
      </c>
      <c r="K178" s="218" t="s">
        <v>2787</v>
      </c>
      <c r="L178" s="218" t="s">
        <v>2784</v>
      </c>
      <c r="M178" s="218" t="s">
        <v>2915</v>
      </c>
      <c r="N178" s="218">
        <v>682.87</v>
      </c>
      <c r="O178" s="218" t="s">
        <v>292</v>
      </c>
      <c r="P178" s="218">
        <v>840</v>
      </c>
      <c r="Q178" s="218" t="s">
        <v>752</v>
      </c>
      <c r="R178" s="218" t="s">
        <v>1587</v>
      </c>
      <c r="S178" s="218" t="s">
        <v>396</v>
      </c>
      <c r="T178" s="218" t="s">
        <v>2591</v>
      </c>
      <c r="U178" s="218" t="s">
        <v>737</v>
      </c>
      <c r="V178" s="218" t="s">
        <v>381</v>
      </c>
      <c r="W178" s="218" t="s">
        <v>295</v>
      </c>
      <c r="X178" s="218" t="s">
        <v>379</v>
      </c>
      <c r="Y178" s="218">
        <v>801.68</v>
      </c>
      <c r="Z178" s="218">
        <f t="shared" si="2"/>
        <v>840</v>
      </c>
    </row>
    <row r="179" spans="1:26">
      <c r="A179" s="218" t="s">
        <v>2592</v>
      </c>
      <c r="B179" s="218"/>
      <c r="C179" s="218"/>
      <c r="D179" s="218"/>
      <c r="E179" s="218"/>
      <c r="F179" s="219" t="s">
        <v>2916</v>
      </c>
      <c r="G179" s="218" t="s">
        <v>239</v>
      </c>
      <c r="H179" s="218" t="s">
        <v>309</v>
      </c>
      <c r="I179" s="223">
        <v>43830</v>
      </c>
      <c r="J179" s="218" t="s">
        <v>2782</v>
      </c>
      <c r="K179" s="218" t="s">
        <v>2917</v>
      </c>
      <c r="L179" s="218" t="s">
        <v>2784</v>
      </c>
      <c r="M179" s="218" t="s">
        <v>2918</v>
      </c>
      <c r="N179" s="218">
        <v>455.24</v>
      </c>
      <c r="O179" s="218" t="s">
        <v>292</v>
      </c>
      <c r="P179" s="218">
        <v>560</v>
      </c>
      <c r="Q179" s="218" t="s">
        <v>752</v>
      </c>
      <c r="R179" s="218" t="s">
        <v>1587</v>
      </c>
      <c r="S179" s="218" t="s">
        <v>396</v>
      </c>
      <c r="T179" s="218" t="s">
        <v>2591</v>
      </c>
      <c r="U179" s="218" t="s">
        <v>737</v>
      </c>
      <c r="V179" s="218" t="s">
        <v>381</v>
      </c>
      <c r="W179" s="218" t="s">
        <v>295</v>
      </c>
      <c r="X179" s="218" t="s">
        <v>379</v>
      </c>
      <c r="Y179" s="218">
        <v>534.44000000000005</v>
      </c>
      <c r="Z179" s="218">
        <f t="shared" si="2"/>
        <v>560</v>
      </c>
    </row>
    <row r="180" spans="1:26">
      <c r="A180" s="218" t="s">
        <v>2592</v>
      </c>
      <c r="B180" s="218"/>
      <c r="C180" s="218"/>
      <c r="D180" s="218"/>
      <c r="E180" s="218"/>
      <c r="F180" s="219" t="s">
        <v>2919</v>
      </c>
      <c r="G180" s="218" t="s">
        <v>239</v>
      </c>
      <c r="H180" s="218" t="s">
        <v>309</v>
      </c>
      <c r="I180" s="223">
        <v>43830</v>
      </c>
      <c r="J180" s="218" t="s">
        <v>2782</v>
      </c>
      <c r="K180" s="218" t="s">
        <v>2783</v>
      </c>
      <c r="L180" s="218" t="s">
        <v>2784</v>
      </c>
      <c r="M180" s="218" t="s">
        <v>2920</v>
      </c>
      <c r="N180" s="218">
        <v>1170.6300000000001</v>
      </c>
      <c r="O180" s="218" t="s">
        <v>292</v>
      </c>
      <c r="P180" s="218">
        <v>1440</v>
      </c>
      <c r="Q180" s="218" t="s">
        <v>752</v>
      </c>
      <c r="R180" s="218" t="s">
        <v>1587</v>
      </c>
      <c r="S180" s="218" t="s">
        <v>396</v>
      </c>
      <c r="T180" s="218" t="s">
        <v>2591</v>
      </c>
      <c r="U180" s="218" t="s">
        <v>737</v>
      </c>
      <c r="V180" s="218" t="s">
        <v>381</v>
      </c>
      <c r="W180" s="218" t="s">
        <v>295</v>
      </c>
      <c r="X180" s="218" t="s">
        <v>379</v>
      </c>
      <c r="Y180" s="218">
        <v>1374.3</v>
      </c>
      <c r="Z180" s="218">
        <f t="shared" si="2"/>
        <v>1440</v>
      </c>
    </row>
    <row r="181" spans="1:26">
      <c r="A181" s="218" t="s">
        <v>2592</v>
      </c>
      <c r="B181" s="218"/>
      <c r="C181" s="218"/>
      <c r="D181" s="218"/>
      <c r="E181" s="218"/>
      <c r="F181" s="219" t="s">
        <v>2921</v>
      </c>
      <c r="G181" s="218" t="s">
        <v>239</v>
      </c>
      <c r="H181" s="218" t="s">
        <v>309</v>
      </c>
      <c r="I181" s="223">
        <v>43830</v>
      </c>
      <c r="J181" s="218" t="s">
        <v>2782</v>
      </c>
      <c r="K181" s="218" t="s">
        <v>2783</v>
      </c>
      <c r="L181" s="218" t="s">
        <v>2784</v>
      </c>
      <c r="M181" s="218" t="s">
        <v>2922</v>
      </c>
      <c r="N181" s="218">
        <v>3641.95</v>
      </c>
      <c r="O181" s="218" t="s">
        <v>292</v>
      </c>
      <c r="P181" s="218">
        <v>4480</v>
      </c>
      <c r="Q181" s="218" t="s">
        <v>752</v>
      </c>
      <c r="R181" s="218" t="s">
        <v>1587</v>
      </c>
      <c r="S181" s="218" t="s">
        <v>396</v>
      </c>
      <c r="T181" s="218" t="s">
        <v>2591</v>
      </c>
      <c r="U181" s="218" t="s">
        <v>737</v>
      </c>
      <c r="V181" s="218" t="s">
        <v>381</v>
      </c>
      <c r="W181" s="218" t="s">
        <v>295</v>
      </c>
      <c r="X181" s="218" t="s">
        <v>379</v>
      </c>
      <c r="Y181" s="218">
        <v>4275.58</v>
      </c>
      <c r="Z181" s="218">
        <f t="shared" si="2"/>
        <v>4480</v>
      </c>
    </row>
    <row r="182" spans="1:26">
      <c r="A182" s="218" t="s">
        <v>2592</v>
      </c>
      <c r="B182" s="218"/>
      <c r="C182" s="218"/>
      <c r="D182" s="218"/>
      <c r="E182" s="218"/>
      <c r="F182" s="219" t="s">
        <v>2923</v>
      </c>
      <c r="G182" s="218" t="s">
        <v>239</v>
      </c>
      <c r="H182" s="218" t="s">
        <v>309</v>
      </c>
      <c r="I182" s="223">
        <v>43830</v>
      </c>
      <c r="J182" s="218" t="s">
        <v>2782</v>
      </c>
      <c r="K182" s="218" t="s">
        <v>2783</v>
      </c>
      <c r="L182" s="218" t="s">
        <v>2784</v>
      </c>
      <c r="M182" s="218" t="s">
        <v>2924</v>
      </c>
      <c r="N182" s="218">
        <v>1516.12</v>
      </c>
      <c r="O182" s="218" t="s">
        <v>292</v>
      </c>
      <c r="P182" s="218">
        <v>1865</v>
      </c>
      <c r="Q182" s="218" t="s">
        <v>752</v>
      </c>
      <c r="R182" s="218" t="s">
        <v>1587</v>
      </c>
      <c r="S182" s="218" t="s">
        <v>396</v>
      </c>
      <c r="T182" s="218" t="s">
        <v>2591</v>
      </c>
      <c r="U182" s="218" t="s">
        <v>737</v>
      </c>
      <c r="V182" s="218" t="s">
        <v>381</v>
      </c>
      <c r="W182" s="218" t="s">
        <v>295</v>
      </c>
      <c r="X182" s="218" t="s">
        <v>379</v>
      </c>
      <c r="Y182" s="218">
        <v>1779.89</v>
      </c>
      <c r="Z182" s="218">
        <f t="shared" si="2"/>
        <v>1865</v>
      </c>
    </row>
    <row r="183" spans="1:26">
      <c r="A183" s="218" t="s">
        <v>2592</v>
      </c>
      <c r="B183" s="218"/>
      <c r="C183" s="218"/>
      <c r="D183" s="218"/>
      <c r="E183" s="218"/>
      <c r="F183" s="219" t="s">
        <v>2925</v>
      </c>
      <c r="G183" s="218" t="s">
        <v>239</v>
      </c>
      <c r="H183" s="218" t="s">
        <v>309</v>
      </c>
      <c r="I183" s="223">
        <v>43830</v>
      </c>
      <c r="J183" s="218" t="s">
        <v>2587</v>
      </c>
      <c r="K183" s="218" t="s">
        <v>2630</v>
      </c>
      <c r="L183" s="218" t="s">
        <v>2589</v>
      </c>
      <c r="M183" s="218" t="s">
        <v>1450</v>
      </c>
      <c r="N183" s="218">
        <v>23.2</v>
      </c>
      <c r="O183" s="218" t="s">
        <v>292</v>
      </c>
      <c r="P183" s="218">
        <v>30</v>
      </c>
      <c r="Q183" s="218" t="s">
        <v>752</v>
      </c>
      <c r="R183" s="218" t="s">
        <v>1587</v>
      </c>
      <c r="S183" s="218" t="s">
        <v>396</v>
      </c>
      <c r="T183" s="218" t="s">
        <v>2591</v>
      </c>
      <c r="U183" s="218" t="s">
        <v>740</v>
      </c>
      <c r="V183" s="218" t="s">
        <v>381</v>
      </c>
      <c r="W183" s="218" t="s">
        <v>295</v>
      </c>
      <c r="X183" s="218" t="s">
        <v>379</v>
      </c>
      <c r="Y183" s="218">
        <v>27.24</v>
      </c>
      <c r="Z183" s="218">
        <f t="shared" si="2"/>
        <v>30</v>
      </c>
    </row>
    <row r="184" spans="1:26">
      <c r="A184" s="218" t="s">
        <v>2592</v>
      </c>
      <c r="B184" s="218"/>
      <c r="C184" s="218"/>
      <c r="D184" s="218"/>
      <c r="E184" s="218"/>
      <c r="F184" s="219" t="s">
        <v>2926</v>
      </c>
      <c r="G184" s="218" t="s">
        <v>239</v>
      </c>
      <c r="H184" s="218" t="s">
        <v>309</v>
      </c>
      <c r="I184" s="223">
        <v>43830</v>
      </c>
      <c r="J184" s="218" t="s">
        <v>2587</v>
      </c>
      <c r="K184" s="218" t="s">
        <v>2630</v>
      </c>
      <c r="L184" s="218" t="s">
        <v>2589</v>
      </c>
      <c r="M184" s="218" t="s">
        <v>2644</v>
      </c>
      <c r="N184" s="218">
        <v>37.5</v>
      </c>
      <c r="O184" s="218" t="s">
        <v>292</v>
      </c>
      <c r="P184" s="218">
        <v>48.5</v>
      </c>
      <c r="Q184" s="218" t="s">
        <v>752</v>
      </c>
      <c r="R184" s="218" t="s">
        <v>1587</v>
      </c>
      <c r="S184" s="218" t="s">
        <v>396</v>
      </c>
      <c r="T184" s="218" t="s">
        <v>2591</v>
      </c>
      <c r="U184" s="218" t="s">
        <v>740</v>
      </c>
      <c r="V184" s="218" t="s">
        <v>381</v>
      </c>
      <c r="W184" s="218" t="s">
        <v>295</v>
      </c>
      <c r="X184" s="218" t="s">
        <v>379</v>
      </c>
      <c r="Y184" s="218">
        <v>44.02</v>
      </c>
      <c r="Z184" s="218">
        <f t="shared" si="2"/>
        <v>48.5</v>
      </c>
    </row>
    <row r="185" spans="1:26">
      <c r="A185" s="218" t="s">
        <v>2592</v>
      </c>
      <c r="B185" s="218"/>
      <c r="C185" s="218"/>
      <c r="D185" s="218"/>
      <c r="E185" s="218"/>
      <c r="F185" s="219" t="s">
        <v>2927</v>
      </c>
      <c r="G185" s="218" t="s">
        <v>239</v>
      </c>
      <c r="H185" s="218" t="s">
        <v>309</v>
      </c>
      <c r="I185" s="223">
        <v>43830</v>
      </c>
      <c r="J185" s="218" t="s">
        <v>2587</v>
      </c>
      <c r="K185" s="218" t="s">
        <v>2630</v>
      </c>
      <c r="L185" s="218" t="s">
        <v>2589</v>
      </c>
      <c r="M185" s="218" t="s">
        <v>2829</v>
      </c>
      <c r="N185" s="218">
        <v>48.33</v>
      </c>
      <c r="O185" s="218" t="s">
        <v>292</v>
      </c>
      <c r="P185" s="218">
        <v>62.5</v>
      </c>
      <c r="Q185" s="218" t="s">
        <v>752</v>
      </c>
      <c r="R185" s="218" t="s">
        <v>1587</v>
      </c>
      <c r="S185" s="218" t="s">
        <v>396</v>
      </c>
      <c r="T185" s="218" t="s">
        <v>2591</v>
      </c>
      <c r="U185" s="218" t="s">
        <v>740</v>
      </c>
      <c r="V185" s="218" t="s">
        <v>381</v>
      </c>
      <c r="W185" s="218" t="s">
        <v>295</v>
      </c>
      <c r="X185" s="218" t="s">
        <v>379</v>
      </c>
      <c r="Y185" s="218">
        <v>56.74</v>
      </c>
      <c r="Z185" s="218">
        <f t="shared" si="2"/>
        <v>62.5</v>
      </c>
    </row>
    <row r="186" spans="1:26">
      <c r="A186" s="218" t="s">
        <v>2592</v>
      </c>
      <c r="B186" s="218"/>
      <c r="C186" s="218"/>
      <c r="D186" s="218"/>
      <c r="E186" s="218"/>
      <c r="F186" s="219" t="s">
        <v>2928</v>
      </c>
      <c r="G186" s="218" t="s">
        <v>239</v>
      </c>
      <c r="H186" s="218" t="s">
        <v>309</v>
      </c>
      <c r="I186" s="223">
        <v>43830</v>
      </c>
      <c r="J186" s="218" t="s">
        <v>2587</v>
      </c>
      <c r="K186" s="218" t="s">
        <v>2648</v>
      </c>
      <c r="L186" s="218" t="s">
        <v>2589</v>
      </c>
      <c r="M186" s="218" t="s">
        <v>2929</v>
      </c>
      <c r="N186" s="218">
        <v>96.66</v>
      </c>
      <c r="O186" s="218" t="s">
        <v>292</v>
      </c>
      <c r="P186" s="218">
        <v>125</v>
      </c>
      <c r="Q186" s="218" t="s">
        <v>752</v>
      </c>
      <c r="R186" s="218" t="s">
        <v>1587</v>
      </c>
      <c r="S186" s="218" t="s">
        <v>396</v>
      </c>
      <c r="T186" s="218" t="s">
        <v>2591</v>
      </c>
      <c r="U186" s="218" t="s">
        <v>740</v>
      </c>
      <c r="V186" s="218" t="s">
        <v>381</v>
      </c>
      <c r="W186" s="218" t="s">
        <v>295</v>
      </c>
      <c r="X186" s="218" t="s">
        <v>379</v>
      </c>
      <c r="Y186" s="218">
        <v>113.48</v>
      </c>
      <c r="Z186" s="218">
        <f t="shared" si="2"/>
        <v>125</v>
      </c>
    </row>
    <row r="187" spans="1:26">
      <c r="A187" s="218" t="s">
        <v>2592</v>
      </c>
      <c r="B187" s="218"/>
      <c r="C187" s="218"/>
      <c r="D187" s="218"/>
      <c r="E187" s="218"/>
      <c r="F187" s="219" t="s">
        <v>2930</v>
      </c>
      <c r="G187" s="218" t="s">
        <v>240</v>
      </c>
      <c r="H187" s="218" t="s">
        <v>309</v>
      </c>
      <c r="I187" s="223">
        <v>43830</v>
      </c>
      <c r="J187" s="218" t="s">
        <v>2610</v>
      </c>
      <c r="K187" s="218" t="s">
        <v>2931</v>
      </c>
      <c r="L187" s="218" t="s">
        <v>2612</v>
      </c>
      <c r="M187" s="218" t="s">
        <v>2932</v>
      </c>
      <c r="N187" s="218">
        <v>2081.11</v>
      </c>
      <c r="O187" s="218" t="s">
        <v>292</v>
      </c>
      <c r="P187" s="218">
        <v>2560</v>
      </c>
      <c r="Q187" s="218" t="s">
        <v>752</v>
      </c>
      <c r="R187" s="218" t="s">
        <v>1587</v>
      </c>
      <c r="S187" s="218" t="s">
        <v>396</v>
      </c>
      <c r="T187" s="218" t="s">
        <v>2591</v>
      </c>
      <c r="U187" s="218" t="s">
        <v>743</v>
      </c>
      <c r="V187" s="218" t="s">
        <v>381</v>
      </c>
      <c r="W187" s="218" t="s">
        <v>295</v>
      </c>
      <c r="X187" s="218" t="s">
        <v>379</v>
      </c>
      <c r="Y187" s="218">
        <v>2443.1799999999998</v>
      </c>
      <c r="Z187" s="218">
        <f t="shared" si="2"/>
        <v>2560</v>
      </c>
    </row>
    <row r="188" spans="1:26">
      <c r="A188" s="218" t="s">
        <v>2592</v>
      </c>
      <c r="B188" s="218"/>
      <c r="C188" s="218"/>
      <c r="D188" s="218"/>
      <c r="E188" s="218"/>
      <c r="F188" s="219" t="s">
        <v>2933</v>
      </c>
      <c r="G188" s="218" t="s">
        <v>240</v>
      </c>
      <c r="H188" s="218" t="s">
        <v>309</v>
      </c>
      <c r="I188" s="223">
        <v>43830</v>
      </c>
      <c r="J188" s="218" t="s">
        <v>2610</v>
      </c>
      <c r="K188" s="218" t="s">
        <v>2934</v>
      </c>
      <c r="L188" s="218" t="s">
        <v>2612</v>
      </c>
      <c r="M188" s="218" t="s">
        <v>2935</v>
      </c>
      <c r="N188" s="218">
        <v>252.01</v>
      </c>
      <c r="O188" s="218" t="s">
        <v>292</v>
      </c>
      <c r="P188" s="218">
        <v>310</v>
      </c>
      <c r="Q188" s="218" t="s">
        <v>752</v>
      </c>
      <c r="R188" s="218" t="s">
        <v>1587</v>
      </c>
      <c r="S188" s="218" t="s">
        <v>396</v>
      </c>
      <c r="T188" s="218" t="s">
        <v>2591</v>
      </c>
      <c r="U188" s="218" t="s">
        <v>743</v>
      </c>
      <c r="V188" s="218" t="s">
        <v>381</v>
      </c>
      <c r="W188" s="218" t="s">
        <v>295</v>
      </c>
      <c r="X188" s="218" t="s">
        <v>379</v>
      </c>
      <c r="Y188" s="218">
        <v>295.85000000000002</v>
      </c>
      <c r="Z188" s="218">
        <f t="shared" si="2"/>
        <v>310</v>
      </c>
    </row>
    <row r="189" spans="1:26">
      <c r="A189" s="218" t="s">
        <v>2592</v>
      </c>
      <c r="B189" s="218"/>
      <c r="C189" s="218"/>
      <c r="D189" s="218"/>
      <c r="E189" s="218"/>
      <c r="F189" s="219" t="s">
        <v>2936</v>
      </c>
      <c r="G189" s="218" t="s">
        <v>240</v>
      </c>
      <c r="H189" s="218" t="s">
        <v>309</v>
      </c>
      <c r="I189" s="223">
        <v>43830</v>
      </c>
      <c r="J189" s="218" t="s">
        <v>2610</v>
      </c>
      <c r="K189" s="218" t="s">
        <v>2591</v>
      </c>
      <c r="L189" s="218" t="s">
        <v>2612</v>
      </c>
      <c r="M189" s="218" t="s">
        <v>2937</v>
      </c>
      <c r="N189" s="218">
        <v>195.1</v>
      </c>
      <c r="O189" s="218" t="s">
        <v>292</v>
      </c>
      <c r="P189" s="218">
        <v>240</v>
      </c>
      <c r="Q189" s="218" t="s">
        <v>752</v>
      </c>
      <c r="R189" s="218" t="s">
        <v>1587</v>
      </c>
      <c r="S189" s="218" t="s">
        <v>396</v>
      </c>
      <c r="T189" s="218" t="s">
        <v>2591</v>
      </c>
      <c r="U189" s="218" t="s">
        <v>743</v>
      </c>
      <c r="V189" s="218" t="s">
        <v>381</v>
      </c>
      <c r="W189" s="218" t="s">
        <v>295</v>
      </c>
      <c r="X189" s="218" t="s">
        <v>379</v>
      </c>
      <c r="Y189" s="218">
        <v>229.04</v>
      </c>
      <c r="Z189" s="218">
        <f t="shared" si="2"/>
        <v>240</v>
      </c>
    </row>
    <row r="190" spans="1:26">
      <c r="A190" s="218" t="s">
        <v>2592</v>
      </c>
      <c r="B190" s="218"/>
      <c r="C190" s="218"/>
      <c r="D190" s="218"/>
      <c r="E190" s="218"/>
      <c r="F190" s="219" t="s">
        <v>2938</v>
      </c>
      <c r="G190" s="218" t="s">
        <v>240</v>
      </c>
      <c r="H190" s="218" t="s">
        <v>309</v>
      </c>
      <c r="I190" s="223">
        <v>43830</v>
      </c>
      <c r="J190" s="218" t="s">
        <v>2610</v>
      </c>
      <c r="K190" s="218" t="s">
        <v>2591</v>
      </c>
      <c r="L190" s="218" t="s">
        <v>2612</v>
      </c>
      <c r="M190" s="218" t="s">
        <v>2939</v>
      </c>
      <c r="N190" s="218">
        <v>8.1300000000000008</v>
      </c>
      <c r="O190" s="218" t="s">
        <v>292</v>
      </c>
      <c r="P190" s="218">
        <v>10</v>
      </c>
      <c r="Q190" s="218" t="s">
        <v>752</v>
      </c>
      <c r="R190" s="218" t="s">
        <v>1587</v>
      </c>
      <c r="S190" s="218" t="s">
        <v>396</v>
      </c>
      <c r="T190" s="218" t="s">
        <v>2591</v>
      </c>
      <c r="U190" s="218" t="s">
        <v>743</v>
      </c>
      <c r="V190" s="218" t="s">
        <v>381</v>
      </c>
      <c r="W190" s="218" t="s">
        <v>295</v>
      </c>
      <c r="X190" s="218" t="s">
        <v>379</v>
      </c>
      <c r="Y190" s="218">
        <v>9.5399999999999991</v>
      </c>
      <c r="Z190" s="218">
        <f t="shared" si="2"/>
        <v>10</v>
      </c>
    </row>
    <row r="191" spans="1:26">
      <c r="A191" s="218" t="s">
        <v>2592</v>
      </c>
      <c r="B191" s="218"/>
      <c r="C191" s="218"/>
      <c r="D191" s="218"/>
      <c r="E191" s="218"/>
      <c r="F191" s="219" t="s">
        <v>2940</v>
      </c>
      <c r="G191" s="218" t="s">
        <v>240</v>
      </c>
      <c r="H191" s="218" t="s">
        <v>309</v>
      </c>
      <c r="I191" s="223">
        <v>43830</v>
      </c>
      <c r="J191" s="218" t="s">
        <v>2610</v>
      </c>
      <c r="K191" s="218" t="s">
        <v>2591</v>
      </c>
      <c r="L191" s="218" t="s">
        <v>2612</v>
      </c>
      <c r="M191" s="218" t="s">
        <v>2941</v>
      </c>
      <c r="N191" s="218">
        <v>40.65</v>
      </c>
      <c r="O191" s="218" t="s">
        <v>292</v>
      </c>
      <c r="P191" s="218">
        <v>50</v>
      </c>
      <c r="Q191" s="218" t="s">
        <v>752</v>
      </c>
      <c r="R191" s="218" t="s">
        <v>1587</v>
      </c>
      <c r="S191" s="218" t="s">
        <v>396</v>
      </c>
      <c r="T191" s="218" t="s">
        <v>2591</v>
      </c>
      <c r="U191" s="218" t="s">
        <v>743</v>
      </c>
      <c r="V191" s="218" t="s">
        <v>381</v>
      </c>
      <c r="W191" s="218" t="s">
        <v>295</v>
      </c>
      <c r="X191" s="218" t="s">
        <v>379</v>
      </c>
      <c r="Y191" s="218">
        <v>47.72</v>
      </c>
      <c r="Z191" s="218">
        <f t="shared" si="2"/>
        <v>50</v>
      </c>
    </row>
    <row r="192" spans="1:26">
      <c r="A192" s="218" t="s">
        <v>2592</v>
      </c>
      <c r="B192" s="218"/>
      <c r="C192" s="218"/>
      <c r="D192" s="218"/>
      <c r="E192" s="218"/>
      <c r="F192" s="219" t="s">
        <v>2942</v>
      </c>
      <c r="G192" s="218" t="s">
        <v>240</v>
      </c>
      <c r="H192" s="218" t="s">
        <v>309</v>
      </c>
      <c r="I192" s="223">
        <v>43830</v>
      </c>
      <c r="J192" s="218" t="s">
        <v>2587</v>
      </c>
      <c r="K192" s="218" t="s">
        <v>2622</v>
      </c>
      <c r="L192" s="218" t="s">
        <v>2589</v>
      </c>
      <c r="M192" s="218" t="s">
        <v>2943</v>
      </c>
      <c r="N192" s="218">
        <v>243.57</v>
      </c>
      <c r="O192" s="218" t="s">
        <v>292</v>
      </c>
      <c r="P192" s="218">
        <v>315</v>
      </c>
      <c r="Q192" s="218" t="s">
        <v>752</v>
      </c>
      <c r="R192" s="218" t="s">
        <v>1587</v>
      </c>
      <c r="S192" s="218" t="s">
        <v>396</v>
      </c>
      <c r="T192" s="218" t="s">
        <v>2591</v>
      </c>
      <c r="U192" s="218" t="s">
        <v>740</v>
      </c>
      <c r="V192" s="218" t="s">
        <v>381</v>
      </c>
      <c r="W192" s="218" t="s">
        <v>295</v>
      </c>
      <c r="X192" s="218" t="s">
        <v>379</v>
      </c>
      <c r="Y192" s="218">
        <v>285.95</v>
      </c>
      <c r="Z192" s="218">
        <f t="shared" si="2"/>
        <v>315</v>
      </c>
    </row>
    <row r="193" spans="1:26">
      <c r="A193" s="218" t="s">
        <v>2592</v>
      </c>
      <c r="B193" s="218"/>
      <c r="C193" s="218"/>
      <c r="D193" s="218"/>
      <c r="E193" s="218"/>
      <c r="F193" s="219" t="s">
        <v>2944</v>
      </c>
      <c r="G193" s="218" t="s">
        <v>240</v>
      </c>
      <c r="H193" s="218" t="s">
        <v>309</v>
      </c>
      <c r="I193" s="223">
        <v>43830</v>
      </c>
      <c r="J193" s="218" t="s">
        <v>2587</v>
      </c>
      <c r="K193" s="218" t="s">
        <v>2945</v>
      </c>
      <c r="L193" s="218" t="s">
        <v>2589</v>
      </c>
      <c r="M193" s="218" t="s">
        <v>2946</v>
      </c>
      <c r="N193" s="218">
        <v>46.4</v>
      </c>
      <c r="O193" s="218" t="s">
        <v>292</v>
      </c>
      <c r="P193" s="218">
        <v>60</v>
      </c>
      <c r="Q193" s="218" t="s">
        <v>752</v>
      </c>
      <c r="R193" s="218" t="s">
        <v>1587</v>
      </c>
      <c r="S193" s="218" t="s">
        <v>396</v>
      </c>
      <c r="T193" s="218" t="s">
        <v>2591</v>
      </c>
      <c r="U193" s="218" t="s">
        <v>740</v>
      </c>
      <c r="V193" s="218" t="s">
        <v>381</v>
      </c>
      <c r="W193" s="218" t="s">
        <v>295</v>
      </c>
      <c r="X193" s="218" t="s">
        <v>379</v>
      </c>
      <c r="Y193" s="218">
        <v>54.47</v>
      </c>
      <c r="Z193" s="218">
        <f t="shared" si="2"/>
        <v>60</v>
      </c>
    </row>
    <row r="194" spans="1:26">
      <c r="A194" s="218" t="s">
        <v>2592</v>
      </c>
      <c r="B194" s="218"/>
      <c r="C194" s="218"/>
      <c r="D194" s="218"/>
      <c r="E194" s="218"/>
      <c r="F194" s="219" t="s">
        <v>2947</v>
      </c>
      <c r="G194" s="218" t="s">
        <v>240</v>
      </c>
      <c r="H194" s="218" t="s">
        <v>309</v>
      </c>
      <c r="I194" s="223">
        <v>43830</v>
      </c>
      <c r="J194" s="218" t="s">
        <v>2587</v>
      </c>
      <c r="K194" s="218" t="s">
        <v>2948</v>
      </c>
      <c r="L194" s="218" t="s">
        <v>2589</v>
      </c>
      <c r="M194" s="218" t="s">
        <v>2949</v>
      </c>
      <c r="N194" s="218">
        <v>7.73</v>
      </c>
      <c r="O194" s="218" t="s">
        <v>292</v>
      </c>
      <c r="P194" s="218">
        <v>10</v>
      </c>
      <c r="Q194" s="218" t="s">
        <v>752</v>
      </c>
      <c r="R194" s="218" t="s">
        <v>1587</v>
      </c>
      <c r="S194" s="218" t="s">
        <v>396</v>
      </c>
      <c r="T194" s="218" t="s">
        <v>2591</v>
      </c>
      <c r="U194" s="218" t="s">
        <v>740</v>
      </c>
      <c r="V194" s="218" t="s">
        <v>381</v>
      </c>
      <c r="W194" s="218" t="s">
        <v>295</v>
      </c>
      <c r="X194" s="218" t="s">
        <v>379</v>
      </c>
      <c r="Y194" s="218">
        <v>9.07</v>
      </c>
      <c r="Z194" s="218">
        <f t="shared" si="2"/>
        <v>10</v>
      </c>
    </row>
    <row r="195" spans="1:26">
      <c r="A195" s="218" t="s">
        <v>2592</v>
      </c>
      <c r="B195" s="218"/>
      <c r="C195" s="218"/>
      <c r="D195" s="218"/>
      <c r="E195" s="218"/>
      <c r="F195" s="219" t="s">
        <v>2950</v>
      </c>
      <c r="G195" s="218" t="s">
        <v>240</v>
      </c>
      <c r="H195" s="218" t="s">
        <v>309</v>
      </c>
      <c r="I195" s="223">
        <v>43830</v>
      </c>
      <c r="J195" s="218" t="s">
        <v>2587</v>
      </c>
      <c r="K195" s="218" t="s">
        <v>2856</v>
      </c>
      <c r="L195" s="218" t="s">
        <v>2589</v>
      </c>
      <c r="M195" s="218" t="s">
        <v>2674</v>
      </c>
      <c r="N195" s="218">
        <v>77.33</v>
      </c>
      <c r="O195" s="218" t="s">
        <v>292</v>
      </c>
      <c r="P195" s="218">
        <v>100</v>
      </c>
      <c r="Q195" s="218" t="s">
        <v>752</v>
      </c>
      <c r="R195" s="218" t="s">
        <v>1587</v>
      </c>
      <c r="S195" s="218" t="s">
        <v>396</v>
      </c>
      <c r="T195" s="218" t="s">
        <v>2591</v>
      </c>
      <c r="U195" s="218" t="s">
        <v>740</v>
      </c>
      <c r="V195" s="218" t="s">
        <v>381</v>
      </c>
      <c r="W195" s="218" t="s">
        <v>295</v>
      </c>
      <c r="X195" s="218" t="s">
        <v>379</v>
      </c>
      <c r="Y195" s="218">
        <v>90.78</v>
      </c>
      <c r="Z195" s="218">
        <f t="shared" si="2"/>
        <v>100</v>
      </c>
    </row>
    <row r="196" spans="1:26">
      <c r="A196" s="218" t="s">
        <v>2592</v>
      </c>
      <c r="B196" s="218"/>
      <c r="C196" s="218"/>
      <c r="D196" s="218"/>
      <c r="E196" s="218"/>
      <c r="F196" s="219" t="s">
        <v>2951</v>
      </c>
      <c r="G196" s="218" t="s">
        <v>240</v>
      </c>
      <c r="H196" s="218" t="s">
        <v>309</v>
      </c>
      <c r="I196" s="223">
        <v>43830</v>
      </c>
      <c r="J196" s="218" t="s">
        <v>2587</v>
      </c>
      <c r="K196" s="218" t="s">
        <v>2651</v>
      </c>
      <c r="L196" s="218" t="s">
        <v>2589</v>
      </c>
      <c r="M196" s="218" t="s">
        <v>2952</v>
      </c>
      <c r="N196" s="218">
        <v>7.73</v>
      </c>
      <c r="O196" s="218" t="s">
        <v>292</v>
      </c>
      <c r="P196" s="218">
        <v>10</v>
      </c>
      <c r="Q196" s="218" t="s">
        <v>752</v>
      </c>
      <c r="R196" s="218" t="s">
        <v>1587</v>
      </c>
      <c r="S196" s="218" t="s">
        <v>396</v>
      </c>
      <c r="T196" s="218" t="s">
        <v>2591</v>
      </c>
      <c r="U196" s="218" t="s">
        <v>740</v>
      </c>
      <c r="V196" s="218" t="s">
        <v>381</v>
      </c>
      <c r="W196" s="218" t="s">
        <v>295</v>
      </c>
      <c r="X196" s="218" t="s">
        <v>379</v>
      </c>
      <c r="Y196" s="218">
        <v>9.07</v>
      </c>
      <c r="Z196" s="218">
        <f t="shared" si="2"/>
        <v>10</v>
      </c>
    </row>
    <row r="197" spans="1:26">
      <c r="A197" s="218" t="s">
        <v>2592</v>
      </c>
      <c r="B197" s="218"/>
      <c r="C197" s="218"/>
      <c r="D197" s="218"/>
      <c r="E197" s="218"/>
      <c r="F197" s="219" t="s">
        <v>2953</v>
      </c>
      <c r="G197" s="218" t="s">
        <v>240</v>
      </c>
      <c r="H197" s="218" t="s">
        <v>309</v>
      </c>
      <c r="I197" s="223">
        <v>43830</v>
      </c>
      <c r="J197" s="218" t="s">
        <v>2587</v>
      </c>
      <c r="K197" s="218" t="s">
        <v>2748</v>
      </c>
      <c r="L197" s="218" t="s">
        <v>2589</v>
      </c>
      <c r="M197" s="218" t="s">
        <v>2954</v>
      </c>
      <c r="N197" s="218">
        <v>92.79</v>
      </c>
      <c r="O197" s="218" t="s">
        <v>292</v>
      </c>
      <c r="P197" s="218">
        <v>120</v>
      </c>
      <c r="Q197" s="218" t="s">
        <v>752</v>
      </c>
      <c r="R197" s="218" t="s">
        <v>1587</v>
      </c>
      <c r="S197" s="218" t="s">
        <v>396</v>
      </c>
      <c r="T197" s="218" t="s">
        <v>2591</v>
      </c>
      <c r="U197" s="218" t="s">
        <v>740</v>
      </c>
      <c r="V197" s="218" t="s">
        <v>381</v>
      </c>
      <c r="W197" s="218" t="s">
        <v>295</v>
      </c>
      <c r="X197" s="218" t="s">
        <v>379</v>
      </c>
      <c r="Y197" s="218">
        <v>108.93</v>
      </c>
      <c r="Z197" s="218">
        <f t="shared" si="2"/>
        <v>120</v>
      </c>
    </row>
    <row r="198" spans="1:26">
      <c r="A198" s="218" t="s">
        <v>2592</v>
      </c>
      <c r="B198" s="218"/>
      <c r="C198" s="218"/>
      <c r="D198" s="218"/>
      <c r="E198" s="218"/>
      <c r="F198" s="219" t="s">
        <v>2955</v>
      </c>
      <c r="G198" s="218" t="s">
        <v>240</v>
      </c>
      <c r="H198" s="218" t="s">
        <v>309</v>
      </c>
      <c r="I198" s="223">
        <v>43830</v>
      </c>
      <c r="J198" s="218" t="s">
        <v>2587</v>
      </c>
      <c r="K198" s="218" t="s">
        <v>2630</v>
      </c>
      <c r="L198" s="218" t="s">
        <v>2589</v>
      </c>
      <c r="M198" s="218" t="s">
        <v>2956</v>
      </c>
      <c r="N198" s="218">
        <v>46.4</v>
      </c>
      <c r="O198" s="218" t="s">
        <v>292</v>
      </c>
      <c r="P198" s="218">
        <v>60</v>
      </c>
      <c r="Q198" s="218" t="s">
        <v>752</v>
      </c>
      <c r="R198" s="218" t="s">
        <v>1587</v>
      </c>
      <c r="S198" s="218" t="s">
        <v>396</v>
      </c>
      <c r="T198" s="218" t="s">
        <v>2591</v>
      </c>
      <c r="U198" s="218" t="s">
        <v>740</v>
      </c>
      <c r="V198" s="218" t="s">
        <v>381</v>
      </c>
      <c r="W198" s="218" t="s">
        <v>295</v>
      </c>
      <c r="X198" s="218" t="s">
        <v>379</v>
      </c>
      <c r="Y198" s="218">
        <v>54.47</v>
      </c>
      <c r="Z198" s="218">
        <f t="shared" si="2"/>
        <v>60</v>
      </c>
    </row>
    <row r="199" spans="1:26">
      <c r="A199" s="218" t="s">
        <v>2592</v>
      </c>
      <c r="B199" s="218"/>
      <c r="C199" s="218"/>
      <c r="D199" s="218"/>
      <c r="E199" s="218"/>
      <c r="F199" s="219" t="s">
        <v>2957</v>
      </c>
      <c r="G199" s="218" t="s">
        <v>240</v>
      </c>
      <c r="H199" s="218" t="s">
        <v>309</v>
      </c>
      <c r="I199" s="223">
        <v>43830</v>
      </c>
      <c r="J199" s="218" t="s">
        <v>2587</v>
      </c>
      <c r="K199" s="218" t="s">
        <v>2630</v>
      </c>
      <c r="L199" s="218" t="s">
        <v>2589</v>
      </c>
      <c r="M199" s="218" t="s">
        <v>2958</v>
      </c>
      <c r="N199" s="218">
        <v>42.53</v>
      </c>
      <c r="O199" s="218" t="s">
        <v>292</v>
      </c>
      <c r="P199" s="218">
        <v>55</v>
      </c>
      <c r="Q199" s="218" t="s">
        <v>752</v>
      </c>
      <c r="R199" s="218" t="s">
        <v>1587</v>
      </c>
      <c r="S199" s="218" t="s">
        <v>396</v>
      </c>
      <c r="T199" s="218" t="s">
        <v>2591</v>
      </c>
      <c r="U199" s="218" t="s">
        <v>740</v>
      </c>
      <c r="V199" s="218" t="s">
        <v>381</v>
      </c>
      <c r="W199" s="218" t="s">
        <v>295</v>
      </c>
      <c r="X199" s="218" t="s">
        <v>379</v>
      </c>
      <c r="Y199" s="218">
        <v>49.93</v>
      </c>
      <c r="Z199" s="218">
        <f t="shared" si="2"/>
        <v>55</v>
      </c>
    </row>
    <row r="200" spans="1:26">
      <c r="A200" s="218" t="s">
        <v>2592</v>
      </c>
      <c r="B200" s="218"/>
      <c r="C200" s="218"/>
      <c r="D200" s="218"/>
      <c r="E200" s="218"/>
      <c r="F200" s="219" t="s">
        <v>2959</v>
      </c>
      <c r="G200" s="218" t="s">
        <v>240</v>
      </c>
      <c r="H200" s="218" t="s">
        <v>309</v>
      </c>
      <c r="I200" s="223">
        <v>43830</v>
      </c>
      <c r="J200" s="218" t="s">
        <v>2587</v>
      </c>
      <c r="K200" s="218" t="s">
        <v>2630</v>
      </c>
      <c r="L200" s="218" t="s">
        <v>2589</v>
      </c>
      <c r="M200" s="218" t="s">
        <v>2960</v>
      </c>
      <c r="N200" s="218">
        <v>111.35</v>
      </c>
      <c r="O200" s="218" t="s">
        <v>292</v>
      </c>
      <c r="P200" s="218">
        <v>144</v>
      </c>
      <c r="Q200" s="218" t="s">
        <v>752</v>
      </c>
      <c r="R200" s="218" t="s">
        <v>1587</v>
      </c>
      <c r="S200" s="218" t="s">
        <v>396</v>
      </c>
      <c r="T200" s="218" t="s">
        <v>2591</v>
      </c>
      <c r="U200" s="218" t="s">
        <v>740</v>
      </c>
      <c r="V200" s="218" t="s">
        <v>381</v>
      </c>
      <c r="W200" s="218" t="s">
        <v>295</v>
      </c>
      <c r="X200" s="218" t="s">
        <v>379</v>
      </c>
      <c r="Y200" s="218">
        <v>130.72</v>
      </c>
      <c r="Z200" s="218">
        <f t="shared" si="2"/>
        <v>144</v>
      </c>
    </row>
    <row r="201" spans="1:26">
      <c r="A201" s="218" t="s">
        <v>2592</v>
      </c>
      <c r="B201" s="218"/>
      <c r="C201" s="218"/>
      <c r="D201" s="218"/>
      <c r="E201" s="218"/>
      <c r="F201" s="219" t="s">
        <v>2961</v>
      </c>
      <c r="G201" s="218" t="s">
        <v>240</v>
      </c>
      <c r="H201" s="218" t="s">
        <v>309</v>
      </c>
      <c r="I201" s="223">
        <v>43830</v>
      </c>
      <c r="J201" s="218" t="s">
        <v>2587</v>
      </c>
      <c r="K201" s="218" t="s">
        <v>2630</v>
      </c>
      <c r="L201" s="218" t="s">
        <v>2589</v>
      </c>
      <c r="M201" s="218" t="s">
        <v>2962</v>
      </c>
      <c r="N201" s="218">
        <v>259.81</v>
      </c>
      <c r="O201" s="218" t="s">
        <v>292</v>
      </c>
      <c r="P201" s="218">
        <v>336</v>
      </c>
      <c r="Q201" s="218" t="s">
        <v>752</v>
      </c>
      <c r="R201" s="218" t="s">
        <v>1587</v>
      </c>
      <c r="S201" s="218" t="s">
        <v>396</v>
      </c>
      <c r="T201" s="218" t="s">
        <v>2591</v>
      </c>
      <c r="U201" s="218" t="s">
        <v>740</v>
      </c>
      <c r="V201" s="218" t="s">
        <v>381</v>
      </c>
      <c r="W201" s="218" t="s">
        <v>295</v>
      </c>
      <c r="X201" s="218" t="s">
        <v>379</v>
      </c>
      <c r="Y201" s="218">
        <v>305.01</v>
      </c>
      <c r="Z201" s="218">
        <f t="shared" si="2"/>
        <v>336</v>
      </c>
    </row>
    <row r="202" spans="1:26">
      <c r="A202" s="218" t="s">
        <v>2592</v>
      </c>
      <c r="B202" s="218"/>
      <c r="C202" s="218"/>
      <c r="D202" s="218"/>
      <c r="E202" s="218"/>
      <c r="F202" s="219" t="s">
        <v>2963</v>
      </c>
      <c r="G202" s="218" t="s">
        <v>240</v>
      </c>
      <c r="H202" s="218" t="s">
        <v>309</v>
      </c>
      <c r="I202" s="223">
        <v>43830</v>
      </c>
      <c r="J202" s="218" t="s">
        <v>2587</v>
      </c>
      <c r="K202" s="218" t="s">
        <v>2664</v>
      </c>
      <c r="L202" s="218" t="s">
        <v>2589</v>
      </c>
      <c r="M202" s="218" t="s">
        <v>2964</v>
      </c>
      <c r="N202" s="218">
        <v>2010.46</v>
      </c>
      <c r="O202" s="218" t="s">
        <v>292</v>
      </c>
      <c r="P202" s="218">
        <v>2600</v>
      </c>
      <c r="Q202" s="218" t="s">
        <v>752</v>
      </c>
      <c r="R202" s="218" t="s">
        <v>1587</v>
      </c>
      <c r="S202" s="218" t="s">
        <v>396</v>
      </c>
      <c r="T202" s="218" t="s">
        <v>2591</v>
      </c>
      <c r="U202" s="218" t="s">
        <v>740</v>
      </c>
      <c r="V202" s="218" t="s">
        <v>381</v>
      </c>
      <c r="W202" s="218" t="s">
        <v>295</v>
      </c>
      <c r="X202" s="218" t="s">
        <v>379</v>
      </c>
      <c r="Y202" s="218">
        <v>2360.2399999999998</v>
      </c>
      <c r="Z202" s="218">
        <f t="shared" ref="Z202:Z240" si="3">P202</f>
        <v>2600</v>
      </c>
    </row>
    <row r="203" spans="1:26">
      <c r="A203" s="218" t="s">
        <v>2592</v>
      </c>
      <c r="B203" s="218"/>
      <c r="C203" s="218"/>
      <c r="D203" s="218"/>
      <c r="E203" s="218"/>
      <c r="F203" s="219" t="s">
        <v>2965</v>
      </c>
      <c r="G203" s="218" t="s">
        <v>240</v>
      </c>
      <c r="H203" s="218" t="s">
        <v>309</v>
      </c>
      <c r="I203" s="223">
        <v>43830</v>
      </c>
      <c r="J203" s="218" t="s">
        <v>2587</v>
      </c>
      <c r="K203" s="218" t="s">
        <v>2856</v>
      </c>
      <c r="L203" s="218" t="s">
        <v>2589</v>
      </c>
      <c r="M203" s="218" t="s">
        <v>2966</v>
      </c>
      <c r="N203" s="218">
        <v>81.19</v>
      </c>
      <c r="O203" s="218" t="s">
        <v>292</v>
      </c>
      <c r="P203" s="218">
        <v>105</v>
      </c>
      <c r="Q203" s="218" t="s">
        <v>752</v>
      </c>
      <c r="R203" s="218" t="s">
        <v>1587</v>
      </c>
      <c r="S203" s="218" t="s">
        <v>396</v>
      </c>
      <c r="T203" s="218" t="s">
        <v>2591</v>
      </c>
      <c r="U203" s="218" t="s">
        <v>740</v>
      </c>
      <c r="V203" s="218" t="s">
        <v>381</v>
      </c>
      <c r="W203" s="218" t="s">
        <v>295</v>
      </c>
      <c r="X203" s="218" t="s">
        <v>379</v>
      </c>
      <c r="Y203" s="218">
        <v>95.32</v>
      </c>
      <c r="Z203" s="218">
        <f t="shared" si="3"/>
        <v>105</v>
      </c>
    </row>
    <row r="204" spans="1:26">
      <c r="A204" s="218" t="s">
        <v>2592</v>
      </c>
      <c r="B204" s="218"/>
      <c r="C204" s="218"/>
      <c r="D204" s="218"/>
      <c r="E204" s="218"/>
      <c r="F204" s="219" t="s">
        <v>2967</v>
      </c>
      <c r="G204" s="218" t="s">
        <v>240</v>
      </c>
      <c r="H204" s="218" t="s">
        <v>309</v>
      </c>
      <c r="I204" s="223">
        <v>43830</v>
      </c>
      <c r="J204" s="218" t="s">
        <v>2587</v>
      </c>
      <c r="K204" s="218" t="s">
        <v>2856</v>
      </c>
      <c r="L204" s="218" t="s">
        <v>2589</v>
      </c>
      <c r="M204" s="218" t="s">
        <v>2968</v>
      </c>
      <c r="N204" s="218">
        <v>324.77</v>
      </c>
      <c r="O204" s="218" t="s">
        <v>292</v>
      </c>
      <c r="P204" s="218">
        <v>420</v>
      </c>
      <c r="Q204" s="218" t="s">
        <v>752</v>
      </c>
      <c r="R204" s="218" t="s">
        <v>1587</v>
      </c>
      <c r="S204" s="218" t="s">
        <v>396</v>
      </c>
      <c r="T204" s="218" t="s">
        <v>2591</v>
      </c>
      <c r="U204" s="218" t="s">
        <v>740</v>
      </c>
      <c r="V204" s="218" t="s">
        <v>381</v>
      </c>
      <c r="W204" s="218" t="s">
        <v>295</v>
      </c>
      <c r="X204" s="218" t="s">
        <v>379</v>
      </c>
      <c r="Y204" s="218">
        <v>381.27</v>
      </c>
      <c r="Z204" s="218">
        <f t="shared" si="3"/>
        <v>420</v>
      </c>
    </row>
    <row r="205" spans="1:26">
      <c r="A205" s="218" t="s">
        <v>2592</v>
      </c>
      <c r="B205" s="218"/>
      <c r="C205" s="218"/>
      <c r="D205" s="218"/>
      <c r="E205" s="218"/>
      <c r="F205" s="219" t="s">
        <v>2969</v>
      </c>
      <c r="G205" s="218" t="s">
        <v>240</v>
      </c>
      <c r="H205" s="218" t="s">
        <v>309</v>
      </c>
      <c r="I205" s="223">
        <v>43830</v>
      </c>
      <c r="J205" s="218" t="s">
        <v>2587</v>
      </c>
      <c r="K205" s="218" t="s">
        <v>2651</v>
      </c>
      <c r="L205" s="218" t="s">
        <v>2589</v>
      </c>
      <c r="M205" s="218" t="s">
        <v>2970</v>
      </c>
      <c r="N205" s="218">
        <v>3.87</v>
      </c>
      <c r="O205" s="218" t="s">
        <v>292</v>
      </c>
      <c r="P205" s="218">
        <v>5</v>
      </c>
      <c r="Q205" s="218" t="s">
        <v>752</v>
      </c>
      <c r="R205" s="218" t="s">
        <v>1587</v>
      </c>
      <c r="S205" s="218" t="s">
        <v>396</v>
      </c>
      <c r="T205" s="218" t="s">
        <v>2591</v>
      </c>
      <c r="U205" s="218" t="s">
        <v>740</v>
      </c>
      <c r="V205" s="218" t="s">
        <v>381</v>
      </c>
      <c r="W205" s="218" t="s">
        <v>295</v>
      </c>
      <c r="X205" s="218" t="s">
        <v>379</v>
      </c>
      <c r="Y205" s="218">
        <v>4.54</v>
      </c>
      <c r="Z205" s="218">
        <f t="shared" si="3"/>
        <v>5</v>
      </c>
    </row>
    <row r="206" spans="1:26">
      <c r="A206" s="218" t="s">
        <v>2592</v>
      </c>
      <c r="B206" s="218"/>
      <c r="C206" s="218"/>
      <c r="D206" s="218"/>
      <c r="E206" s="218"/>
      <c r="F206" s="219" t="s">
        <v>2971</v>
      </c>
      <c r="G206" s="218" t="s">
        <v>240</v>
      </c>
      <c r="H206" s="218" t="s">
        <v>309</v>
      </c>
      <c r="I206" s="223">
        <v>43830</v>
      </c>
      <c r="J206" s="218" t="s">
        <v>2587</v>
      </c>
      <c r="K206" s="218" t="s">
        <v>2622</v>
      </c>
      <c r="L206" s="218" t="s">
        <v>2589</v>
      </c>
      <c r="M206" s="218" t="s">
        <v>2972</v>
      </c>
      <c r="N206" s="218">
        <v>243.57</v>
      </c>
      <c r="O206" s="218" t="s">
        <v>292</v>
      </c>
      <c r="P206" s="218">
        <v>315</v>
      </c>
      <c r="Q206" s="218" t="s">
        <v>752</v>
      </c>
      <c r="R206" s="218" t="s">
        <v>1587</v>
      </c>
      <c r="S206" s="218" t="s">
        <v>396</v>
      </c>
      <c r="T206" s="218" t="s">
        <v>2591</v>
      </c>
      <c r="U206" s="218" t="s">
        <v>740</v>
      </c>
      <c r="V206" s="218" t="s">
        <v>381</v>
      </c>
      <c r="W206" s="218" t="s">
        <v>295</v>
      </c>
      <c r="X206" s="218" t="s">
        <v>379</v>
      </c>
      <c r="Y206" s="218">
        <v>285.95</v>
      </c>
      <c r="Z206" s="218">
        <f t="shared" si="3"/>
        <v>315</v>
      </c>
    </row>
    <row r="207" spans="1:26">
      <c r="A207" s="218" t="s">
        <v>2592</v>
      </c>
      <c r="B207" s="218"/>
      <c r="C207" s="218"/>
      <c r="D207" s="218"/>
      <c r="E207" s="218"/>
      <c r="F207" s="219" t="s">
        <v>2973</v>
      </c>
      <c r="G207" s="218" t="s">
        <v>240</v>
      </c>
      <c r="H207" s="218" t="s">
        <v>309</v>
      </c>
      <c r="I207" s="223">
        <v>43830</v>
      </c>
      <c r="J207" s="218" t="s">
        <v>2587</v>
      </c>
      <c r="K207" s="218" t="s">
        <v>2630</v>
      </c>
      <c r="L207" s="218" t="s">
        <v>2589</v>
      </c>
      <c r="M207" s="218" t="s">
        <v>2974</v>
      </c>
      <c r="N207" s="218">
        <v>12.02</v>
      </c>
      <c r="O207" s="218" t="s">
        <v>292</v>
      </c>
      <c r="P207" s="218">
        <v>15.54</v>
      </c>
      <c r="Q207" s="218" t="s">
        <v>752</v>
      </c>
      <c r="R207" s="218" t="s">
        <v>1587</v>
      </c>
      <c r="S207" s="218" t="s">
        <v>396</v>
      </c>
      <c r="T207" s="218" t="s">
        <v>2591</v>
      </c>
      <c r="U207" s="218" t="s">
        <v>740</v>
      </c>
      <c r="V207" s="218" t="s">
        <v>381</v>
      </c>
      <c r="W207" s="218" t="s">
        <v>295</v>
      </c>
      <c r="X207" s="218" t="s">
        <v>379</v>
      </c>
      <c r="Y207" s="218">
        <v>14.11</v>
      </c>
      <c r="Z207" s="218">
        <f t="shared" si="3"/>
        <v>15.54</v>
      </c>
    </row>
    <row r="208" spans="1:26">
      <c r="A208" s="218" t="s">
        <v>2592</v>
      </c>
      <c r="B208" s="218"/>
      <c r="C208" s="218"/>
      <c r="D208" s="218"/>
      <c r="E208" s="218"/>
      <c r="F208" s="219" t="s">
        <v>2975</v>
      </c>
      <c r="G208" s="218" t="s">
        <v>245</v>
      </c>
      <c r="H208" s="218" t="s">
        <v>309</v>
      </c>
      <c r="I208" s="223">
        <v>43769</v>
      </c>
      <c r="J208" s="218" t="s">
        <v>2976</v>
      </c>
      <c r="K208" s="218" t="s">
        <v>2601</v>
      </c>
      <c r="L208" s="218" t="s">
        <v>2596</v>
      </c>
      <c r="M208" s="218" t="s">
        <v>2977</v>
      </c>
      <c r="N208" s="218">
        <v>2242.17</v>
      </c>
      <c r="O208" s="218" t="s">
        <v>292</v>
      </c>
      <c r="P208" s="218">
        <v>2758.12</v>
      </c>
      <c r="Q208" s="218" t="s">
        <v>385</v>
      </c>
      <c r="R208" s="218" t="s">
        <v>1772</v>
      </c>
      <c r="S208" s="218" t="s">
        <v>396</v>
      </c>
      <c r="T208" s="218" t="s">
        <v>397</v>
      </c>
      <c r="U208" s="218" t="s">
        <v>2591</v>
      </c>
      <c r="V208" s="218" t="s">
        <v>381</v>
      </c>
      <c r="W208" s="218" t="s">
        <v>295</v>
      </c>
      <c r="X208" s="218" t="s">
        <v>379</v>
      </c>
      <c r="Y208" s="218">
        <v>2525.6</v>
      </c>
      <c r="Z208" s="218">
        <f t="shared" si="3"/>
        <v>2758.12</v>
      </c>
    </row>
    <row r="209" spans="1:26">
      <c r="A209" s="218" t="s">
        <v>2592</v>
      </c>
      <c r="B209" s="218"/>
      <c r="C209" s="218"/>
      <c r="D209" s="218"/>
      <c r="E209" s="218"/>
      <c r="F209" s="219" t="s">
        <v>2978</v>
      </c>
      <c r="G209" s="218" t="s">
        <v>245</v>
      </c>
      <c r="H209" s="218" t="s">
        <v>309</v>
      </c>
      <c r="I209" s="223">
        <v>43769</v>
      </c>
      <c r="J209" s="218" t="s">
        <v>2979</v>
      </c>
      <c r="K209" s="218" t="s">
        <v>2601</v>
      </c>
      <c r="L209" s="218" t="s">
        <v>2596</v>
      </c>
      <c r="M209" s="218" t="s">
        <v>2980</v>
      </c>
      <c r="N209" s="218">
        <v>400.22</v>
      </c>
      <c r="O209" s="218" t="s">
        <v>292</v>
      </c>
      <c r="P209" s="218">
        <v>492.31</v>
      </c>
      <c r="Q209" s="218" t="s">
        <v>385</v>
      </c>
      <c r="R209" s="218" t="s">
        <v>1772</v>
      </c>
      <c r="S209" s="218" t="s">
        <v>396</v>
      </c>
      <c r="T209" s="218" t="s">
        <v>397</v>
      </c>
      <c r="U209" s="218" t="s">
        <v>2591</v>
      </c>
      <c r="V209" s="218" t="s">
        <v>381</v>
      </c>
      <c r="W209" s="218" t="s">
        <v>295</v>
      </c>
      <c r="X209" s="218" t="s">
        <v>379</v>
      </c>
      <c r="Y209" s="218">
        <v>450.81</v>
      </c>
      <c r="Z209" s="218">
        <f t="shared" si="3"/>
        <v>492.31</v>
      </c>
    </row>
    <row r="210" spans="1:26">
      <c r="A210" s="218" t="s">
        <v>2592</v>
      </c>
      <c r="B210" s="218"/>
      <c r="C210" s="218"/>
      <c r="D210" s="218"/>
      <c r="E210" s="218"/>
      <c r="F210" s="219" t="s">
        <v>2981</v>
      </c>
      <c r="G210" s="218" t="s">
        <v>245</v>
      </c>
      <c r="H210" s="218" t="s">
        <v>309</v>
      </c>
      <c r="I210" s="223">
        <v>43769</v>
      </c>
      <c r="J210" s="218" t="s">
        <v>2982</v>
      </c>
      <c r="K210" s="218" t="s">
        <v>2601</v>
      </c>
      <c r="L210" s="218" t="s">
        <v>2596</v>
      </c>
      <c r="M210" s="218" t="s">
        <v>2983</v>
      </c>
      <c r="N210" s="218">
        <v>363.81</v>
      </c>
      <c r="O210" s="218" t="s">
        <v>292</v>
      </c>
      <c r="P210" s="218">
        <v>447.53</v>
      </c>
      <c r="Q210" s="218" t="s">
        <v>391</v>
      </c>
      <c r="R210" s="218" t="s">
        <v>1777</v>
      </c>
      <c r="S210" s="218" t="s">
        <v>396</v>
      </c>
      <c r="T210" s="218" t="s">
        <v>397</v>
      </c>
      <c r="U210" s="218" t="s">
        <v>2591</v>
      </c>
      <c r="V210" s="218" t="s">
        <v>381</v>
      </c>
      <c r="W210" s="218" t="s">
        <v>295</v>
      </c>
      <c r="X210" s="218" t="s">
        <v>379</v>
      </c>
      <c r="Y210" s="218">
        <v>409.8</v>
      </c>
      <c r="Z210" s="218">
        <f t="shared" si="3"/>
        <v>447.53</v>
      </c>
    </row>
    <row r="211" spans="1:26">
      <c r="A211" s="218" t="s">
        <v>2592</v>
      </c>
      <c r="B211" s="218"/>
      <c r="C211" s="218"/>
      <c r="D211" s="218"/>
      <c r="E211" s="218"/>
      <c r="F211" s="219" t="s">
        <v>2984</v>
      </c>
      <c r="G211" s="218" t="s">
        <v>245</v>
      </c>
      <c r="H211" s="218" t="s">
        <v>309</v>
      </c>
      <c r="I211" s="223">
        <v>43769</v>
      </c>
      <c r="J211" s="218" t="s">
        <v>2985</v>
      </c>
      <c r="K211" s="218" t="s">
        <v>2601</v>
      </c>
      <c r="L211" s="218" t="s">
        <v>2596</v>
      </c>
      <c r="M211" s="218" t="s">
        <v>2986</v>
      </c>
      <c r="N211" s="218">
        <v>4.04</v>
      </c>
      <c r="O211" s="218" t="s">
        <v>292</v>
      </c>
      <c r="P211" s="218">
        <v>4.97</v>
      </c>
      <c r="Q211" s="218" t="s">
        <v>405</v>
      </c>
      <c r="R211" s="218" t="s">
        <v>1780</v>
      </c>
      <c r="S211" s="218" t="s">
        <v>396</v>
      </c>
      <c r="T211" s="218" t="s">
        <v>397</v>
      </c>
      <c r="U211" s="218" t="s">
        <v>2591</v>
      </c>
      <c r="V211" s="218" t="s">
        <v>381</v>
      </c>
      <c r="W211" s="218" t="s">
        <v>295</v>
      </c>
      <c r="X211" s="218" t="s">
        <v>379</v>
      </c>
      <c r="Y211" s="218">
        <v>4.55</v>
      </c>
      <c r="Z211" s="218">
        <f t="shared" si="3"/>
        <v>4.97</v>
      </c>
    </row>
    <row r="212" spans="1:26">
      <c r="A212" s="218" t="s">
        <v>2592</v>
      </c>
      <c r="B212" s="218"/>
      <c r="C212" s="218"/>
      <c r="D212" s="218"/>
      <c r="E212" s="218"/>
      <c r="F212" s="219" t="s">
        <v>2987</v>
      </c>
      <c r="G212" s="218" t="s">
        <v>245</v>
      </c>
      <c r="H212" s="218" t="s">
        <v>309</v>
      </c>
      <c r="I212" s="223">
        <v>43769</v>
      </c>
      <c r="J212" s="218" t="s">
        <v>2988</v>
      </c>
      <c r="K212" s="218">
        <v>77505</v>
      </c>
      <c r="L212" s="218" t="s">
        <v>2596</v>
      </c>
      <c r="M212" s="218" t="s">
        <v>2989</v>
      </c>
      <c r="N212" s="218">
        <v>60.64</v>
      </c>
      <c r="O212" s="218" t="s">
        <v>292</v>
      </c>
      <c r="P212" s="218">
        <v>74.59</v>
      </c>
      <c r="Q212" s="218" t="s">
        <v>405</v>
      </c>
      <c r="R212" s="218" t="s">
        <v>1780</v>
      </c>
      <c r="S212" s="218" t="s">
        <v>396</v>
      </c>
      <c r="T212" s="218" t="s">
        <v>397</v>
      </c>
      <c r="U212" s="218" t="s">
        <v>2591</v>
      </c>
      <c r="V212" s="218" t="s">
        <v>381</v>
      </c>
      <c r="W212" s="218" t="s">
        <v>295</v>
      </c>
      <c r="X212" s="218" t="s">
        <v>379</v>
      </c>
      <c r="Y212" s="218">
        <v>68.31</v>
      </c>
      <c r="Z212" s="218">
        <f t="shared" si="3"/>
        <v>74.59</v>
      </c>
    </row>
    <row r="213" spans="1:26">
      <c r="A213" s="218" t="s">
        <v>2592</v>
      </c>
      <c r="B213" s="218"/>
      <c r="C213" s="218"/>
      <c r="D213" s="218"/>
      <c r="E213" s="218"/>
      <c r="F213" s="219" t="s">
        <v>2990</v>
      </c>
      <c r="G213" s="218" t="s">
        <v>245</v>
      </c>
      <c r="H213" s="218" t="s">
        <v>309</v>
      </c>
      <c r="I213" s="223">
        <v>43769</v>
      </c>
      <c r="J213" s="218" t="s">
        <v>2991</v>
      </c>
      <c r="K213" s="218" t="s">
        <v>2601</v>
      </c>
      <c r="L213" s="218" t="s">
        <v>2596</v>
      </c>
      <c r="M213" s="218" t="s">
        <v>2992</v>
      </c>
      <c r="N213" s="218">
        <v>4.04</v>
      </c>
      <c r="O213" s="218" t="s">
        <v>292</v>
      </c>
      <c r="P213" s="218">
        <v>4.97</v>
      </c>
      <c r="Q213" s="218" t="s">
        <v>405</v>
      </c>
      <c r="R213" s="218" t="s">
        <v>1780</v>
      </c>
      <c r="S213" s="218" t="s">
        <v>396</v>
      </c>
      <c r="T213" s="218" t="s">
        <v>397</v>
      </c>
      <c r="U213" s="218" t="s">
        <v>2591</v>
      </c>
      <c r="V213" s="218" t="s">
        <v>381</v>
      </c>
      <c r="W213" s="218" t="s">
        <v>295</v>
      </c>
      <c r="X213" s="218" t="s">
        <v>379</v>
      </c>
      <c r="Y213" s="218">
        <v>4.55</v>
      </c>
      <c r="Z213" s="218">
        <f t="shared" si="3"/>
        <v>4.97</v>
      </c>
    </row>
    <row r="214" spans="1:26">
      <c r="A214" s="218" t="s">
        <v>2592</v>
      </c>
      <c r="B214" s="218"/>
      <c r="C214" s="218"/>
      <c r="D214" s="218"/>
      <c r="E214" s="218"/>
      <c r="F214" s="219" t="s">
        <v>2993</v>
      </c>
      <c r="G214" s="218" t="s">
        <v>245</v>
      </c>
      <c r="H214" s="218" t="s">
        <v>309</v>
      </c>
      <c r="I214" s="223">
        <v>43799</v>
      </c>
      <c r="J214" s="218" t="s">
        <v>2994</v>
      </c>
      <c r="K214" s="218" t="s">
        <v>2995</v>
      </c>
      <c r="L214" s="218" t="s">
        <v>2996</v>
      </c>
      <c r="M214" s="218" t="s">
        <v>2997</v>
      </c>
      <c r="N214" s="218">
        <v>2090.17</v>
      </c>
      <c r="O214" s="218" t="s">
        <v>292</v>
      </c>
      <c r="P214" s="218">
        <v>2705.1</v>
      </c>
      <c r="Q214" s="218" t="s">
        <v>385</v>
      </c>
      <c r="R214" s="218" t="s">
        <v>1772</v>
      </c>
      <c r="S214" s="218" t="s">
        <v>396</v>
      </c>
      <c r="T214" s="218" t="s">
        <v>397</v>
      </c>
      <c r="U214" s="218" t="s">
        <v>2591</v>
      </c>
      <c r="V214" s="218" t="s">
        <v>381</v>
      </c>
      <c r="W214" s="218" t="s">
        <v>295</v>
      </c>
      <c r="X214" s="218" t="s">
        <v>379</v>
      </c>
      <c r="Y214" s="218">
        <v>2424.79</v>
      </c>
      <c r="Z214" s="218">
        <f t="shared" si="3"/>
        <v>2705.1</v>
      </c>
    </row>
    <row r="215" spans="1:26">
      <c r="A215" s="218" t="s">
        <v>2592</v>
      </c>
      <c r="B215" s="218"/>
      <c r="C215" s="218"/>
      <c r="D215" s="218"/>
      <c r="E215" s="218"/>
      <c r="F215" s="219" t="s">
        <v>2998</v>
      </c>
      <c r="G215" s="218" t="s">
        <v>245</v>
      </c>
      <c r="H215" s="218" t="s">
        <v>309</v>
      </c>
      <c r="I215" s="223">
        <v>43799</v>
      </c>
      <c r="J215" s="218" t="s">
        <v>2999</v>
      </c>
      <c r="K215" s="218" t="s">
        <v>3000</v>
      </c>
      <c r="L215" s="218" t="s">
        <v>2996</v>
      </c>
      <c r="M215" s="218" t="s">
        <v>3001</v>
      </c>
      <c r="N215" s="218">
        <v>365.72</v>
      </c>
      <c r="O215" s="218" t="s">
        <v>292</v>
      </c>
      <c r="P215" s="218">
        <v>473.33</v>
      </c>
      <c r="Q215" s="218" t="s">
        <v>385</v>
      </c>
      <c r="R215" s="218" t="s">
        <v>1772</v>
      </c>
      <c r="S215" s="218" t="s">
        <v>396</v>
      </c>
      <c r="T215" s="218" t="s">
        <v>397</v>
      </c>
      <c r="U215" s="218" t="s">
        <v>2591</v>
      </c>
      <c r="V215" s="218" t="s">
        <v>381</v>
      </c>
      <c r="W215" s="218" t="s">
        <v>295</v>
      </c>
      <c r="X215" s="218" t="s">
        <v>379</v>
      </c>
      <c r="Y215" s="218">
        <v>424.27</v>
      </c>
      <c r="Z215" s="218">
        <f t="shared" si="3"/>
        <v>473.33</v>
      </c>
    </row>
    <row r="216" spans="1:26">
      <c r="A216" s="218" t="s">
        <v>2592</v>
      </c>
      <c r="B216" s="218"/>
      <c r="C216" s="218"/>
      <c r="D216" s="218"/>
      <c r="E216" s="218"/>
      <c r="F216" s="219" t="s">
        <v>3002</v>
      </c>
      <c r="G216" s="218" t="s">
        <v>245</v>
      </c>
      <c r="H216" s="218" t="s">
        <v>309</v>
      </c>
      <c r="I216" s="223">
        <v>43799</v>
      </c>
      <c r="J216" s="218" t="s">
        <v>3003</v>
      </c>
      <c r="K216" s="218" t="s">
        <v>3004</v>
      </c>
      <c r="L216" s="218" t="s">
        <v>2996</v>
      </c>
      <c r="M216" s="218" t="s">
        <v>3005</v>
      </c>
      <c r="N216" s="218">
        <v>345.79</v>
      </c>
      <c r="O216" s="218" t="s">
        <v>292</v>
      </c>
      <c r="P216" s="218">
        <v>447.53</v>
      </c>
      <c r="Q216" s="218" t="s">
        <v>391</v>
      </c>
      <c r="R216" s="218" t="s">
        <v>1777</v>
      </c>
      <c r="S216" s="218" t="s">
        <v>396</v>
      </c>
      <c r="T216" s="218" t="s">
        <v>397</v>
      </c>
      <c r="U216" s="218" t="s">
        <v>2591</v>
      </c>
      <c r="V216" s="218" t="s">
        <v>381</v>
      </c>
      <c r="W216" s="218" t="s">
        <v>295</v>
      </c>
      <c r="X216" s="218" t="s">
        <v>379</v>
      </c>
      <c r="Y216" s="218">
        <v>401.15</v>
      </c>
      <c r="Z216" s="218">
        <f t="shared" si="3"/>
        <v>447.53</v>
      </c>
    </row>
    <row r="217" spans="1:26">
      <c r="A217" s="218" t="s">
        <v>2592</v>
      </c>
      <c r="B217" s="218"/>
      <c r="C217" s="218"/>
      <c r="D217" s="218"/>
      <c r="E217" s="218"/>
      <c r="F217" s="219" t="s">
        <v>3006</v>
      </c>
      <c r="G217" s="218" t="s">
        <v>245</v>
      </c>
      <c r="H217" s="218" t="s">
        <v>309</v>
      </c>
      <c r="I217" s="223">
        <v>43799</v>
      </c>
      <c r="J217" s="218" t="s">
        <v>3007</v>
      </c>
      <c r="K217" s="218" t="s">
        <v>3008</v>
      </c>
      <c r="L217" s="218" t="s">
        <v>2996</v>
      </c>
      <c r="M217" s="218" t="s">
        <v>3009</v>
      </c>
      <c r="N217" s="218">
        <v>57.63</v>
      </c>
      <c r="O217" s="218" t="s">
        <v>292</v>
      </c>
      <c r="P217" s="218">
        <v>74.59</v>
      </c>
      <c r="Q217" s="218" t="s">
        <v>405</v>
      </c>
      <c r="R217" s="218" t="s">
        <v>1780</v>
      </c>
      <c r="S217" s="218" t="s">
        <v>396</v>
      </c>
      <c r="T217" s="218" t="s">
        <v>397</v>
      </c>
      <c r="U217" s="218" t="s">
        <v>2591</v>
      </c>
      <c r="V217" s="218" t="s">
        <v>381</v>
      </c>
      <c r="W217" s="218" t="s">
        <v>295</v>
      </c>
      <c r="X217" s="218" t="s">
        <v>379</v>
      </c>
      <c r="Y217" s="218">
        <v>66.86</v>
      </c>
      <c r="Z217" s="218">
        <f t="shared" si="3"/>
        <v>74.59</v>
      </c>
    </row>
    <row r="218" spans="1:26">
      <c r="A218" s="218" t="s">
        <v>2592</v>
      </c>
      <c r="B218" s="218"/>
      <c r="C218" s="218"/>
      <c r="D218" s="218"/>
      <c r="E218" s="218"/>
      <c r="F218" s="219" t="s">
        <v>3010</v>
      </c>
      <c r="G218" s="218" t="s">
        <v>245</v>
      </c>
      <c r="H218" s="218" t="s">
        <v>309</v>
      </c>
      <c r="I218" s="223">
        <v>43830</v>
      </c>
      <c r="J218" s="218" t="s">
        <v>3011</v>
      </c>
      <c r="K218" s="218" t="s">
        <v>3012</v>
      </c>
      <c r="L218" s="218" t="s">
        <v>2704</v>
      </c>
      <c r="M218" s="218" t="s">
        <v>399</v>
      </c>
      <c r="N218" s="218">
        <v>2111.2800000000002</v>
      </c>
      <c r="O218" s="218" t="s">
        <v>292</v>
      </c>
      <c r="P218" s="218">
        <v>2730.39</v>
      </c>
      <c r="Q218" s="218" t="s">
        <v>385</v>
      </c>
      <c r="R218" s="218" t="s">
        <v>1772</v>
      </c>
      <c r="S218" s="218" t="s">
        <v>396</v>
      </c>
      <c r="T218" s="218" t="s">
        <v>397</v>
      </c>
      <c r="U218" s="218" t="s">
        <v>2591</v>
      </c>
      <c r="V218" s="218" t="s">
        <v>381</v>
      </c>
      <c r="W218" s="218" t="s">
        <v>295</v>
      </c>
      <c r="X218" s="218" t="s">
        <v>379</v>
      </c>
      <c r="Y218" s="218">
        <v>2478.6</v>
      </c>
      <c r="Z218" s="218">
        <f t="shared" si="3"/>
        <v>2730.39</v>
      </c>
    </row>
    <row r="219" spans="1:26">
      <c r="A219" s="218" t="s">
        <v>2592</v>
      </c>
      <c r="B219" s="218"/>
      <c r="C219" s="218"/>
      <c r="D219" s="218"/>
      <c r="E219" s="218"/>
      <c r="F219" s="219" t="s">
        <v>3013</v>
      </c>
      <c r="G219" s="218" t="s">
        <v>245</v>
      </c>
      <c r="H219" s="218" t="s">
        <v>309</v>
      </c>
      <c r="I219" s="223">
        <v>43830</v>
      </c>
      <c r="J219" s="218" t="s">
        <v>3014</v>
      </c>
      <c r="K219" s="218" t="s">
        <v>3000</v>
      </c>
      <c r="L219" s="218" t="s">
        <v>2704</v>
      </c>
      <c r="M219" s="218" t="s">
        <v>399</v>
      </c>
      <c r="N219" s="218">
        <v>372.74</v>
      </c>
      <c r="O219" s="218" t="s">
        <v>292</v>
      </c>
      <c r="P219" s="218">
        <v>482.04</v>
      </c>
      <c r="Q219" s="218" t="s">
        <v>385</v>
      </c>
      <c r="R219" s="218" t="s">
        <v>1772</v>
      </c>
      <c r="S219" s="218" t="s">
        <v>396</v>
      </c>
      <c r="T219" s="218" t="s">
        <v>397</v>
      </c>
      <c r="U219" s="218" t="s">
        <v>2591</v>
      </c>
      <c r="V219" s="218" t="s">
        <v>381</v>
      </c>
      <c r="W219" s="218" t="s">
        <v>295</v>
      </c>
      <c r="X219" s="218" t="s">
        <v>379</v>
      </c>
      <c r="Y219" s="218">
        <v>437.59</v>
      </c>
      <c r="Z219" s="218">
        <f t="shared" si="3"/>
        <v>482.04</v>
      </c>
    </row>
    <row r="220" spans="1:26">
      <c r="A220" s="218" t="s">
        <v>2592</v>
      </c>
      <c r="B220" s="218"/>
      <c r="C220" s="218"/>
      <c r="D220" s="218"/>
      <c r="E220" s="218"/>
      <c r="F220" s="219" t="s">
        <v>3015</v>
      </c>
      <c r="G220" s="218" t="s">
        <v>245</v>
      </c>
      <c r="H220" s="218" t="s">
        <v>309</v>
      </c>
      <c r="I220" s="223">
        <v>43830</v>
      </c>
      <c r="J220" s="218" t="s">
        <v>3016</v>
      </c>
      <c r="K220" s="218" t="s">
        <v>3004</v>
      </c>
      <c r="L220" s="218" t="s">
        <v>2704</v>
      </c>
      <c r="M220" s="218" t="s">
        <v>399</v>
      </c>
      <c r="N220" s="218">
        <v>346.05</v>
      </c>
      <c r="O220" s="218" t="s">
        <v>292</v>
      </c>
      <c r="P220" s="218">
        <v>447.53</v>
      </c>
      <c r="Q220" s="218" t="s">
        <v>391</v>
      </c>
      <c r="R220" s="218" t="s">
        <v>1777</v>
      </c>
      <c r="S220" s="218" t="s">
        <v>396</v>
      </c>
      <c r="T220" s="218" t="s">
        <v>397</v>
      </c>
      <c r="U220" s="218" t="s">
        <v>2591</v>
      </c>
      <c r="V220" s="218" t="s">
        <v>381</v>
      </c>
      <c r="W220" s="218" t="s">
        <v>295</v>
      </c>
      <c r="X220" s="218" t="s">
        <v>379</v>
      </c>
      <c r="Y220" s="218">
        <v>406.26</v>
      </c>
      <c r="Z220" s="218">
        <f t="shared" si="3"/>
        <v>447.53</v>
      </c>
    </row>
    <row r="221" spans="1:26">
      <c r="A221" s="218" t="s">
        <v>2592</v>
      </c>
      <c r="B221" s="218"/>
      <c r="C221" s="218"/>
      <c r="D221" s="218"/>
      <c r="E221" s="218"/>
      <c r="F221" s="219" t="s">
        <v>3017</v>
      </c>
      <c r="G221" s="218" t="s">
        <v>245</v>
      </c>
      <c r="H221" s="218" t="s">
        <v>309</v>
      </c>
      <c r="I221" s="223">
        <v>43830</v>
      </c>
      <c r="J221" s="218" t="s">
        <v>3018</v>
      </c>
      <c r="K221" s="218" t="s">
        <v>3008</v>
      </c>
      <c r="L221" s="218" t="s">
        <v>2704</v>
      </c>
      <c r="M221" s="218" t="s">
        <v>3019</v>
      </c>
      <c r="N221" s="218">
        <v>57.68</v>
      </c>
      <c r="O221" s="218" t="s">
        <v>292</v>
      </c>
      <c r="P221" s="218">
        <v>74.59</v>
      </c>
      <c r="Q221" s="218" t="s">
        <v>405</v>
      </c>
      <c r="R221" s="218" t="s">
        <v>1780</v>
      </c>
      <c r="S221" s="218" t="s">
        <v>396</v>
      </c>
      <c r="T221" s="218" t="s">
        <v>397</v>
      </c>
      <c r="U221" s="218" t="s">
        <v>2591</v>
      </c>
      <c r="V221" s="218" t="s">
        <v>381</v>
      </c>
      <c r="W221" s="218" t="s">
        <v>295</v>
      </c>
      <c r="X221" s="218" t="s">
        <v>379</v>
      </c>
      <c r="Y221" s="218">
        <v>67.72</v>
      </c>
      <c r="Z221" s="218">
        <f t="shared" si="3"/>
        <v>74.59</v>
      </c>
    </row>
    <row r="222" spans="1:26">
      <c r="A222" s="218" t="s">
        <v>2592</v>
      </c>
      <c r="B222" s="218"/>
      <c r="C222" s="218"/>
      <c r="D222" s="218"/>
      <c r="E222" s="218"/>
      <c r="F222" s="219" t="s">
        <v>3020</v>
      </c>
      <c r="G222" s="218" t="s">
        <v>245</v>
      </c>
      <c r="H222" s="218" t="s">
        <v>309</v>
      </c>
      <c r="I222" s="223">
        <v>43830</v>
      </c>
      <c r="J222" s="218" t="s">
        <v>3021</v>
      </c>
      <c r="K222" s="218" t="s">
        <v>3022</v>
      </c>
      <c r="L222" s="218" t="s">
        <v>2704</v>
      </c>
      <c r="M222" s="218" t="s">
        <v>3023</v>
      </c>
      <c r="N222" s="218">
        <v>1731.49</v>
      </c>
      <c r="O222" s="218" t="s">
        <v>292</v>
      </c>
      <c r="P222" s="218">
        <v>2239.23</v>
      </c>
      <c r="Q222" s="218" t="s">
        <v>385</v>
      </c>
      <c r="R222" s="218" t="s">
        <v>1772</v>
      </c>
      <c r="S222" s="218" t="s">
        <v>396</v>
      </c>
      <c r="T222" s="218" t="s">
        <v>397</v>
      </c>
      <c r="U222" s="218" t="s">
        <v>2591</v>
      </c>
      <c r="V222" s="218" t="s">
        <v>381</v>
      </c>
      <c r="W222" s="218" t="s">
        <v>295</v>
      </c>
      <c r="X222" s="218" t="s">
        <v>379</v>
      </c>
      <c r="Y222" s="218">
        <v>2032.73</v>
      </c>
      <c r="Z222" s="218">
        <f t="shared" si="3"/>
        <v>2239.23</v>
      </c>
    </row>
    <row r="223" spans="1:26">
      <c r="A223" s="218" t="s">
        <v>2592</v>
      </c>
      <c r="B223" s="218"/>
      <c r="C223" s="218"/>
      <c r="D223" s="218"/>
      <c r="E223" s="218"/>
      <c r="F223" s="219" t="s">
        <v>3024</v>
      </c>
      <c r="G223" s="218" t="s">
        <v>245</v>
      </c>
      <c r="H223" s="218" t="s">
        <v>309</v>
      </c>
      <c r="I223" s="223">
        <v>43830</v>
      </c>
      <c r="J223" s="218" t="s">
        <v>3025</v>
      </c>
      <c r="K223" s="218" t="s">
        <v>3026</v>
      </c>
      <c r="L223" s="218" t="s">
        <v>2704</v>
      </c>
      <c r="M223" s="218" t="s">
        <v>3027</v>
      </c>
      <c r="N223" s="218">
        <v>510.09</v>
      </c>
      <c r="O223" s="218" t="s">
        <v>292</v>
      </c>
      <c r="P223" s="218">
        <v>659.67</v>
      </c>
      <c r="Q223" s="218" t="s">
        <v>385</v>
      </c>
      <c r="R223" s="218" t="s">
        <v>1772</v>
      </c>
      <c r="S223" s="218" t="s">
        <v>396</v>
      </c>
      <c r="T223" s="218" t="s">
        <v>397</v>
      </c>
      <c r="U223" s="218" t="s">
        <v>2591</v>
      </c>
      <c r="V223" s="218" t="s">
        <v>381</v>
      </c>
      <c r="W223" s="218" t="s">
        <v>295</v>
      </c>
      <c r="X223" s="218" t="s">
        <v>379</v>
      </c>
      <c r="Y223" s="218">
        <v>598.84</v>
      </c>
      <c r="Z223" s="218">
        <f t="shared" si="3"/>
        <v>659.67</v>
      </c>
    </row>
    <row r="224" spans="1:26">
      <c r="A224" s="218" t="s">
        <v>2592</v>
      </c>
      <c r="B224" s="218"/>
      <c r="C224" s="218"/>
      <c r="D224" s="218"/>
      <c r="E224" s="218"/>
      <c r="F224" s="219" t="s">
        <v>3028</v>
      </c>
      <c r="G224" s="218" t="s">
        <v>245</v>
      </c>
      <c r="H224" s="218" t="s">
        <v>309</v>
      </c>
      <c r="I224" s="223">
        <v>43830</v>
      </c>
      <c r="J224" s="218" t="s">
        <v>3029</v>
      </c>
      <c r="K224" s="218" t="s">
        <v>3030</v>
      </c>
      <c r="L224" s="218" t="s">
        <v>2704</v>
      </c>
      <c r="M224" s="218" t="s">
        <v>3031</v>
      </c>
      <c r="N224" s="218">
        <v>317.20999999999998</v>
      </c>
      <c r="O224" s="218" t="s">
        <v>292</v>
      </c>
      <c r="P224" s="218">
        <v>410.23</v>
      </c>
      <c r="Q224" s="218" t="s">
        <v>391</v>
      </c>
      <c r="R224" s="218" t="s">
        <v>1777</v>
      </c>
      <c r="S224" s="218" t="s">
        <v>396</v>
      </c>
      <c r="T224" s="218" t="s">
        <v>397</v>
      </c>
      <c r="U224" s="218" t="s">
        <v>2591</v>
      </c>
      <c r="V224" s="218" t="s">
        <v>381</v>
      </c>
      <c r="W224" s="218" t="s">
        <v>295</v>
      </c>
      <c r="X224" s="218" t="s">
        <v>379</v>
      </c>
      <c r="Y224" s="218">
        <v>372.4</v>
      </c>
      <c r="Z224" s="218">
        <f t="shared" si="3"/>
        <v>410.23</v>
      </c>
    </row>
    <row r="225" spans="1:26">
      <c r="A225" s="218" t="s">
        <v>2592</v>
      </c>
      <c r="B225" s="218"/>
      <c r="C225" s="218"/>
      <c r="D225" s="218"/>
      <c r="E225" s="218"/>
      <c r="F225" s="219" t="s">
        <v>3032</v>
      </c>
      <c r="G225" s="218" t="s">
        <v>245</v>
      </c>
      <c r="H225" s="218" t="s">
        <v>309</v>
      </c>
      <c r="I225" s="223">
        <v>43830</v>
      </c>
      <c r="J225" s="218" t="s">
        <v>3033</v>
      </c>
      <c r="K225" s="218" t="s">
        <v>3034</v>
      </c>
      <c r="L225" s="218" t="s">
        <v>2704</v>
      </c>
      <c r="M225" s="218" t="s">
        <v>3035</v>
      </c>
      <c r="N225" s="218">
        <v>52.87</v>
      </c>
      <c r="O225" s="218" t="s">
        <v>292</v>
      </c>
      <c r="P225" s="218">
        <v>68.37</v>
      </c>
      <c r="Q225" s="218" t="s">
        <v>3036</v>
      </c>
      <c r="R225" s="218" t="s">
        <v>3037</v>
      </c>
      <c r="S225" s="218" t="s">
        <v>396</v>
      </c>
      <c r="T225" s="218" t="s">
        <v>397</v>
      </c>
      <c r="U225" s="218" t="s">
        <v>2591</v>
      </c>
      <c r="V225" s="218" t="s">
        <v>381</v>
      </c>
      <c r="W225" s="218" t="s">
        <v>295</v>
      </c>
      <c r="X225" s="218" t="s">
        <v>379</v>
      </c>
      <c r="Y225" s="218">
        <v>62.07</v>
      </c>
      <c r="Z225" s="218">
        <f t="shared" si="3"/>
        <v>68.37</v>
      </c>
    </row>
    <row r="226" spans="1:26">
      <c r="A226" s="218" t="s">
        <v>2592</v>
      </c>
      <c r="B226" s="218"/>
      <c r="C226" s="218"/>
      <c r="D226" s="218"/>
      <c r="E226" s="218"/>
      <c r="F226" s="219" t="s">
        <v>3038</v>
      </c>
      <c r="G226" s="218" t="s">
        <v>245</v>
      </c>
      <c r="H226" s="218" t="s">
        <v>309</v>
      </c>
      <c r="I226" s="223">
        <v>43830</v>
      </c>
      <c r="J226" s="218" t="s">
        <v>3039</v>
      </c>
      <c r="K226" s="218" t="s">
        <v>3040</v>
      </c>
      <c r="L226" s="218" t="s">
        <v>2704</v>
      </c>
      <c r="M226" s="218" t="s">
        <v>413</v>
      </c>
      <c r="N226" s="218">
        <v>3.84</v>
      </c>
      <c r="O226" s="218" t="s">
        <v>292</v>
      </c>
      <c r="P226" s="218">
        <v>4.97</v>
      </c>
      <c r="Q226" s="218" t="s">
        <v>385</v>
      </c>
      <c r="R226" s="218" t="s">
        <v>1772</v>
      </c>
      <c r="S226" s="218" t="s">
        <v>396</v>
      </c>
      <c r="T226" s="218" t="s">
        <v>397</v>
      </c>
      <c r="U226" s="218" t="s">
        <v>2591</v>
      </c>
      <c r="V226" s="218" t="s">
        <v>381</v>
      </c>
      <c r="W226" s="218" t="s">
        <v>295</v>
      </c>
      <c r="X226" s="218" t="s">
        <v>379</v>
      </c>
      <c r="Y226" s="218">
        <v>4.51</v>
      </c>
      <c r="Z226" s="218">
        <f t="shared" si="3"/>
        <v>4.97</v>
      </c>
    </row>
    <row r="227" spans="1:26">
      <c r="A227" s="218" t="s">
        <v>2592</v>
      </c>
      <c r="B227" s="218"/>
      <c r="C227" s="218"/>
      <c r="D227" s="218"/>
      <c r="E227" s="218"/>
      <c r="F227" s="219" t="s">
        <v>3041</v>
      </c>
      <c r="G227" s="218" t="s">
        <v>245</v>
      </c>
      <c r="H227" s="218" t="s">
        <v>309</v>
      </c>
      <c r="I227" s="223">
        <v>43830</v>
      </c>
      <c r="J227" s="218" t="s">
        <v>3039</v>
      </c>
      <c r="K227" s="218" t="s">
        <v>3040</v>
      </c>
      <c r="L227" s="218" t="s">
        <v>2704</v>
      </c>
      <c r="M227" s="218" t="s">
        <v>413</v>
      </c>
      <c r="N227" s="218">
        <v>3.53</v>
      </c>
      <c r="O227" s="218" t="s">
        <v>292</v>
      </c>
      <c r="P227" s="218">
        <v>4.5599999999999996</v>
      </c>
      <c r="Q227" s="218" t="s">
        <v>385</v>
      </c>
      <c r="R227" s="218" t="s">
        <v>1772</v>
      </c>
      <c r="S227" s="218" t="s">
        <v>396</v>
      </c>
      <c r="T227" s="218" t="s">
        <v>397</v>
      </c>
      <c r="U227" s="218" t="s">
        <v>2591</v>
      </c>
      <c r="V227" s="218" t="s">
        <v>381</v>
      </c>
      <c r="W227" s="218" t="s">
        <v>295</v>
      </c>
      <c r="X227" s="218" t="s">
        <v>379</v>
      </c>
      <c r="Y227" s="218">
        <v>4.1399999999999997</v>
      </c>
      <c r="Z227" s="218">
        <f t="shared" si="3"/>
        <v>4.5599999999999996</v>
      </c>
    </row>
    <row r="228" spans="1:26">
      <c r="A228" s="218" t="s">
        <v>2592</v>
      </c>
      <c r="B228" s="218"/>
      <c r="C228" s="218"/>
      <c r="D228" s="218"/>
      <c r="E228" s="218"/>
      <c r="F228" s="219" t="s">
        <v>3042</v>
      </c>
      <c r="G228" s="218" t="s">
        <v>245</v>
      </c>
      <c r="H228" s="218" t="s">
        <v>309</v>
      </c>
      <c r="I228" s="223">
        <v>43830</v>
      </c>
      <c r="J228" s="218" t="s">
        <v>3043</v>
      </c>
      <c r="K228" s="218" t="s">
        <v>3040</v>
      </c>
      <c r="L228" s="218" t="s">
        <v>2704</v>
      </c>
      <c r="M228" s="218" t="s">
        <v>3044</v>
      </c>
      <c r="N228" s="218">
        <v>3.84</v>
      </c>
      <c r="O228" s="218" t="s">
        <v>292</v>
      </c>
      <c r="P228" s="218">
        <v>4.97</v>
      </c>
      <c r="Q228" s="218" t="s">
        <v>405</v>
      </c>
      <c r="R228" s="218" t="s">
        <v>1780</v>
      </c>
      <c r="S228" s="218" t="s">
        <v>396</v>
      </c>
      <c r="T228" s="218" t="s">
        <v>501</v>
      </c>
      <c r="U228" s="218" t="s">
        <v>2591</v>
      </c>
      <c r="V228" s="218" t="s">
        <v>381</v>
      </c>
      <c r="W228" s="218" t="s">
        <v>295</v>
      </c>
      <c r="X228" s="218" t="s">
        <v>379</v>
      </c>
      <c r="Y228" s="218">
        <v>4.51</v>
      </c>
      <c r="Z228" s="218">
        <f t="shared" si="3"/>
        <v>4.97</v>
      </c>
    </row>
    <row r="229" spans="1:26">
      <c r="A229" s="218" t="s">
        <v>2592</v>
      </c>
      <c r="B229" s="218"/>
      <c r="C229" s="218"/>
      <c r="D229" s="218"/>
      <c r="E229" s="218"/>
      <c r="F229" s="219" t="s">
        <v>3045</v>
      </c>
      <c r="G229" s="218" t="s">
        <v>246</v>
      </c>
      <c r="H229" s="218" t="s">
        <v>309</v>
      </c>
      <c r="I229" s="223">
        <v>43769</v>
      </c>
      <c r="J229" s="218" t="s">
        <v>2600</v>
      </c>
      <c r="K229" s="218" t="s">
        <v>2601</v>
      </c>
      <c r="L229" s="218" t="s">
        <v>2596</v>
      </c>
      <c r="M229" s="218" t="s">
        <v>3046</v>
      </c>
      <c r="N229" s="218">
        <v>181.45</v>
      </c>
      <c r="O229" s="218" t="s">
        <v>292</v>
      </c>
      <c r="P229" s="218">
        <v>223.2</v>
      </c>
      <c r="Q229" s="218" t="s">
        <v>640</v>
      </c>
      <c r="R229" s="218" t="s">
        <v>1580</v>
      </c>
      <c r="S229" s="218" t="s">
        <v>396</v>
      </c>
      <c r="T229" s="218" t="s">
        <v>2591</v>
      </c>
      <c r="U229" s="218" t="s">
        <v>2591</v>
      </c>
      <c r="V229" s="218" t="s">
        <v>381</v>
      </c>
      <c r="W229" s="218" t="s">
        <v>295</v>
      </c>
      <c r="X229" s="218" t="s">
        <v>379</v>
      </c>
      <c r="Y229" s="218">
        <v>204.39</v>
      </c>
      <c r="Z229" s="218">
        <f t="shared" si="3"/>
        <v>223.2</v>
      </c>
    </row>
    <row r="230" spans="1:26">
      <c r="A230" s="218" t="s">
        <v>2592</v>
      </c>
      <c r="B230" s="218"/>
      <c r="C230" s="218"/>
      <c r="D230" s="218"/>
      <c r="E230" s="218"/>
      <c r="F230" s="219" t="s">
        <v>3047</v>
      </c>
      <c r="G230" s="218" t="s">
        <v>246</v>
      </c>
      <c r="H230" s="218" t="s">
        <v>309</v>
      </c>
      <c r="I230" s="223">
        <v>43769</v>
      </c>
      <c r="J230" s="218" t="s">
        <v>2600</v>
      </c>
      <c r="K230" s="218" t="s">
        <v>2601</v>
      </c>
      <c r="L230" s="218" t="s">
        <v>2596</v>
      </c>
      <c r="M230" s="218" t="s">
        <v>3048</v>
      </c>
      <c r="N230" s="218">
        <v>362.89</v>
      </c>
      <c r="O230" s="218" t="s">
        <v>292</v>
      </c>
      <c r="P230" s="218">
        <v>446.4</v>
      </c>
      <c r="Q230" s="218" t="s">
        <v>640</v>
      </c>
      <c r="R230" s="218" t="s">
        <v>1580</v>
      </c>
      <c r="S230" s="218" t="s">
        <v>396</v>
      </c>
      <c r="T230" s="218" t="s">
        <v>2591</v>
      </c>
      <c r="U230" s="218" t="s">
        <v>2591</v>
      </c>
      <c r="V230" s="218" t="s">
        <v>381</v>
      </c>
      <c r="W230" s="218" t="s">
        <v>295</v>
      </c>
      <c r="X230" s="218" t="s">
        <v>379</v>
      </c>
      <c r="Y230" s="218">
        <v>408.76</v>
      </c>
      <c r="Z230" s="218">
        <f t="shared" si="3"/>
        <v>446.4</v>
      </c>
    </row>
    <row r="231" spans="1:26">
      <c r="A231" s="218" t="s">
        <v>2592</v>
      </c>
      <c r="B231" s="218"/>
      <c r="C231" s="218"/>
      <c r="D231" s="218"/>
      <c r="E231" s="218"/>
      <c r="F231" s="219" t="s">
        <v>3049</v>
      </c>
      <c r="G231" s="218" t="s">
        <v>246</v>
      </c>
      <c r="H231" s="218" t="s">
        <v>309</v>
      </c>
      <c r="I231" s="223">
        <v>43769</v>
      </c>
      <c r="J231" s="218" t="s">
        <v>2604</v>
      </c>
      <c r="K231" s="218" t="s">
        <v>2601</v>
      </c>
      <c r="L231" s="218" t="s">
        <v>2596</v>
      </c>
      <c r="M231" s="218" t="s">
        <v>3050</v>
      </c>
      <c r="N231" s="218">
        <v>143.65</v>
      </c>
      <c r="O231" s="218" t="s">
        <v>292</v>
      </c>
      <c r="P231" s="218">
        <v>176.7</v>
      </c>
      <c r="Q231" s="218" t="s">
        <v>640</v>
      </c>
      <c r="R231" s="218" t="s">
        <v>1580</v>
      </c>
      <c r="S231" s="218" t="s">
        <v>396</v>
      </c>
      <c r="T231" s="218" t="s">
        <v>2591</v>
      </c>
      <c r="U231" s="218" t="s">
        <v>2591</v>
      </c>
      <c r="V231" s="218" t="s">
        <v>381</v>
      </c>
      <c r="W231" s="218" t="s">
        <v>295</v>
      </c>
      <c r="X231" s="218" t="s">
        <v>379</v>
      </c>
      <c r="Y231" s="218">
        <v>161.81</v>
      </c>
      <c r="Z231" s="218">
        <f t="shared" si="3"/>
        <v>176.7</v>
      </c>
    </row>
    <row r="232" spans="1:26">
      <c r="A232" s="218" t="s">
        <v>2592</v>
      </c>
      <c r="B232" s="218"/>
      <c r="C232" s="218"/>
      <c r="D232" s="218"/>
      <c r="E232" s="218"/>
      <c r="F232" s="219" t="s">
        <v>3051</v>
      </c>
      <c r="G232" s="218" t="s">
        <v>246</v>
      </c>
      <c r="H232" s="218" t="s">
        <v>309</v>
      </c>
      <c r="I232" s="223">
        <v>43769</v>
      </c>
      <c r="J232" s="218" t="s">
        <v>2604</v>
      </c>
      <c r="K232" s="218" t="s">
        <v>2601</v>
      </c>
      <c r="L232" s="218" t="s">
        <v>2596</v>
      </c>
      <c r="M232" s="218" t="s">
        <v>3052</v>
      </c>
      <c r="N232" s="218">
        <v>287.29000000000002</v>
      </c>
      <c r="O232" s="218" t="s">
        <v>292</v>
      </c>
      <c r="P232" s="218">
        <v>353.4</v>
      </c>
      <c r="Q232" s="218" t="s">
        <v>640</v>
      </c>
      <c r="R232" s="218" t="s">
        <v>1580</v>
      </c>
      <c r="S232" s="218" t="s">
        <v>396</v>
      </c>
      <c r="T232" s="218" t="s">
        <v>2591</v>
      </c>
      <c r="U232" s="218" t="s">
        <v>2591</v>
      </c>
      <c r="V232" s="218" t="s">
        <v>381</v>
      </c>
      <c r="W232" s="218" t="s">
        <v>295</v>
      </c>
      <c r="X232" s="218" t="s">
        <v>379</v>
      </c>
      <c r="Y232" s="218">
        <v>323.61</v>
      </c>
      <c r="Z232" s="218">
        <f t="shared" si="3"/>
        <v>353.4</v>
      </c>
    </row>
    <row r="233" spans="1:26">
      <c r="A233" s="218" t="s">
        <v>2592</v>
      </c>
      <c r="B233" s="218"/>
      <c r="C233" s="218"/>
      <c r="D233" s="218"/>
      <c r="E233" s="218"/>
      <c r="F233" s="219" t="s">
        <v>3053</v>
      </c>
      <c r="G233" s="218" t="s">
        <v>246</v>
      </c>
      <c r="H233" s="218" t="s">
        <v>309</v>
      </c>
      <c r="I233" s="223">
        <v>43769</v>
      </c>
      <c r="J233" s="218" t="s">
        <v>3054</v>
      </c>
      <c r="K233" s="218" t="s">
        <v>2601</v>
      </c>
      <c r="L233" s="218" t="s">
        <v>2596</v>
      </c>
      <c r="M233" s="218" t="s">
        <v>3055</v>
      </c>
      <c r="N233" s="218">
        <v>1627.5</v>
      </c>
      <c r="O233" s="218" t="s">
        <v>292</v>
      </c>
      <c r="P233" s="218">
        <v>2002</v>
      </c>
      <c r="Q233" s="218" t="s">
        <v>640</v>
      </c>
      <c r="R233" s="218" t="s">
        <v>1580</v>
      </c>
      <c r="S233" s="218" t="s">
        <v>396</v>
      </c>
      <c r="T233" s="218" t="s">
        <v>2591</v>
      </c>
      <c r="U233" s="218" t="s">
        <v>2591</v>
      </c>
      <c r="V233" s="218" t="s">
        <v>381</v>
      </c>
      <c r="W233" s="218" t="s">
        <v>295</v>
      </c>
      <c r="X233" s="218" t="s">
        <v>379</v>
      </c>
      <c r="Y233" s="218">
        <v>1833.23</v>
      </c>
      <c r="Z233" s="218">
        <f t="shared" si="3"/>
        <v>2002</v>
      </c>
    </row>
    <row r="234" spans="1:26">
      <c r="A234" s="218" t="s">
        <v>2592</v>
      </c>
      <c r="B234" s="218"/>
      <c r="C234" s="218"/>
      <c r="D234" s="218"/>
      <c r="E234" s="218"/>
      <c r="F234" s="219" t="s">
        <v>3056</v>
      </c>
      <c r="G234" s="218" t="s">
        <v>246</v>
      </c>
      <c r="H234" s="218" t="s">
        <v>309</v>
      </c>
      <c r="I234" s="223">
        <v>43769</v>
      </c>
      <c r="J234" s="218" t="s">
        <v>3057</v>
      </c>
      <c r="K234" s="218" t="s">
        <v>2601</v>
      </c>
      <c r="L234" s="218" t="s">
        <v>2596</v>
      </c>
      <c r="M234" s="218" t="s">
        <v>3058</v>
      </c>
      <c r="N234" s="218">
        <v>1627.5</v>
      </c>
      <c r="O234" s="218" t="s">
        <v>292</v>
      </c>
      <c r="P234" s="218">
        <v>2002</v>
      </c>
      <c r="Q234" s="218" t="s">
        <v>640</v>
      </c>
      <c r="R234" s="218" t="s">
        <v>1580</v>
      </c>
      <c r="S234" s="218" t="s">
        <v>396</v>
      </c>
      <c r="T234" s="218" t="s">
        <v>2591</v>
      </c>
      <c r="U234" s="218" t="s">
        <v>2591</v>
      </c>
      <c r="V234" s="218" t="s">
        <v>381</v>
      </c>
      <c r="W234" s="218" t="s">
        <v>295</v>
      </c>
      <c r="X234" s="218" t="s">
        <v>379</v>
      </c>
      <c r="Y234" s="218">
        <v>1833.23</v>
      </c>
      <c r="Z234" s="218">
        <f t="shared" si="3"/>
        <v>2002</v>
      </c>
    </row>
    <row r="235" spans="1:26">
      <c r="A235" s="218" t="s">
        <v>2592</v>
      </c>
      <c r="B235" s="218"/>
      <c r="C235" s="218"/>
      <c r="D235" s="218"/>
      <c r="E235" s="218"/>
      <c r="F235" s="219" t="s">
        <v>3059</v>
      </c>
      <c r="G235" s="218" t="s">
        <v>246</v>
      </c>
      <c r="H235" s="218" t="s">
        <v>309</v>
      </c>
      <c r="I235" s="223">
        <v>43799</v>
      </c>
      <c r="J235" s="218" t="s">
        <v>3060</v>
      </c>
      <c r="K235" s="218" t="s">
        <v>3000</v>
      </c>
      <c r="L235" s="218" t="s">
        <v>2996</v>
      </c>
      <c r="M235" s="218" t="s">
        <v>3061</v>
      </c>
      <c r="N235" s="218">
        <v>273.06</v>
      </c>
      <c r="O235" s="218" t="s">
        <v>292</v>
      </c>
      <c r="P235" s="218">
        <v>353.4</v>
      </c>
      <c r="Q235" s="218" t="s">
        <v>640</v>
      </c>
      <c r="R235" s="218" t="s">
        <v>1580</v>
      </c>
      <c r="S235" s="218" t="s">
        <v>396</v>
      </c>
      <c r="T235" s="218" t="s">
        <v>2591</v>
      </c>
      <c r="U235" s="218" t="s">
        <v>2591</v>
      </c>
      <c r="V235" s="218" t="s">
        <v>381</v>
      </c>
      <c r="W235" s="218" t="s">
        <v>295</v>
      </c>
      <c r="X235" s="218" t="s">
        <v>379</v>
      </c>
      <c r="Y235" s="218">
        <v>316.77</v>
      </c>
      <c r="Z235" s="218">
        <f t="shared" si="3"/>
        <v>353.4</v>
      </c>
    </row>
    <row r="236" spans="1:26">
      <c r="A236" s="218" t="s">
        <v>2592</v>
      </c>
      <c r="B236" s="218"/>
      <c r="C236" s="218"/>
      <c r="D236" s="218"/>
      <c r="E236" s="218"/>
      <c r="F236" s="219" t="s">
        <v>3062</v>
      </c>
      <c r="G236" s="218" t="s">
        <v>246</v>
      </c>
      <c r="H236" s="218" t="s">
        <v>309</v>
      </c>
      <c r="I236" s="223">
        <v>43799</v>
      </c>
      <c r="J236" s="218" t="s">
        <v>3060</v>
      </c>
      <c r="K236" s="218" t="s">
        <v>3000</v>
      </c>
      <c r="L236" s="218" t="s">
        <v>2996</v>
      </c>
      <c r="M236" s="218" t="s">
        <v>3063</v>
      </c>
      <c r="N236" s="218">
        <v>273.06</v>
      </c>
      <c r="O236" s="218" t="s">
        <v>292</v>
      </c>
      <c r="P236" s="218">
        <v>353.4</v>
      </c>
      <c r="Q236" s="218" t="s">
        <v>640</v>
      </c>
      <c r="R236" s="218" t="s">
        <v>1580</v>
      </c>
      <c r="S236" s="218" t="s">
        <v>396</v>
      </c>
      <c r="T236" s="218" t="s">
        <v>2591</v>
      </c>
      <c r="U236" s="218" t="s">
        <v>2591</v>
      </c>
      <c r="V236" s="218" t="s">
        <v>381</v>
      </c>
      <c r="W236" s="218" t="s">
        <v>295</v>
      </c>
      <c r="X236" s="218" t="s">
        <v>379</v>
      </c>
      <c r="Y236" s="218">
        <v>316.77</v>
      </c>
      <c r="Z236" s="218">
        <f t="shared" si="3"/>
        <v>353.4</v>
      </c>
    </row>
    <row r="237" spans="1:26">
      <c r="A237" s="218" t="s">
        <v>2592</v>
      </c>
      <c r="B237" s="218"/>
      <c r="C237" s="218"/>
      <c r="D237" s="218"/>
      <c r="E237" s="218"/>
      <c r="F237" s="219" t="s">
        <v>3064</v>
      </c>
      <c r="G237" s="218" t="s">
        <v>246</v>
      </c>
      <c r="H237" s="218" t="s">
        <v>309</v>
      </c>
      <c r="I237" s="223">
        <v>43799</v>
      </c>
      <c r="J237" s="218" t="s">
        <v>3065</v>
      </c>
      <c r="K237" s="218" t="s">
        <v>3004</v>
      </c>
      <c r="L237" s="218" t="s">
        <v>2996</v>
      </c>
      <c r="M237" s="218" t="s">
        <v>3066</v>
      </c>
      <c r="N237" s="218">
        <v>344.91</v>
      </c>
      <c r="O237" s="218" t="s">
        <v>292</v>
      </c>
      <c r="P237" s="218">
        <v>446.4</v>
      </c>
      <c r="Q237" s="218" t="s">
        <v>640</v>
      </c>
      <c r="R237" s="218" t="s">
        <v>1580</v>
      </c>
      <c r="S237" s="218" t="s">
        <v>396</v>
      </c>
      <c r="T237" s="218" t="s">
        <v>2591</v>
      </c>
      <c r="U237" s="218" t="s">
        <v>2591</v>
      </c>
      <c r="V237" s="218" t="s">
        <v>381</v>
      </c>
      <c r="W237" s="218" t="s">
        <v>295</v>
      </c>
      <c r="X237" s="218" t="s">
        <v>379</v>
      </c>
      <c r="Y237" s="218">
        <v>400.13</v>
      </c>
      <c r="Z237" s="218">
        <f t="shared" si="3"/>
        <v>446.4</v>
      </c>
    </row>
    <row r="238" spans="1:26">
      <c r="A238" s="218" t="s">
        <v>2592</v>
      </c>
      <c r="B238" s="218"/>
      <c r="C238" s="218"/>
      <c r="D238" s="218"/>
      <c r="E238" s="218"/>
      <c r="F238" s="219" t="s">
        <v>3067</v>
      </c>
      <c r="G238" s="218" t="s">
        <v>246</v>
      </c>
      <c r="H238" s="218" t="s">
        <v>309</v>
      </c>
      <c r="I238" s="223">
        <v>43799</v>
      </c>
      <c r="J238" s="218" t="s">
        <v>3065</v>
      </c>
      <c r="K238" s="218" t="s">
        <v>3004</v>
      </c>
      <c r="L238" s="218" t="s">
        <v>2996</v>
      </c>
      <c r="M238" s="218" t="s">
        <v>3068</v>
      </c>
      <c r="N238" s="218">
        <v>344.91</v>
      </c>
      <c r="O238" s="218" t="s">
        <v>292</v>
      </c>
      <c r="P238" s="218">
        <v>446.4</v>
      </c>
      <c r="Q238" s="218" t="s">
        <v>640</v>
      </c>
      <c r="R238" s="218" t="s">
        <v>1580</v>
      </c>
      <c r="S238" s="218" t="s">
        <v>396</v>
      </c>
      <c r="T238" s="218" t="s">
        <v>2591</v>
      </c>
      <c r="U238" s="218" t="s">
        <v>2591</v>
      </c>
      <c r="V238" s="218" t="s">
        <v>381</v>
      </c>
      <c r="W238" s="218" t="s">
        <v>295</v>
      </c>
      <c r="X238" s="218" t="s">
        <v>379</v>
      </c>
      <c r="Y238" s="218">
        <v>400.13</v>
      </c>
      <c r="Z238" s="218">
        <f t="shared" si="3"/>
        <v>446.4</v>
      </c>
    </row>
    <row r="239" spans="1:26">
      <c r="A239" s="218" t="s">
        <v>2592</v>
      </c>
      <c r="B239" s="218"/>
      <c r="C239" s="218"/>
      <c r="D239" s="218"/>
      <c r="E239" s="218"/>
      <c r="F239" s="219" t="s">
        <v>3069</v>
      </c>
      <c r="G239" s="218" t="s">
        <v>246</v>
      </c>
      <c r="H239" s="218" t="s">
        <v>309</v>
      </c>
      <c r="I239" s="223">
        <v>43830</v>
      </c>
      <c r="J239" s="218" t="s">
        <v>3070</v>
      </c>
      <c r="K239" s="218" t="s">
        <v>3071</v>
      </c>
      <c r="L239" s="218" t="s">
        <v>2704</v>
      </c>
      <c r="M239" s="218" t="s">
        <v>3072</v>
      </c>
      <c r="N239" s="218">
        <v>774.03</v>
      </c>
      <c r="O239" s="218" t="s">
        <v>292</v>
      </c>
      <c r="P239" s="218">
        <v>1001</v>
      </c>
      <c r="Q239" s="218" t="s">
        <v>640</v>
      </c>
      <c r="R239" s="218" t="s">
        <v>1580</v>
      </c>
      <c r="S239" s="218" t="s">
        <v>396</v>
      </c>
      <c r="T239" s="218" t="s">
        <v>2591</v>
      </c>
      <c r="U239" s="218" t="s">
        <v>2591</v>
      </c>
      <c r="V239" s="218" t="s">
        <v>381</v>
      </c>
      <c r="W239" s="218" t="s">
        <v>295</v>
      </c>
      <c r="X239" s="218" t="s">
        <v>379</v>
      </c>
      <c r="Y239" s="218">
        <v>908.7</v>
      </c>
      <c r="Z239" s="218">
        <f t="shared" si="3"/>
        <v>1001</v>
      </c>
    </row>
    <row r="240" spans="1:26">
      <c r="A240" s="218" t="s">
        <v>2592</v>
      </c>
      <c r="B240" s="218"/>
      <c r="C240" s="218"/>
      <c r="D240" s="218"/>
      <c r="E240" s="218"/>
      <c r="F240" s="219" t="s">
        <v>3073</v>
      </c>
      <c r="G240" s="218" t="s">
        <v>246</v>
      </c>
      <c r="H240" s="218" t="s">
        <v>309</v>
      </c>
      <c r="I240" s="223">
        <v>43830</v>
      </c>
      <c r="J240" s="218" t="s">
        <v>3074</v>
      </c>
      <c r="K240" s="218" t="s">
        <v>3075</v>
      </c>
      <c r="L240" s="218" t="s">
        <v>2704</v>
      </c>
      <c r="M240" s="218" t="s">
        <v>3072</v>
      </c>
      <c r="N240" s="218">
        <v>774.03</v>
      </c>
      <c r="O240" s="218" t="s">
        <v>292</v>
      </c>
      <c r="P240" s="218">
        <v>1001</v>
      </c>
      <c r="Q240" s="218" t="s">
        <v>640</v>
      </c>
      <c r="R240" s="218" t="s">
        <v>1580</v>
      </c>
      <c r="S240" s="218" t="s">
        <v>396</v>
      </c>
      <c r="T240" s="218" t="s">
        <v>2591</v>
      </c>
      <c r="U240" s="218" t="s">
        <v>2591</v>
      </c>
      <c r="V240" s="218" t="s">
        <v>381</v>
      </c>
      <c r="W240" s="218" t="s">
        <v>295</v>
      </c>
      <c r="X240" s="218" t="s">
        <v>379</v>
      </c>
      <c r="Y240" s="218">
        <v>908.7</v>
      </c>
      <c r="Z240" s="218">
        <f t="shared" si="3"/>
        <v>1001</v>
      </c>
    </row>
    <row r="241" spans="1:26">
      <c r="A241" s="218" t="s">
        <v>2592</v>
      </c>
      <c r="B241" s="218"/>
      <c r="C241" s="218"/>
      <c r="D241" s="218"/>
      <c r="E241" s="218"/>
      <c r="F241" s="219" t="s">
        <v>3076</v>
      </c>
      <c r="G241" s="218" t="s">
        <v>247</v>
      </c>
      <c r="H241" s="218" t="s">
        <v>309</v>
      </c>
      <c r="I241" s="223">
        <v>43830</v>
      </c>
      <c r="J241" s="218" t="s">
        <v>2591</v>
      </c>
      <c r="K241" s="218" t="s">
        <v>3077</v>
      </c>
      <c r="L241" s="218" t="s">
        <v>3078</v>
      </c>
      <c r="M241" s="218" t="s">
        <v>3079</v>
      </c>
      <c r="N241" s="218">
        <v>646.49</v>
      </c>
      <c r="O241" s="218" t="s">
        <v>2591</v>
      </c>
      <c r="P241" s="218">
        <v>0</v>
      </c>
      <c r="Q241" s="218" t="s">
        <v>385</v>
      </c>
      <c r="R241" s="218" t="s">
        <v>1772</v>
      </c>
      <c r="S241" s="218" t="s">
        <v>374</v>
      </c>
      <c r="T241" s="218" t="s">
        <v>826</v>
      </c>
      <c r="U241" s="218" t="s">
        <v>2591</v>
      </c>
      <c r="V241" s="218" t="s">
        <v>381</v>
      </c>
      <c r="W241" s="218" t="s">
        <v>295</v>
      </c>
      <c r="X241" s="218" t="s">
        <v>379</v>
      </c>
      <c r="Y241" s="218">
        <v>758.97</v>
      </c>
      <c r="Z241" s="218">
        <v>836.06</v>
      </c>
    </row>
    <row r="242" spans="1:26">
      <c r="A242" s="218" t="s">
        <v>2592</v>
      </c>
      <c r="B242" s="218"/>
      <c r="C242" s="218"/>
      <c r="D242" s="218"/>
      <c r="E242" s="218"/>
      <c r="F242" s="219" t="s">
        <v>3080</v>
      </c>
      <c r="G242" s="218" t="s">
        <v>247</v>
      </c>
      <c r="H242" s="218" t="s">
        <v>309</v>
      </c>
      <c r="I242" s="223">
        <v>43830</v>
      </c>
      <c r="J242" s="218" t="s">
        <v>2591</v>
      </c>
      <c r="K242" s="218" t="s">
        <v>3077</v>
      </c>
      <c r="L242" s="218" t="s">
        <v>3078</v>
      </c>
      <c r="M242" s="218" t="s">
        <v>3079</v>
      </c>
      <c r="N242" s="218">
        <v>64.650000000000006</v>
      </c>
      <c r="O242" s="218" t="s">
        <v>2591</v>
      </c>
      <c r="P242" s="218">
        <v>0</v>
      </c>
      <c r="Q242" s="218" t="s">
        <v>391</v>
      </c>
      <c r="R242" s="218" t="s">
        <v>1777</v>
      </c>
      <c r="S242" s="218" t="s">
        <v>374</v>
      </c>
      <c r="T242" s="218" t="s">
        <v>826</v>
      </c>
      <c r="U242" s="218" t="s">
        <v>2591</v>
      </c>
      <c r="V242" s="218" t="s">
        <v>381</v>
      </c>
      <c r="W242" s="218" t="s">
        <v>295</v>
      </c>
      <c r="X242" s="218" t="s">
        <v>379</v>
      </c>
      <c r="Y242" s="218">
        <v>75.900000000000006</v>
      </c>
      <c r="Z242" s="218">
        <v>83.61</v>
      </c>
    </row>
    <row r="243" spans="1:26">
      <c r="A243" s="218" t="s">
        <v>2592</v>
      </c>
      <c r="B243" s="218"/>
      <c r="C243" s="218"/>
      <c r="D243" s="218"/>
      <c r="E243" s="218"/>
      <c r="F243" s="219" t="s">
        <v>3081</v>
      </c>
      <c r="G243" s="218" t="s">
        <v>247</v>
      </c>
      <c r="H243" s="218" t="s">
        <v>309</v>
      </c>
      <c r="I243" s="223">
        <v>43830</v>
      </c>
      <c r="J243" s="218" t="s">
        <v>2591</v>
      </c>
      <c r="K243" s="218" t="s">
        <v>3077</v>
      </c>
      <c r="L243" s="218" t="s">
        <v>3078</v>
      </c>
      <c r="M243" s="218" t="s">
        <v>3079</v>
      </c>
      <c r="N243" s="218">
        <v>75.319999999999993</v>
      </c>
      <c r="O243" s="218" t="s">
        <v>2591</v>
      </c>
      <c r="P243" s="218">
        <v>0</v>
      </c>
      <c r="Q243" s="218" t="s">
        <v>392</v>
      </c>
      <c r="R243" s="218" t="s">
        <v>1820</v>
      </c>
      <c r="S243" s="218" t="s">
        <v>374</v>
      </c>
      <c r="T243" s="218" t="s">
        <v>826</v>
      </c>
      <c r="U243" s="218" t="s">
        <v>2591</v>
      </c>
      <c r="V243" s="218" t="s">
        <v>381</v>
      </c>
      <c r="W243" s="218" t="s">
        <v>295</v>
      </c>
      <c r="X243" s="218" t="s">
        <v>379</v>
      </c>
      <c r="Y243" s="218">
        <v>88.42</v>
      </c>
      <c r="Z243" s="218">
        <v>97.41</v>
      </c>
    </row>
    <row r="244" spans="1:26">
      <c r="A244" s="218" t="s">
        <v>2592</v>
      </c>
      <c r="B244" s="218"/>
      <c r="C244" s="218"/>
      <c r="D244" s="218"/>
      <c r="E244" s="218"/>
      <c r="F244" s="219" t="s">
        <v>3082</v>
      </c>
      <c r="G244" s="218" t="s">
        <v>247</v>
      </c>
      <c r="H244" s="218" t="s">
        <v>309</v>
      </c>
      <c r="I244" s="223">
        <v>43830</v>
      </c>
      <c r="J244" s="218" t="s">
        <v>2591</v>
      </c>
      <c r="K244" s="218" t="s">
        <v>3083</v>
      </c>
      <c r="L244" s="218" t="s">
        <v>3084</v>
      </c>
      <c r="M244" s="218" t="s">
        <v>3083</v>
      </c>
      <c r="N244" s="218">
        <v>32.32</v>
      </c>
      <c r="O244" s="218" t="s">
        <v>2591</v>
      </c>
      <c r="P244" s="218">
        <v>0</v>
      </c>
      <c r="Q244" s="218" t="s">
        <v>385</v>
      </c>
      <c r="R244" s="218" t="s">
        <v>1772</v>
      </c>
      <c r="S244" s="218" t="s">
        <v>374</v>
      </c>
      <c r="T244" s="218" t="s">
        <v>826</v>
      </c>
      <c r="U244" s="218" t="s">
        <v>2591</v>
      </c>
      <c r="V244" s="218" t="s">
        <v>388</v>
      </c>
      <c r="W244" s="218" t="s">
        <v>295</v>
      </c>
      <c r="X244" s="218" t="s">
        <v>379</v>
      </c>
      <c r="Y244" s="218">
        <v>37.94</v>
      </c>
      <c r="Z244" s="218">
        <v>41.8</v>
      </c>
    </row>
    <row r="245" spans="1:26">
      <c r="A245" s="218" t="s">
        <v>2592</v>
      </c>
      <c r="B245" s="218"/>
      <c r="C245" s="218"/>
      <c r="D245" s="218"/>
      <c r="E245" s="218"/>
      <c r="F245" s="219" t="s">
        <v>3085</v>
      </c>
      <c r="G245" s="218" t="s">
        <v>247</v>
      </c>
      <c r="H245" s="218" t="s">
        <v>309</v>
      </c>
      <c r="I245" s="223">
        <v>43830</v>
      </c>
      <c r="J245" s="218" t="s">
        <v>2591</v>
      </c>
      <c r="K245" s="218" t="s">
        <v>3086</v>
      </c>
      <c r="L245" s="218" t="s">
        <v>3087</v>
      </c>
      <c r="M245" s="218" t="s">
        <v>3086</v>
      </c>
      <c r="N245" s="218">
        <v>9.6999999999999993</v>
      </c>
      <c r="O245" s="218" t="s">
        <v>2591</v>
      </c>
      <c r="P245" s="218">
        <v>0</v>
      </c>
      <c r="Q245" s="218" t="s">
        <v>385</v>
      </c>
      <c r="R245" s="218" t="s">
        <v>1772</v>
      </c>
      <c r="S245" s="218" t="s">
        <v>374</v>
      </c>
      <c r="T245" s="218" t="s">
        <v>826</v>
      </c>
      <c r="U245" s="218" t="s">
        <v>2591</v>
      </c>
      <c r="V245" s="218" t="s">
        <v>390</v>
      </c>
      <c r="W245" s="218" t="s">
        <v>295</v>
      </c>
      <c r="X245" s="218" t="s">
        <v>379</v>
      </c>
      <c r="Y245" s="218">
        <v>11.39</v>
      </c>
      <c r="Z245" s="218">
        <v>12.54</v>
      </c>
    </row>
    <row r="246" spans="1:26">
      <c r="A246" s="218" t="s">
        <v>2592</v>
      </c>
      <c r="B246" s="218"/>
      <c r="C246" s="218"/>
      <c r="D246" s="218"/>
      <c r="E246" s="218"/>
      <c r="F246" s="219" t="s">
        <v>3088</v>
      </c>
      <c r="G246" s="218" t="s">
        <v>248</v>
      </c>
      <c r="H246" s="218" t="s">
        <v>309</v>
      </c>
      <c r="I246" s="223">
        <v>43769</v>
      </c>
      <c r="J246" s="218" t="s">
        <v>3089</v>
      </c>
      <c r="K246" s="218" t="s">
        <v>3090</v>
      </c>
      <c r="L246" s="218" t="s">
        <v>2596</v>
      </c>
      <c r="M246" s="218" t="s">
        <v>827</v>
      </c>
      <c r="N246" s="218">
        <v>242.58</v>
      </c>
      <c r="O246" s="218" t="s">
        <v>2591</v>
      </c>
      <c r="P246" s="218">
        <v>0</v>
      </c>
      <c r="Q246" s="218" t="s">
        <v>385</v>
      </c>
      <c r="R246" s="218" t="s">
        <v>1772</v>
      </c>
      <c r="S246" s="218" t="s">
        <v>374</v>
      </c>
      <c r="T246" s="218" t="s">
        <v>826</v>
      </c>
      <c r="U246" s="218" t="s">
        <v>2591</v>
      </c>
      <c r="V246" s="218" t="s">
        <v>381</v>
      </c>
      <c r="W246" s="218" t="s">
        <v>295</v>
      </c>
      <c r="X246" s="218" t="s">
        <v>379</v>
      </c>
      <c r="Y246" s="218">
        <v>273.24</v>
      </c>
      <c r="Z246" s="218">
        <v>298.39999999999998</v>
      </c>
    </row>
    <row r="247" spans="1:26">
      <c r="A247" s="218" t="s">
        <v>2592</v>
      </c>
      <c r="B247" s="218"/>
      <c r="C247" s="218"/>
      <c r="D247" s="218"/>
      <c r="E247" s="218"/>
      <c r="F247" s="219" t="s">
        <v>3091</v>
      </c>
      <c r="G247" s="218" t="s">
        <v>248</v>
      </c>
      <c r="H247" s="218" t="s">
        <v>309</v>
      </c>
      <c r="I247" s="223">
        <v>43769</v>
      </c>
      <c r="J247" s="218" t="s">
        <v>3089</v>
      </c>
      <c r="K247" s="218" t="s">
        <v>3092</v>
      </c>
      <c r="L247" s="218" t="s">
        <v>2596</v>
      </c>
      <c r="M247" s="218" t="s">
        <v>3093</v>
      </c>
      <c r="N247" s="218">
        <v>12.13</v>
      </c>
      <c r="O247" s="218" t="s">
        <v>2591</v>
      </c>
      <c r="P247" s="218">
        <v>0</v>
      </c>
      <c r="Q247" s="218" t="s">
        <v>385</v>
      </c>
      <c r="R247" s="218" t="s">
        <v>1772</v>
      </c>
      <c r="S247" s="218" t="s">
        <v>374</v>
      </c>
      <c r="T247" s="218" t="s">
        <v>826</v>
      </c>
      <c r="U247" s="218" t="s">
        <v>2591</v>
      </c>
      <c r="V247" s="218" t="s">
        <v>388</v>
      </c>
      <c r="W247" s="218" t="s">
        <v>295</v>
      </c>
      <c r="X247" s="218" t="s">
        <v>248</v>
      </c>
      <c r="Y247" s="218">
        <v>13.66</v>
      </c>
      <c r="Z247" s="218">
        <v>14.92</v>
      </c>
    </row>
    <row r="248" spans="1:26">
      <c r="A248" s="218" t="s">
        <v>2592</v>
      </c>
      <c r="B248" s="218"/>
      <c r="C248" s="218"/>
      <c r="D248" s="218"/>
      <c r="E248" s="218"/>
      <c r="F248" s="219" t="s">
        <v>3094</v>
      </c>
      <c r="G248" s="218" t="s">
        <v>248</v>
      </c>
      <c r="H248" s="218" t="s">
        <v>309</v>
      </c>
      <c r="I248" s="223">
        <v>43769</v>
      </c>
      <c r="J248" s="218" t="s">
        <v>3089</v>
      </c>
      <c r="K248" s="218" t="s">
        <v>3095</v>
      </c>
      <c r="L248" s="218" t="s">
        <v>2596</v>
      </c>
      <c r="M248" s="218" t="s">
        <v>3096</v>
      </c>
      <c r="N248" s="218">
        <v>3.64</v>
      </c>
      <c r="O248" s="218" t="s">
        <v>2591</v>
      </c>
      <c r="P248" s="218">
        <v>0</v>
      </c>
      <c r="Q248" s="218" t="s">
        <v>385</v>
      </c>
      <c r="R248" s="218" t="s">
        <v>1772</v>
      </c>
      <c r="S248" s="218" t="s">
        <v>374</v>
      </c>
      <c r="T248" s="218" t="s">
        <v>826</v>
      </c>
      <c r="U248" s="218" t="s">
        <v>2591</v>
      </c>
      <c r="V248" s="218" t="s">
        <v>390</v>
      </c>
      <c r="W248" s="218" t="s">
        <v>295</v>
      </c>
      <c r="X248" s="218" t="s">
        <v>379</v>
      </c>
      <c r="Y248" s="218">
        <v>4.0999999999999996</v>
      </c>
      <c r="Z248" s="218">
        <v>4.4800000000000004</v>
      </c>
    </row>
    <row r="249" spans="1:26">
      <c r="A249" s="218" t="s">
        <v>2592</v>
      </c>
      <c r="B249" s="218"/>
      <c r="C249" s="218"/>
      <c r="D249" s="218"/>
      <c r="E249" s="218"/>
      <c r="F249" s="219" t="s">
        <v>3097</v>
      </c>
      <c r="G249" s="218" t="s">
        <v>248</v>
      </c>
      <c r="H249" s="218" t="s">
        <v>309</v>
      </c>
      <c r="I249" s="223">
        <v>43769</v>
      </c>
      <c r="J249" s="218" t="s">
        <v>3089</v>
      </c>
      <c r="K249" s="218" t="s">
        <v>3090</v>
      </c>
      <c r="L249" s="218" t="s">
        <v>2596</v>
      </c>
      <c r="M249" s="218" t="s">
        <v>827</v>
      </c>
      <c r="N249" s="218">
        <v>24.26</v>
      </c>
      <c r="O249" s="218" t="s">
        <v>2591</v>
      </c>
      <c r="P249" s="218">
        <v>0</v>
      </c>
      <c r="Q249" s="218" t="s">
        <v>391</v>
      </c>
      <c r="R249" s="218" t="s">
        <v>1777</v>
      </c>
      <c r="S249" s="218" t="s">
        <v>374</v>
      </c>
      <c r="T249" s="218" t="s">
        <v>826</v>
      </c>
      <c r="U249" s="218" t="s">
        <v>2591</v>
      </c>
      <c r="V249" s="218" t="s">
        <v>381</v>
      </c>
      <c r="W249" s="218" t="s">
        <v>295</v>
      </c>
      <c r="X249" s="218" t="s">
        <v>379</v>
      </c>
      <c r="Y249" s="218">
        <v>27.33</v>
      </c>
      <c r="Z249" s="218">
        <v>29.84</v>
      </c>
    </row>
    <row r="250" spans="1:26">
      <c r="A250" s="218" t="s">
        <v>2592</v>
      </c>
      <c r="B250" s="218"/>
      <c r="C250" s="218"/>
      <c r="D250" s="218"/>
      <c r="E250" s="218"/>
      <c r="F250" s="219" t="s">
        <v>3098</v>
      </c>
      <c r="G250" s="218" t="s">
        <v>248</v>
      </c>
      <c r="H250" s="218" t="s">
        <v>309</v>
      </c>
      <c r="I250" s="223">
        <v>43769</v>
      </c>
      <c r="J250" s="218" t="s">
        <v>3089</v>
      </c>
      <c r="K250" s="218" t="s">
        <v>3090</v>
      </c>
      <c r="L250" s="218" t="s">
        <v>2596</v>
      </c>
      <c r="M250" s="218" t="s">
        <v>827</v>
      </c>
      <c r="N250" s="218">
        <v>28.52</v>
      </c>
      <c r="O250" s="218" t="s">
        <v>2591</v>
      </c>
      <c r="P250" s="218">
        <v>0</v>
      </c>
      <c r="Q250" s="218" t="s">
        <v>392</v>
      </c>
      <c r="R250" s="218" t="s">
        <v>1820</v>
      </c>
      <c r="S250" s="218" t="s">
        <v>374</v>
      </c>
      <c r="T250" s="218" t="s">
        <v>826</v>
      </c>
      <c r="U250" s="218" t="s">
        <v>2591</v>
      </c>
      <c r="V250" s="218" t="s">
        <v>381</v>
      </c>
      <c r="W250" s="218" t="s">
        <v>295</v>
      </c>
      <c r="X250" s="218" t="s">
        <v>379</v>
      </c>
      <c r="Y250" s="218">
        <v>32.130000000000003</v>
      </c>
      <c r="Z250" s="218">
        <v>35.08</v>
      </c>
    </row>
    <row r="251" spans="1:26">
      <c r="A251" s="218" t="s">
        <v>2592</v>
      </c>
      <c r="B251" s="218"/>
      <c r="C251" s="218"/>
      <c r="D251" s="218"/>
      <c r="E251" s="218"/>
      <c r="F251" s="219" t="s">
        <v>3099</v>
      </c>
      <c r="G251" s="218" t="s">
        <v>249</v>
      </c>
      <c r="H251" s="218" t="s">
        <v>309</v>
      </c>
      <c r="I251" s="223">
        <v>43769</v>
      </c>
      <c r="J251" s="218" t="s">
        <v>3100</v>
      </c>
      <c r="K251" s="218" t="s">
        <v>2601</v>
      </c>
      <c r="L251" s="218" t="s">
        <v>2596</v>
      </c>
      <c r="M251" s="218" t="s">
        <v>3101</v>
      </c>
      <c r="N251" s="218">
        <v>548.66999999999996</v>
      </c>
      <c r="O251" s="218" t="s">
        <v>292</v>
      </c>
      <c r="P251" s="218">
        <v>674.92</v>
      </c>
      <c r="Q251" s="218" t="s">
        <v>385</v>
      </c>
      <c r="R251" s="218" t="s">
        <v>1772</v>
      </c>
      <c r="S251" s="218" t="s">
        <v>396</v>
      </c>
      <c r="T251" s="218" t="s">
        <v>425</v>
      </c>
      <c r="U251" s="218" t="s">
        <v>2591</v>
      </c>
      <c r="V251" s="218" t="s">
        <v>381</v>
      </c>
      <c r="W251" s="218" t="s">
        <v>295</v>
      </c>
      <c r="X251" s="218" t="s">
        <v>379</v>
      </c>
      <c r="Y251" s="218">
        <v>618.03</v>
      </c>
      <c r="Z251" s="218">
        <f t="shared" ref="Z251:Z267" si="4">P251</f>
        <v>674.92</v>
      </c>
    </row>
    <row r="252" spans="1:26">
      <c r="A252" s="218" t="s">
        <v>2592</v>
      </c>
      <c r="B252" s="218"/>
      <c r="C252" s="218"/>
      <c r="D252" s="218"/>
      <c r="E252" s="218"/>
      <c r="F252" s="219" t="s">
        <v>3102</v>
      </c>
      <c r="G252" s="218" t="s">
        <v>249</v>
      </c>
      <c r="H252" s="218" t="s">
        <v>309</v>
      </c>
      <c r="I252" s="223">
        <v>43769</v>
      </c>
      <c r="J252" s="218" t="s">
        <v>3103</v>
      </c>
      <c r="K252" s="218" t="s">
        <v>3104</v>
      </c>
      <c r="L252" s="218" t="s">
        <v>2596</v>
      </c>
      <c r="M252" s="218" t="s">
        <v>3105</v>
      </c>
      <c r="N252" s="218">
        <v>105.51</v>
      </c>
      <c r="O252" s="218" t="s">
        <v>292</v>
      </c>
      <c r="P252" s="218">
        <v>129.79</v>
      </c>
      <c r="Q252" s="218" t="s">
        <v>385</v>
      </c>
      <c r="R252" s="218" t="s">
        <v>1772</v>
      </c>
      <c r="S252" s="218" t="s">
        <v>400</v>
      </c>
      <c r="T252" s="218" t="s">
        <v>425</v>
      </c>
      <c r="U252" s="218" t="s">
        <v>2591</v>
      </c>
      <c r="V252" s="218" t="s">
        <v>381</v>
      </c>
      <c r="W252" s="218" t="s">
        <v>295</v>
      </c>
      <c r="X252" s="218" t="s">
        <v>379</v>
      </c>
      <c r="Y252" s="218">
        <v>118.85</v>
      </c>
      <c r="Z252" s="218">
        <f t="shared" si="4"/>
        <v>129.79</v>
      </c>
    </row>
    <row r="253" spans="1:26">
      <c r="A253" s="218" t="s">
        <v>2592</v>
      </c>
      <c r="B253" s="218"/>
      <c r="C253" s="218"/>
      <c r="D253" s="218"/>
      <c r="E253" s="218"/>
      <c r="F253" s="219" t="s">
        <v>3106</v>
      </c>
      <c r="G253" s="218" t="s">
        <v>249</v>
      </c>
      <c r="H253" s="218" t="s">
        <v>309</v>
      </c>
      <c r="I253" s="223">
        <v>43769</v>
      </c>
      <c r="J253" s="218" t="s">
        <v>3107</v>
      </c>
      <c r="K253" s="218" t="s">
        <v>3104</v>
      </c>
      <c r="L253" s="218" t="s">
        <v>2596</v>
      </c>
      <c r="M253" s="218" t="s">
        <v>841</v>
      </c>
      <c r="N253" s="218">
        <v>91.26</v>
      </c>
      <c r="O253" s="218" t="s">
        <v>292</v>
      </c>
      <c r="P253" s="218">
        <v>112.26</v>
      </c>
      <c r="Q253" s="218" t="s">
        <v>391</v>
      </c>
      <c r="R253" s="218" t="s">
        <v>1777</v>
      </c>
      <c r="S253" s="218" t="s">
        <v>400</v>
      </c>
      <c r="T253" s="218" t="s">
        <v>425</v>
      </c>
      <c r="U253" s="218" t="s">
        <v>2591</v>
      </c>
      <c r="V253" s="218" t="s">
        <v>381</v>
      </c>
      <c r="W253" s="218" t="s">
        <v>295</v>
      </c>
      <c r="X253" s="218" t="s">
        <v>379</v>
      </c>
      <c r="Y253" s="218">
        <v>102.8</v>
      </c>
      <c r="Z253" s="218">
        <f t="shared" si="4"/>
        <v>112.26</v>
      </c>
    </row>
    <row r="254" spans="1:26">
      <c r="A254" s="218" t="s">
        <v>2592</v>
      </c>
      <c r="B254" s="218"/>
      <c r="C254" s="218"/>
      <c r="D254" s="218"/>
      <c r="E254" s="218"/>
      <c r="F254" s="219" t="s">
        <v>3108</v>
      </c>
      <c r="G254" s="218" t="s">
        <v>249</v>
      </c>
      <c r="H254" s="218" t="s">
        <v>309</v>
      </c>
      <c r="I254" s="223">
        <v>43769</v>
      </c>
      <c r="J254" s="218" t="s">
        <v>3109</v>
      </c>
      <c r="K254" s="218" t="s">
        <v>3104</v>
      </c>
      <c r="L254" s="218" t="s">
        <v>2596</v>
      </c>
      <c r="M254" s="218" t="s">
        <v>429</v>
      </c>
      <c r="N254" s="218">
        <v>0.94</v>
      </c>
      <c r="O254" s="218" t="s">
        <v>292</v>
      </c>
      <c r="P254" s="218">
        <v>1.1599999999999999</v>
      </c>
      <c r="Q254" s="218" t="s">
        <v>405</v>
      </c>
      <c r="R254" s="218" t="s">
        <v>1780</v>
      </c>
      <c r="S254" s="218" t="s">
        <v>400</v>
      </c>
      <c r="T254" s="218" t="s">
        <v>425</v>
      </c>
      <c r="U254" s="218" t="s">
        <v>2591</v>
      </c>
      <c r="V254" s="218" t="s">
        <v>381</v>
      </c>
      <c r="W254" s="218" t="s">
        <v>295</v>
      </c>
      <c r="X254" s="218" t="s">
        <v>379</v>
      </c>
      <c r="Y254" s="218">
        <v>1.06</v>
      </c>
      <c r="Z254" s="218">
        <f t="shared" si="4"/>
        <v>1.1599999999999999</v>
      </c>
    </row>
    <row r="255" spans="1:26">
      <c r="A255" s="218" t="s">
        <v>2592</v>
      </c>
      <c r="B255" s="218"/>
      <c r="C255" s="218"/>
      <c r="D255" s="218"/>
      <c r="E255" s="218"/>
      <c r="F255" s="219" t="s">
        <v>3110</v>
      </c>
      <c r="G255" s="218" t="s">
        <v>249</v>
      </c>
      <c r="H255" s="218" t="s">
        <v>309</v>
      </c>
      <c r="I255" s="223">
        <v>43769</v>
      </c>
      <c r="J255" s="218" t="s">
        <v>3111</v>
      </c>
      <c r="K255" s="218" t="s">
        <v>3104</v>
      </c>
      <c r="L255" s="218" t="s">
        <v>2596</v>
      </c>
      <c r="M255" s="218" t="s">
        <v>843</v>
      </c>
      <c r="N255" s="218">
        <v>15.21</v>
      </c>
      <c r="O255" s="218" t="s">
        <v>292</v>
      </c>
      <c r="P255" s="218">
        <v>18.71</v>
      </c>
      <c r="Q255" s="218" t="s">
        <v>405</v>
      </c>
      <c r="R255" s="218" t="s">
        <v>1780</v>
      </c>
      <c r="S255" s="218" t="s">
        <v>400</v>
      </c>
      <c r="T255" s="218" t="s">
        <v>425</v>
      </c>
      <c r="U255" s="218" t="s">
        <v>2591</v>
      </c>
      <c r="V255" s="218" t="s">
        <v>381</v>
      </c>
      <c r="W255" s="218" t="s">
        <v>295</v>
      </c>
      <c r="X255" s="218" t="s">
        <v>379</v>
      </c>
      <c r="Y255" s="218">
        <v>17.13</v>
      </c>
      <c r="Z255" s="218">
        <f t="shared" si="4"/>
        <v>18.71</v>
      </c>
    </row>
    <row r="256" spans="1:26">
      <c r="A256" s="218" t="s">
        <v>2592</v>
      </c>
      <c r="B256" s="218"/>
      <c r="C256" s="218"/>
      <c r="D256" s="218"/>
      <c r="E256" s="218"/>
      <c r="F256" s="219" t="s">
        <v>3112</v>
      </c>
      <c r="G256" s="218" t="s">
        <v>249</v>
      </c>
      <c r="H256" s="218" t="s">
        <v>309</v>
      </c>
      <c r="I256" s="223">
        <v>43799</v>
      </c>
      <c r="J256" s="218" t="s">
        <v>3113</v>
      </c>
      <c r="K256" s="218" t="s">
        <v>3114</v>
      </c>
      <c r="L256" s="218" t="s">
        <v>3115</v>
      </c>
      <c r="M256" s="218" t="s">
        <v>3116</v>
      </c>
      <c r="N256" s="218">
        <v>497.41</v>
      </c>
      <c r="O256" s="218" t="s">
        <v>292</v>
      </c>
      <c r="P256" s="218">
        <v>643.76</v>
      </c>
      <c r="Q256" s="218" t="s">
        <v>385</v>
      </c>
      <c r="R256" s="218" t="s">
        <v>1772</v>
      </c>
      <c r="S256" s="218" t="s">
        <v>400</v>
      </c>
      <c r="T256" s="218" t="s">
        <v>425</v>
      </c>
      <c r="U256" s="218" t="s">
        <v>2591</v>
      </c>
      <c r="V256" s="218" t="s">
        <v>381</v>
      </c>
      <c r="W256" s="218" t="s">
        <v>295</v>
      </c>
      <c r="X256" s="218" t="s">
        <v>3117</v>
      </c>
      <c r="Y256" s="218">
        <v>577.04</v>
      </c>
      <c r="Z256" s="218">
        <f t="shared" si="4"/>
        <v>643.76</v>
      </c>
    </row>
    <row r="257" spans="1:26">
      <c r="A257" s="218" t="s">
        <v>2592</v>
      </c>
      <c r="B257" s="218"/>
      <c r="C257" s="218"/>
      <c r="D257" s="218"/>
      <c r="E257" s="218"/>
      <c r="F257" s="219" t="s">
        <v>3118</v>
      </c>
      <c r="G257" s="218" t="s">
        <v>249</v>
      </c>
      <c r="H257" s="218" t="s">
        <v>309</v>
      </c>
      <c r="I257" s="223">
        <v>43799</v>
      </c>
      <c r="J257" s="218" t="s">
        <v>3119</v>
      </c>
      <c r="K257" s="218" t="s">
        <v>3120</v>
      </c>
      <c r="L257" s="218" t="s">
        <v>3115</v>
      </c>
      <c r="M257" s="218" t="s">
        <v>3121</v>
      </c>
      <c r="N257" s="218">
        <v>69.39</v>
      </c>
      <c r="O257" s="218" t="s">
        <v>292</v>
      </c>
      <c r="P257" s="218">
        <v>89.81</v>
      </c>
      <c r="Q257" s="218" t="s">
        <v>391</v>
      </c>
      <c r="R257" s="218" t="s">
        <v>1777</v>
      </c>
      <c r="S257" s="218" t="s">
        <v>400</v>
      </c>
      <c r="T257" s="218" t="s">
        <v>425</v>
      </c>
      <c r="U257" s="218" t="s">
        <v>2591</v>
      </c>
      <c r="V257" s="218" t="s">
        <v>381</v>
      </c>
      <c r="W257" s="218" t="s">
        <v>295</v>
      </c>
      <c r="X257" s="218" t="s">
        <v>3117</v>
      </c>
      <c r="Y257" s="218">
        <v>80.5</v>
      </c>
      <c r="Z257" s="218">
        <f t="shared" si="4"/>
        <v>89.81</v>
      </c>
    </row>
    <row r="258" spans="1:26">
      <c r="A258" s="218" t="s">
        <v>2592</v>
      </c>
      <c r="B258" s="218"/>
      <c r="C258" s="218"/>
      <c r="D258" s="218"/>
      <c r="E258" s="218"/>
      <c r="F258" s="219" t="s">
        <v>3122</v>
      </c>
      <c r="G258" s="218" t="s">
        <v>249</v>
      </c>
      <c r="H258" s="218" t="s">
        <v>309</v>
      </c>
      <c r="I258" s="223">
        <v>43799</v>
      </c>
      <c r="J258" s="218" t="s">
        <v>3123</v>
      </c>
      <c r="K258" s="218" t="s">
        <v>3124</v>
      </c>
      <c r="L258" s="218" t="s">
        <v>3115</v>
      </c>
      <c r="M258" s="218" t="s">
        <v>3125</v>
      </c>
      <c r="N258" s="218">
        <v>11.57</v>
      </c>
      <c r="O258" s="218" t="s">
        <v>292</v>
      </c>
      <c r="P258" s="218">
        <v>14.97</v>
      </c>
      <c r="Q258" s="218" t="s">
        <v>405</v>
      </c>
      <c r="R258" s="218" t="s">
        <v>1780</v>
      </c>
      <c r="S258" s="218" t="s">
        <v>400</v>
      </c>
      <c r="T258" s="218" t="s">
        <v>425</v>
      </c>
      <c r="U258" s="218" t="s">
        <v>2591</v>
      </c>
      <c r="V258" s="218" t="s">
        <v>381</v>
      </c>
      <c r="W258" s="218" t="s">
        <v>295</v>
      </c>
      <c r="X258" s="218" t="s">
        <v>3117</v>
      </c>
      <c r="Y258" s="218">
        <v>13.42</v>
      </c>
      <c r="Z258" s="218">
        <f t="shared" si="4"/>
        <v>14.97</v>
      </c>
    </row>
    <row r="259" spans="1:26">
      <c r="A259" s="218" t="s">
        <v>2592</v>
      </c>
      <c r="B259" s="218"/>
      <c r="C259" s="218"/>
      <c r="D259" s="218"/>
      <c r="E259" s="218"/>
      <c r="F259" s="219" t="s">
        <v>3126</v>
      </c>
      <c r="G259" s="218" t="s">
        <v>249</v>
      </c>
      <c r="H259" s="218" t="s">
        <v>309</v>
      </c>
      <c r="I259" s="223">
        <v>43799</v>
      </c>
      <c r="J259" s="218" t="s">
        <v>3127</v>
      </c>
      <c r="K259" s="218" t="s">
        <v>3128</v>
      </c>
      <c r="L259" s="218" t="s">
        <v>3115</v>
      </c>
      <c r="M259" s="218" t="s">
        <v>3129</v>
      </c>
      <c r="N259" s="218">
        <v>0.77</v>
      </c>
      <c r="O259" s="218" t="s">
        <v>292</v>
      </c>
      <c r="P259" s="218">
        <v>1</v>
      </c>
      <c r="Q259" s="218" t="s">
        <v>405</v>
      </c>
      <c r="R259" s="218" t="s">
        <v>1780</v>
      </c>
      <c r="S259" s="218" t="s">
        <v>400</v>
      </c>
      <c r="T259" s="218" t="s">
        <v>425</v>
      </c>
      <c r="U259" s="218" t="s">
        <v>2591</v>
      </c>
      <c r="V259" s="218" t="s">
        <v>381</v>
      </c>
      <c r="W259" s="218" t="s">
        <v>295</v>
      </c>
      <c r="X259" s="218" t="s">
        <v>379</v>
      </c>
      <c r="Y259" s="218">
        <v>0.89</v>
      </c>
      <c r="Z259" s="218">
        <f t="shared" si="4"/>
        <v>1</v>
      </c>
    </row>
    <row r="260" spans="1:26">
      <c r="A260" s="218" t="s">
        <v>2592</v>
      </c>
      <c r="B260" s="218"/>
      <c r="C260" s="218"/>
      <c r="D260" s="218"/>
      <c r="E260" s="218"/>
      <c r="F260" s="219" t="s">
        <v>3130</v>
      </c>
      <c r="G260" s="218" t="s">
        <v>249</v>
      </c>
      <c r="H260" s="218" t="s">
        <v>309</v>
      </c>
      <c r="I260" s="223">
        <v>43830</v>
      </c>
      <c r="J260" s="218" t="s">
        <v>3131</v>
      </c>
      <c r="K260" s="218" t="s">
        <v>3132</v>
      </c>
      <c r="L260" s="218" t="s">
        <v>2617</v>
      </c>
      <c r="M260" s="218" t="s">
        <v>3133</v>
      </c>
      <c r="N260" s="218">
        <v>167.4</v>
      </c>
      <c r="O260" s="218" t="s">
        <v>292</v>
      </c>
      <c r="P260" s="218">
        <v>216.49</v>
      </c>
      <c r="Q260" s="218" t="s">
        <v>385</v>
      </c>
      <c r="R260" s="218" t="s">
        <v>1772</v>
      </c>
      <c r="S260" s="218" t="s">
        <v>400</v>
      </c>
      <c r="T260" s="218" t="s">
        <v>425</v>
      </c>
      <c r="U260" s="218" t="s">
        <v>2591</v>
      </c>
      <c r="V260" s="218" t="s">
        <v>381</v>
      </c>
      <c r="W260" s="218" t="s">
        <v>295</v>
      </c>
      <c r="X260" s="218" t="s">
        <v>379</v>
      </c>
      <c r="Y260" s="218">
        <v>196.52</v>
      </c>
      <c r="Z260" s="218">
        <f t="shared" si="4"/>
        <v>216.49</v>
      </c>
    </row>
    <row r="261" spans="1:26">
      <c r="A261" s="218" t="s">
        <v>2592</v>
      </c>
      <c r="B261" s="218"/>
      <c r="C261" s="218"/>
      <c r="D261" s="218"/>
      <c r="E261" s="218"/>
      <c r="F261" s="219" t="s">
        <v>3134</v>
      </c>
      <c r="G261" s="218" t="s">
        <v>249</v>
      </c>
      <c r="H261" s="218" t="s">
        <v>309</v>
      </c>
      <c r="I261" s="223">
        <v>43830</v>
      </c>
      <c r="J261" s="218" t="s">
        <v>3135</v>
      </c>
      <c r="K261" s="218" t="s">
        <v>3136</v>
      </c>
      <c r="L261" s="218" t="s">
        <v>2617</v>
      </c>
      <c r="M261" s="218" t="s">
        <v>3137</v>
      </c>
      <c r="N261" s="218">
        <v>31.72</v>
      </c>
      <c r="O261" s="218" t="s">
        <v>292</v>
      </c>
      <c r="P261" s="218">
        <v>41.02</v>
      </c>
      <c r="Q261" s="218" t="s">
        <v>391</v>
      </c>
      <c r="R261" s="218" t="s">
        <v>1777</v>
      </c>
      <c r="S261" s="218" t="s">
        <v>400</v>
      </c>
      <c r="T261" s="218" t="s">
        <v>425</v>
      </c>
      <c r="U261" s="218" t="s">
        <v>2591</v>
      </c>
      <c r="V261" s="218" t="s">
        <v>381</v>
      </c>
      <c r="W261" s="218" t="s">
        <v>295</v>
      </c>
      <c r="X261" s="218" t="s">
        <v>379</v>
      </c>
      <c r="Y261" s="218">
        <v>37.24</v>
      </c>
      <c r="Z261" s="218">
        <f t="shared" si="4"/>
        <v>41.02</v>
      </c>
    </row>
    <row r="262" spans="1:26">
      <c r="A262" s="218" t="s">
        <v>2592</v>
      </c>
      <c r="B262" s="218"/>
      <c r="C262" s="218"/>
      <c r="D262" s="218"/>
      <c r="E262" s="218"/>
      <c r="F262" s="219" t="s">
        <v>3138</v>
      </c>
      <c r="G262" s="218" t="s">
        <v>249</v>
      </c>
      <c r="H262" s="218" t="s">
        <v>309</v>
      </c>
      <c r="I262" s="223">
        <v>43830</v>
      </c>
      <c r="J262" s="218" t="s">
        <v>3139</v>
      </c>
      <c r="K262" s="218" t="s">
        <v>3140</v>
      </c>
      <c r="L262" s="218" t="s">
        <v>2617</v>
      </c>
      <c r="M262" s="218" t="s">
        <v>3141</v>
      </c>
      <c r="N262" s="218">
        <v>5.3</v>
      </c>
      <c r="O262" s="218" t="s">
        <v>292</v>
      </c>
      <c r="P262" s="218">
        <v>6.85</v>
      </c>
      <c r="Q262" s="218" t="s">
        <v>405</v>
      </c>
      <c r="R262" s="218" t="s">
        <v>1780</v>
      </c>
      <c r="S262" s="218" t="s">
        <v>400</v>
      </c>
      <c r="T262" s="218" t="s">
        <v>425</v>
      </c>
      <c r="U262" s="218" t="s">
        <v>2591</v>
      </c>
      <c r="V262" s="218" t="s">
        <v>381</v>
      </c>
      <c r="W262" s="218" t="s">
        <v>295</v>
      </c>
      <c r="X262" s="218" t="s">
        <v>379</v>
      </c>
      <c r="Y262" s="218">
        <v>6.22</v>
      </c>
      <c r="Z262" s="218">
        <f t="shared" si="4"/>
        <v>6.85</v>
      </c>
    </row>
    <row r="263" spans="1:26">
      <c r="A263" s="218" t="s">
        <v>2592</v>
      </c>
      <c r="B263" s="218"/>
      <c r="C263" s="218"/>
      <c r="D263" s="218"/>
      <c r="E263" s="218"/>
      <c r="F263" s="219" t="s">
        <v>3142</v>
      </c>
      <c r="G263" s="218" t="s">
        <v>249</v>
      </c>
      <c r="H263" s="218" t="s">
        <v>309</v>
      </c>
      <c r="I263" s="223">
        <v>43830</v>
      </c>
      <c r="J263" s="218" t="s">
        <v>3143</v>
      </c>
      <c r="K263" s="218" t="s">
        <v>3144</v>
      </c>
      <c r="L263" s="218" t="s">
        <v>2617</v>
      </c>
      <c r="M263" s="218" t="s">
        <v>3116</v>
      </c>
      <c r="N263" s="218">
        <v>173.58</v>
      </c>
      <c r="O263" s="218" t="s">
        <v>292</v>
      </c>
      <c r="P263" s="218">
        <v>224.48</v>
      </c>
      <c r="Q263" s="218" t="s">
        <v>385</v>
      </c>
      <c r="R263" s="218" t="s">
        <v>1772</v>
      </c>
      <c r="S263" s="218" t="s">
        <v>400</v>
      </c>
      <c r="T263" s="218" t="s">
        <v>425</v>
      </c>
      <c r="U263" s="218" t="s">
        <v>2591</v>
      </c>
      <c r="V263" s="218" t="s">
        <v>381</v>
      </c>
      <c r="W263" s="218" t="s">
        <v>295</v>
      </c>
      <c r="X263" s="218" t="s">
        <v>379</v>
      </c>
      <c r="Y263" s="218">
        <v>203.78</v>
      </c>
      <c r="Z263" s="218">
        <f t="shared" si="4"/>
        <v>224.48</v>
      </c>
    </row>
    <row r="264" spans="1:26">
      <c r="A264" s="218" t="s">
        <v>2592</v>
      </c>
      <c r="B264" s="218"/>
      <c r="C264" s="218"/>
      <c r="D264" s="218"/>
      <c r="E264" s="218"/>
      <c r="F264" s="219" t="s">
        <v>3145</v>
      </c>
      <c r="G264" s="218" t="s">
        <v>249</v>
      </c>
      <c r="H264" s="218" t="s">
        <v>309</v>
      </c>
      <c r="I264" s="223">
        <v>43830</v>
      </c>
      <c r="J264" s="218" t="s">
        <v>3146</v>
      </c>
      <c r="K264" s="218" t="s">
        <v>3147</v>
      </c>
      <c r="L264" s="218" t="s">
        <v>2617</v>
      </c>
      <c r="M264" s="218" t="s">
        <v>3121</v>
      </c>
      <c r="N264" s="218">
        <v>24.3</v>
      </c>
      <c r="O264" s="218" t="s">
        <v>292</v>
      </c>
      <c r="P264" s="218">
        <v>31.43</v>
      </c>
      <c r="Q264" s="218" t="s">
        <v>391</v>
      </c>
      <c r="R264" s="218" t="s">
        <v>1777</v>
      </c>
      <c r="S264" s="218" t="s">
        <v>400</v>
      </c>
      <c r="T264" s="218" t="s">
        <v>425</v>
      </c>
      <c r="U264" s="218" t="s">
        <v>2591</v>
      </c>
      <c r="V264" s="218" t="s">
        <v>381</v>
      </c>
      <c r="W264" s="218" t="s">
        <v>295</v>
      </c>
      <c r="X264" s="218" t="s">
        <v>379</v>
      </c>
      <c r="Y264" s="218">
        <v>28.53</v>
      </c>
      <c r="Z264" s="218">
        <f t="shared" si="4"/>
        <v>31.43</v>
      </c>
    </row>
    <row r="265" spans="1:26">
      <c r="A265" s="218" t="s">
        <v>2592</v>
      </c>
      <c r="B265" s="218"/>
      <c r="C265" s="218"/>
      <c r="D265" s="218"/>
      <c r="E265" s="218"/>
      <c r="F265" s="219" t="s">
        <v>3148</v>
      </c>
      <c r="G265" s="218" t="s">
        <v>249</v>
      </c>
      <c r="H265" s="218" t="s">
        <v>309</v>
      </c>
      <c r="I265" s="223">
        <v>43830</v>
      </c>
      <c r="J265" s="218" t="s">
        <v>3149</v>
      </c>
      <c r="K265" s="218" t="s">
        <v>3150</v>
      </c>
      <c r="L265" s="218" t="s">
        <v>2617</v>
      </c>
      <c r="M265" s="218" t="s">
        <v>3125</v>
      </c>
      <c r="N265" s="218">
        <v>4.05</v>
      </c>
      <c r="O265" s="218" t="s">
        <v>292</v>
      </c>
      <c r="P265" s="218">
        <v>5.24</v>
      </c>
      <c r="Q265" s="218" t="s">
        <v>405</v>
      </c>
      <c r="R265" s="218" t="s">
        <v>1780</v>
      </c>
      <c r="S265" s="218" t="s">
        <v>400</v>
      </c>
      <c r="T265" s="218" t="s">
        <v>425</v>
      </c>
      <c r="U265" s="218" t="s">
        <v>2591</v>
      </c>
      <c r="V265" s="218" t="s">
        <v>381</v>
      </c>
      <c r="W265" s="218" t="s">
        <v>295</v>
      </c>
      <c r="X265" s="218" t="s">
        <v>379</v>
      </c>
      <c r="Y265" s="218">
        <v>4.75</v>
      </c>
      <c r="Z265" s="218">
        <f t="shared" si="4"/>
        <v>5.24</v>
      </c>
    </row>
    <row r="266" spans="1:26">
      <c r="A266" s="218" t="s">
        <v>2592</v>
      </c>
      <c r="B266" s="218"/>
      <c r="C266" s="218"/>
      <c r="D266" s="218"/>
      <c r="E266" s="218"/>
      <c r="F266" s="219" t="s">
        <v>3151</v>
      </c>
      <c r="G266" s="218" t="s">
        <v>249</v>
      </c>
      <c r="H266" s="218" t="s">
        <v>309</v>
      </c>
      <c r="I266" s="223">
        <v>43830</v>
      </c>
      <c r="J266" s="218" t="s">
        <v>3152</v>
      </c>
      <c r="K266" s="218" t="s">
        <v>3153</v>
      </c>
      <c r="L266" s="218" t="s">
        <v>2617</v>
      </c>
      <c r="M266" s="218" t="s">
        <v>3129</v>
      </c>
      <c r="N266" s="218">
        <v>0.36</v>
      </c>
      <c r="O266" s="218" t="s">
        <v>292</v>
      </c>
      <c r="P266" s="218">
        <v>0.46</v>
      </c>
      <c r="Q266" s="218" t="s">
        <v>405</v>
      </c>
      <c r="R266" s="218" t="s">
        <v>1780</v>
      </c>
      <c r="S266" s="218" t="s">
        <v>400</v>
      </c>
      <c r="T266" s="218" t="s">
        <v>425</v>
      </c>
      <c r="U266" s="218" t="s">
        <v>2591</v>
      </c>
      <c r="V266" s="218" t="s">
        <v>381</v>
      </c>
      <c r="W266" s="218" t="s">
        <v>295</v>
      </c>
      <c r="X266" s="218" t="s">
        <v>379</v>
      </c>
      <c r="Y266" s="218">
        <v>0.42</v>
      </c>
      <c r="Z266" s="218">
        <f t="shared" si="4"/>
        <v>0.46</v>
      </c>
    </row>
    <row r="267" spans="1:26">
      <c r="A267" s="218" t="s">
        <v>2592</v>
      </c>
      <c r="B267" s="218"/>
      <c r="C267" s="218"/>
      <c r="D267" s="218"/>
      <c r="E267" s="218"/>
      <c r="F267" s="219" t="s">
        <v>3154</v>
      </c>
      <c r="G267" s="218" t="s">
        <v>249</v>
      </c>
      <c r="H267" s="218" t="s">
        <v>309</v>
      </c>
      <c r="I267" s="223">
        <v>43830</v>
      </c>
      <c r="J267" s="218" t="s">
        <v>3152</v>
      </c>
      <c r="K267" s="218" t="s">
        <v>3155</v>
      </c>
      <c r="L267" s="218" t="s">
        <v>2617</v>
      </c>
      <c r="M267" s="218" t="s">
        <v>3129</v>
      </c>
      <c r="N267" s="218">
        <v>0.27</v>
      </c>
      <c r="O267" s="218" t="s">
        <v>292</v>
      </c>
      <c r="P267" s="218">
        <v>0.35</v>
      </c>
      <c r="Q267" s="218" t="s">
        <v>405</v>
      </c>
      <c r="R267" s="218" t="s">
        <v>1780</v>
      </c>
      <c r="S267" s="218" t="s">
        <v>400</v>
      </c>
      <c r="T267" s="218" t="s">
        <v>425</v>
      </c>
      <c r="U267" s="218" t="s">
        <v>2591</v>
      </c>
      <c r="V267" s="218" t="s">
        <v>381</v>
      </c>
      <c r="W267" s="218" t="s">
        <v>295</v>
      </c>
      <c r="X267" s="218" t="s">
        <v>379</v>
      </c>
      <c r="Y267" s="218">
        <v>0.32</v>
      </c>
      <c r="Z267" s="218">
        <f t="shared" si="4"/>
        <v>0.35</v>
      </c>
    </row>
    <row r="268" spans="1:26">
      <c r="A268" s="218" t="s">
        <v>2592</v>
      </c>
      <c r="B268" s="218"/>
      <c r="C268" s="218"/>
      <c r="D268" s="218"/>
      <c r="E268" s="218"/>
      <c r="F268" s="219" t="s">
        <v>3156</v>
      </c>
      <c r="G268" s="218" t="s">
        <v>250</v>
      </c>
      <c r="H268" s="218" t="s">
        <v>309</v>
      </c>
      <c r="I268" s="223">
        <v>43769</v>
      </c>
      <c r="J268" s="218" t="s">
        <v>3089</v>
      </c>
      <c r="K268" s="218" t="s">
        <v>3090</v>
      </c>
      <c r="L268" s="218" t="s">
        <v>2596</v>
      </c>
      <c r="M268" s="218" t="s">
        <v>3157</v>
      </c>
      <c r="N268" s="218">
        <v>478.83</v>
      </c>
      <c r="O268" s="218" t="s">
        <v>2591</v>
      </c>
      <c r="P268" s="218">
        <v>0</v>
      </c>
      <c r="Q268" s="218" t="s">
        <v>385</v>
      </c>
      <c r="R268" s="218" t="s">
        <v>1772</v>
      </c>
      <c r="S268" s="218" t="s">
        <v>374</v>
      </c>
      <c r="T268" s="218" t="s">
        <v>440</v>
      </c>
      <c r="U268" s="218" t="s">
        <v>2591</v>
      </c>
      <c r="V268" s="218" t="s">
        <v>381</v>
      </c>
      <c r="W268" s="218" t="s">
        <v>295</v>
      </c>
      <c r="X268" s="218" t="s">
        <v>379</v>
      </c>
      <c r="Y268" s="218">
        <v>539.36</v>
      </c>
      <c r="Z268" s="218">
        <v>589.01</v>
      </c>
    </row>
    <row r="269" spans="1:26">
      <c r="A269" s="218" t="s">
        <v>2592</v>
      </c>
      <c r="B269" s="218"/>
      <c r="C269" s="218"/>
      <c r="D269" s="218"/>
      <c r="E269" s="218"/>
      <c r="F269" s="219" t="s">
        <v>3158</v>
      </c>
      <c r="G269" s="218" t="s">
        <v>250</v>
      </c>
      <c r="H269" s="218" t="s">
        <v>309</v>
      </c>
      <c r="I269" s="223">
        <v>43769</v>
      </c>
      <c r="J269" s="218" t="s">
        <v>3089</v>
      </c>
      <c r="K269" s="218" t="s">
        <v>3092</v>
      </c>
      <c r="L269" s="218" t="s">
        <v>2596</v>
      </c>
      <c r="M269" s="218" t="s">
        <v>3093</v>
      </c>
      <c r="N269" s="218">
        <v>23.94</v>
      </c>
      <c r="O269" s="218" t="s">
        <v>2591</v>
      </c>
      <c r="P269" s="218">
        <v>0</v>
      </c>
      <c r="Q269" s="218" t="s">
        <v>385</v>
      </c>
      <c r="R269" s="218" t="s">
        <v>1772</v>
      </c>
      <c r="S269" s="218" t="s">
        <v>374</v>
      </c>
      <c r="T269" s="218" t="s">
        <v>440</v>
      </c>
      <c r="U269" s="218" t="s">
        <v>2591</v>
      </c>
      <c r="V269" s="218" t="s">
        <v>388</v>
      </c>
      <c r="W269" s="218" t="s">
        <v>295</v>
      </c>
      <c r="X269" s="218" t="s">
        <v>250</v>
      </c>
      <c r="Y269" s="218">
        <v>26.97</v>
      </c>
      <c r="Z269" s="218">
        <v>29.45</v>
      </c>
    </row>
    <row r="270" spans="1:26">
      <c r="A270" s="218" t="s">
        <v>2592</v>
      </c>
      <c r="B270" s="218"/>
      <c r="C270" s="218"/>
      <c r="D270" s="218"/>
      <c r="E270" s="218"/>
      <c r="F270" s="219" t="s">
        <v>3159</v>
      </c>
      <c r="G270" s="218" t="s">
        <v>250</v>
      </c>
      <c r="H270" s="218" t="s">
        <v>309</v>
      </c>
      <c r="I270" s="223">
        <v>43769</v>
      </c>
      <c r="J270" s="218" t="s">
        <v>3089</v>
      </c>
      <c r="K270" s="218" t="s">
        <v>3095</v>
      </c>
      <c r="L270" s="218" t="s">
        <v>2596</v>
      </c>
      <c r="M270" s="218" t="s">
        <v>3096</v>
      </c>
      <c r="N270" s="218">
        <v>7.18</v>
      </c>
      <c r="O270" s="218" t="s">
        <v>2591</v>
      </c>
      <c r="P270" s="218">
        <v>0</v>
      </c>
      <c r="Q270" s="218" t="s">
        <v>385</v>
      </c>
      <c r="R270" s="218" t="s">
        <v>1772</v>
      </c>
      <c r="S270" s="218" t="s">
        <v>374</v>
      </c>
      <c r="T270" s="218" t="s">
        <v>440</v>
      </c>
      <c r="U270" s="218" t="s">
        <v>2591</v>
      </c>
      <c r="V270" s="218" t="s">
        <v>390</v>
      </c>
      <c r="W270" s="218" t="s">
        <v>295</v>
      </c>
      <c r="X270" s="218" t="s">
        <v>379</v>
      </c>
      <c r="Y270" s="218">
        <v>8.09</v>
      </c>
      <c r="Z270" s="218">
        <v>8.83</v>
      </c>
    </row>
    <row r="271" spans="1:26">
      <c r="A271" s="218" t="s">
        <v>2592</v>
      </c>
      <c r="B271" s="218"/>
      <c r="C271" s="218"/>
      <c r="D271" s="218"/>
      <c r="E271" s="218"/>
      <c r="F271" s="219" t="s">
        <v>3160</v>
      </c>
      <c r="G271" s="218" t="s">
        <v>250</v>
      </c>
      <c r="H271" s="218" t="s">
        <v>309</v>
      </c>
      <c r="I271" s="223">
        <v>43769</v>
      </c>
      <c r="J271" s="218" t="s">
        <v>3089</v>
      </c>
      <c r="K271" s="218" t="s">
        <v>3090</v>
      </c>
      <c r="L271" s="218" t="s">
        <v>2596</v>
      </c>
      <c r="M271" s="218" t="s">
        <v>3157</v>
      </c>
      <c r="N271" s="218">
        <v>47.88</v>
      </c>
      <c r="O271" s="218" t="s">
        <v>2591</v>
      </c>
      <c r="P271" s="218">
        <v>0</v>
      </c>
      <c r="Q271" s="218" t="s">
        <v>391</v>
      </c>
      <c r="R271" s="218" t="s">
        <v>1777</v>
      </c>
      <c r="S271" s="218" t="s">
        <v>374</v>
      </c>
      <c r="T271" s="218" t="s">
        <v>440</v>
      </c>
      <c r="U271" s="218" t="s">
        <v>2591</v>
      </c>
      <c r="V271" s="218" t="s">
        <v>381</v>
      </c>
      <c r="W271" s="218" t="s">
        <v>295</v>
      </c>
      <c r="X271" s="218" t="s">
        <v>379</v>
      </c>
      <c r="Y271" s="218">
        <v>53.93</v>
      </c>
      <c r="Z271" s="218">
        <v>58.9</v>
      </c>
    </row>
    <row r="272" spans="1:26">
      <c r="A272" s="218" t="s">
        <v>2592</v>
      </c>
      <c r="B272" s="218"/>
      <c r="C272" s="218"/>
      <c r="D272" s="218"/>
      <c r="E272" s="218"/>
      <c r="F272" s="219" t="s">
        <v>3161</v>
      </c>
      <c r="G272" s="218" t="s">
        <v>250</v>
      </c>
      <c r="H272" s="218" t="s">
        <v>309</v>
      </c>
      <c r="I272" s="223">
        <v>43799</v>
      </c>
      <c r="J272" s="218" t="s">
        <v>2591</v>
      </c>
      <c r="K272" s="218" t="s">
        <v>3162</v>
      </c>
      <c r="L272" s="218" t="s">
        <v>3163</v>
      </c>
      <c r="M272" s="218" t="s">
        <v>3164</v>
      </c>
      <c r="N272" s="218">
        <v>621.79</v>
      </c>
      <c r="O272" s="218" t="s">
        <v>2591</v>
      </c>
      <c r="P272" s="218">
        <v>0</v>
      </c>
      <c r="Q272" s="218" t="s">
        <v>385</v>
      </c>
      <c r="R272" s="218" t="s">
        <v>1772</v>
      </c>
      <c r="S272" s="218" t="s">
        <v>374</v>
      </c>
      <c r="T272" s="218" t="s">
        <v>440</v>
      </c>
      <c r="U272" s="218" t="s">
        <v>2591</v>
      </c>
      <c r="V272" s="218" t="s">
        <v>381</v>
      </c>
      <c r="W272" s="218" t="s">
        <v>295</v>
      </c>
      <c r="X272" s="218" t="s">
        <v>379</v>
      </c>
      <c r="Y272" s="218">
        <v>721.33</v>
      </c>
      <c r="Z272" s="218">
        <v>804.74</v>
      </c>
    </row>
    <row r="273" spans="1:26">
      <c r="A273" s="218" t="s">
        <v>2592</v>
      </c>
      <c r="B273" s="218"/>
      <c r="C273" s="218"/>
      <c r="D273" s="218"/>
      <c r="E273" s="218"/>
      <c r="F273" s="219" t="s">
        <v>3165</v>
      </c>
      <c r="G273" s="218" t="s">
        <v>250</v>
      </c>
      <c r="H273" s="218" t="s">
        <v>309</v>
      </c>
      <c r="I273" s="223">
        <v>43799</v>
      </c>
      <c r="J273" s="218" t="s">
        <v>2591</v>
      </c>
      <c r="K273" s="218" t="s">
        <v>3162</v>
      </c>
      <c r="L273" s="218" t="s">
        <v>3163</v>
      </c>
      <c r="M273" s="218" t="s">
        <v>3164</v>
      </c>
      <c r="N273" s="218">
        <v>62.18</v>
      </c>
      <c r="O273" s="218" t="s">
        <v>2591</v>
      </c>
      <c r="P273" s="218">
        <v>0</v>
      </c>
      <c r="Q273" s="218" t="s">
        <v>391</v>
      </c>
      <c r="R273" s="218" t="s">
        <v>1777</v>
      </c>
      <c r="S273" s="218" t="s">
        <v>374</v>
      </c>
      <c r="T273" s="218" t="s">
        <v>440</v>
      </c>
      <c r="U273" s="218" t="s">
        <v>2591</v>
      </c>
      <c r="V273" s="218" t="s">
        <v>381</v>
      </c>
      <c r="W273" s="218" t="s">
        <v>295</v>
      </c>
      <c r="X273" s="218" t="s">
        <v>379</v>
      </c>
      <c r="Y273" s="218">
        <v>72.13</v>
      </c>
      <c r="Z273" s="218">
        <v>80.48</v>
      </c>
    </row>
    <row r="274" spans="1:26">
      <c r="A274" s="218" t="s">
        <v>2592</v>
      </c>
      <c r="B274" s="218"/>
      <c r="C274" s="218"/>
      <c r="D274" s="218"/>
      <c r="E274" s="218"/>
      <c r="F274" s="219" t="s">
        <v>3166</v>
      </c>
      <c r="G274" s="218" t="s">
        <v>250</v>
      </c>
      <c r="H274" s="218" t="s">
        <v>309</v>
      </c>
      <c r="I274" s="223">
        <v>43799</v>
      </c>
      <c r="J274" s="218" t="s">
        <v>2591</v>
      </c>
      <c r="K274" s="218" t="s">
        <v>3162</v>
      </c>
      <c r="L274" s="218" t="s">
        <v>3167</v>
      </c>
      <c r="M274" s="218" t="s">
        <v>3168</v>
      </c>
      <c r="N274" s="218">
        <v>31.09</v>
      </c>
      <c r="O274" s="218" t="s">
        <v>2591</v>
      </c>
      <c r="P274" s="218">
        <v>0</v>
      </c>
      <c r="Q274" s="218" t="s">
        <v>385</v>
      </c>
      <c r="R274" s="218" t="s">
        <v>1772</v>
      </c>
      <c r="S274" s="218" t="s">
        <v>374</v>
      </c>
      <c r="T274" s="218" t="s">
        <v>440</v>
      </c>
      <c r="U274" s="218" t="s">
        <v>2591</v>
      </c>
      <c r="V274" s="218" t="s">
        <v>388</v>
      </c>
      <c r="W274" s="218" t="s">
        <v>295</v>
      </c>
      <c r="X274" s="218" t="s">
        <v>379</v>
      </c>
      <c r="Y274" s="218">
        <v>36.07</v>
      </c>
      <c r="Z274" s="218">
        <v>40.24</v>
      </c>
    </row>
    <row r="275" spans="1:26">
      <c r="A275" s="218" t="s">
        <v>2592</v>
      </c>
      <c r="B275" s="218"/>
      <c r="C275" s="218"/>
      <c r="D275" s="218"/>
      <c r="E275" s="218"/>
      <c r="F275" s="219" t="s">
        <v>3169</v>
      </c>
      <c r="G275" s="218" t="s">
        <v>250</v>
      </c>
      <c r="H275" s="218" t="s">
        <v>309</v>
      </c>
      <c r="I275" s="223">
        <v>43799</v>
      </c>
      <c r="J275" s="218" t="s">
        <v>2591</v>
      </c>
      <c r="K275" s="218" t="s">
        <v>3162</v>
      </c>
      <c r="L275" s="218" t="s">
        <v>3170</v>
      </c>
      <c r="M275" s="218" t="s">
        <v>3171</v>
      </c>
      <c r="N275" s="218">
        <v>9.33</v>
      </c>
      <c r="O275" s="218" t="s">
        <v>2591</v>
      </c>
      <c r="P275" s="218">
        <v>0</v>
      </c>
      <c r="Q275" s="218" t="s">
        <v>385</v>
      </c>
      <c r="R275" s="218" t="s">
        <v>1772</v>
      </c>
      <c r="S275" s="218" t="s">
        <v>374</v>
      </c>
      <c r="T275" s="218" t="s">
        <v>440</v>
      </c>
      <c r="U275" s="218" t="s">
        <v>2591</v>
      </c>
      <c r="V275" s="218" t="s">
        <v>390</v>
      </c>
      <c r="W275" s="218" t="s">
        <v>295</v>
      </c>
      <c r="X275" s="218" t="s">
        <v>379</v>
      </c>
      <c r="Y275" s="218">
        <v>10.82</v>
      </c>
      <c r="Z275" s="218">
        <v>12.08</v>
      </c>
    </row>
    <row r="276" spans="1:26">
      <c r="A276" s="218" t="s">
        <v>2592</v>
      </c>
      <c r="B276" s="218"/>
      <c r="C276" s="218"/>
      <c r="D276" s="218"/>
      <c r="E276" s="218"/>
      <c r="F276" s="219" t="s">
        <v>3172</v>
      </c>
      <c r="G276" s="218" t="s">
        <v>250</v>
      </c>
      <c r="H276" s="218" t="s">
        <v>309</v>
      </c>
      <c r="I276" s="223">
        <v>43830</v>
      </c>
      <c r="J276" s="218" t="s">
        <v>2591</v>
      </c>
      <c r="K276" s="218" t="s">
        <v>3077</v>
      </c>
      <c r="L276" s="218" t="s">
        <v>3078</v>
      </c>
      <c r="M276" s="218" t="s">
        <v>441</v>
      </c>
      <c r="N276" s="218">
        <v>207.26</v>
      </c>
      <c r="O276" s="218" t="s">
        <v>2591</v>
      </c>
      <c r="P276" s="218">
        <v>0</v>
      </c>
      <c r="Q276" s="218" t="s">
        <v>385</v>
      </c>
      <c r="R276" s="218" t="s">
        <v>1772</v>
      </c>
      <c r="S276" s="218" t="s">
        <v>374</v>
      </c>
      <c r="T276" s="218" t="s">
        <v>440</v>
      </c>
      <c r="U276" s="218" t="s">
        <v>2591</v>
      </c>
      <c r="V276" s="218" t="s">
        <v>381</v>
      </c>
      <c r="W276" s="218" t="s">
        <v>295</v>
      </c>
      <c r="X276" s="218" t="s">
        <v>379</v>
      </c>
      <c r="Y276" s="218">
        <v>243.32</v>
      </c>
      <c r="Z276" s="218">
        <v>268.04000000000002</v>
      </c>
    </row>
    <row r="277" spans="1:26">
      <c r="A277" s="218" t="s">
        <v>2592</v>
      </c>
      <c r="B277" s="218"/>
      <c r="C277" s="218"/>
      <c r="D277" s="218"/>
      <c r="E277" s="218"/>
      <c r="F277" s="219" t="s">
        <v>3173</v>
      </c>
      <c r="G277" s="218" t="s">
        <v>250</v>
      </c>
      <c r="H277" s="218" t="s">
        <v>309</v>
      </c>
      <c r="I277" s="223">
        <v>43830</v>
      </c>
      <c r="J277" s="218" t="s">
        <v>2591</v>
      </c>
      <c r="K277" s="218" t="s">
        <v>3077</v>
      </c>
      <c r="L277" s="218" t="s">
        <v>3078</v>
      </c>
      <c r="M277" s="218" t="s">
        <v>441</v>
      </c>
      <c r="N277" s="218">
        <v>20.73</v>
      </c>
      <c r="O277" s="218" t="s">
        <v>2591</v>
      </c>
      <c r="P277" s="218">
        <v>0</v>
      </c>
      <c r="Q277" s="218" t="s">
        <v>391</v>
      </c>
      <c r="R277" s="218" t="s">
        <v>1777</v>
      </c>
      <c r="S277" s="218" t="s">
        <v>374</v>
      </c>
      <c r="T277" s="218" t="s">
        <v>440</v>
      </c>
      <c r="U277" s="218" t="s">
        <v>2591</v>
      </c>
      <c r="V277" s="218" t="s">
        <v>381</v>
      </c>
      <c r="W277" s="218" t="s">
        <v>295</v>
      </c>
      <c r="X277" s="218" t="s">
        <v>379</v>
      </c>
      <c r="Y277" s="218">
        <v>24.34</v>
      </c>
      <c r="Z277" s="218">
        <v>26.81</v>
      </c>
    </row>
    <row r="278" spans="1:26">
      <c r="A278" s="218" t="s">
        <v>2592</v>
      </c>
      <c r="B278" s="218"/>
      <c r="C278" s="218"/>
      <c r="D278" s="218"/>
      <c r="E278" s="218"/>
      <c r="F278" s="219" t="s">
        <v>3174</v>
      </c>
      <c r="G278" s="218" t="s">
        <v>250</v>
      </c>
      <c r="H278" s="218" t="s">
        <v>309</v>
      </c>
      <c r="I278" s="223">
        <v>43830</v>
      </c>
      <c r="J278" s="218" t="s">
        <v>2591</v>
      </c>
      <c r="K278" s="218" t="s">
        <v>3083</v>
      </c>
      <c r="L278" s="218" t="s">
        <v>3084</v>
      </c>
      <c r="M278" s="218" t="s">
        <v>3083</v>
      </c>
      <c r="N278" s="218">
        <v>10.36</v>
      </c>
      <c r="O278" s="218" t="s">
        <v>2591</v>
      </c>
      <c r="P278" s="218">
        <v>0</v>
      </c>
      <c r="Q278" s="218" t="s">
        <v>385</v>
      </c>
      <c r="R278" s="218" t="s">
        <v>1772</v>
      </c>
      <c r="S278" s="218" t="s">
        <v>374</v>
      </c>
      <c r="T278" s="218" t="s">
        <v>440</v>
      </c>
      <c r="U278" s="218" t="s">
        <v>2591</v>
      </c>
      <c r="V278" s="218" t="s">
        <v>388</v>
      </c>
      <c r="W278" s="218" t="s">
        <v>295</v>
      </c>
      <c r="X278" s="218" t="s">
        <v>379</v>
      </c>
      <c r="Y278" s="218">
        <v>12.16</v>
      </c>
      <c r="Z278" s="218">
        <v>13.4</v>
      </c>
    </row>
    <row r="279" spans="1:26">
      <c r="A279" s="218" t="s">
        <v>2592</v>
      </c>
      <c r="B279" s="218"/>
      <c r="C279" s="218"/>
      <c r="D279" s="218"/>
      <c r="E279" s="218"/>
      <c r="F279" s="219" t="s">
        <v>3175</v>
      </c>
      <c r="G279" s="218" t="s">
        <v>250</v>
      </c>
      <c r="H279" s="218" t="s">
        <v>309</v>
      </c>
      <c r="I279" s="223">
        <v>43830</v>
      </c>
      <c r="J279" s="218" t="s">
        <v>2591</v>
      </c>
      <c r="K279" s="218" t="s">
        <v>3086</v>
      </c>
      <c r="L279" s="218" t="s">
        <v>3087</v>
      </c>
      <c r="M279" s="218" t="s">
        <v>3086</v>
      </c>
      <c r="N279" s="218">
        <v>3.11</v>
      </c>
      <c r="O279" s="218" t="s">
        <v>2591</v>
      </c>
      <c r="P279" s="218">
        <v>0</v>
      </c>
      <c r="Q279" s="218" t="s">
        <v>385</v>
      </c>
      <c r="R279" s="218" t="s">
        <v>1772</v>
      </c>
      <c r="S279" s="218" t="s">
        <v>374</v>
      </c>
      <c r="T279" s="218" t="s">
        <v>440</v>
      </c>
      <c r="U279" s="218" t="s">
        <v>2591</v>
      </c>
      <c r="V279" s="218" t="s">
        <v>390</v>
      </c>
      <c r="W279" s="218" t="s">
        <v>295</v>
      </c>
      <c r="X279" s="218" t="s">
        <v>379</v>
      </c>
      <c r="Y279" s="218">
        <v>3.65</v>
      </c>
      <c r="Z279" s="218">
        <v>4.0199999999999996</v>
      </c>
    </row>
    <row r="280" spans="1:26">
      <c r="A280" s="218" t="s">
        <v>2592</v>
      </c>
      <c r="B280" s="218"/>
      <c r="C280" s="218"/>
      <c r="D280" s="218"/>
      <c r="E280" s="218"/>
      <c r="F280" s="219" t="s">
        <v>3176</v>
      </c>
      <c r="G280" s="218" t="s">
        <v>251</v>
      </c>
      <c r="H280" s="218" t="s">
        <v>309</v>
      </c>
      <c r="I280" s="223">
        <v>43769</v>
      </c>
      <c r="J280" s="218" t="s">
        <v>3089</v>
      </c>
      <c r="K280" s="218" t="s">
        <v>3090</v>
      </c>
      <c r="L280" s="218" t="s">
        <v>2596</v>
      </c>
      <c r="M280" s="218" t="s">
        <v>846</v>
      </c>
      <c r="N280" s="218">
        <v>382.58</v>
      </c>
      <c r="O280" s="218" t="s">
        <v>2591</v>
      </c>
      <c r="P280" s="218">
        <v>0</v>
      </c>
      <c r="Q280" s="218" t="s">
        <v>385</v>
      </c>
      <c r="R280" s="218" t="s">
        <v>1772</v>
      </c>
      <c r="S280" s="218" t="s">
        <v>374</v>
      </c>
      <c r="T280" s="218" t="s">
        <v>445</v>
      </c>
      <c r="U280" s="218" t="s">
        <v>2591</v>
      </c>
      <c r="V280" s="218" t="s">
        <v>381</v>
      </c>
      <c r="W280" s="218" t="s">
        <v>295</v>
      </c>
      <c r="X280" s="218" t="s">
        <v>218</v>
      </c>
      <c r="Y280" s="218">
        <v>430.94</v>
      </c>
      <c r="Z280" s="218">
        <v>470.62</v>
      </c>
    </row>
    <row r="281" spans="1:26">
      <c r="A281" s="218" t="s">
        <v>2592</v>
      </c>
      <c r="B281" s="218"/>
      <c r="C281" s="218"/>
      <c r="D281" s="218"/>
      <c r="E281" s="218"/>
      <c r="F281" s="219" t="s">
        <v>3177</v>
      </c>
      <c r="G281" s="218" t="s">
        <v>251</v>
      </c>
      <c r="H281" s="218" t="s">
        <v>309</v>
      </c>
      <c r="I281" s="223">
        <v>43769</v>
      </c>
      <c r="J281" s="218" t="s">
        <v>3089</v>
      </c>
      <c r="K281" s="218" t="s">
        <v>3092</v>
      </c>
      <c r="L281" s="218" t="s">
        <v>2596</v>
      </c>
      <c r="M281" s="218" t="s">
        <v>3093</v>
      </c>
      <c r="N281" s="218">
        <v>19.13</v>
      </c>
      <c r="O281" s="218" t="s">
        <v>2591</v>
      </c>
      <c r="P281" s="218">
        <v>0</v>
      </c>
      <c r="Q281" s="218" t="s">
        <v>385</v>
      </c>
      <c r="R281" s="218" t="s">
        <v>1772</v>
      </c>
      <c r="S281" s="218" t="s">
        <v>374</v>
      </c>
      <c r="T281" s="218" t="s">
        <v>445</v>
      </c>
      <c r="U281" s="218" t="s">
        <v>2591</v>
      </c>
      <c r="V281" s="218" t="s">
        <v>388</v>
      </c>
      <c r="W281" s="218" t="s">
        <v>295</v>
      </c>
      <c r="X281" s="218" t="s">
        <v>251</v>
      </c>
      <c r="Y281" s="218">
        <v>21.55</v>
      </c>
      <c r="Z281" s="218">
        <v>23.53</v>
      </c>
    </row>
    <row r="282" spans="1:26">
      <c r="A282" s="218" t="s">
        <v>2592</v>
      </c>
      <c r="B282" s="218"/>
      <c r="C282" s="218"/>
      <c r="D282" s="218"/>
      <c r="E282" s="218"/>
      <c r="F282" s="219" t="s">
        <v>3178</v>
      </c>
      <c r="G282" s="218" t="s">
        <v>251</v>
      </c>
      <c r="H282" s="218" t="s">
        <v>309</v>
      </c>
      <c r="I282" s="223">
        <v>43769</v>
      </c>
      <c r="J282" s="218" t="s">
        <v>3089</v>
      </c>
      <c r="K282" s="218" t="s">
        <v>3095</v>
      </c>
      <c r="L282" s="218" t="s">
        <v>2596</v>
      </c>
      <c r="M282" s="218" t="s">
        <v>3096</v>
      </c>
      <c r="N282" s="218">
        <v>5.74</v>
      </c>
      <c r="O282" s="218" t="s">
        <v>2591</v>
      </c>
      <c r="P282" s="218">
        <v>0</v>
      </c>
      <c r="Q282" s="218" t="s">
        <v>385</v>
      </c>
      <c r="R282" s="218" t="s">
        <v>1772</v>
      </c>
      <c r="S282" s="218" t="s">
        <v>374</v>
      </c>
      <c r="T282" s="218" t="s">
        <v>445</v>
      </c>
      <c r="U282" s="218" t="s">
        <v>2591</v>
      </c>
      <c r="V282" s="218" t="s">
        <v>390</v>
      </c>
      <c r="W282" s="218" t="s">
        <v>295</v>
      </c>
      <c r="X282" s="218" t="s">
        <v>218</v>
      </c>
      <c r="Y282" s="218">
        <v>6.47</v>
      </c>
      <c r="Z282" s="218">
        <v>7.06</v>
      </c>
    </row>
    <row r="283" spans="1:26">
      <c r="A283" s="218" t="s">
        <v>2592</v>
      </c>
      <c r="B283" s="218"/>
      <c r="C283" s="218"/>
      <c r="D283" s="218"/>
      <c r="E283" s="218"/>
      <c r="F283" s="219" t="s">
        <v>3179</v>
      </c>
      <c r="G283" s="218" t="s">
        <v>251</v>
      </c>
      <c r="H283" s="218" t="s">
        <v>309</v>
      </c>
      <c r="I283" s="223">
        <v>43769</v>
      </c>
      <c r="J283" s="218" t="s">
        <v>3089</v>
      </c>
      <c r="K283" s="218" t="s">
        <v>3090</v>
      </c>
      <c r="L283" s="218" t="s">
        <v>2596</v>
      </c>
      <c r="M283" s="218" t="s">
        <v>846</v>
      </c>
      <c r="N283" s="218">
        <v>38.26</v>
      </c>
      <c r="O283" s="218" t="s">
        <v>2591</v>
      </c>
      <c r="P283" s="218">
        <v>0</v>
      </c>
      <c r="Q283" s="218" t="s">
        <v>391</v>
      </c>
      <c r="R283" s="218" t="s">
        <v>1777</v>
      </c>
      <c r="S283" s="218" t="s">
        <v>374</v>
      </c>
      <c r="T283" s="218" t="s">
        <v>445</v>
      </c>
      <c r="U283" s="218" t="s">
        <v>2591</v>
      </c>
      <c r="V283" s="218" t="s">
        <v>381</v>
      </c>
      <c r="W283" s="218" t="s">
        <v>295</v>
      </c>
      <c r="X283" s="218" t="s">
        <v>218</v>
      </c>
      <c r="Y283" s="218">
        <v>43.1</v>
      </c>
      <c r="Z283" s="218">
        <v>47.06</v>
      </c>
    </row>
    <row r="284" spans="1:26">
      <c r="A284" s="218" t="s">
        <v>2592</v>
      </c>
      <c r="B284" s="218"/>
      <c r="C284" s="218"/>
      <c r="D284" s="218"/>
      <c r="E284" s="218"/>
      <c r="F284" s="219" t="s">
        <v>3180</v>
      </c>
      <c r="G284" s="218" t="s">
        <v>251</v>
      </c>
      <c r="H284" s="218" t="s">
        <v>309</v>
      </c>
      <c r="I284" s="223">
        <v>43799</v>
      </c>
      <c r="J284" s="218" t="s">
        <v>2591</v>
      </c>
      <c r="K284" s="218" t="s">
        <v>3162</v>
      </c>
      <c r="L284" s="218" t="s">
        <v>3163</v>
      </c>
      <c r="M284" s="218" t="s">
        <v>846</v>
      </c>
      <c r="N284" s="218">
        <v>375.32</v>
      </c>
      <c r="O284" s="218" t="s">
        <v>2591</v>
      </c>
      <c r="P284" s="218">
        <v>0</v>
      </c>
      <c r="Q284" s="218" t="s">
        <v>385</v>
      </c>
      <c r="R284" s="218" t="s">
        <v>1772</v>
      </c>
      <c r="S284" s="218" t="s">
        <v>374</v>
      </c>
      <c r="T284" s="218" t="s">
        <v>445</v>
      </c>
      <c r="U284" s="218" t="s">
        <v>2591</v>
      </c>
      <c r="V284" s="218" t="s">
        <v>381</v>
      </c>
      <c r="W284" s="218" t="s">
        <v>295</v>
      </c>
      <c r="X284" s="218" t="s">
        <v>379</v>
      </c>
      <c r="Y284" s="218">
        <v>435.4</v>
      </c>
      <c r="Z284" s="218">
        <v>485.75</v>
      </c>
    </row>
    <row r="285" spans="1:26">
      <c r="A285" s="218" t="s">
        <v>2592</v>
      </c>
      <c r="B285" s="218"/>
      <c r="C285" s="218"/>
      <c r="D285" s="218"/>
      <c r="E285" s="218"/>
      <c r="F285" s="219" t="s">
        <v>3181</v>
      </c>
      <c r="G285" s="218" t="s">
        <v>251</v>
      </c>
      <c r="H285" s="218" t="s">
        <v>309</v>
      </c>
      <c r="I285" s="223">
        <v>43799</v>
      </c>
      <c r="J285" s="218" t="s">
        <v>2591</v>
      </c>
      <c r="K285" s="218" t="s">
        <v>3162</v>
      </c>
      <c r="L285" s="218" t="s">
        <v>3163</v>
      </c>
      <c r="M285" s="218" t="s">
        <v>846</v>
      </c>
      <c r="N285" s="218">
        <v>37.53</v>
      </c>
      <c r="O285" s="218" t="s">
        <v>2591</v>
      </c>
      <c r="P285" s="218">
        <v>0</v>
      </c>
      <c r="Q285" s="218" t="s">
        <v>391</v>
      </c>
      <c r="R285" s="218" t="s">
        <v>1777</v>
      </c>
      <c r="S285" s="218" t="s">
        <v>374</v>
      </c>
      <c r="T285" s="218" t="s">
        <v>445</v>
      </c>
      <c r="U285" s="218" t="s">
        <v>2591</v>
      </c>
      <c r="V285" s="218" t="s">
        <v>381</v>
      </c>
      <c r="W285" s="218" t="s">
        <v>295</v>
      </c>
      <c r="X285" s="218" t="s">
        <v>379</v>
      </c>
      <c r="Y285" s="218">
        <v>43.54</v>
      </c>
      <c r="Z285" s="218">
        <v>48.57</v>
      </c>
    </row>
    <row r="286" spans="1:26">
      <c r="A286" s="218" t="s">
        <v>2592</v>
      </c>
      <c r="B286" s="218"/>
      <c r="C286" s="218"/>
      <c r="D286" s="218"/>
      <c r="E286" s="218"/>
      <c r="F286" s="219" t="s">
        <v>3182</v>
      </c>
      <c r="G286" s="218" t="s">
        <v>251</v>
      </c>
      <c r="H286" s="218" t="s">
        <v>309</v>
      </c>
      <c r="I286" s="223">
        <v>43799</v>
      </c>
      <c r="J286" s="218" t="s">
        <v>2591</v>
      </c>
      <c r="K286" s="218" t="s">
        <v>3162</v>
      </c>
      <c r="L286" s="218" t="s">
        <v>3167</v>
      </c>
      <c r="M286" s="218" t="s">
        <v>3168</v>
      </c>
      <c r="N286" s="218">
        <v>18.77</v>
      </c>
      <c r="O286" s="218" t="s">
        <v>2591</v>
      </c>
      <c r="P286" s="218">
        <v>0</v>
      </c>
      <c r="Q286" s="218" t="s">
        <v>385</v>
      </c>
      <c r="R286" s="218" t="s">
        <v>1772</v>
      </c>
      <c r="S286" s="218" t="s">
        <v>374</v>
      </c>
      <c r="T286" s="218" t="s">
        <v>445</v>
      </c>
      <c r="U286" s="218" t="s">
        <v>2591</v>
      </c>
      <c r="V286" s="218" t="s">
        <v>388</v>
      </c>
      <c r="W286" s="218" t="s">
        <v>295</v>
      </c>
      <c r="X286" s="218" t="s">
        <v>379</v>
      </c>
      <c r="Y286" s="218">
        <v>21.77</v>
      </c>
      <c r="Z286" s="218">
        <v>24.29</v>
      </c>
    </row>
    <row r="287" spans="1:26">
      <c r="A287" s="218" t="s">
        <v>2592</v>
      </c>
      <c r="B287" s="218"/>
      <c r="C287" s="218"/>
      <c r="D287" s="218"/>
      <c r="E287" s="218"/>
      <c r="F287" s="219" t="s">
        <v>3183</v>
      </c>
      <c r="G287" s="218" t="s">
        <v>251</v>
      </c>
      <c r="H287" s="218" t="s">
        <v>309</v>
      </c>
      <c r="I287" s="223">
        <v>43799</v>
      </c>
      <c r="J287" s="218" t="s">
        <v>2591</v>
      </c>
      <c r="K287" s="218" t="s">
        <v>3162</v>
      </c>
      <c r="L287" s="218" t="s">
        <v>3170</v>
      </c>
      <c r="M287" s="218" t="s">
        <v>3171</v>
      </c>
      <c r="N287" s="218">
        <v>5.63</v>
      </c>
      <c r="O287" s="218" t="s">
        <v>2591</v>
      </c>
      <c r="P287" s="218">
        <v>0</v>
      </c>
      <c r="Q287" s="218" t="s">
        <v>385</v>
      </c>
      <c r="R287" s="218" t="s">
        <v>1772</v>
      </c>
      <c r="S287" s="218" t="s">
        <v>374</v>
      </c>
      <c r="T287" s="218" t="s">
        <v>445</v>
      </c>
      <c r="U287" s="218" t="s">
        <v>2591</v>
      </c>
      <c r="V287" s="218" t="s">
        <v>390</v>
      </c>
      <c r="W287" s="218" t="s">
        <v>295</v>
      </c>
      <c r="X287" s="218" t="s">
        <v>379</v>
      </c>
      <c r="Y287" s="218">
        <v>6.53</v>
      </c>
      <c r="Z287" s="218">
        <v>7.29</v>
      </c>
    </row>
    <row r="288" spans="1:26">
      <c r="A288" s="218" t="s">
        <v>2592</v>
      </c>
      <c r="B288" s="218"/>
      <c r="C288" s="218"/>
      <c r="D288" s="218"/>
      <c r="E288" s="218"/>
      <c r="F288" s="219" t="s">
        <v>3184</v>
      </c>
      <c r="G288" s="218" t="s">
        <v>251</v>
      </c>
      <c r="H288" s="218" t="s">
        <v>309</v>
      </c>
      <c r="I288" s="223">
        <v>43830</v>
      </c>
      <c r="J288" s="218" t="s">
        <v>2591</v>
      </c>
      <c r="K288" s="218" t="s">
        <v>3077</v>
      </c>
      <c r="L288" s="218" t="s">
        <v>3078</v>
      </c>
      <c r="M288" s="218" t="s">
        <v>446</v>
      </c>
      <c r="N288" s="218">
        <v>187.67</v>
      </c>
      <c r="O288" s="218" t="s">
        <v>2591</v>
      </c>
      <c r="P288" s="218">
        <v>0</v>
      </c>
      <c r="Q288" s="218" t="s">
        <v>385</v>
      </c>
      <c r="R288" s="218" t="s">
        <v>1772</v>
      </c>
      <c r="S288" s="218" t="s">
        <v>374</v>
      </c>
      <c r="T288" s="218" t="s">
        <v>445</v>
      </c>
      <c r="U288" s="218" t="s">
        <v>2591</v>
      </c>
      <c r="V288" s="218" t="s">
        <v>381</v>
      </c>
      <c r="W288" s="218" t="s">
        <v>295</v>
      </c>
      <c r="X288" s="218" t="s">
        <v>218</v>
      </c>
      <c r="Y288" s="218">
        <v>220.32</v>
      </c>
      <c r="Z288" s="218">
        <v>242.7</v>
      </c>
    </row>
    <row r="289" spans="1:26">
      <c r="A289" s="218" t="s">
        <v>2592</v>
      </c>
      <c r="B289" s="218"/>
      <c r="C289" s="218"/>
      <c r="D289" s="218"/>
      <c r="E289" s="218"/>
      <c r="F289" s="219" t="s">
        <v>3185</v>
      </c>
      <c r="G289" s="218" t="s">
        <v>251</v>
      </c>
      <c r="H289" s="218" t="s">
        <v>309</v>
      </c>
      <c r="I289" s="223">
        <v>43830</v>
      </c>
      <c r="J289" s="218" t="s">
        <v>2591</v>
      </c>
      <c r="K289" s="218" t="s">
        <v>3077</v>
      </c>
      <c r="L289" s="218" t="s">
        <v>3078</v>
      </c>
      <c r="M289" s="218" t="s">
        <v>446</v>
      </c>
      <c r="N289" s="218">
        <v>18.77</v>
      </c>
      <c r="O289" s="218" t="s">
        <v>2591</v>
      </c>
      <c r="P289" s="218">
        <v>0</v>
      </c>
      <c r="Q289" s="218" t="s">
        <v>391</v>
      </c>
      <c r="R289" s="218" t="s">
        <v>1777</v>
      </c>
      <c r="S289" s="218" t="s">
        <v>374</v>
      </c>
      <c r="T289" s="218" t="s">
        <v>445</v>
      </c>
      <c r="U289" s="218" t="s">
        <v>2591</v>
      </c>
      <c r="V289" s="218" t="s">
        <v>381</v>
      </c>
      <c r="W289" s="218" t="s">
        <v>295</v>
      </c>
      <c r="X289" s="218" t="s">
        <v>218</v>
      </c>
      <c r="Y289" s="218">
        <v>22.04</v>
      </c>
      <c r="Z289" s="218">
        <v>24.27</v>
      </c>
    </row>
    <row r="290" spans="1:26">
      <c r="A290" s="218" t="s">
        <v>2592</v>
      </c>
      <c r="B290" s="218"/>
      <c r="C290" s="218"/>
      <c r="D290" s="218"/>
      <c r="E290" s="218"/>
      <c r="F290" s="219" t="s">
        <v>3186</v>
      </c>
      <c r="G290" s="218" t="s">
        <v>251</v>
      </c>
      <c r="H290" s="218" t="s">
        <v>309</v>
      </c>
      <c r="I290" s="223">
        <v>43830</v>
      </c>
      <c r="J290" s="218" t="s">
        <v>2591</v>
      </c>
      <c r="K290" s="218" t="s">
        <v>3083</v>
      </c>
      <c r="L290" s="218" t="s">
        <v>3084</v>
      </c>
      <c r="M290" s="218" t="s">
        <v>3083</v>
      </c>
      <c r="N290" s="218">
        <v>9.3800000000000008</v>
      </c>
      <c r="O290" s="218" t="s">
        <v>2591</v>
      </c>
      <c r="P290" s="218">
        <v>0</v>
      </c>
      <c r="Q290" s="218" t="s">
        <v>385</v>
      </c>
      <c r="R290" s="218" t="s">
        <v>1772</v>
      </c>
      <c r="S290" s="218" t="s">
        <v>374</v>
      </c>
      <c r="T290" s="218" t="s">
        <v>445</v>
      </c>
      <c r="U290" s="218" t="s">
        <v>2591</v>
      </c>
      <c r="V290" s="218" t="s">
        <v>388</v>
      </c>
      <c r="W290" s="218" t="s">
        <v>295</v>
      </c>
      <c r="X290" s="218" t="s">
        <v>379</v>
      </c>
      <c r="Y290" s="218">
        <v>11.01</v>
      </c>
      <c r="Z290" s="218">
        <v>12.13</v>
      </c>
    </row>
    <row r="291" spans="1:26">
      <c r="A291" s="218" t="s">
        <v>2592</v>
      </c>
      <c r="B291" s="218"/>
      <c r="C291" s="218"/>
      <c r="D291" s="218"/>
      <c r="E291" s="218"/>
      <c r="F291" s="219" t="s">
        <v>3187</v>
      </c>
      <c r="G291" s="218" t="s">
        <v>251</v>
      </c>
      <c r="H291" s="218" t="s">
        <v>309</v>
      </c>
      <c r="I291" s="223">
        <v>43830</v>
      </c>
      <c r="J291" s="218" t="s">
        <v>2591</v>
      </c>
      <c r="K291" s="218" t="s">
        <v>3086</v>
      </c>
      <c r="L291" s="218" t="s">
        <v>3087</v>
      </c>
      <c r="M291" s="218" t="s">
        <v>3086</v>
      </c>
      <c r="N291" s="218">
        <v>2.82</v>
      </c>
      <c r="O291" s="218" t="s">
        <v>2591</v>
      </c>
      <c r="P291" s="218">
        <v>0</v>
      </c>
      <c r="Q291" s="218" t="s">
        <v>385</v>
      </c>
      <c r="R291" s="218" t="s">
        <v>1772</v>
      </c>
      <c r="S291" s="218" t="s">
        <v>374</v>
      </c>
      <c r="T291" s="218" t="s">
        <v>445</v>
      </c>
      <c r="U291" s="218" t="s">
        <v>2591</v>
      </c>
      <c r="V291" s="218" t="s">
        <v>390</v>
      </c>
      <c r="W291" s="218" t="s">
        <v>295</v>
      </c>
      <c r="X291" s="218" t="s">
        <v>379</v>
      </c>
      <c r="Y291" s="218">
        <v>3.31</v>
      </c>
      <c r="Z291" s="218">
        <v>3.65</v>
      </c>
    </row>
    <row r="292" spans="1:26">
      <c r="A292" s="218" t="s">
        <v>2592</v>
      </c>
      <c r="B292" s="218"/>
      <c r="C292" s="218"/>
      <c r="D292" s="218"/>
      <c r="E292" s="218"/>
      <c r="F292" s="219" t="s">
        <v>3188</v>
      </c>
      <c r="G292" s="218" t="s">
        <v>252</v>
      </c>
      <c r="H292" s="218" t="s">
        <v>309</v>
      </c>
      <c r="I292" s="223">
        <v>43830</v>
      </c>
      <c r="J292" s="218" t="s">
        <v>3011</v>
      </c>
      <c r="K292" s="218" t="s">
        <v>3189</v>
      </c>
      <c r="L292" s="218" t="s">
        <v>2704</v>
      </c>
      <c r="M292" s="218" t="s">
        <v>3190</v>
      </c>
      <c r="N292" s="218">
        <v>153.07</v>
      </c>
      <c r="O292" s="218" t="s">
        <v>292</v>
      </c>
      <c r="P292" s="218">
        <v>197.96</v>
      </c>
      <c r="Q292" s="218" t="s">
        <v>385</v>
      </c>
      <c r="R292" s="218" t="s">
        <v>1772</v>
      </c>
      <c r="S292" s="218" t="s">
        <v>396</v>
      </c>
      <c r="T292" s="218" t="s">
        <v>3191</v>
      </c>
      <c r="U292" s="218" t="s">
        <v>2591</v>
      </c>
      <c r="V292" s="218" t="s">
        <v>381</v>
      </c>
      <c r="W292" s="218" t="s">
        <v>295</v>
      </c>
      <c r="X292" s="218" t="s">
        <v>379</v>
      </c>
      <c r="Y292" s="218">
        <v>179.7</v>
      </c>
      <c r="Z292" s="218">
        <f t="shared" ref="Z292:Z307" si="5">P292</f>
        <v>197.96</v>
      </c>
    </row>
    <row r="293" spans="1:26">
      <c r="A293" s="218" t="s">
        <v>2592</v>
      </c>
      <c r="B293" s="218"/>
      <c r="C293" s="218"/>
      <c r="D293" s="218"/>
      <c r="E293" s="218"/>
      <c r="F293" s="219" t="s">
        <v>3192</v>
      </c>
      <c r="G293" s="218" t="s">
        <v>252</v>
      </c>
      <c r="H293" s="218" t="s">
        <v>309</v>
      </c>
      <c r="I293" s="223">
        <v>43830</v>
      </c>
      <c r="J293" s="218" t="s">
        <v>3014</v>
      </c>
      <c r="K293" s="218" t="s">
        <v>3000</v>
      </c>
      <c r="L293" s="218" t="s">
        <v>2704</v>
      </c>
      <c r="M293" s="218" t="s">
        <v>3193</v>
      </c>
      <c r="N293" s="218">
        <v>12.31</v>
      </c>
      <c r="O293" s="218" t="s">
        <v>292</v>
      </c>
      <c r="P293" s="218">
        <v>15.92</v>
      </c>
      <c r="Q293" s="218" t="s">
        <v>385</v>
      </c>
      <c r="R293" s="218" t="s">
        <v>1772</v>
      </c>
      <c r="S293" s="218" t="s">
        <v>396</v>
      </c>
      <c r="T293" s="218" t="s">
        <v>3191</v>
      </c>
      <c r="U293" s="218" t="s">
        <v>2591</v>
      </c>
      <c r="V293" s="218" t="s">
        <v>381</v>
      </c>
      <c r="W293" s="218" t="s">
        <v>295</v>
      </c>
      <c r="X293" s="218" t="s">
        <v>379</v>
      </c>
      <c r="Y293" s="218">
        <v>14.45</v>
      </c>
      <c r="Z293" s="218">
        <f t="shared" si="5"/>
        <v>15.92</v>
      </c>
    </row>
    <row r="294" spans="1:26">
      <c r="A294" s="218" t="s">
        <v>2592</v>
      </c>
      <c r="B294" s="218"/>
      <c r="C294" s="218"/>
      <c r="D294" s="218"/>
      <c r="E294" s="218"/>
      <c r="F294" s="219" t="s">
        <v>3194</v>
      </c>
      <c r="G294" s="218" t="s">
        <v>252</v>
      </c>
      <c r="H294" s="218" t="s">
        <v>309</v>
      </c>
      <c r="I294" s="223">
        <v>43830</v>
      </c>
      <c r="J294" s="218" t="s">
        <v>3016</v>
      </c>
      <c r="K294" s="218" t="s">
        <v>3004</v>
      </c>
      <c r="L294" s="218" t="s">
        <v>2704</v>
      </c>
      <c r="M294" s="218" t="s">
        <v>3195</v>
      </c>
      <c r="N294" s="218">
        <v>12.58</v>
      </c>
      <c r="O294" s="218" t="s">
        <v>292</v>
      </c>
      <c r="P294" s="218">
        <v>16.27</v>
      </c>
      <c r="Q294" s="218" t="s">
        <v>391</v>
      </c>
      <c r="R294" s="218" t="s">
        <v>1777</v>
      </c>
      <c r="S294" s="218" t="s">
        <v>396</v>
      </c>
      <c r="T294" s="218" t="s">
        <v>3191</v>
      </c>
      <c r="U294" s="218" t="s">
        <v>2591</v>
      </c>
      <c r="V294" s="218" t="s">
        <v>381</v>
      </c>
      <c r="W294" s="218" t="s">
        <v>295</v>
      </c>
      <c r="X294" s="218" t="s">
        <v>379</v>
      </c>
      <c r="Y294" s="218">
        <v>14.77</v>
      </c>
      <c r="Z294" s="218">
        <f t="shared" si="5"/>
        <v>16.27</v>
      </c>
    </row>
    <row r="295" spans="1:26">
      <c r="A295" s="218" t="s">
        <v>2592</v>
      </c>
      <c r="B295" s="218"/>
      <c r="C295" s="218"/>
      <c r="D295" s="218"/>
      <c r="E295" s="218"/>
      <c r="F295" s="219" t="s">
        <v>3196</v>
      </c>
      <c r="G295" s="218" t="s">
        <v>252</v>
      </c>
      <c r="H295" s="218" t="s">
        <v>309</v>
      </c>
      <c r="I295" s="223">
        <v>43830</v>
      </c>
      <c r="J295" s="218" t="s">
        <v>3018</v>
      </c>
      <c r="K295" s="218" t="s">
        <v>3008</v>
      </c>
      <c r="L295" s="218" t="s">
        <v>2704</v>
      </c>
      <c r="M295" s="218" t="s">
        <v>3197</v>
      </c>
      <c r="N295" s="218">
        <v>2.1</v>
      </c>
      <c r="O295" s="218" t="s">
        <v>292</v>
      </c>
      <c r="P295" s="218">
        <v>2.71</v>
      </c>
      <c r="Q295" s="218" t="s">
        <v>405</v>
      </c>
      <c r="R295" s="218" t="s">
        <v>1780</v>
      </c>
      <c r="S295" s="218" t="s">
        <v>396</v>
      </c>
      <c r="T295" s="218" t="s">
        <v>3191</v>
      </c>
      <c r="U295" s="218" t="s">
        <v>2591</v>
      </c>
      <c r="V295" s="218" t="s">
        <v>381</v>
      </c>
      <c r="W295" s="218" t="s">
        <v>295</v>
      </c>
      <c r="X295" s="218" t="s">
        <v>379</v>
      </c>
      <c r="Y295" s="218">
        <v>2.4700000000000002</v>
      </c>
      <c r="Z295" s="218">
        <f t="shared" si="5"/>
        <v>2.71</v>
      </c>
    </row>
    <row r="296" spans="1:26">
      <c r="A296" s="218" t="s">
        <v>2592</v>
      </c>
      <c r="B296" s="218"/>
      <c r="C296" s="218"/>
      <c r="D296" s="218"/>
      <c r="E296" s="218"/>
      <c r="F296" s="219" t="s">
        <v>3198</v>
      </c>
      <c r="G296" s="218" t="s">
        <v>252</v>
      </c>
      <c r="H296" s="218" t="s">
        <v>309</v>
      </c>
      <c r="I296" s="223">
        <v>43830</v>
      </c>
      <c r="J296" s="218" t="s">
        <v>3021</v>
      </c>
      <c r="K296" s="218" t="s">
        <v>3189</v>
      </c>
      <c r="L296" s="218" t="s">
        <v>2704</v>
      </c>
      <c r="M296" s="218" t="s">
        <v>3199</v>
      </c>
      <c r="N296" s="218">
        <v>12.64</v>
      </c>
      <c r="O296" s="218" t="s">
        <v>292</v>
      </c>
      <c r="P296" s="218">
        <v>16.350000000000001</v>
      </c>
      <c r="Q296" s="218" t="s">
        <v>385</v>
      </c>
      <c r="R296" s="218" t="s">
        <v>1772</v>
      </c>
      <c r="S296" s="218" t="s">
        <v>396</v>
      </c>
      <c r="T296" s="218" t="s">
        <v>3191</v>
      </c>
      <c r="U296" s="218" t="s">
        <v>2591</v>
      </c>
      <c r="V296" s="218" t="s">
        <v>381</v>
      </c>
      <c r="W296" s="218" t="s">
        <v>295</v>
      </c>
      <c r="X296" s="218" t="s">
        <v>379</v>
      </c>
      <c r="Y296" s="218">
        <v>14.84</v>
      </c>
      <c r="Z296" s="218">
        <f t="shared" si="5"/>
        <v>16.350000000000001</v>
      </c>
    </row>
    <row r="297" spans="1:26">
      <c r="A297" s="218" t="s">
        <v>2592</v>
      </c>
      <c r="B297" s="218"/>
      <c r="C297" s="218"/>
      <c r="D297" s="218"/>
      <c r="E297" s="218"/>
      <c r="F297" s="219" t="s">
        <v>3200</v>
      </c>
      <c r="G297" s="218" t="s">
        <v>252</v>
      </c>
      <c r="H297" s="218" t="s">
        <v>309</v>
      </c>
      <c r="I297" s="223">
        <v>43830</v>
      </c>
      <c r="J297" s="218" t="s">
        <v>3025</v>
      </c>
      <c r="K297" s="218" t="s">
        <v>3026</v>
      </c>
      <c r="L297" s="218" t="s">
        <v>2704</v>
      </c>
      <c r="M297" s="218" t="s">
        <v>3201</v>
      </c>
      <c r="N297" s="218">
        <v>0.84</v>
      </c>
      <c r="O297" s="218" t="s">
        <v>292</v>
      </c>
      <c r="P297" s="218">
        <v>1.0900000000000001</v>
      </c>
      <c r="Q297" s="218" t="s">
        <v>385</v>
      </c>
      <c r="R297" s="218" t="s">
        <v>1772</v>
      </c>
      <c r="S297" s="218" t="s">
        <v>396</v>
      </c>
      <c r="T297" s="218" t="s">
        <v>3191</v>
      </c>
      <c r="U297" s="218" t="s">
        <v>2591</v>
      </c>
      <c r="V297" s="218" t="s">
        <v>381</v>
      </c>
      <c r="W297" s="218" t="s">
        <v>295</v>
      </c>
      <c r="X297" s="218" t="s">
        <v>379</v>
      </c>
      <c r="Y297" s="218">
        <v>0.99</v>
      </c>
      <c r="Z297" s="218">
        <f t="shared" si="5"/>
        <v>1.0900000000000001</v>
      </c>
    </row>
    <row r="298" spans="1:26">
      <c r="A298" s="218" t="s">
        <v>2592</v>
      </c>
      <c r="B298" s="218"/>
      <c r="C298" s="218"/>
      <c r="D298" s="218"/>
      <c r="E298" s="218"/>
      <c r="F298" s="219" t="s">
        <v>3202</v>
      </c>
      <c r="G298" s="218" t="s">
        <v>252</v>
      </c>
      <c r="H298" s="218" t="s">
        <v>309</v>
      </c>
      <c r="I298" s="223">
        <v>43830</v>
      </c>
      <c r="J298" s="218" t="s">
        <v>3029</v>
      </c>
      <c r="K298" s="218" t="s">
        <v>3030</v>
      </c>
      <c r="L298" s="218" t="s">
        <v>2704</v>
      </c>
      <c r="M298" s="218" t="s">
        <v>3203</v>
      </c>
      <c r="N298" s="218">
        <v>1.93</v>
      </c>
      <c r="O298" s="218" t="s">
        <v>292</v>
      </c>
      <c r="P298" s="218">
        <v>2.4900000000000002</v>
      </c>
      <c r="Q298" s="218" t="s">
        <v>391</v>
      </c>
      <c r="R298" s="218" t="s">
        <v>1777</v>
      </c>
      <c r="S298" s="218" t="s">
        <v>396</v>
      </c>
      <c r="T298" s="218" t="s">
        <v>3191</v>
      </c>
      <c r="U298" s="218" t="s">
        <v>2591</v>
      </c>
      <c r="V298" s="218" t="s">
        <v>381</v>
      </c>
      <c r="W298" s="218" t="s">
        <v>295</v>
      </c>
      <c r="X298" s="218" t="s">
        <v>379</v>
      </c>
      <c r="Y298" s="218">
        <v>2.27</v>
      </c>
      <c r="Z298" s="218">
        <f t="shared" si="5"/>
        <v>2.4900000000000002</v>
      </c>
    </row>
    <row r="299" spans="1:26">
      <c r="A299" s="218" t="s">
        <v>2592</v>
      </c>
      <c r="B299" s="218"/>
      <c r="C299" s="218"/>
      <c r="D299" s="218"/>
      <c r="E299" s="218"/>
      <c r="F299" s="219" t="s">
        <v>3204</v>
      </c>
      <c r="G299" s="218" t="s">
        <v>252</v>
      </c>
      <c r="H299" s="218" t="s">
        <v>309</v>
      </c>
      <c r="I299" s="223">
        <v>43830</v>
      </c>
      <c r="J299" s="218" t="s">
        <v>3033</v>
      </c>
      <c r="K299" s="218" t="s">
        <v>3034</v>
      </c>
      <c r="L299" s="218" t="s">
        <v>2704</v>
      </c>
      <c r="M299" s="218" t="s">
        <v>3205</v>
      </c>
      <c r="N299" s="218">
        <v>0.32</v>
      </c>
      <c r="O299" s="218" t="s">
        <v>292</v>
      </c>
      <c r="P299" s="218">
        <v>0.42</v>
      </c>
      <c r="Q299" s="218" t="s">
        <v>3036</v>
      </c>
      <c r="R299" s="218" t="s">
        <v>3037</v>
      </c>
      <c r="S299" s="218" t="s">
        <v>396</v>
      </c>
      <c r="T299" s="218" t="s">
        <v>3191</v>
      </c>
      <c r="U299" s="218" t="s">
        <v>2591</v>
      </c>
      <c r="V299" s="218" t="s">
        <v>381</v>
      </c>
      <c r="W299" s="218" t="s">
        <v>295</v>
      </c>
      <c r="X299" s="218" t="s">
        <v>379</v>
      </c>
      <c r="Y299" s="218">
        <v>0.38</v>
      </c>
      <c r="Z299" s="218">
        <f t="shared" si="5"/>
        <v>0.42</v>
      </c>
    </row>
    <row r="300" spans="1:26">
      <c r="A300" s="218" t="s">
        <v>2592</v>
      </c>
      <c r="B300" s="218"/>
      <c r="C300" s="218"/>
      <c r="D300" s="218"/>
      <c r="E300" s="218"/>
      <c r="F300" s="219" t="s">
        <v>3206</v>
      </c>
      <c r="G300" s="218" t="s">
        <v>252</v>
      </c>
      <c r="H300" s="218" t="s">
        <v>309</v>
      </c>
      <c r="I300" s="223">
        <v>43830</v>
      </c>
      <c r="J300" s="218" t="s">
        <v>3039</v>
      </c>
      <c r="K300" s="218" t="s">
        <v>3040</v>
      </c>
      <c r="L300" s="218" t="s">
        <v>2704</v>
      </c>
      <c r="M300" s="218" t="s">
        <v>3207</v>
      </c>
      <c r="N300" s="218">
        <v>0.14000000000000001</v>
      </c>
      <c r="O300" s="218" t="s">
        <v>292</v>
      </c>
      <c r="P300" s="218">
        <v>0.18</v>
      </c>
      <c r="Q300" s="218" t="s">
        <v>385</v>
      </c>
      <c r="R300" s="218" t="s">
        <v>1772</v>
      </c>
      <c r="S300" s="218" t="s">
        <v>396</v>
      </c>
      <c r="T300" s="218" t="s">
        <v>3191</v>
      </c>
      <c r="U300" s="218" t="s">
        <v>2591</v>
      </c>
      <c r="V300" s="218" t="s">
        <v>381</v>
      </c>
      <c r="W300" s="218" t="s">
        <v>295</v>
      </c>
      <c r="X300" s="218" t="s">
        <v>379</v>
      </c>
      <c r="Y300" s="218">
        <v>0.16</v>
      </c>
      <c r="Z300" s="218">
        <f t="shared" si="5"/>
        <v>0.18</v>
      </c>
    </row>
    <row r="301" spans="1:26">
      <c r="A301" s="218" t="s">
        <v>2592</v>
      </c>
      <c r="B301" s="218"/>
      <c r="C301" s="218"/>
      <c r="D301" s="218"/>
      <c r="E301" s="218"/>
      <c r="F301" s="219" t="s">
        <v>3208</v>
      </c>
      <c r="G301" s="218" t="s">
        <v>252</v>
      </c>
      <c r="H301" s="218" t="s">
        <v>309</v>
      </c>
      <c r="I301" s="223">
        <v>43830</v>
      </c>
      <c r="J301" s="218" t="s">
        <v>3039</v>
      </c>
      <c r="K301" s="218" t="s">
        <v>3040</v>
      </c>
      <c r="L301" s="218" t="s">
        <v>2704</v>
      </c>
      <c r="M301" s="218" t="s">
        <v>3209</v>
      </c>
      <c r="N301" s="218">
        <v>0.01</v>
      </c>
      <c r="O301" s="218" t="s">
        <v>292</v>
      </c>
      <c r="P301" s="218">
        <v>0.01</v>
      </c>
      <c r="Q301" s="218" t="s">
        <v>385</v>
      </c>
      <c r="R301" s="218" t="s">
        <v>1772</v>
      </c>
      <c r="S301" s="218" t="s">
        <v>396</v>
      </c>
      <c r="T301" s="218" t="s">
        <v>3191</v>
      </c>
      <c r="U301" s="218" t="s">
        <v>2591</v>
      </c>
      <c r="V301" s="218" t="s">
        <v>381</v>
      </c>
      <c r="W301" s="218" t="s">
        <v>295</v>
      </c>
      <c r="X301" s="218" t="s">
        <v>379</v>
      </c>
      <c r="Y301" s="218">
        <v>0.01</v>
      </c>
      <c r="Z301" s="218">
        <f t="shared" si="5"/>
        <v>0.01</v>
      </c>
    </row>
    <row r="302" spans="1:26">
      <c r="A302" s="218" t="s">
        <v>2592</v>
      </c>
      <c r="B302" s="218"/>
      <c r="C302" s="218"/>
      <c r="D302" s="218"/>
      <c r="E302" s="218"/>
      <c r="F302" s="219" t="s">
        <v>3210</v>
      </c>
      <c r="G302" s="218" t="s">
        <v>254</v>
      </c>
      <c r="H302" s="218" t="s">
        <v>309</v>
      </c>
      <c r="I302" s="223">
        <v>43769</v>
      </c>
      <c r="J302" s="218" t="s">
        <v>2976</v>
      </c>
      <c r="K302" s="218" t="s">
        <v>2601</v>
      </c>
      <c r="L302" s="218" t="s">
        <v>2596</v>
      </c>
      <c r="M302" s="218" t="s">
        <v>3211</v>
      </c>
      <c r="N302" s="218">
        <v>366.43</v>
      </c>
      <c r="O302" s="218" t="s">
        <v>292</v>
      </c>
      <c r="P302" s="218">
        <v>450.75</v>
      </c>
      <c r="Q302" s="218" t="s">
        <v>385</v>
      </c>
      <c r="R302" s="218" t="s">
        <v>1772</v>
      </c>
      <c r="S302" s="218" t="s">
        <v>396</v>
      </c>
      <c r="T302" s="218" t="s">
        <v>468</v>
      </c>
      <c r="U302" s="218" t="s">
        <v>2591</v>
      </c>
      <c r="V302" s="218" t="s">
        <v>381</v>
      </c>
      <c r="W302" s="218" t="s">
        <v>295</v>
      </c>
      <c r="X302" s="218" t="s">
        <v>379</v>
      </c>
      <c r="Y302" s="218">
        <v>412.75</v>
      </c>
      <c r="Z302" s="218">
        <f t="shared" si="5"/>
        <v>450.75</v>
      </c>
    </row>
    <row r="303" spans="1:26">
      <c r="A303" s="218" t="s">
        <v>2592</v>
      </c>
      <c r="B303" s="218"/>
      <c r="C303" s="218"/>
      <c r="D303" s="218"/>
      <c r="E303" s="218"/>
      <c r="F303" s="219" t="s">
        <v>3212</v>
      </c>
      <c r="G303" s="218" t="s">
        <v>254</v>
      </c>
      <c r="H303" s="218" t="s">
        <v>309</v>
      </c>
      <c r="I303" s="223">
        <v>43769</v>
      </c>
      <c r="J303" s="218" t="s">
        <v>2976</v>
      </c>
      <c r="K303" s="218" t="s">
        <v>2601</v>
      </c>
      <c r="L303" s="218" t="s">
        <v>2596</v>
      </c>
      <c r="M303" s="218" t="s">
        <v>3213</v>
      </c>
      <c r="N303" s="218">
        <v>62.9</v>
      </c>
      <c r="O303" s="218" t="s">
        <v>292</v>
      </c>
      <c r="P303" s="218">
        <v>77.38</v>
      </c>
      <c r="Q303" s="218" t="s">
        <v>385</v>
      </c>
      <c r="R303" s="218" t="s">
        <v>1772</v>
      </c>
      <c r="S303" s="218" t="s">
        <v>396</v>
      </c>
      <c r="T303" s="218" t="s">
        <v>626</v>
      </c>
      <c r="U303" s="218" t="s">
        <v>2591</v>
      </c>
      <c r="V303" s="218" t="s">
        <v>381</v>
      </c>
      <c r="W303" s="218" t="s">
        <v>295</v>
      </c>
      <c r="X303" s="218" t="s">
        <v>379</v>
      </c>
      <c r="Y303" s="218">
        <v>70.849999999999994</v>
      </c>
      <c r="Z303" s="218">
        <f t="shared" si="5"/>
        <v>77.38</v>
      </c>
    </row>
    <row r="304" spans="1:26">
      <c r="A304" s="218" t="s">
        <v>2592</v>
      </c>
      <c r="B304" s="218"/>
      <c r="C304" s="218"/>
      <c r="D304" s="218"/>
      <c r="E304" s="218"/>
      <c r="F304" s="219" t="s">
        <v>3214</v>
      </c>
      <c r="G304" s="218" t="s">
        <v>254</v>
      </c>
      <c r="H304" s="218" t="s">
        <v>309</v>
      </c>
      <c r="I304" s="223">
        <v>43769</v>
      </c>
      <c r="J304" s="218" t="s">
        <v>2979</v>
      </c>
      <c r="K304" s="218" t="s">
        <v>2601</v>
      </c>
      <c r="L304" s="218" t="s">
        <v>2596</v>
      </c>
      <c r="M304" s="218" t="s">
        <v>3215</v>
      </c>
      <c r="N304" s="218">
        <v>58.93</v>
      </c>
      <c r="O304" s="218" t="s">
        <v>292</v>
      </c>
      <c r="P304" s="218">
        <v>72.489999999999995</v>
      </c>
      <c r="Q304" s="218" t="s">
        <v>385</v>
      </c>
      <c r="R304" s="218" t="s">
        <v>1772</v>
      </c>
      <c r="S304" s="218" t="s">
        <v>396</v>
      </c>
      <c r="T304" s="218" t="s">
        <v>468</v>
      </c>
      <c r="U304" s="218" t="s">
        <v>2591</v>
      </c>
      <c r="V304" s="218" t="s">
        <v>381</v>
      </c>
      <c r="W304" s="218" t="s">
        <v>295</v>
      </c>
      <c r="X304" s="218" t="s">
        <v>379</v>
      </c>
      <c r="Y304" s="218">
        <v>66.38</v>
      </c>
      <c r="Z304" s="218">
        <f t="shared" si="5"/>
        <v>72.489999999999995</v>
      </c>
    </row>
    <row r="305" spans="1:26">
      <c r="A305" s="218" t="s">
        <v>2592</v>
      </c>
      <c r="B305" s="218"/>
      <c r="C305" s="218"/>
      <c r="D305" s="218"/>
      <c r="E305" s="218"/>
      <c r="F305" s="219" t="s">
        <v>3216</v>
      </c>
      <c r="G305" s="218" t="s">
        <v>254</v>
      </c>
      <c r="H305" s="218" t="s">
        <v>309</v>
      </c>
      <c r="I305" s="223">
        <v>43769</v>
      </c>
      <c r="J305" s="218" t="s">
        <v>2979</v>
      </c>
      <c r="K305" s="218" t="s">
        <v>2601</v>
      </c>
      <c r="L305" s="218" t="s">
        <v>2596</v>
      </c>
      <c r="M305" s="218" t="s">
        <v>3217</v>
      </c>
      <c r="N305" s="218">
        <v>10.1</v>
      </c>
      <c r="O305" s="218" t="s">
        <v>292</v>
      </c>
      <c r="P305" s="218">
        <v>12.43</v>
      </c>
      <c r="Q305" s="218" t="s">
        <v>385</v>
      </c>
      <c r="R305" s="218" t="s">
        <v>1772</v>
      </c>
      <c r="S305" s="218" t="s">
        <v>396</v>
      </c>
      <c r="T305" s="218" t="s">
        <v>626</v>
      </c>
      <c r="U305" s="218" t="s">
        <v>2591</v>
      </c>
      <c r="V305" s="218" t="s">
        <v>381</v>
      </c>
      <c r="W305" s="218" t="s">
        <v>295</v>
      </c>
      <c r="X305" s="218" t="s">
        <v>379</v>
      </c>
      <c r="Y305" s="218">
        <v>11.38</v>
      </c>
      <c r="Z305" s="218">
        <f t="shared" si="5"/>
        <v>12.43</v>
      </c>
    </row>
    <row r="306" spans="1:26">
      <c r="A306" s="218" t="s">
        <v>2592</v>
      </c>
      <c r="B306" s="218"/>
      <c r="C306" s="218"/>
      <c r="D306" s="218"/>
      <c r="E306" s="218"/>
      <c r="F306" s="219" t="s">
        <v>3218</v>
      </c>
      <c r="G306" s="218" t="s">
        <v>254</v>
      </c>
      <c r="H306" s="218" t="s">
        <v>309</v>
      </c>
      <c r="I306" s="223">
        <v>43769</v>
      </c>
      <c r="J306" s="218" t="s">
        <v>3100</v>
      </c>
      <c r="K306" s="218" t="s">
        <v>2601</v>
      </c>
      <c r="L306" s="218" t="s">
        <v>2596</v>
      </c>
      <c r="M306" s="218" t="s">
        <v>3219</v>
      </c>
      <c r="N306" s="218">
        <v>449.02</v>
      </c>
      <c r="O306" s="218" t="s">
        <v>292</v>
      </c>
      <c r="P306" s="218">
        <v>552.35</v>
      </c>
      <c r="Q306" s="218" t="s">
        <v>385</v>
      </c>
      <c r="R306" s="218" t="s">
        <v>1772</v>
      </c>
      <c r="S306" s="218" t="s">
        <v>396</v>
      </c>
      <c r="T306" s="218" t="s">
        <v>466</v>
      </c>
      <c r="U306" s="218" t="s">
        <v>2591</v>
      </c>
      <c r="V306" s="218" t="s">
        <v>381</v>
      </c>
      <c r="W306" s="218" t="s">
        <v>295</v>
      </c>
      <c r="X306" s="218" t="s">
        <v>379</v>
      </c>
      <c r="Y306" s="218">
        <v>505.78</v>
      </c>
      <c r="Z306" s="218">
        <f t="shared" si="5"/>
        <v>552.35</v>
      </c>
    </row>
    <row r="307" spans="1:26">
      <c r="A307" s="218" t="s">
        <v>2592</v>
      </c>
      <c r="B307" s="218"/>
      <c r="C307" s="218"/>
      <c r="D307" s="218"/>
      <c r="E307" s="218"/>
      <c r="F307" s="219" t="s">
        <v>3220</v>
      </c>
      <c r="G307" s="218" t="s">
        <v>254</v>
      </c>
      <c r="H307" s="218" t="s">
        <v>309</v>
      </c>
      <c r="I307" s="223">
        <v>43769</v>
      </c>
      <c r="J307" s="218" t="s">
        <v>3103</v>
      </c>
      <c r="K307" s="218" t="s">
        <v>3104</v>
      </c>
      <c r="L307" s="218" t="s">
        <v>2596</v>
      </c>
      <c r="M307" s="218" t="s">
        <v>3221</v>
      </c>
      <c r="N307" s="218">
        <v>64.13</v>
      </c>
      <c r="O307" s="218" t="s">
        <v>292</v>
      </c>
      <c r="P307" s="218">
        <v>78.89</v>
      </c>
      <c r="Q307" s="218" t="s">
        <v>385</v>
      </c>
      <c r="R307" s="218" t="s">
        <v>1772</v>
      </c>
      <c r="S307" s="218" t="s">
        <v>400</v>
      </c>
      <c r="T307" s="218" t="s">
        <v>466</v>
      </c>
      <c r="U307" s="218" t="s">
        <v>2591</v>
      </c>
      <c r="V307" s="218" t="s">
        <v>381</v>
      </c>
      <c r="W307" s="218" t="s">
        <v>295</v>
      </c>
      <c r="X307" s="218" t="s">
        <v>379</v>
      </c>
      <c r="Y307" s="218">
        <v>72.239999999999995</v>
      </c>
      <c r="Z307" s="218">
        <f t="shared" si="5"/>
        <v>78.89</v>
      </c>
    </row>
    <row r="308" spans="1:26">
      <c r="A308" s="218" t="s">
        <v>2592</v>
      </c>
      <c r="B308" s="218"/>
      <c r="C308" s="218"/>
      <c r="D308" s="218"/>
      <c r="E308" s="218"/>
      <c r="F308" s="219" t="s">
        <v>3222</v>
      </c>
      <c r="G308" s="218" t="s">
        <v>254</v>
      </c>
      <c r="H308" s="218" t="s">
        <v>309</v>
      </c>
      <c r="I308" s="223">
        <v>43769</v>
      </c>
      <c r="J308" s="218" t="s">
        <v>3089</v>
      </c>
      <c r="K308" s="218" t="s">
        <v>3090</v>
      </c>
      <c r="L308" s="218" t="s">
        <v>2596</v>
      </c>
      <c r="M308" s="218" t="s">
        <v>878</v>
      </c>
      <c r="N308" s="218">
        <v>348.66</v>
      </c>
      <c r="O308" s="218" t="s">
        <v>2591</v>
      </c>
      <c r="P308" s="218">
        <v>0</v>
      </c>
      <c r="Q308" s="218" t="s">
        <v>385</v>
      </c>
      <c r="R308" s="218" t="s">
        <v>1772</v>
      </c>
      <c r="S308" s="218" t="s">
        <v>374</v>
      </c>
      <c r="T308" s="218" t="s">
        <v>469</v>
      </c>
      <c r="U308" s="218" t="s">
        <v>2591</v>
      </c>
      <c r="V308" s="218" t="s">
        <v>381</v>
      </c>
      <c r="W308" s="218" t="s">
        <v>295</v>
      </c>
      <c r="X308" s="218" t="s">
        <v>379</v>
      </c>
      <c r="Y308" s="218">
        <v>392.73</v>
      </c>
      <c r="Z308" s="218">
        <v>428.89</v>
      </c>
    </row>
    <row r="309" spans="1:26">
      <c r="A309" s="218" t="s">
        <v>2592</v>
      </c>
      <c r="B309" s="218"/>
      <c r="C309" s="218"/>
      <c r="D309" s="218"/>
      <c r="E309" s="218"/>
      <c r="F309" s="219" t="s">
        <v>3223</v>
      </c>
      <c r="G309" s="218" t="s">
        <v>254</v>
      </c>
      <c r="H309" s="218" t="s">
        <v>309</v>
      </c>
      <c r="I309" s="223">
        <v>43769</v>
      </c>
      <c r="J309" s="218" t="s">
        <v>3089</v>
      </c>
      <c r="K309" s="218" t="s">
        <v>3092</v>
      </c>
      <c r="L309" s="218" t="s">
        <v>2596</v>
      </c>
      <c r="M309" s="218" t="s">
        <v>3093</v>
      </c>
      <c r="N309" s="218">
        <v>17.43</v>
      </c>
      <c r="O309" s="218" t="s">
        <v>2591</v>
      </c>
      <c r="P309" s="218">
        <v>0</v>
      </c>
      <c r="Q309" s="218" t="s">
        <v>385</v>
      </c>
      <c r="R309" s="218" t="s">
        <v>1772</v>
      </c>
      <c r="S309" s="218" t="s">
        <v>374</v>
      </c>
      <c r="T309" s="218" t="s">
        <v>469</v>
      </c>
      <c r="U309" s="218" t="s">
        <v>2591</v>
      </c>
      <c r="V309" s="218" t="s">
        <v>388</v>
      </c>
      <c r="W309" s="218" t="s">
        <v>295</v>
      </c>
      <c r="X309" s="218" t="s">
        <v>254</v>
      </c>
      <c r="Y309" s="218">
        <v>19.63</v>
      </c>
      <c r="Z309" s="218">
        <v>21.44</v>
      </c>
    </row>
    <row r="310" spans="1:26">
      <c r="A310" s="218" t="s">
        <v>2592</v>
      </c>
      <c r="B310" s="218"/>
      <c r="C310" s="218"/>
      <c r="D310" s="218"/>
      <c r="E310" s="218"/>
      <c r="F310" s="219" t="s">
        <v>3224</v>
      </c>
      <c r="G310" s="218" t="s">
        <v>254</v>
      </c>
      <c r="H310" s="218" t="s">
        <v>309</v>
      </c>
      <c r="I310" s="223">
        <v>43769</v>
      </c>
      <c r="J310" s="218" t="s">
        <v>3089</v>
      </c>
      <c r="K310" s="218" t="s">
        <v>3095</v>
      </c>
      <c r="L310" s="218" t="s">
        <v>2596</v>
      </c>
      <c r="M310" s="218" t="s">
        <v>3096</v>
      </c>
      <c r="N310" s="218">
        <v>5.23</v>
      </c>
      <c r="O310" s="218" t="s">
        <v>2591</v>
      </c>
      <c r="P310" s="218">
        <v>0</v>
      </c>
      <c r="Q310" s="218" t="s">
        <v>385</v>
      </c>
      <c r="R310" s="218" t="s">
        <v>1772</v>
      </c>
      <c r="S310" s="218" t="s">
        <v>374</v>
      </c>
      <c r="T310" s="218" t="s">
        <v>469</v>
      </c>
      <c r="U310" s="218" t="s">
        <v>2591</v>
      </c>
      <c r="V310" s="218" t="s">
        <v>390</v>
      </c>
      <c r="W310" s="218" t="s">
        <v>295</v>
      </c>
      <c r="X310" s="218" t="s">
        <v>379</v>
      </c>
      <c r="Y310" s="218">
        <v>5.89</v>
      </c>
      <c r="Z310" s="218">
        <v>6.43</v>
      </c>
    </row>
    <row r="311" spans="1:26">
      <c r="A311" s="218" t="s">
        <v>2592</v>
      </c>
      <c r="B311" s="218"/>
      <c r="C311" s="218"/>
      <c r="D311" s="218"/>
      <c r="E311" s="218"/>
      <c r="F311" s="219" t="s">
        <v>3225</v>
      </c>
      <c r="G311" s="218" t="s">
        <v>254</v>
      </c>
      <c r="H311" s="218" t="s">
        <v>309</v>
      </c>
      <c r="I311" s="223">
        <v>43769</v>
      </c>
      <c r="J311" s="218" t="s">
        <v>2982</v>
      </c>
      <c r="K311" s="218" t="s">
        <v>2601</v>
      </c>
      <c r="L311" s="218" t="s">
        <v>2596</v>
      </c>
      <c r="M311" s="218" t="s">
        <v>3226</v>
      </c>
      <c r="N311" s="218">
        <v>58.45</v>
      </c>
      <c r="O311" s="218" t="s">
        <v>292</v>
      </c>
      <c r="P311" s="218">
        <v>71.900000000000006</v>
      </c>
      <c r="Q311" s="218" t="s">
        <v>391</v>
      </c>
      <c r="R311" s="218" t="s">
        <v>1777</v>
      </c>
      <c r="S311" s="218" t="s">
        <v>396</v>
      </c>
      <c r="T311" s="218" t="s">
        <v>468</v>
      </c>
      <c r="U311" s="218" t="s">
        <v>2591</v>
      </c>
      <c r="V311" s="218" t="s">
        <v>381</v>
      </c>
      <c r="W311" s="218" t="s">
        <v>295</v>
      </c>
      <c r="X311" s="218" t="s">
        <v>379</v>
      </c>
      <c r="Y311" s="218">
        <v>65.84</v>
      </c>
      <c r="Z311" s="218">
        <f>P311</f>
        <v>71.900000000000006</v>
      </c>
    </row>
    <row r="312" spans="1:26">
      <c r="A312" s="218" t="s">
        <v>2592</v>
      </c>
      <c r="B312" s="218"/>
      <c r="C312" s="218"/>
      <c r="D312" s="218"/>
      <c r="E312" s="218"/>
      <c r="F312" s="219" t="s">
        <v>3227</v>
      </c>
      <c r="G312" s="218" t="s">
        <v>254</v>
      </c>
      <c r="H312" s="218" t="s">
        <v>309</v>
      </c>
      <c r="I312" s="223">
        <v>43769</v>
      </c>
      <c r="J312" s="218" t="s">
        <v>2982</v>
      </c>
      <c r="K312" s="218" t="s">
        <v>2601</v>
      </c>
      <c r="L312" s="218" t="s">
        <v>2596</v>
      </c>
      <c r="M312" s="218" t="s">
        <v>3228</v>
      </c>
      <c r="N312" s="218">
        <v>9.98</v>
      </c>
      <c r="O312" s="218" t="s">
        <v>292</v>
      </c>
      <c r="P312" s="218">
        <v>12.28</v>
      </c>
      <c r="Q312" s="218" t="s">
        <v>391</v>
      </c>
      <c r="R312" s="218" t="s">
        <v>1777</v>
      </c>
      <c r="S312" s="218" t="s">
        <v>396</v>
      </c>
      <c r="T312" s="218" t="s">
        <v>626</v>
      </c>
      <c r="U312" s="218" t="s">
        <v>2591</v>
      </c>
      <c r="V312" s="218" t="s">
        <v>381</v>
      </c>
      <c r="W312" s="218" t="s">
        <v>295</v>
      </c>
      <c r="X312" s="218" t="s">
        <v>379</v>
      </c>
      <c r="Y312" s="218">
        <v>11.24</v>
      </c>
      <c r="Z312" s="218">
        <f>P312</f>
        <v>12.28</v>
      </c>
    </row>
    <row r="313" spans="1:26">
      <c r="A313" s="218" t="s">
        <v>2592</v>
      </c>
      <c r="B313" s="218"/>
      <c r="C313" s="218"/>
      <c r="D313" s="218"/>
      <c r="E313" s="218"/>
      <c r="F313" s="219" t="s">
        <v>3229</v>
      </c>
      <c r="G313" s="218" t="s">
        <v>254</v>
      </c>
      <c r="H313" s="218" t="s">
        <v>309</v>
      </c>
      <c r="I313" s="223">
        <v>43769</v>
      </c>
      <c r="J313" s="218" t="s">
        <v>3107</v>
      </c>
      <c r="K313" s="218" t="s">
        <v>3104</v>
      </c>
      <c r="L313" s="218" t="s">
        <v>2596</v>
      </c>
      <c r="M313" s="218" t="s">
        <v>1858</v>
      </c>
      <c r="N313" s="218">
        <v>70.510000000000005</v>
      </c>
      <c r="O313" s="218" t="s">
        <v>292</v>
      </c>
      <c r="P313" s="218">
        <v>86.73</v>
      </c>
      <c r="Q313" s="218" t="s">
        <v>391</v>
      </c>
      <c r="R313" s="218" t="s">
        <v>1777</v>
      </c>
      <c r="S313" s="218" t="s">
        <v>400</v>
      </c>
      <c r="T313" s="218" t="s">
        <v>466</v>
      </c>
      <c r="U313" s="218" t="s">
        <v>2591</v>
      </c>
      <c r="V313" s="218" t="s">
        <v>381</v>
      </c>
      <c r="W313" s="218" t="s">
        <v>295</v>
      </c>
      <c r="X313" s="218" t="s">
        <v>379</v>
      </c>
      <c r="Y313" s="218">
        <v>79.42</v>
      </c>
      <c r="Z313" s="218">
        <f>P313</f>
        <v>86.73</v>
      </c>
    </row>
    <row r="314" spans="1:26">
      <c r="A314" s="218" t="s">
        <v>2592</v>
      </c>
      <c r="B314" s="218"/>
      <c r="C314" s="218"/>
      <c r="D314" s="218"/>
      <c r="E314" s="218"/>
      <c r="F314" s="219" t="s">
        <v>3230</v>
      </c>
      <c r="G314" s="218" t="s">
        <v>254</v>
      </c>
      <c r="H314" s="218" t="s">
        <v>309</v>
      </c>
      <c r="I314" s="223">
        <v>43769</v>
      </c>
      <c r="J314" s="218" t="s">
        <v>3089</v>
      </c>
      <c r="K314" s="218" t="s">
        <v>3090</v>
      </c>
      <c r="L314" s="218" t="s">
        <v>2596</v>
      </c>
      <c r="M314" s="218" t="s">
        <v>878</v>
      </c>
      <c r="N314" s="218">
        <v>34.869999999999997</v>
      </c>
      <c r="O314" s="218" t="s">
        <v>2591</v>
      </c>
      <c r="P314" s="218">
        <v>0</v>
      </c>
      <c r="Q314" s="218" t="s">
        <v>391</v>
      </c>
      <c r="R314" s="218" t="s">
        <v>1777</v>
      </c>
      <c r="S314" s="218" t="s">
        <v>374</v>
      </c>
      <c r="T314" s="218" t="s">
        <v>469</v>
      </c>
      <c r="U314" s="218" t="s">
        <v>2591</v>
      </c>
      <c r="V314" s="218" t="s">
        <v>381</v>
      </c>
      <c r="W314" s="218" t="s">
        <v>295</v>
      </c>
      <c r="X314" s="218" t="s">
        <v>379</v>
      </c>
      <c r="Y314" s="218">
        <v>39.28</v>
      </c>
      <c r="Z314" s="218">
        <v>42.89</v>
      </c>
    </row>
    <row r="315" spans="1:26">
      <c r="A315" s="218" t="s">
        <v>2592</v>
      </c>
      <c r="B315" s="218"/>
      <c r="C315" s="218"/>
      <c r="D315" s="218"/>
      <c r="E315" s="218"/>
      <c r="F315" s="219" t="s">
        <v>3231</v>
      </c>
      <c r="G315" s="218" t="s">
        <v>254</v>
      </c>
      <c r="H315" s="218" t="s">
        <v>309</v>
      </c>
      <c r="I315" s="223">
        <v>43769</v>
      </c>
      <c r="J315" s="218" t="s">
        <v>2985</v>
      </c>
      <c r="K315" s="218" t="s">
        <v>2601</v>
      </c>
      <c r="L315" s="218" t="s">
        <v>2596</v>
      </c>
      <c r="M315" s="218" t="s">
        <v>3232</v>
      </c>
      <c r="N315" s="218">
        <v>0.39</v>
      </c>
      <c r="O315" s="218" t="s">
        <v>292</v>
      </c>
      <c r="P315" s="218">
        <v>0.48</v>
      </c>
      <c r="Q315" s="218" t="s">
        <v>405</v>
      </c>
      <c r="R315" s="218" t="s">
        <v>1780</v>
      </c>
      <c r="S315" s="218" t="s">
        <v>396</v>
      </c>
      <c r="T315" s="218" t="s">
        <v>468</v>
      </c>
      <c r="U315" s="218" t="s">
        <v>2591</v>
      </c>
      <c r="V315" s="218" t="s">
        <v>381</v>
      </c>
      <c r="W315" s="218" t="s">
        <v>295</v>
      </c>
      <c r="X315" s="218" t="s">
        <v>379</v>
      </c>
      <c r="Y315" s="218">
        <v>0.44</v>
      </c>
      <c r="Z315" s="218">
        <f t="shared" ref="Z315:Z334" si="6">P315</f>
        <v>0.48</v>
      </c>
    </row>
    <row r="316" spans="1:26">
      <c r="A316" s="218" t="s">
        <v>2592</v>
      </c>
      <c r="B316" s="218"/>
      <c r="C316" s="218"/>
      <c r="D316" s="218"/>
      <c r="E316" s="218"/>
      <c r="F316" s="219" t="s">
        <v>3233</v>
      </c>
      <c r="G316" s="218" t="s">
        <v>254</v>
      </c>
      <c r="H316" s="218" t="s">
        <v>309</v>
      </c>
      <c r="I316" s="223">
        <v>43769</v>
      </c>
      <c r="J316" s="218" t="s">
        <v>2985</v>
      </c>
      <c r="K316" s="218" t="s">
        <v>2601</v>
      </c>
      <c r="L316" s="218" t="s">
        <v>2596</v>
      </c>
      <c r="M316" s="218" t="s">
        <v>3234</v>
      </c>
      <c r="N316" s="218">
        <v>0.37</v>
      </c>
      <c r="O316" s="218" t="s">
        <v>292</v>
      </c>
      <c r="P316" s="218">
        <v>0.45</v>
      </c>
      <c r="Q316" s="218" t="s">
        <v>405</v>
      </c>
      <c r="R316" s="218" t="s">
        <v>1780</v>
      </c>
      <c r="S316" s="218" t="s">
        <v>396</v>
      </c>
      <c r="T316" s="218" t="s">
        <v>626</v>
      </c>
      <c r="U316" s="218" t="s">
        <v>2591</v>
      </c>
      <c r="V316" s="218" t="s">
        <v>381</v>
      </c>
      <c r="W316" s="218" t="s">
        <v>295</v>
      </c>
      <c r="X316" s="218" t="s">
        <v>379</v>
      </c>
      <c r="Y316" s="218">
        <v>0.42</v>
      </c>
      <c r="Z316" s="218">
        <f t="shared" si="6"/>
        <v>0.45</v>
      </c>
    </row>
    <row r="317" spans="1:26">
      <c r="A317" s="218" t="s">
        <v>2592</v>
      </c>
      <c r="B317" s="218"/>
      <c r="C317" s="218"/>
      <c r="D317" s="218"/>
      <c r="E317" s="218"/>
      <c r="F317" s="219" t="s">
        <v>3235</v>
      </c>
      <c r="G317" s="218" t="s">
        <v>254</v>
      </c>
      <c r="H317" s="218" t="s">
        <v>309</v>
      </c>
      <c r="I317" s="223">
        <v>43769</v>
      </c>
      <c r="J317" s="218" t="s">
        <v>2988</v>
      </c>
      <c r="K317" s="218" t="s">
        <v>2601</v>
      </c>
      <c r="L317" s="218" t="s">
        <v>2596</v>
      </c>
      <c r="M317" s="218" t="s">
        <v>3236</v>
      </c>
      <c r="N317" s="218">
        <v>9.74</v>
      </c>
      <c r="O317" s="218" t="s">
        <v>292</v>
      </c>
      <c r="P317" s="218">
        <v>11.98</v>
      </c>
      <c r="Q317" s="218" t="s">
        <v>405</v>
      </c>
      <c r="R317" s="218" t="s">
        <v>1780</v>
      </c>
      <c r="S317" s="218" t="s">
        <v>396</v>
      </c>
      <c r="T317" s="218" t="s">
        <v>468</v>
      </c>
      <c r="U317" s="218" t="s">
        <v>2591</v>
      </c>
      <c r="V317" s="218" t="s">
        <v>381</v>
      </c>
      <c r="W317" s="218" t="s">
        <v>295</v>
      </c>
      <c r="X317" s="218" t="s">
        <v>379</v>
      </c>
      <c r="Y317" s="218">
        <v>10.97</v>
      </c>
      <c r="Z317" s="218">
        <f t="shared" si="6"/>
        <v>11.98</v>
      </c>
    </row>
    <row r="318" spans="1:26">
      <c r="A318" s="218" t="s">
        <v>2592</v>
      </c>
      <c r="B318" s="218"/>
      <c r="C318" s="218"/>
      <c r="D318" s="218"/>
      <c r="E318" s="218"/>
      <c r="F318" s="219" t="s">
        <v>3237</v>
      </c>
      <c r="G318" s="218" t="s">
        <v>254</v>
      </c>
      <c r="H318" s="218" t="s">
        <v>309</v>
      </c>
      <c r="I318" s="223">
        <v>43769</v>
      </c>
      <c r="J318" s="218" t="s">
        <v>2988</v>
      </c>
      <c r="K318" s="218" t="s">
        <v>2601</v>
      </c>
      <c r="L318" s="218" t="s">
        <v>2596</v>
      </c>
      <c r="M318" s="218" t="s">
        <v>3238</v>
      </c>
      <c r="N318" s="218">
        <v>1.67</v>
      </c>
      <c r="O318" s="218" t="s">
        <v>292</v>
      </c>
      <c r="P318" s="218">
        <v>2.0499999999999998</v>
      </c>
      <c r="Q318" s="218" t="s">
        <v>405</v>
      </c>
      <c r="R318" s="218" t="s">
        <v>1780</v>
      </c>
      <c r="S318" s="218" t="s">
        <v>396</v>
      </c>
      <c r="T318" s="218" t="s">
        <v>626</v>
      </c>
      <c r="U318" s="218" t="s">
        <v>2591</v>
      </c>
      <c r="V318" s="218" t="s">
        <v>381</v>
      </c>
      <c r="W318" s="218" t="s">
        <v>295</v>
      </c>
      <c r="X318" s="218" t="s">
        <v>379</v>
      </c>
      <c r="Y318" s="218">
        <v>1.88</v>
      </c>
      <c r="Z318" s="218">
        <f t="shared" si="6"/>
        <v>2.0499999999999998</v>
      </c>
    </row>
    <row r="319" spans="1:26">
      <c r="A319" s="218" t="s">
        <v>2592</v>
      </c>
      <c r="B319" s="218"/>
      <c r="C319" s="218"/>
      <c r="D319" s="218"/>
      <c r="E319" s="218"/>
      <c r="F319" s="219" t="s">
        <v>3239</v>
      </c>
      <c r="G319" s="218" t="s">
        <v>254</v>
      </c>
      <c r="H319" s="218" t="s">
        <v>309</v>
      </c>
      <c r="I319" s="223">
        <v>43769</v>
      </c>
      <c r="J319" s="218" t="s">
        <v>3109</v>
      </c>
      <c r="K319" s="218" t="s">
        <v>3104</v>
      </c>
      <c r="L319" s="218" t="s">
        <v>2596</v>
      </c>
      <c r="M319" s="218" t="s">
        <v>521</v>
      </c>
      <c r="N319" s="218">
        <v>0.78</v>
      </c>
      <c r="O319" s="218" t="s">
        <v>292</v>
      </c>
      <c r="P319" s="218">
        <v>0.96</v>
      </c>
      <c r="Q319" s="218" t="s">
        <v>405</v>
      </c>
      <c r="R319" s="218" t="s">
        <v>1780</v>
      </c>
      <c r="S319" s="218" t="s">
        <v>400</v>
      </c>
      <c r="T319" s="218" t="s">
        <v>466</v>
      </c>
      <c r="U319" s="218" t="s">
        <v>2591</v>
      </c>
      <c r="V319" s="218" t="s">
        <v>381</v>
      </c>
      <c r="W319" s="218" t="s">
        <v>295</v>
      </c>
      <c r="X319" s="218" t="s">
        <v>379</v>
      </c>
      <c r="Y319" s="218">
        <v>0.88</v>
      </c>
      <c r="Z319" s="218">
        <f t="shared" si="6"/>
        <v>0.96</v>
      </c>
    </row>
    <row r="320" spans="1:26">
      <c r="A320" s="218" t="s">
        <v>2592</v>
      </c>
      <c r="B320" s="218"/>
      <c r="C320" s="218"/>
      <c r="D320" s="218"/>
      <c r="E320" s="218"/>
      <c r="F320" s="219" t="s">
        <v>3240</v>
      </c>
      <c r="G320" s="218" t="s">
        <v>254</v>
      </c>
      <c r="H320" s="218" t="s">
        <v>309</v>
      </c>
      <c r="I320" s="223">
        <v>43769</v>
      </c>
      <c r="J320" s="218" t="s">
        <v>3111</v>
      </c>
      <c r="K320" s="218" t="s">
        <v>3104</v>
      </c>
      <c r="L320" s="218" t="s">
        <v>2596</v>
      </c>
      <c r="M320" s="218" t="s">
        <v>1860</v>
      </c>
      <c r="N320" s="218">
        <v>11.76</v>
      </c>
      <c r="O320" s="218" t="s">
        <v>292</v>
      </c>
      <c r="P320" s="218">
        <v>14.46</v>
      </c>
      <c r="Q320" s="218" t="s">
        <v>405</v>
      </c>
      <c r="R320" s="218" t="s">
        <v>1780</v>
      </c>
      <c r="S320" s="218" t="s">
        <v>400</v>
      </c>
      <c r="T320" s="218" t="s">
        <v>466</v>
      </c>
      <c r="U320" s="218" t="s">
        <v>2591</v>
      </c>
      <c r="V320" s="218" t="s">
        <v>381</v>
      </c>
      <c r="W320" s="218" t="s">
        <v>295</v>
      </c>
      <c r="X320" s="218" t="s">
        <v>379</v>
      </c>
      <c r="Y320" s="218">
        <v>13.25</v>
      </c>
      <c r="Z320" s="218">
        <f t="shared" si="6"/>
        <v>14.46</v>
      </c>
    </row>
    <row r="321" spans="1:26">
      <c r="A321" s="218" t="s">
        <v>2592</v>
      </c>
      <c r="B321" s="218"/>
      <c r="C321" s="218"/>
      <c r="D321" s="218"/>
      <c r="E321" s="218"/>
      <c r="F321" s="219" t="s">
        <v>3241</v>
      </c>
      <c r="G321" s="218" t="s">
        <v>254</v>
      </c>
      <c r="H321" s="218" t="s">
        <v>309</v>
      </c>
      <c r="I321" s="223">
        <v>43769</v>
      </c>
      <c r="J321" s="218" t="s">
        <v>2991</v>
      </c>
      <c r="K321" s="218" t="s">
        <v>2601</v>
      </c>
      <c r="L321" s="218" t="s">
        <v>2596</v>
      </c>
      <c r="M321" s="218" t="s">
        <v>3242</v>
      </c>
      <c r="N321" s="218">
        <v>0.78</v>
      </c>
      <c r="O321" s="218" t="s">
        <v>292</v>
      </c>
      <c r="P321" s="218">
        <v>0.96</v>
      </c>
      <c r="Q321" s="218" t="s">
        <v>405</v>
      </c>
      <c r="R321" s="218" t="s">
        <v>1780</v>
      </c>
      <c r="S321" s="218" t="s">
        <v>396</v>
      </c>
      <c r="T321" s="218" t="s">
        <v>468</v>
      </c>
      <c r="U321" s="218" t="s">
        <v>2591</v>
      </c>
      <c r="V321" s="218" t="s">
        <v>381</v>
      </c>
      <c r="W321" s="218" t="s">
        <v>295</v>
      </c>
      <c r="X321" s="218" t="s">
        <v>379</v>
      </c>
      <c r="Y321" s="218">
        <v>0.88</v>
      </c>
      <c r="Z321" s="218">
        <f t="shared" si="6"/>
        <v>0.96</v>
      </c>
    </row>
    <row r="322" spans="1:26">
      <c r="A322" s="218" t="s">
        <v>2592</v>
      </c>
      <c r="B322" s="218"/>
      <c r="C322" s="218"/>
      <c r="D322" s="218"/>
      <c r="E322" s="218"/>
      <c r="F322" s="219" t="s">
        <v>3243</v>
      </c>
      <c r="G322" s="218" t="s">
        <v>254</v>
      </c>
      <c r="H322" s="218" t="s">
        <v>309</v>
      </c>
      <c r="I322" s="223">
        <v>43769</v>
      </c>
      <c r="J322" s="218" t="s">
        <v>2991</v>
      </c>
      <c r="K322" s="218" t="s">
        <v>2601</v>
      </c>
      <c r="L322" s="218" t="s">
        <v>2596</v>
      </c>
      <c r="M322" s="218" t="s">
        <v>3244</v>
      </c>
      <c r="N322" s="218">
        <v>0.55000000000000004</v>
      </c>
      <c r="O322" s="218" t="s">
        <v>292</v>
      </c>
      <c r="P322" s="218">
        <v>0.68</v>
      </c>
      <c r="Q322" s="218" t="s">
        <v>405</v>
      </c>
      <c r="R322" s="218" t="s">
        <v>1780</v>
      </c>
      <c r="S322" s="218" t="s">
        <v>396</v>
      </c>
      <c r="T322" s="218" t="s">
        <v>626</v>
      </c>
      <c r="U322" s="218" t="s">
        <v>2591</v>
      </c>
      <c r="V322" s="218" t="s">
        <v>381</v>
      </c>
      <c r="W322" s="218" t="s">
        <v>295</v>
      </c>
      <c r="X322" s="218" t="s">
        <v>379</v>
      </c>
      <c r="Y322" s="218">
        <v>0.62</v>
      </c>
      <c r="Z322" s="218">
        <f t="shared" si="6"/>
        <v>0.68</v>
      </c>
    </row>
    <row r="323" spans="1:26">
      <c r="A323" s="218" t="s">
        <v>2592</v>
      </c>
      <c r="B323" s="218"/>
      <c r="C323" s="218"/>
      <c r="D323" s="218"/>
      <c r="E323" s="218"/>
      <c r="F323" s="219" t="s">
        <v>3245</v>
      </c>
      <c r="G323" s="218" t="s">
        <v>254</v>
      </c>
      <c r="H323" s="218" t="s">
        <v>309</v>
      </c>
      <c r="I323" s="223">
        <v>43799</v>
      </c>
      <c r="J323" s="218" t="s">
        <v>2994</v>
      </c>
      <c r="K323" s="218" t="s">
        <v>3246</v>
      </c>
      <c r="L323" s="218" t="s">
        <v>2996</v>
      </c>
      <c r="M323" s="218" t="s">
        <v>3247</v>
      </c>
      <c r="N323" s="218">
        <v>278.54000000000002</v>
      </c>
      <c r="O323" s="218" t="s">
        <v>292</v>
      </c>
      <c r="P323" s="218">
        <v>360.5</v>
      </c>
      <c r="Q323" s="218" t="s">
        <v>385</v>
      </c>
      <c r="R323" s="218" t="s">
        <v>1772</v>
      </c>
      <c r="S323" s="218" t="s">
        <v>396</v>
      </c>
      <c r="T323" s="218" t="s">
        <v>468</v>
      </c>
      <c r="U323" s="218" t="s">
        <v>2591</v>
      </c>
      <c r="V323" s="218" t="s">
        <v>381</v>
      </c>
      <c r="W323" s="218" t="s">
        <v>295</v>
      </c>
      <c r="X323" s="218" t="s">
        <v>379</v>
      </c>
      <c r="Y323" s="218">
        <v>323.13</v>
      </c>
      <c r="Z323" s="218">
        <f t="shared" si="6"/>
        <v>360.5</v>
      </c>
    </row>
    <row r="324" spans="1:26">
      <c r="A324" s="218" t="s">
        <v>2592</v>
      </c>
      <c r="B324" s="218"/>
      <c r="C324" s="218"/>
      <c r="D324" s="218"/>
      <c r="E324" s="218"/>
      <c r="F324" s="219" t="s">
        <v>3248</v>
      </c>
      <c r="G324" s="218" t="s">
        <v>254</v>
      </c>
      <c r="H324" s="218" t="s">
        <v>309</v>
      </c>
      <c r="I324" s="223">
        <v>43799</v>
      </c>
      <c r="J324" s="218" t="s">
        <v>2994</v>
      </c>
      <c r="K324" s="218" t="s">
        <v>3249</v>
      </c>
      <c r="L324" s="218" t="s">
        <v>2996</v>
      </c>
      <c r="M324" s="218" t="s">
        <v>3250</v>
      </c>
      <c r="N324" s="218">
        <v>99.5</v>
      </c>
      <c r="O324" s="218" t="s">
        <v>292</v>
      </c>
      <c r="P324" s="218">
        <v>128.78</v>
      </c>
      <c r="Q324" s="218" t="s">
        <v>385</v>
      </c>
      <c r="R324" s="218" t="s">
        <v>1772</v>
      </c>
      <c r="S324" s="218" t="s">
        <v>396</v>
      </c>
      <c r="T324" s="218" t="s">
        <v>626</v>
      </c>
      <c r="U324" s="218" t="s">
        <v>2591</v>
      </c>
      <c r="V324" s="218" t="s">
        <v>381</v>
      </c>
      <c r="W324" s="218" t="s">
        <v>295</v>
      </c>
      <c r="X324" s="218" t="s">
        <v>379</v>
      </c>
      <c r="Y324" s="218">
        <v>115.43</v>
      </c>
      <c r="Z324" s="218">
        <f t="shared" si="6"/>
        <v>128.78</v>
      </c>
    </row>
    <row r="325" spans="1:26">
      <c r="A325" s="218" t="s">
        <v>2592</v>
      </c>
      <c r="B325" s="218"/>
      <c r="C325" s="218"/>
      <c r="D325" s="218"/>
      <c r="E325" s="218"/>
      <c r="F325" s="219" t="s">
        <v>3251</v>
      </c>
      <c r="G325" s="218" t="s">
        <v>254</v>
      </c>
      <c r="H325" s="218" t="s">
        <v>309</v>
      </c>
      <c r="I325" s="223">
        <v>43799</v>
      </c>
      <c r="J325" s="218" t="s">
        <v>2999</v>
      </c>
      <c r="K325" s="218" t="s">
        <v>3000</v>
      </c>
      <c r="L325" s="218" t="s">
        <v>2996</v>
      </c>
      <c r="M325" s="218" t="s">
        <v>3252</v>
      </c>
      <c r="N325" s="218">
        <v>44.88</v>
      </c>
      <c r="O325" s="218" t="s">
        <v>292</v>
      </c>
      <c r="P325" s="218">
        <v>58.09</v>
      </c>
      <c r="Q325" s="218" t="s">
        <v>385</v>
      </c>
      <c r="R325" s="218" t="s">
        <v>1772</v>
      </c>
      <c r="S325" s="218" t="s">
        <v>396</v>
      </c>
      <c r="T325" s="218" t="s">
        <v>468</v>
      </c>
      <c r="U325" s="218" t="s">
        <v>2591</v>
      </c>
      <c r="V325" s="218" t="s">
        <v>381</v>
      </c>
      <c r="W325" s="218" t="s">
        <v>295</v>
      </c>
      <c r="X325" s="218" t="s">
        <v>379</v>
      </c>
      <c r="Y325" s="218">
        <v>52.06</v>
      </c>
      <c r="Z325" s="218">
        <f t="shared" si="6"/>
        <v>58.09</v>
      </c>
    </row>
    <row r="326" spans="1:26">
      <c r="A326" s="218" t="s">
        <v>2592</v>
      </c>
      <c r="B326" s="218"/>
      <c r="C326" s="218"/>
      <c r="D326" s="218"/>
      <c r="E326" s="218"/>
      <c r="F326" s="219" t="s">
        <v>3253</v>
      </c>
      <c r="G326" s="218" t="s">
        <v>254</v>
      </c>
      <c r="H326" s="218" t="s">
        <v>309</v>
      </c>
      <c r="I326" s="223">
        <v>43799</v>
      </c>
      <c r="J326" s="218" t="s">
        <v>2999</v>
      </c>
      <c r="K326" s="218" t="s">
        <v>3000</v>
      </c>
      <c r="L326" s="218" t="s">
        <v>2996</v>
      </c>
      <c r="M326" s="218" t="s">
        <v>3254</v>
      </c>
      <c r="N326" s="218">
        <v>15.99</v>
      </c>
      <c r="O326" s="218" t="s">
        <v>292</v>
      </c>
      <c r="P326" s="218">
        <v>20.69</v>
      </c>
      <c r="Q326" s="218" t="s">
        <v>385</v>
      </c>
      <c r="R326" s="218" t="s">
        <v>1772</v>
      </c>
      <c r="S326" s="218" t="s">
        <v>396</v>
      </c>
      <c r="T326" s="218" t="s">
        <v>626</v>
      </c>
      <c r="U326" s="218" t="s">
        <v>2591</v>
      </c>
      <c r="V326" s="218" t="s">
        <v>381</v>
      </c>
      <c r="W326" s="218" t="s">
        <v>295</v>
      </c>
      <c r="X326" s="218" t="s">
        <v>379</v>
      </c>
      <c r="Y326" s="218">
        <v>18.55</v>
      </c>
      <c r="Z326" s="218">
        <f t="shared" si="6"/>
        <v>20.69</v>
      </c>
    </row>
    <row r="327" spans="1:26">
      <c r="A327" s="218" t="s">
        <v>2592</v>
      </c>
      <c r="B327" s="218"/>
      <c r="C327" s="218"/>
      <c r="D327" s="218"/>
      <c r="E327" s="218"/>
      <c r="F327" s="219" t="s">
        <v>3255</v>
      </c>
      <c r="G327" s="218" t="s">
        <v>254</v>
      </c>
      <c r="H327" s="218" t="s">
        <v>309</v>
      </c>
      <c r="I327" s="223">
        <v>43799</v>
      </c>
      <c r="J327" s="218" t="s">
        <v>3003</v>
      </c>
      <c r="K327" s="218" t="s">
        <v>3004</v>
      </c>
      <c r="L327" s="218" t="s">
        <v>2996</v>
      </c>
      <c r="M327" s="218" t="s">
        <v>3256</v>
      </c>
      <c r="N327" s="218">
        <v>44.44</v>
      </c>
      <c r="O327" s="218" t="s">
        <v>292</v>
      </c>
      <c r="P327" s="218">
        <v>57.52</v>
      </c>
      <c r="Q327" s="218" t="s">
        <v>391</v>
      </c>
      <c r="R327" s="218" t="s">
        <v>1777</v>
      </c>
      <c r="S327" s="218" t="s">
        <v>396</v>
      </c>
      <c r="T327" s="218" t="s">
        <v>468</v>
      </c>
      <c r="U327" s="218" t="s">
        <v>2591</v>
      </c>
      <c r="V327" s="218" t="s">
        <v>381</v>
      </c>
      <c r="W327" s="218" t="s">
        <v>295</v>
      </c>
      <c r="X327" s="218" t="s">
        <v>379</v>
      </c>
      <c r="Y327" s="218">
        <v>51.55</v>
      </c>
      <c r="Z327" s="218">
        <f t="shared" si="6"/>
        <v>57.52</v>
      </c>
    </row>
    <row r="328" spans="1:26">
      <c r="A328" s="218" t="s">
        <v>2592</v>
      </c>
      <c r="B328" s="218"/>
      <c r="C328" s="218"/>
      <c r="D328" s="218"/>
      <c r="E328" s="218"/>
      <c r="F328" s="219" t="s">
        <v>3257</v>
      </c>
      <c r="G328" s="218" t="s">
        <v>254</v>
      </c>
      <c r="H328" s="218" t="s">
        <v>309</v>
      </c>
      <c r="I328" s="223">
        <v>43799</v>
      </c>
      <c r="J328" s="218" t="s">
        <v>3003</v>
      </c>
      <c r="K328" s="218" t="s">
        <v>3004</v>
      </c>
      <c r="L328" s="218" t="s">
        <v>2996</v>
      </c>
      <c r="M328" s="218" t="s">
        <v>3258</v>
      </c>
      <c r="N328" s="218">
        <v>15.82</v>
      </c>
      <c r="O328" s="218" t="s">
        <v>292</v>
      </c>
      <c r="P328" s="218">
        <v>20.47</v>
      </c>
      <c r="Q328" s="218" t="s">
        <v>391</v>
      </c>
      <c r="R328" s="218" t="s">
        <v>1777</v>
      </c>
      <c r="S328" s="218" t="s">
        <v>396</v>
      </c>
      <c r="T328" s="218" t="s">
        <v>626</v>
      </c>
      <c r="U328" s="218" t="s">
        <v>2591</v>
      </c>
      <c r="V328" s="218" t="s">
        <v>381</v>
      </c>
      <c r="W328" s="218" t="s">
        <v>295</v>
      </c>
      <c r="X328" s="218" t="s">
        <v>379</v>
      </c>
      <c r="Y328" s="218">
        <v>18.350000000000001</v>
      </c>
      <c r="Z328" s="218">
        <f t="shared" si="6"/>
        <v>20.47</v>
      </c>
    </row>
    <row r="329" spans="1:26">
      <c r="A329" s="218" t="s">
        <v>2592</v>
      </c>
      <c r="B329" s="218"/>
      <c r="C329" s="218"/>
      <c r="D329" s="218"/>
      <c r="E329" s="218"/>
      <c r="F329" s="219" t="s">
        <v>3259</v>
      </c>
      <c r="G329" s="218" t="s">
        <v>254</v>
      </c>
      <c r="H329" s="218" t="s">
        <v>309</v>
      </c>
      <c r="I329" s="223">
        <v>43799</v>
      </c>
      <c r="J329" s="218" t="s">
        <v>3007</v>
      </c>
      <c r="K329" s="218" t="s">
        <v>3008</v>
      </c>
      <c r="L329" s="218" t="s">
        <v>2996</v>
      </c>
      <c r="M329" s="218" t="s">
        <v>3260</v>
      </c>
      <c r="N329" s="218">
        <v>7.41</v>
      </c>
      <c r="O329" s="218" t="s">
        <v>292</v>
      </c>
      <c r="P329" s="218">
        <v>9.59</v>
      </c>
      <c r="Q329" s="218" t="s">
        <v>405</v>
      </c>
      <c r="R329" s="218" t="s">
        <v>1780</v>
      </c>
      <c r="S329" s="218" t="s">
        <v>396</v>
      </c>
      <c r="T329" s="218" t="s">
        <v>468</v>
      </c>
      <c r="U329" s="218" t="s">
        <v>2591</v>
      </c>
      <c r="V329" s="218" t="s">
        <v>381</v>
      </c>
      <c r="W329" s="218" t="s">
        <v>295</v>
      </c>
      <c r="X329" s="218" t="s">
        <v>379</v>
      </c>
      <c r="Y329" s="218">
        <v>8.6</v>
      </c>
      <c r="Z329" s="218">
        <f t="shared" si="6"/>
        <v>9.59</v>
      </c>
    </row>
    <row r="330" spans="1:26">
      <c r="A330" s="218" t="s">
        <v>2592</v>
      </c>
      <c r="B330" s="218"/>
      <c r="C330" s="218"/>
      <c r="D330" s="218"/>
      <c r="E330" s="218"/>
      <c r="F330" s="219" t="s">
        <v>3261</v>
      </c>
      <c r="G330" s="218" t="s">
        <v>254</v>
      </c>
      <c r="H330" s="218" t="s">
        <v>309</v>
      </c>
      <c r="I330" s="223">
        <v>43799</v>
      </c>
      <c r="J330" s="218" t="s">
        <v>3007</v>
      </c>
      <c r="K330" s="218" t="s">
        <v>3008</v>
      </c>
      <c r="L330" s="218" t="s">
        <v>2996</v>
      </c>
      <c r="M330" s="218" t="s">
        <v>3262</v>
      </c>
      <c r="N330" s="218">
        <v>2.63</v>
      </c>
      <c r="O330" s="218" t="s">
        <v>292</v>
      </c>
      <c r="P330" s="218">
        <v>3.41</v>
      </c>
      <c r="Q330" s="218" t="s">
        <v>405</v>
      </c>
      <c r="R330" s="218" t="s">
        <v>1780</v>
      </c>
      <c r="S330" s="218" t="s">
        <v>396</v>
      </c>
      <c r="T330" s="218" t="s">
        <v>626</v>
      </c>
      <c r="U330" s="218" t="s">
        <v>2591</v>
      </c>
      <c r="V330" s="218" t="s">
        <v>381</v>
      </c>
      <c r="W330" s="218" t="s">
        <v>295</v>
      </c>
      <c r="X330" s="218" t="s">
        <v>379</v>
      </c>
      <c r="Y330" s="218">
        <v>3.05</v>
      </c>
      <c r="Z330" s="218">
        <f t="shared" si="6"/>
        <v>3.41</v>
      </c>
    </row>
    <row r="331" spans="1:26">
      <c r="A331" s="218" t="s">
        <v>2592</v>
      </c>
      <c r="B331" s="218"/>
      <c r="C331" s="218"/>
      <c r="D331" s="218"/>
      <c r="E331" s="218"/>
      <c r="F331" s="219" t="s">
        <v>3263</v>
      </c>
      <c r="G331" s="218" t="s">
        <v>254</v>
      </c>
      <c r="H331" s="218" t="s">
        <v>309</v>
      </c>
      <c r="I331" s="223">
        <v>43799</v>
      </c>
      <c r="J331" s="218" t="s">
        <v>3113</v>
      </c>
      <c r="K331" s="218" t="s">
        <v>3264</v>
      </c>
      <c r="L331" s="218" t="s">
        <v>3115</v>
      </c>
      <c r="M331" s="218" t="s">
        <v>465</v>
      </c>
      <c r="N331" s="218">
        <v>407.22</v>
      </c>
      <c r="O331" s="218" t="s">
        <v>292</v>
      </c>
      <c r="P331" s="218">
        <v>527.04</v>
      </c>
      <c r="Q331" s="218" t="s">
        <v>385</v>
      </c>
      <c r="R331" s="218" t="s">
        <v>1772</v>
      </c>
      <c r="S331" s="218" t="s">
        <v>400</v>
      </c>
      <c r="T331" s="218" t="s">
        <v>466</v>
      </c>
      <c r="U331" s="218" t="s">
        <v>2591</v>
      </c>
      <c r="V331" s="218" t="s">
        <v>381</v>
      </c>
      <c r="W331" s="218" t="s">
        <v>295</v>
      </c>
      <c r="X331" s="218" t="s">
        <v>3117</v>
      </c>
      <c r="Y331" s="218">
        <v>472.41</v>
      </c>
      <c r="Z331" s="218">
        <f t="shared" si="6"/>
        <v>527.04</v>
      </c>
    </row>
    <row r="332" spans="1:26">
      <c r="A332" s="218" t="s">
        <v>2592</v>
      </c>
      <c r="B332" s="218"/>
      <c r="C332" s="218"/>
      <c r="D332" s="218"/>
      <c r="E332" s="218"/>
      <c r="F332" s="219" t="s">
        <v>3265</v>
      </c>
      <c r="G332" s="218" t="s">
        <v>254</v>
      </c>
      <c r="H332" s="218" t="s">
        <v>309</v>
      </c>
      <c r="I332" s="223">
        <v>43799</v>
      </c>
      <c r="J332" s="218" t="s">
        <v>3119</v>
      </c>
      <c r="K332" s="218" t="s">
        <v>3120</v>
      </c>
      <c r="L332" s="218" t="s">
        <v>3115</v>
      </c>
      <c r="M332" s="218" t="s">
        <v>471</v>
      </c>
      <c r="N332" s="218">
        <v>55.85</v>
      </c>
      <c r="O332" s="218" t="s">
        <v>292</v>
      </c>
      <c r="P332" s="218">
        <v>72.28</v>
      </c>
      <c r="Q332" s="218" t="s">
        <v>391</v>
      </c>
      <c r="R332" s="218" t="s">
        <v>1777</v>
      </c>
      <c r="S332" s="218" t="s">
        <v>400</v>
      </c>
      <c r="T332" s="218" t="s">
        <v>466</v>
      </c>
      <c r="U332" s="218" t="s">
        <v>2591</v>
      </c>
      <c r="V332" s="218" t="s">
        <v>381</v>
      </c>
      <c r="W332" s="218" t="s">
        <v>295</v>
      </c>
      <c r="X332" s="218" t="s">
        <v>3117</v>
      </c>
      <c r="Y332" s="218">
        <v>64.790000000000006</v>
      </c>
      <c r="Z332" s="218">
        <f t="shared" si="6"/>
        <v>72.28</v>
      </c>
    </row>
    <row r="333" spans="1:26">
      <c r="A333" s="218" t="s">
        <v>2592</v>
      </c>
      <c r="B333" s="218"/>
      <c r="C333" s="218"/>
      <c r="D333" s="218"/>
      <c r="E333" s="218"/>
      <c r="F333" s="219" t="s">
        <v>3266</v>
      </c>
      <c r="G333" s="218" t="s">
        <v>254</v>
      </c>
      <c r="H333" s="218" t="s">
        <v>309</v>
      </c>
      <c r="I333" s="223">
        <v>43799</v>
      </c>
      <c r="J333" s="218" t="s">
        <v>3123</v>
      </c>
      <c r="K333" s="218" t="s">
        <v>3124</v>
      </c>
      <c r="L333" s="218" t="s">
        <v>3115</v>
      </c>
      <c r="M333" s="218" t="s">
        <v>473</v>
      </c>
      <c r="N333" s="218">
        <v>9.31</v>
      </c>
      <c r="O333" s="218" t="s">
        <v>292</v>
      </c>
      <c r="P333" s="218">
        <v>12.05</v>
      </c>
      <c r="Q333" s="218" t="s">
        <v>405</v>
      </c>
      <c r="R333" s="218" t="s">
        <v>1780</v>
      </c>
      <c r="S333" s="218" t="s">
        <v>400</v>
      </c>
      <c r="T333" s="218" t="s">
        <v>466</v>
      </c>
      <c r="U333" s="218" t="s">
        <v>2591</v>
      </c>
      <c r="V333" s="218" t="s">
        <v>381</v>
      </c>
      <c r="W333" s="218" t="s">
        <v>295</v>
      </c>
      <c r="X333" s="218" t="s">
        <v>3117</v>
      </c>
      <c r="Y333" s="218">
        <v>10.8</v>
      </c>
      <c r="Z333" s="218">
        <f t="shared" si="6"/>
        <v>12.05</v>
      </c>
    </row>
    <row r="334" spans="1:26">
      <c r="A334" s="218" t="s">
        <v>2592</v>
      </c>
      <c r="B334" s="218"/>
      <c r="C334" s="218"/>
      <c r="D334" s="218"/>
      <c r="E334" s="218"/>
      <c r="F334" s="219" t="s">
        <v>3267</v>
      </c>
      <c r="G334" s="218" t="s">
        <v>254</v>
      </c>
      <c r="H334" s="218" t="s">
        <v>309</v>
      </c>
      <c r="I334" s="223">
        <v>43799</v>
      </c>
      <c r="J334" s="218" t="s">
        <v>3127</v>
      </c>
      <c r="K334" s="218" t="s">
        <v>3128</v>
      </c>
      <c r="L334" s="218" t="s">
        <v>3115</v>
      </c>
      <c r="M334" s="218" t="s">
        <v>475</v>
      </c>
      <c r="N334" s="218">
        <v>0.62</v>
      </c>
      <c r="O334" s="218" t="s">
        <v>292</v>
      </c>
      <c r="P334" s="218">
        <v>0.8</v>
      </c>
      <c r="Q334" s="218" t="s">
        <v>405</v>
      </c>
      <c r="R334" s="218" t="s">
        <v>1780</v>
      </c>
      <c r="S334" s="218" t="s">
        <v>400</v>
      </c>
      <c r="T334" s="218" t="s">
        <v>466</v>
      </c>
      <c r="U334" s="218" t="s">
        <v>2591</v>
      </c>
      <c r="V334" s="218" t="s">
        <v>381</v>
      </c>
      <c r="W334" s="218" t="s">
        <v>295</v>
      </c>
      <c r="X334" s="218" t="s">
        <v>379</v>
      </c>
      <c r="Y334" s="218">
        <v>0.72</v>
      </c>
      <c r="Z334" s="218">
        <f t="shared" si="6"/>
        <v>0.8</v>
      </c>
    </row>
    <row r="335" spans="1:26">
      <c r="A335" s="218" t="s">
        <v>2592</v>
      </c>
      <c r="B335" s="218"/>
      <c r="C335" s="218"/>
      <c r="D335" s="218"/>
      <c r="E335" s="218"/>
      <c r="F335" s="219" t="s">
        <v>3268</v>
      </c>
      <c r="G335" s="218" t="s">
        <v>254</v>
      </c>
      <c r="H335" s="218" t="s">
        <v>309</v>
      </c>
      <c r="I335" s="223">
        <v>43799</v>
      </c>
      <c r="J335" s="218" t="s">
        <v>2591</v>
      </c>
      <c r="K335" s="218" t="s">
        <v>3162</v>
      </c>
      <c r="L335" s="218" t="s">
        <v>3163</v>
      </c>
      <c r="M335" s="218" t="s">
        <v>878</v>
      </c>
      <c r="N335" s="218">
        <v>348.66</v>
      </c>
      <c r="O335" s="218" t="s">
        <v>2591</v>
      </c>
      <c r="P335" s="218">
        <v>0</v>
      </c>
      <c r="Q335" s="218" t="s">
        <v>385</v>
      </c>
      <c r="R335" s="218" t="s">
        <v>1772</v>
      </c>
      <c r="S335" s="218" t="s">
        <v>374</v>
      </c>
      <c r="T335" s="218" t="s">
        <v>469</v>
      </c>
      <c r="U335" s="218" t="s">
        <v>2591</v>
      </c>
      <c r="V335" s="218" t="s">
        <v>381</v>
      </c>
      <c r="W335" s="218" t="s">
        <v>295</v>
      </c>
      <c r="X335" s="218" t="s">
        <v>379</v>
      </c>
      <c r="Y335" s="218">
        <v>404.48</v>
      </c>
      <c r="Z335" s="218">
        <v>451.25</v>
      </c>
    </row>
    <row r="336" spans="1:26">
      <c r="A336" s="218" t="s">
        <v>2592</v>
      </c>
      <c r="B336" s="218"/>
      <c r="C336" s="218"/>
      <c r="D336" s="218"/>
      <c r="E336" s="218"/>
      <c r="F336" s="219" t="s">
        <v>3269</v>
      </c>
      <c r="G336" s="218" t="s">
        <v>254</v>
      </c>
      <c r="H336" s="218" t="s">
        <v>309</v>
      </c>
      <c r="I336" s="223">
        <v>43799</v>
      </c>
      <c r="J336" s="218" t="s">
        <v>2591</v>
      </c>
      <c r="K336" s="218" t="s">
        <v>3162</v>
      </c>
      <c r="L336" s="218" t="s">
        <v>3163</v>
      </c>
      <c r="M336" s="218" t="s">
        <v>878</v>
      </c>
      <c r="N336" s="218">
        <v>34.869999999999997</v>
      </c>
      <c r="O336" s="218" t="s">
        <v>2591</v>
      </c>
      <c r="P336" s="218">
        <v>0</v>
      </c>
      <c r="Q336" s="218" t="s">
        <v>391</v>
      </c>
      <c r="R336" s="218" t="s">
        <v>1777</v>
      </c>
      <c r="S336" s="218" t="s">
        <v>374</v>
      </c>
      <c r="T336" s="218" t="s">
        <v>469</v>
      </c>
      <c r="U336" s="218" t="s">
        <v>2591</v>
      </c>
      <c r="V336" s="218" t="s">
        <v>381</v>
      </c>
      <c r="W336" s="218" t="s">
        <v>295</v>
      </c>
      <c r="X336" s="218" t="s">
        <v>379</v>
      </c>
      <c r="Y336" s="218">
        <v>40.450000000000003</v>
      </c>
      <c r="Z336" s="218">
        <v>45.13</v>
      </c>
    </row>
    <row r="337" spans="1:26">
      <c r="A337" s="218" t="s">
        <v>2592</v>
      </c>
      <c r="B337" s="218"/>
      <c r="C337" s="218"/>
      <c r="D337" s="218"/>
      <c r="E337" s="218"/>
      <c r="F337" s="219" t="s">
        <v>3270</v>
      </c>
      <c r="G337" s="218" t="s">
        <v>254</v>
      </c>
      <c r="H337" s="218" t="s">
        <v>309</v>
      </c>
      <c r="I337" s="223">
        <v>43799</v>
      </c>
      <c r="J337" s="218" t="s">
        <v>2591</v>
      </c>
      <c r="K337" s="218" t="s">
        <v>3162</v>
      </c>
      <c r="L337" s="218" t="s">
        <v>3167</v>
      </c>
      <c r="M337" s="218" t="s">
        <v>3168</v>
      </c>
      <c r="N337" s="218">
        <v>17.43</v>
      </c>
      <c r="O337" s="218" t="s">
        <v>2591</v>
      </c>
      <c r="P337" s="218">
        <v>0</v>
      </c>
      <c r="Q337" s="218" t="s">
        <v>385</v>
      </c>
      <c r="R337" s="218" t="s">
        <v>1772</v>
      </c>
      <c r="S337" s="218" t="s">
        <v>374</v>
      </c>
      <c r="T337" s="218" t="s">
        <v>469</v>
      </c>
      <c r="U337" s="218" t="s">
        <v>2591</v>
      </c>
      <c r="V337" s="218" t="s">
        <v>388</v>
      </c>
      <c r="W337" s="218" t="s">
        <v>295</v>
      </c>
      <c r="X337" s="218" t="s">
        <v>379</v>
      </c>
      <c r="Y337" s="218">
        <v>20.22</v>
      </c>
      <c r="Z337" s="218">
        <v>22.56</v>
      </c>
    </row>
    <row r="338" spans="1:26">
      <c r="A338" s="218" t="s">
        <v>2592</v>
      </c>
      <c r="B338" s="218"/>
      <c r="C338" s="218"/>
      <c r="D338" s="218"/>
      <c r="E338" s="218"/>
      <c r="F338" s="219" t="s">
        <v>3271</v>
      </c>
      <c r="G338" s="218" t="s">
        <v>254</v>
      </c>
      <c r="H338" s="218" t="s">
        <v>309</v>
      </c>
      <c r="I338" s="223">
        <v>43799</v>
      </c>
      <c r="J338" s="218" t="s">
        <v>2591</v>
      </c>
      <c r="K338" s="218" t="s">
        <v>3162</v>
      </c>
      <c r="L338" s="218" t="s">
        <v>3170</v>
      </c>
      <c r="M338" s="218" t="s">
        <v>3171</v>
      </c>
      <c r="N338" s="218">
        <v>5.23</v>
      </c>
      <c r="O338" s="218" t="s">
        <v>2591</v>
      </c>
      <c r="P338" s="218">
        <v>0</v>
      </c>
      <c r="Q338" s="218" t="s">
        <v>385</v>
      </c>
      <c r="R338" s="218" t="s">
        <v>1772</v>
      </c>
      <c r="S338" s="218" t="s">
        <v>374</v>
      </c>
      <c r="T338" s="218" t="s">
        <v>469</v>
      </c>
      <c r="U338" s="218" t="s">
        <v>2591</v>
      </c>
      <c r="V338" s="218" t="s">
        <v>390</v>
      </c>
      <c r="W338" s="218" t="s">
        <v>295</v>
      </c>
      <c r="X338" s="218" t="s">
        <v>379</v>
      </c>
      <c r="Y338" s="218">
        <v>6.07</v>
      </c>
      <c r="Z338" s="218">
        <v>6.77</v>
      </c>
    </row>
    <row r="339" spans="1:26">
      <c r="A339" s="218" t="s">
        <v>2592</v>
      </c>
      <c r="B339" s="218"/>
      <c r="C339" s="218"/>
      <c r="D339" s="218"/>
      <c r="E339" s="218"/>
      <c r="F339" s="219" t="s">
        <v>3272</v>
      </c>
      <c r="G339" s="218" t="s">
        <v>254</v>
      </c>
      <c r="H339" s="218" t="s">
        <v>309</v>
      </c>
      <c r="I339" s="223">
        <v>43830</v>
      </c>
      <c r="J339" s="218" t="s">
        <v>3131</v>
      </c>
      <c r="K339" s="218" t="s">
        <v>3273</v>
      </c>
      <c r="L339" s="218" t="s">
        <v>2617</v>
      </c>
      <c r="M339" s="218" t="s">
        <v>3274</v>
      </c>
      <c r="N339" s="218">
        <v>337.02</v>
      </c>
      <c r="O339" s="218" t="s">
        <v>292</v>
      </c>
      <c r="P339" s="218">
        <v>435.84</v>
      </c>
      <c r="Q339" s="218" t="s">
        <v>385</v>
      </c>
      <c r="R339" s="218" t="s">
        <v>1772</v>
      </c>
      <c r="S339" s="218" t="s">
        <v>400</v>
      </c>
      <c r="T339" s="218" t="s">
        <v>466</v>
      </c>
      <c r="U339" s="218" t="s">
        <v>2591</v>
      </c>
      <c r="V339" s="218" t="s">
        <v>381</v>
      </c>
      <c r="W339" s="218" t="s">
        <v>295</v>
      </c>
      <c r="X339" s="218" t="s">
        <v>379</v>
      </c>
      <c r="Y339" s="218">
        <v>395.65</v>
      </c>
      <c r="Z339" s="218">
        <f t="shared" ref="Z339:Z368" si="7">P339</f>
        <v>435.84</v>
      </c>
    </row>
    <row r="340" spans="1:26">
      <c r="A340" s="218" t="s">
        <v>2592</v>
      </c>
      <c r="B340" s="218"/>
      <c r="C340" s="218"/>
      <c r="D340" s="218"/>
      <c r="E340" s="218"/>
      <c r="F340" s="219" t="s">
        <v>3275</v>
      </c>
      <c r="G340" s="218" t="s">
        <v>254</v>
      </c>
      <c r="H340" s="218" t="s">
        <v>309</v>
      </c>
      <c r="I340" s="223">
        <v>43830</v>
      </c>
      <c r="J340" s="218" t="s">
        <v>3135</v>
      </c>
      <c r="K340" s="218" t="s">
        <v>3136</v>
      </c>
      <c r="L340" s="218" t="s">
        <v>2617</v>
      </c>
      <c r="M340" s="218" t="s">
        <v>3276</v>
      </c>
      <c r="N340" s="218">
        <v>63.86</v>
      </c>
      <c r="O340" s="218" t="s">
        <v>292</v>
      </c>
      <c r="P340" s="218">
        <v>82.58</v>
      </c>
      <c r="Q340" s="218" t="s">
        <v>391</v>
      </c>
      <c r="R340" s="218" t="s">
        <v>1777</v>
      </c>
      <c r="S340" s="218" t="s">
        <v>400</v>
      </c>
      <c r="T340" s="218" t="s">
        <v>466</v>
      </c>
      <c r="U340" s="218" t="s">
        <v>2591</v>
      </c>
      <c r="V340" s="218" t="s">
        <v>381</v>
      </c>
      <c r="W340" s="218" t="s">
        <v>295</v>
      </c>
      <c r="X340" s="218" t="s">
        <v>379</v>
      </c>
      <c r="Y340" s="218">
        <v>74.97</v>
      </c>
      <c r="Z340" s="218">
        <f t="shared" si="7"/>
        <v>82.58</v>
      </c>
    </row>
    <row r="341" spans="1:26">
      <c r="A341" s="218" t="s">
        <v>2592</v>
      </c>
      <c r="B341" s="218"/>
      <c r="C341" s="218"/>
      <c r="D341" s="218"/>
      <c r="E341" s="218"/>
      <c r="F341" s="219" t="s">
        <v>3277</v>
      </c>
      <c r="G341" s="218" t="s">
        <v>254</v>
      </c>
      <c r="H341" s="218" t="s">
        <v>309</v>
      </c>
      <c r="I341" s="223">
        <v>43830</v>
      </c>
      <c r="J341" s="218" t="s">
        <v>3139</v>
      </c>
      <c r="K341" s="218" t="s">
        <v>3140</v>
      </c>
      <c r="L341" s="218" t="s">
        <v>2617</v>
      </c>
      <c r="M341" s="218" t="s">
        <v>3278</v>
      </c>
      <c r="N341" s="218">
        <v>10.64</v>
      </c>
      <c r="O341" s="218" t="s">
        <v>292</v>
      </c>
      <c r="P341" s="218">
        <v>13.76</v>
      </c>
      <c r="Q341" s="218" t="s">
        <v>405</v>
      </c>
      <c r="R341" s="218" t="s">
        <v>1780</v>
      </c>
      <c r="S341" s="218" t="s">
        <v>400</v>
      </c>
      <c r="T341" s="218" t="s">
        <v>466</v>
      </c>
      <c r="U341" s="218" t="s">
        <v>2591</v>
      </c>
      <c r="V341" s="218" t="s">
        <v>381</v>
      </c>
      <c r="W341" s="218" t="s">
        <v>295</v>
      </c>
      <c r="X341" s="218" t="s">
        <v>379</v>
      </c>
      <c r="Y341" s="218">
        <v>12.49</v>
      </c>
      <c r="Z341" s="218">
        <f t="shared" si="7"/>
        <v>13.76</v>
      </c>
    </row>
    <row r="342" spans="1:26">
      <c r="A342" s="218" t="s">
        <v>2592</v>
      </c>
      <c r="B342" s="218"/>
      <c r="C342" s="218"/>
      <c r="D342" s="218"/>
      <c r="E342" s="218"/>
      <c r="F342" s="219" t="s">
        <v>3279</v>
      </c>
      <c r="G342" s="218" t="s">
        <v>254</v>
      </c>
      <c r="H342" s="218" t="s">
        <v>309</v>
      </c>
      <c r="I342" s="223">
        <v>43830</v>
      </c>
      <c r="J342" s="218" t="s">
        <v>3143</v>
      </c>
      <c r="K342" s="218" t="s">
        <v>3280</v>
      </c>
      <c r="L342" s="218" t="s">
        <v>2617</v>
      </c>
      <c r="M342" s="218" t="s">
        <v>465</v>
      </c>
      <c r="N342" s="218">
        <v>323.55</v>
      </c>
      <c r="O342" s="218" t="s">
        <v>292</v>
      </c>
      <c r="P342" s="218">
        <v>418.43</v>
      </c>
      <c r="Q342" s="218" t="s">
        <v>385</v>
      </c>
      <c r="R342" s="218" t="s">
        <v>1772</v>
      </c>
      <c r="S342" s="218" t="s">
        <v>400</v>
      </c>
      <c r="T342" s="218" t="s">
        <v>466</v>
      </c>
      <c r="U342" s="218" t="s">
        <v>2591</v>
      </c>
      <c r="V342" s="218" t="s">
        <v>381</v>
      </c>
      <c r="W342" s="218" t="s">
        <v>295</v>
      </c>
      <c r="X342" s="218" t="s">
        <v>379</v>
      </c>
      <c r="Y342" s="218">
        <v>379.84</v>
      </c>
      <c r="Z342" s="218">
        <f t="shared" si="7"/>
        <v>418.43</v>
      </c>
    </row>
    <row r="343" spans="1:26">
      <c r="A343" s="218" t="s">
        <v>2592</v>
      </c>
      <c r="B343" s="218"/>
      <c r="C343" s="218"/>
      <c r="D343" s="218"/>
      <c r="E343" s="218"/>
      <c r="F343" s="219" t="s">
        <v>3281</v>
      </c>
      <c r="G343" s="218" t="s">
        <v>254</v>
      </c>
      <c r="H343" s="218" t="s">
        <v>309</v>
      </c>
      <c r="I343" s="223">
        <v>43830</v>
      </c>
      <c r="J343" s="218" t="s">
        <v>3146</v>
      </c>
      <c r="K343" s="218" t="s">
        <v>3147</v>
      </c>
      <c r="L343" s="218" t="s">
        <v>2617</v>
      </c>
      <c r="M343" s="218" t="s">
        <v>471</v>
      </c>
      <c r="N343" s="218">
        <v>44.71</v>
      </c>
      <c r="O343" s="218" t="s">
        <v>292</v>
      </c>
      <c r="P343" s="218">
        <v>57.82</v>
      </c>
      <c r="Q343" s="218" t="s">
        <v>391</v>
      </c>
      <c r="R343" s="218" t="s">
        <v>1777</v>
      </c>
      <c r="S343" s="218" t="s">
        <v>400</v>
      </c>
      <c r="T343" s="218" t="s">
        <v>466</v>
      </c>
      <c r="U343" s="218" t="s">
        <v>2591</v>
      </c>
      <c r="V343" s="218" t="s">
        <v>381</v>
      </c>
      <c r="W343" s="218" t="s">
        <v>295</v>
      </c>
      <c r="X343" s="218" t="s">
        <v>379</v>
      </c>
      <c r="Y343" s="218">
        <v>52.49</v>
      </c>
      <c r="Z343" s="218">
        <f t="shared" si="7"/>
        <v>57.82</v>
      </c>
    </row>
    <row r="344" spans="1:26">
      <c r="A344" s="218" t="s">
        <v>2592</v>
      </c>
      <c r="B344" s="218"/>
      <c r="C344" s="218"/>
      <c r="D344" s="218"/>
      <c r="E344" s="218"/>
      <c r="F344" s="219" t="s">
        <v>3282</v>
      </c>
      <c r="G344" s="218" t="s">
        <v>254</v>
      </c>
      <c r="H344" s="218" t="s">
        <v>309</v>
      </c>
      <c r="I344" s="223">
        <v>43830</v>
      </c>
      <c r="J344" s="218" t="s">
        <v>3149</v>
      </c>
      <c r="K344" s="218" t="s">
        <v>3150</v>
      </c>
      <c r="L344" s="218" t="s">
        <v>2617</v>
      </c>
      <c r="M344" s="218" t="s">
        <v>473</v>
      </c>
      <c r="N344" s="218">
        <v>7.45</v>
      </c>
      <c r="O344" s="218" t="s">
        <v>292</v>
      </c>
      <c r="P344" s="218">
        <v>9.64</v>
      </c>
      <c r="Q344" s="218" t="s">
        <v>405</v>
      </c>
      <c r="R344" s="218" t="s">
        <v>1780</v>
      </c>
      <c r="S344" s="218" t="s">
        <v>400</v>
      </c>
      <c r="T344" s="218" t="s">
        <v>466</v>
      </c>
      <c r="U344" s="218" t="s">
        <v>2591</v>
      </c>
      <c r="V344" s="218" t="s">
        <v>381</v>
      </c>
      <c r="W344" s="218" t="s">
        <v>295</v>
      </c>
      <c r="X344" s="218" t="s">
        <v>379</v>
      </c>
      <c r="Y344" s="218">
        <v>8.75</v>
      </c>
      <c r="Z344" s="218">
        <f t="shared" si="7"/>
        <v>9.64</v>
      </c>
    </row>
    <row r="345" spans="1:26">
      <c r="A345" s="218" t="s">
        <v>2592</v>
      </c>
      <c r="B345" s="218"/>
      <c r="C345" s="218"/>
      <c r="D345" s="218"/>
      <c r="E345" s="218"/>
      <c r="F345" s="219" t="s">
        <v>3283</v>
      </c>
      <c r="G345" s="218" t="s">
        <v>254</v>
      </c>
      <c r="H345" s="218" t="s">
        <v>309</v>
      </c>
      <c r="I345" s="223">
        <v>43830</v>
      </c>
      <c r="J345" s="218" t="s">
        <v>3152</v>
      </c>
      <c r="K345" s="218" t="s">
        <v>3153</v>
      </c>
      <c r="L345" s="218" t="s">
        <v>2617</v>
      </c>
      <c r="M345" s="218" t="s">
        <v>475</v>
      </c>
      <c r="N345" s="218">
        <v>0.68</v>
      </c>
      <c r="O345" s="218" t="s">
        <v>292</v>
      </c>
      <c r="P345" s="218">
        <v>0.88</v>
      </c>
      <c r="Q345" s="218" t="s">
        <v>405</v>
      </c>
      <c r="R345" s="218" t="s">
        <v>1780</v>
      </c>
      <c r="S345" s="218" t="s">
        <v>400</v>
      </c>
      <c r="T345" s="218" t="s">
        <v>466</v>
      </c>
      <c r="U345" s="218" t="s">
        <v>2591</v>
      </c>
      <c r="V345" s="218" t="s">
        <v>381</v>
      </c>
      <c r="W345" s="218" t="s">
        <v>295</v>
      </c>
      <c r="X345" s="218" t="s">
        <v>379</v>
      </c>
      <c r="Y345" s="218">
        <v>0.8</v>
      </c>
      <c r="Z345" s="218">
        <f t="shared" si="7"/>
        <v>0.88</v>
      </c>
    </row>
    <row r="346" spans="1:26">
      <c r="A346" s="218" t="s">
        <v>2592</v>
      </c>
      <c r="B346" s="218"/>
      <c r="C346" s="218"/>
      <c r="D346" s="218"/>
      <c r="E346" s="218"/>
      <c r="F346" s="219" t="s">
        <v>3284</v>
      </c>
      <c r="G346" s="218" t="s">
        <v>254</v>
      </c>
      <c r="H346" s="218" t="s">
        <v>309</v>
      </c>
      <c r="I346" s="223">
        <v>43830</v>
      </c>
      <c r="J346" s="218" t="s">
        <v>3152</v>
      </c>
      <c r="K346" s="218" t="s">
        <v>3155</v>
      </c>
      <c r="L346" s="218" t="s">
        <v>2617</v>
      </c>
      <c r="M346" s="218" t="s">
        <v>475</v>
      </c>
      <c r="N346" s="218">
        <v>0.52</v>
      </c>
      <c r="O346" s="218" t="s">
        <v>292</v>
      </c>
      <c r="P346" s="218">
        <v>0.67</v>
      </c>
      <c r="Q346" s="218" t="s">
        <v>405</v>
      </c>
      <c r="R346" s="218" t="s">
        <v>1780</v>
      </c>
      <c r="S346" s="218" t="s">
        <v>400</v>
      </c>
      <c r="T346" s="218" t="s">
        <v>466</v>
      </c>
      <c r="U346" s="218" t="s">
        <v>2591</v>
      </c>
      <c r="V346" s="218" t="s">
        <v>381</v>
      </c>
      <c r="W346" s="218" t="s">
        <v>295</v>
      </c>
      <c r="X346" s="218" t="s">
        <v>379</v>
      </c>
      <c r="Y346" s="218">
        <v>0.61</v>
      </c>
      <c r="Z346" s="218">
        <f t="shared" si="7"/>
        <v>0.67</v>
      </c>
    </row>
    <row r="347" spans="1:26">
      <c r="A347" s="218" t="s">
        <v>2592</v>
      </c>
      <c r="B347" s="218"/>
      <c r="C347" s="218"/>
      <c r="D347" s="218"/>
      <c r="E347" s="218"/>
      <c r="F347" s="219" t="s">
        <v>3285</v>
      </c>
      <c r="G347" s="218" t="s">
        <v>254</v>
      </c>
      <c r="H347" s="218" t="s">
        <v>309</v>
      </c>
      <c r="I347" s="223">
        <v>43830</v>
      </c>
      <c r="J347" s="218" t="s">
        <v>3011</v>
      </c>
      <c r="K347" s="218" t="s">
        <v>3286</v>
      </c>
      <c r="L347" s="218" t="s">
        <v>2704</v>
      </c>
      <c r="M347" s="218" t="s">
        <v>3287</v>
      </c>
      <c r="N347" s="218">
        <v>414.32</v>
      </c>
      <c r="O347" s="218" t="s">
        <v>292</v>
      </c>
      <c r="P347" s="218">
        <v>535.80999999999995</v>
      </c>
      <c r="Q347" s="218" t="s">
        <v>385</v>
      </c>
      <c r="R347" s="218" t="s">
        <v>1772</v>
      </c>
      <c r="S347" s="218" t="s">
        <v>396</v>
      </c>
      <c r="T347" s="218" t="s">
        <v>468</v>
      </c>
      <c r="U347" s="218" t="s">
        <v>2591</v>
      </c>
      <c r="V347" s="218" t="s">
        <v>381</v>
      </c>
      <c r="W347" s="218" t="s">
        <v>295</v>
      </c>
      <c r="X347" s="218" t="s">
        <v>379</v>
      </c>
      <c r="Y347" s="218">
        <v>486.4</v>
      </c>
      <c r="Z347" s="218">
        <f t="shared" si="7"/>
        <v>535.80999999999995</v>
      </c>
    </row>
    <row r="348" spans="1:26">
      <c r="A348" s="218" t="s">
        <v>2592</v>
      </c>
      <c r="B348" s="218"/>
      <c r="C348" s="218"/>
      <c r="D348" s="218"/>
      <c r="E348" s="218"/>
      <c r="F348" s="219" t="s">
        <v>3288</v>
      </c>
      <c r="G348" s="218" t="s">
        <v>254</v>
      </c>
      <c r="H348" s="218" t="s">
        <v>309</v>
      </c>
      <c r="I348" s="223">
        <v>43830</v>
      </c>
      <c r="J348" s="218" t="s">
        <v>3011</v>
      </c>
      <c r="K348" s="218" t="s">
        <v>3249</v>
      </c>
      <c r="L348" s="218" t="s">
        <v>2704</v>
      </c>
      <c r="M348" s="218" t="s">
        <v>3289</v>
      </c>
      <c r="N348" s="218">
        <v>39.35</v>
      </c>
      <c r="O348" s="218" t="s">
        <v>292</v>
      </c>
      <c r="P348" s="218">
        <v>50.89</v>
      </c>
      <c r="Q348" s="218" t="s">
        <v>385</v>
      </c>
      <c r="R348" s="218" t="s">
        <v>1772</v>
      </c>
      <c r="S348" s="218" t="s">
        <v>396</v>
      </c>
      <c r="T348" s="218" t="s">
        <v>626</v>
      </c>
      <c r="U348" s="218" t="s">
        <v>2591</v>
      </c>
      <c r="V348" s="218" t="s">
        <v>381</v>
      </c>
      <c r="W348" s="218" t="s">
        <v>295</v>
      </c>
      <c r="X348" s="218" t="s">
        <v>379</v>
      </c>
      <c r="Y348" s="218">
        <v>46.2</v>
      </c>
      <c r="Z348" s="218">
        <f t="shared" si="7"/>
        <v>50.89</v>
      </c>
    </row>
    <row r="349" spans="1:26">
      <c r="A349" s="218" t="s">
        <v>2592</v>
      </c>
      <c r="B349" s="218"/>
      <c r="C349" s="218"/>
      <c r="D349" s="218"/>
      <c r="E349" s="218"/>
      <c r="F349" s="219" t="s">
        <v>3290</v>
      </c>
      <c r="G349" s="218" t="s">
        <v>254</v>
      </c>
      <c r="H349" s="218" t="s">
        <v>309</v>
      </c>
      <c r="I349" s="223">
        <v>43830</v>
      </c>
      <c r="J349" s="218" t="s">
        <v>3014</v>
      </c>
      <c r="K349" s="218" t="s">
        <v>3000</v>
      </c>
      <c r="L349" s="218" t="s">
        <v>2704</v>
      </c>
      <c r="M349" s="218" t="s">
        <v>3291</v>
      </c>
      <c r="N349" s="218">
        <v>66.099999999999994</v>
      </c>
      <c r="O349" s="218" t="s">
        <v>292</v>
      </c>
      <c r="P349" s="218">
        <v>85.48</v>
      </c>
      <c r="Q349" s="218" t="s">
        <v>385</v>
      </c>
      <c r="R349" s="218" t="s">
        <v>1772</v>
      </c>
      <c r="S349" s="218" t="s">
        <v>396</v>
      </c>
      <c r="T349" s="218" t="s">
        <v>468</v>
      </c>
      <c r="U349" s="218" t="s">
        <v>2591</v>
      </c>
      <c r="V349" s="218" t="s">
        <v>381</v>
      </c>
      <c r="W349" s="218" t="s">
        <v>295</v>
      </c>
      <c r="X349" s="218" t="s">
        <v>379</v>
      </c>
      <c r="Y349" s="218">
        <v>77.599999999999994</v>
      </c>
      <c r="Z349" s="218">
        <f t="shared" si="7"/>
        <v>85.48</v>
      </c>
    </row>
    <row r="350" spans="1:26">
      <c r="A350" s="218" t="s">
        <v>2592</v>
      </c>
      <c r="B350" s="218"/>
      <c r="C350" s="218"/>
      <c r="D350" s="218"/>
      <c r="E350" s="218"/>
      <c r="F350" s="219" t="s">
        <v>3292</v>
      </c>
      <c r="G350" s="218" t="s">
        <v>254</v>
      </c>
      <c r="H350" s="218" t="s">
        <v>309</v>
      </c>
      <c r="I350" s="223">
        <v>43830</v>
      </c>
      <c r="J350" s="218" t="s">
        <v>3014</v>
      </c>
      <c r="K350" s="218" t="s">
        <v>3000</v>
      </c>
      <c r="L350" s="218" t="s">
        <v>2704</v>
      </c>
      <c r="M350" s="218" t="s">
        <v>3293</v>
      </c>
      <c r="N350" s="218">
        <v>6.2</v>
      </c>
      <c r="O350" s="218" t="s">
        <v>292</v>
      </c>
      <c r="P350" s="218">
        <v>8.02</v>
      </c>
      <c r="Q350" s="218" t="s">
        <v>385</v>
      </c>
      <c r="R350" s="218" t="s">
        <v>1772</v>
      </c>
      <c r="S350" s="218" t="s">
        <v>396</v>
      </c>
      <c r="T350" s="218" t="s">
        <v>626</v>
      </c>
      <c r="U350" s="218" t="s">
        <v>2591</v>
      </c>
      <c r="V350" s="218" t="s">
        <v>381</v>
      </c>
      <c r="W350" s="218" t="s">
        <v>295</v>
      </c>
      <c r="X350" s="218" t="s">
        <v>379</v>
      </c>
      <c r="Y350" s="218">
        <v>7.28</v>
      </c>
      <c r="Z350" s="218">
        <f t="shared" si="7"/>
        <v>8.02</v>
      </c>
    </row>
    <row r="351" spans="1:26">
      <c r="A351" s="218" t="s">
        <v>2592</v>
      </c>
      <c r="B351" s="218"/>
      <c r="C351" s="218"/>
      <c r="D351" s="218"/>
      <c r="E351" s="218"/>
      <c r="F351" s="219" t="s">
        <v>3294</v>
      </c>
      <c r="G351" s="218" t="s">
        <v>254</v>
      </c>
      <c r="H351" s="218" t="s">
        <v>309</v>
      </c>
      <c r="I351" s="223">
        <v>43830</v>
      </c>
      <c r="J351" s="218" t="s">
        <v>3016</v>
      </c>
      <c r="K351" s="218" t="s">
        <v>3004</v>
      </c>
      <c r="L351" s="218" t="s">
        <v>2704</v>
      </c>
      <c r="M351" s="218" t="s">
        <v>3295</v>
      </c>
      <c r="N351" s="218">
        <v>66.72</v>
      </c>
      <c r="O351" s="218" t="s">
        <v>292</v>
      </c>
      <c r="P351" s="218">
        <v>86.28</v>
      </c>
      <c r="Q351" s="218" t="s">
        <v>391</v>
      </c>
      <c r="R351" s="218" t="s">
        <v>1777</v>
      </c>
      <c r="S351" s="218" t="s">
        <v>396</v>
      </c>
      <c r="T351" s="218" t="s">
        <v>468</v>
      </c>
      <c r="U351" s="218" t="s">
        <v>2591</v>
      </c>
      <c r="V351" s="218" t="s">
        <v>381</v>
      </c>
      <c r="W351" s="218" t="s">
        <v>295</v>
      </c>
      <c r="X351" s="218" t="s">
        <v>379</v>
      </c>
      <c r="Y351" s="218">
        <v>78.33</v>
      </c>
      <c r="Z351" s="218">
        <f t="shared" si="7"/>
        <v>86.28</v>
      </c>
    </row>
    <row r="352" spans="1:26">
      <c r="A352" s="218" t="s">
        <v>2592</v>
      </c>
      <c r="B352" s="218"/>
      <c r="C352" s="218"/>
      <c r="D352" s="218"/>
      <c r="E352" s="218"/>
      <c r="F352" s="219" t="s">
        <v>3296</v>
      </c>
      <c r="G352" s="218" t="s">
        <v>254</v>
      </c>
      <c r="H352" s="218" t="s">
        <v>309</v>
      </c>
      <c r="I352" s="223">
        <v>43830</v>
      </c>
      <c r="J352" s="218" t="s">
        <v>3016</v>
      </c>
      <c r="K352" s="218" t="s">
        <v>3004</v>
      </c>
      <c r="L352" s="218" t="s">
        <v>2704</v>
      </c>
      <c r="M352" s="218" t="s">
        <v>3297</v>
      </c>
      <c r="N352" s="218">
        <v>6.33</v>
      </c>
      <c r="O352" s="218" t="s">
        <v>292</v>
      </c>
      <c r="P352" s="218">
        <v>8.19</v>
      </c>
      <c r="Q352" s="218" t="s">
        <v>391</v>
      </c>
      <c r="R352" s="218" t="s">
        <v>1777</v>
      </c>
      <c r="S352" s="218" t="s">
        <v>396</v>
      </c>
      <c r="T352" s="218" t="s">
        <v>626</v>
      </c>
      <c r="U352" s="218" t="s">
        <v>2591</v>
      </c>
      <c r="V352" s="218" t="s">
        <v>381</v>
      </c>
      <c r="W352" s="218" t="s">
        <v>295</v>
      </c>
      <c r="X352" s="218" t="s">
        <v>379</v>
      </c>
      <c r="Y352" s="218">
        <v>7.43</v>
      </c>
      <c r="Z352" s="218">
        <f t="shared" si="7"/>
        <v>8.19</v>
      </c>
    </row>
    <row r="353" spans="1:26">
      <c r="A353" s="218" t="s">
        <v>2592</v>
      </c>
      <c r="B353" s="218"/>
      <c r="C353" s="218"/>
      <c r="D353" s="218"/>
      <c r="E353" s="218"/>
      <c r="F353" s="219" t="s">
        <v>3298</v>
      </c>
      <c r="G353" s="218" t="s">
        <v>254</v>
      </c>
      <c r="H353" s="218" t="s">
        <v>309</v>
      </c>
      <c r="I353" s="223">
        <v>43830</v>
      </c>
      <c r="J353" s="218" t="s">
        <v>3018</v>
      </c>
      <c r="K353" s="218" t="s">
        <v>3008</v>
      </c>
      <c r="L353" s="218" t="s">
        <v>2704</v>
      </c>
      <c r="M353" s="218" t="s">
        <v>3299</v>
      </c>
      <c r="N353" s="218">
        <v>11.12</v>
      </c>
      <c r="O353" s="218" t="s">
        <v>292</v>
      </c>
      <c r="P353" s="218">
        <v>14.38</v>
      </c>
      <c r="Q353" s="218" t="s">
        <v>405</v>
      </c>
      <c r="R353" s="218" t="s">
        <v>1780</v>
      </c>
      <c r="S353" s="218" t="s">
        <v>396</v>
      </c>
      <c r="T353" s="218" t="s">
        <v>468</v>
      </c>
      <c r="U353" s="218" t="s">
        <v>2591</v>
      </c>
      <c r="V353" s="218" t="s">
        <v>381</v>
      </c>
      <c r="W353" s="218" t="s">
        <v>295</v>
      </c>
      <c r="X353" s="218" t="s">
        <v>379</v>
      </c>
      <c r="Y353" s="218">
        <v>13.05</v>
      </c>
      <c r="Z353" s="218">
        <f t="shared" si="7"/>
        <v>14.38</v>
      </c>
    </row>
    <row r="354" spans="1:26">
      <c r="A354" s="218" t="s">
        <v>2592</v>
      </c>
      <c r="B354" s="218"/>
      <c r="C354" s="218"/>
      <c r="D354" s="218"/>
      <c r="E354" s="218"/>
      <c r="F354" s="219" t="s">
        <v>3300</v>
      </c>
      <c r="G354" s="218" t="s">
        <v>254</v>
      </c>
      <c r="H354" s="218" t="s">
        <v>309</v>
      </c>
      <c r="I354" s="223">
        <v>43830</v>
      </c>
      <c r="J354" s="218" t="s">
        <v>3018</v>
      </c>
      <c r="K354" s="218" t="s">
        <v>3008</v>
      </c>
      <c r="L354" s="218" t="s">
        <v>2704</v>
      </c>
      <c r="M354" s="218" t="s">
        <v>3301</v>
      </c>
      <c r="N354" s="218">
        <v>1.05</v>
      </c>
      <c r="O354" s="218" t="s">
        <v>292</v>
      </c>
      <c r="P354" s="218">
        <v>1.36</v>
      </c>
      <c r="Q354" s="218" t="s">
        <v>405</v>
      </c>
      <c r="R354" s="218" t="s">
        <v>1780</v>
      </c>
      <c r="S354" s="218" t="s">
        <v>396</v>
      </c>
      <c r="T354" s="218" t="s">
        <v>626</v>
      </c>
      <c r="U354" s="218" t="s">
        <v>2591</v>
      </c>
      <c r="V354" s="218" t="s">
        <v>381</v>
      </c>
      <c r="W354" s="218" t="s">
        <v>295</v>
      </c>
      <c r="X354" s="218" t="s">
        <v>379</v>
      </c>
      <c r="Y354" s="218">
        <v>1.23</v>
      </c>
      <c r="Z354" s="218">
        <f t="shared" si="7"/>
        <v>1.36</v>
      </c>
    </row>
    <row r="355" spans="1:26">
      <c r="A355" s="218" t="s">
        <v>2592</v>
      </c>
      <c r="B355" s="218"/>
      <c r="C355" s="218"/>
      <c r="D355" s="218"/>
      <c r="E355" s="218"/>
      <c r="F355" s="219" t="s">
        <v>3302</v>
      </c>
      <c r="G355" s="218" t="s">
        <v>254</v>
      </c>
      <c r="H355" s="218" t="s">
        <v>309</v>
      </c>
      <c r="I355" s="223">
        <v>43830</v>
      </c>
      <c r="J355" s="218" t="s">
        <v>3021</v>
      </c>
      <c r="K355" s="218" t="s">
        <v>3303</v>
      </c>
      <c r="L355" s="218" t="s">
        <v>2704</v>
      </c>
      <c r="M355" s="218" t="s">
        <v>3304</v>
      </c>
      <c r="N355" s="218">
        <v>245.66</v>
      </c>
      <c r="O355" s="218" t="s">
        <v>292</v>
      </c>
      <c r="P355" s="218">
        <v>317.7</v>
      </c>
      <c r="Q355" s="218" t="s">
        <v>385</v>
      </c>
      <c r="R355" s="218" t="s">
        <v>1772</v>
      </c>
      <c r="S355" s="218" t="s">
        <v>396</v>
      </c>
      <c r="T355" s="218" t="s">
        <v>468</v>
      </c>
      <c r="U355" s="218" t="s">
        <v>2591</v>
      </c>
      <c r="V355" s="218" t="s">
        <v>381</v>
      </c>
      <c r="W355" s="218" t="s">
        <v>295</v>
      </c>
      <c r="X355" s="218" t="s">
        <v>379</v>
      </c>
      <c r="Y355" s="218">
        <v>288.39999999999998</v>
      </c>
      <c r="Z355" s="218">
        <f t="shared" si="7"/>
        <v>317.7</v>
      </c>
    </row>
    <row r="356" spans="1:26">
      <c r="A356" s="218" t="s">
        <v>2592</v>
      </c>
      <c r="B356" s="218"/>
      <c r="C356" s="218"/>
      <c r="D356" s="218"/>
      <c r="E356" s="218"/>
      <c r="F356" s="219" t="s">
        <v>3305</v>
      </c>
      <c r="G356" s="218" t="s">
        <v>254</v>
      </c>
      <c r="H356" s="218" t="s">
        <v>309</v>
      </c>
      <c r="I356" s="223">
        <v>43830</v>
      </c>
      <c r="J356" s="218" t="s">
        <v>3021</v>
      </c>
      <c r="K356" s="218" t="s">
        <v>3306</v>
      </c>
      <c r="L356" s="218" t="s">
        <v>2704</v>
      </c>
      <c r="M356" s="218" t="s">
        <v>3307</v>
      </c>
      <c r="N356" s="218">
        <v>122.27</v>
      </c>
      <c r="O356" s="218" t="s">
        <v>292</v>
      </c>
      <c r="P356" s="218">
        <v>158.13</v>
      </c>
      <c r="Q356" s="218" t="s">
        <v>385</v>
      </c>
      <c r="R356" s="218" t="s">
        <v>1772</v>
      </c>
      <c r="S356" s="218" t="s">
        <v>396</v>
      </c>
      <c r="T356" s="218" t="s">
        <v>626</v>
      </c>
      <c r="U356" s="218" t="s">
        <v>2591</v>
      </c>
      <c r="V356" s="218" t="s">
        <v>381</v>
      </c>
      <c r="W356" s="218" t="s">
        <v>295</v>
      </c>
      <c r="X356" s="218" t="s">
        <v>379</v>
      </c>
      <c r="Y356" s="218">
        <v>143.54</v>
      </c>
      <c r="Z356" s="218">
        <f t="shared" si="7"/>
        <v>158.13</v>
      </c>
    </row>
    <row r="357" spans="1:26">
      <c r="A357" s="218" t="s">
        <v>2592</v>
      </c>
      <c r="B357" s="218"/>
      <c r="C357" s="218"/>
      <c r="D357" s="218"/>
      <c r="E357" s="218"/>
      <c r="F357" s="219" t="s">
        <v>3308</v>
      </c>
      <c r="G357" s="218" t="s">
        <v>254</v>
      </c>
      <c r="H357" s="218" t="s">
        <v>309</v>
      </c>
      <c r="I357" s="223">
        <v>43830</v>
      </c>
      <c r="J357" s="218" t="s">
        <v>3025</v>
      </c>
      <c r="K357" s="218" t="s">
        <v>3026</v>
      </c>
      <c r="L357" s="218" t="s">
        <v>2704</v>
      </c>
      <c r="M357" s="218" t="s">
        <v>3309</v>
      </c>
      <c r="N357" s="218">
        <v>64.400000000000006</v>
      </c>
      <c r="O357" s="218" t="s">
        <v>292</v>
      </c>
      <c r="P357" s="218">
        <v>83.29</v>
      </c>
      <c r="Q357" s="218" t="s">
        <v>385</v>
      </c>
      <c r="R357" s="218" t="s">
        <v>1772</v>
      </c>
      <c r="S357" s="218" t="s">
        <v>396</v>
      </c>
      <c r="T357" s="218" t="s">
        <v>468</v>
      </c>
      <c r="U357" s="218" t="s">
        <v>2591</v>
      </c>
      <c r="V357" s="218" t="s">
        <v>381</v>
      </c>
      <c r="W357" s="218" t="s">
        <v>295</v>
      </c>
      <c r="X357" s="218" t="s">
        <v>379</v>
      </c>
      <c r="Y357" s="218">
        <v>75.599999999999994</v>
      </c>
      <c r="Z357" s="218">
        <f t="shared" si="7"/>
        <v>83.29</v>
      </c>
    </row>
    <row r="358" spans="1:26">
      <c r="A358" s="218" t="s">
        <v>2592</v>
      </c>
      <c r="B358" s="218"/>
      <c r="C358" s="218"/>
      <c r="D358" s="218"/>
      <c r="E358" s="218"/>
      <c r="F358" s="219" t="s">
        <v>3310</v>
      </c>
      <c r="G358" s="218" t="s">
        <v>254</v>
      </c>
      <c r="H358" s="218" t="s">
        <v>309</v>
      </c>
      <c r="I358" s="223">
        <v>43830</v>
      </c>
      <c r="J358" s="218" t="s">
        <v>3025</v>
      </c>
      <c r="K358" s="218" t="s">
        <v>3026</v>
      </c>
      <c r="L358" s="218" t="s">
        <v>2704</v>
      </c>
      <c r="M358" s="218" t="s">
        <v>3311</v>
      </c>
      <c r="N358" s="218">
        <v>35</v>
      </c>
      <c r="O358" s="218" t="s">
        <v>292</v>
      </c>
      <c r="P358" s="218">
        <v>45.26</v>
      </c>
      <c r="Q358" s="218" t="s">
        <v>385</v>
      </c>
      <c r="R358" s="218" t="s">
        <v>1772</v>
      </c>
      <c r="S358" s="218" t="s">
        <v>396</v>
      </c>
      <c r="T358" s="218" t="s">
        <v>626</v>
      </c>
      <c r="U358" s="218" t="s">
        <v>2591</v>
      </c>
      <c r="V358" s="218" t="s">
        <v>381</v>
      </c>
      <c r="W358" s="218" t="s">
        <v>295</v>
      </c>
      <c r="X358" s="218" t="s">
        <v>379</v>
      </c>
      <c r="Y358" s="218">
        <v>41.09</v>
      </c>
      <c r="Z358" s="218">
        <f t="shared" si="7"/>
        <v>45.26</v>
      </c>
    </row>
    <row r="359" spans="1:26">
      <c r="A359" s="218" t="s">
        <v>2592</v>
      </c>
      <c r="B359" s="218"/>
      <c r="C359" s="218"/>
      <c r="D359" s="218"/>
      <c r="E359" s="218"/>
      <c r="F359" s="219" t="s">
        <v>3312</v>
      </c>
      <c r="G359" s="218" t="s">
        <v>254</v>
      </c>
      <c r="H359" s="218" t="s">
        <v>309</v>
      </c>
      <c r="I359" s="223">
        <v>43830</v>
      </c>
      <c r="J359" s="218" t="s">
        <v>3029</v>
      </c>
      <c r="K359" s="218" t="s">
        <v>3030</v>
      </c>
      <c r="L359" s="218" t="s">
        <v>2704</v>
      </c>
      <c r="M359" s="218" t="s">
        <v>3313</v>
      </c>
      <c r="N359" s="218">
        <v>44.48</v>
      </c>
      <c r="O359" s="218" t="s">
        <v>292</v>
      </c>
      <c r="P359" s="218">
        <v>57.52</v>
      </c>
      <c r="Q359" s="218" t="s">
        <v>391</v>
      </c>
      <c r="R359" s="218" t="s">
        <v>1777</v>
      </c>
      <c r="S359" s="218" t="s">
        <v>396</v>
      </c>
      <c r="T359" s="218" t="s">
        <v>468</v>
      </c>
      <c r="U359" s="218" t="s">
        <v>2591</v>
      </c>
      <c r="V359" s="218" t="s">
        <v>381</v>
      </c>
      <c r="W359" s="218" t="s">
        <v>295</v>
      </c>
      <c r="X359" s="218" t="s">
        <v>379</v>
      </c>
      <c r="Y359" s="218">
        <v>52.22</v>
      </c>
      <c r="Z359" s="218">
        <f t="shared" si="7"/>
        <v>57.52</v>
      </c>
    </row>
    <row r="360" spans="1:26">
      <c r="A360" s="218" t="s">
        <v>2592</v>
      </c>
      <c r="B360" s="218"/>
      <c r="C360" s="218"/>
      <c r="D360" s="218"/>
      <c r="E360" s="218"/>
      <c r="F360" s="219" t="s">
        <v>3314</v>
      </c>
      <c r="G360" s="218" t="s">
        <v>254</v>
      </c>
      <c r="H360" s="218" t="s">
        <v>309</v>
      </c>
      <c r="I360" s="223">
        <v>43830</v>
      </c>
      <c r="J360" s="218" t="s">
        <v>3029</v>
      </c>
      <c r="K360" s="218" t="s">
        <v>3030</v>
      </c>
      <c r="L360" s="218" t="s">
        <v>2704</v>
      </c>
      <c r="M360" s="218" t="s">
        <v>3315</v>
      </c>
      <c r="N360" s="218">
        <v>22.16</v>
      </c>
      <c r="O360" s="218" t="s">
        <v>292</v>
      </c>
      <c r="P360" s="218">
        <v>28.66</v>
      </c>
      <c r="Q360" s="218" t="s">
        <v>391</v>
      </c>
      <c r="R360" s="218" t="s">
        <v>1777</v>
      </c>
      <c r="S360" s="218" t="s">
        <v>396</v>
      </c>
      <c r="T360" s="218" t="s">
        <v>626</v>
      </c>
      <c r="U360" s="218" t="s">
        <v>2591</v>
      </c>
      <c r="V360" s="218" t="s">
        <v>381</v>
      </c>
      <c r="W360" s="218" t="s">
        <v>295</v>
      </c>
      <c r="X360" s="218" t="s">
        <v>379</v>
      </c>
      <c r="Y360" s="218">
        <v>26.02</v>
      </c>
      <c r="Z360" s="218">
        <f t="shared" si="7"/>
        <v>28.66</v>
      </c>
    </row>
    <row r="361" spans="1:26">
      <c r="A361" s="218" t="s">
        <v>2592</v>
      </c>
      <c r="B361" s="218"/>
      <c r="C361" s="218"/>
      <c r="D361" s="218"/>
      <c r="E361" s="218"/>
      <c r="F361" s="219" t="s">
        <v>3316</v>
      </c>
      <c r="G361" s="218" t="s">
        <v>254</v>
      </c>
      <c r="H361" s="218" t="s">
        <v>309</v>
      </c>
      <c r="I361" s="223">
        <v>43830</v>
      </c>
      <c r="J361" s="218" t="s">
        <v>3033</v>
      </c>
      <c r="K361" s="218" t="s">
        <v>3034</v>
      </c>
      <c r="L361" s="218" t="s">
        <v>2704</v>
      </c>
      <c r="M361" s="218" t="s">
        <v>3317</v>
      </c>
      <c r="N361" s="218">
        <v>7.42</v>
      </c>
      <c r="O361" s="218" t="s">
        <v>292</v>
      </c>
      <c r="P361" s="218">
        <v>9.59</v>
      </c>
      <c r="Q361" s="218" t="s">
        <v>3036</v>
      </c>
      <c r="R361" s="218" t="s">
        <v>3037</v>
      </c>
      <c r="S361" s="218" t="s">
        <v>396</v>
      </c>
      <c r="T361" s="218" t="s">
        <v>468</v>
      </c>
      <c r="U361" s="218" t="s">
        <v>2591</v>
      </c>
      <c r="V361" s="218" t="s">
        <v>381</v>
      </c>
      <c r="W361" s="218" t="s">
        <v>295</v>
      </c>
      <c r="X361" s="218" t="s">
        <v>379</v>
      </c>
      <c r="Y361" s="218">
        <v>8.7100000000000009</v>
      </c>
      <c r="Z361" s="218">
        <f t="shared" si="7"/>
        <v>9.59</v>
      </c>
    </row>
    <row r="362" spans="1:26">
      <c r="A362" s="218" t="s">
        <v>2592</v>
      </c>
      <c r="B362" s="218"/>
      <c r="C362" s="218"/>
      <c r="D362" s="218"/>
      <c r="E362" s="218"/>
      <c r="F362" s="219" t="s">
        <v>3318</v>
      </c>
      <c r="G362" s="218" t="s">
        <v>254</v>
      </c>
      <c r="H362" s="218" t="s">
        <v>309</v>
      </c>
      <c r="I362" s="223">
        <v>43830</v>
      </c>
      <c r="J362" s="218" t="s">
        <v>3033</v>
      </c>
      <c r="K362" s="218" t="s">
        <v>3034</v>
      </c>
      <c r="L362" s="218" t="s">
        <v>2704</v>
      </c>
      <c r="M362" s="218" t="s">
        <v>3319</v>
      </c>
      <c r="N362" s="218">
        <v>3.7</v>
      </c>
      <c r="O362" s="218" t="s">
        <v>292</v>
      </c>
      <c r="P362" s="218">
        <v>4.78</v>
      </c>
      <c r="Q362" s="218" t="s">
        <v>3036</v>
      </c>
      <c r="R362" s="218" t="s">
        <v>3037</v>
      </c>
      <c r="S362" s="218" t="s">
        <v>396</v>
      </c>
      <c r="T362" s="218" t="s">
        <v>626</v>
      </c>
      <c r="U362" s="218" t="s">
        <v>2591</v>
      </c>
      <c r="V362" s="218" t="s">
        <v>381</v>
      </c>
      <c r="W362" s="218" t="s">
        <v>295</v>
      </c>
      <c r="X362" s="218" t="s">
        <v>379</v>
      </c>
      <c r="Y362" s="218">
        <v>4.34</v>
      </c>
      <c r="Z362" s="218">
        <f t="shared" si="7"/>
        <v>4.78</v>
      </c>
    </row>
    <row r="363" spans="1:26">
      <c r="A363" s="218" t="s">
        <v>2592</v>
      </c>
      <c r="B363" s="218"/>
      <c r="C363" s="218"/>
      <c r="D363" s="218"/>
      <c r="E363" s="218"/>
      <c r="F363" s="219" t="s">
        <v>3320</v>
      </c>
      <c r="G363" s="218" t="s">
        <v>254</v>
      </c>
      <c r="H363" s="218" t="s">
        <v>309</v>
      </c>
      <c r="I363" s="223">
        <v>43830</v>
      </c>
      <c r="J363" s="218" t="s">
        <v>3039</v>
      </c>
      <c r="K363" s="218" t="s">
        <v>3040</v>
      </c>
      <c r="L363" s="218" t="s">
        <v>2704</v>
      </c>
      <c r="M363" s="218" t="s">
        <v>3321</v>
      </c>
      <c r="N363" s="218">
        <v>0.74</v>
      </c>
      <c r="O363" s="218" t="s">
        <v>292</v>
      </c>
      <c r="P363" s="218">
        <v>0.96</v>
      </c>
      <c r="Q363" s="218" t="s">
        <v>385</v>
      </c>
      <c r="R363" s="218" t="s">
        <v>1772</v>
      </c>
      <c r="S363" s="218" t="s">
        <v>396</v>
      </c>
      <c r="T363" s="218" t="s">
        <v>468</v>
      </c>
      <c r="U363" s="218" t="s">
        <v>2591</v>
      </c>
      <c r="V363" s="218" t="s">
        <v>381</v>
      </c>
      <c r="W363" s="218" t="s">
        <v>295</v>
      </c>
      <c r="X363" s="218" t="s">
        <v>379</v>
      </c>
      <c r="Y363" s="218">
        <v>0.87</v>
      </c>
      <c r="Z363" s="218">
        <f t="shared" si="7"/>
        <v>0.96</v>
      </c>
    </row>
    <row r="364" spans="1:26">
      <c r="A364" s="218" t="s">
        <v>2592</v>
      </c>
      <c r="B364" s="218"/>
      <c r="C364" s="218"/>
      <c r="D364" s="218"/>
      <c r="E364" s="218"/>
      <c r="F364" s="219" t="s">
        <v>3322</v>
      </c>
      <c r="G364" s="218" t="s">
        <v>254</v>
      </c>
      <c r="H364" s="218" t="s">
        <v>309</v>
      </c>
      <c r="I364" s="223">
        <v>43830</v>
      </c>
      <c r="J364" s="218" t="s">
        <v>3039</v>
      </c>
      <c r="K364" s="218" t="s">
        <v>3040</v>
      </c>
      <c r="L364" s="218" t="s">
        <v>2704</v>
      </c>
      <c r="M364" s="218" t="s">
        <v>3323</v>
      </c>
      <c r="N364" s="218">
        <v>7.0000000000000007E-2</v>
      </c>
      <c r="O364" s="218" t="s">
        <v>292</v>
      </c>
      <c r="P364" s="218">
        <v>0.09</v>
      </c>
      <c r="Q364" s="218" t="s">
        <v>385</v>
      </c>
      <c r="R364" s="218" t="s">
        <v>1772</v>
      </c>
      <c r="S364" s="218" t="s">
        <v>396</v>
      </c>
      <c r="T364" s="218" t="s">
        <v>626</v>
      </c>
      <c r="U364" s="218" t="s">
        <v>2591</v>
      </c>
      <c r="V364" s="218" t="s">
        <v>381</v>
      </c>
      <c r="W364" s="218" t="s">
        <v>295</v>
      </c>
      <c r="X364" s="218" t="s">
        <v>379</v>
      </c>
      <c r="Y364" s="218">
        <v>0.08</v>
      </c>
      <c r="Z364" s="218">
        <f t="shared" si="7"/>
        <v>0.09</v>
      </c>
    </row>
    <row r="365" spans="1:26">
      <c r="A365" s="218" t="s">
        <v>2592</v>
      </c>
      <c r="B365" s="218"/>
      <c r="C365" s="218"/>
      <c r="D365" s="218"/>
      <c r="E365" s="218"/>
      <c r="F365" s="219" t="s">
        <v>3324</v>
      </c>
      <c r="G365" s="218" t="s">
        <v>254</v>
      </c>
      <c r="H365" s="218" t="s">
        <v>309</v>
      </c>
      <c r="I365" s="223">
        <v>43830</v>
      </c>
      <c r="J365" s="218" t="s">
        <v>3039</v>
      </c>
      <c r="K365" s="218" t="s">
        <v>3040</v>
      </c>
      <c r="L365" s="218" t="s">
        <v>2704</v>
      </c>
      <c r="M365" s="218" t="s">
        <v>3325</v>
      </c>
      <c r="N365" s="218">
        <v>0.74</v>
      </c>
      <c r="O365" s="218" t="s">
        <v>292</v>
      </c>
      <c r="P365" s="218">
        <v>0.96</v>
      </c>
      <c r="Q365" s="218" t="s">
        <v>385</v>
      </c>
      <c r="R365" s="218" t="s">
        <v>1772</v>
      </c>
      <c r="S365" s="218" t="s">
        <v>396</v>
      </c>
      <c r="T365" s="218" t="s">
        <v>468</v>
      </c>
      <c r="U365" s="218" t="s">
        <v>2591</v>
      </c>
      <c r="V365" s="218" t="s">
        <v>381</v>
      </c>
      <c r="W365" s="218" t="s">
        <v>295</v>
      </c>
      <c r="X365" s="218" t="s">
        <v>379</v>
      </c>
      <c r="Y365" s="218">
        <v>0.87</v>
      </c>
      <c r="Z365" s="218">
        <f t="shared" si="7"/>
        <v>0.96</v>
      </c>
    </row>
    <row r="366" spans="1:26">
      <c r="A366" s="218" t="s">
        <v>2592</v>
      </c>
      <c r="B366" s="218"/>
      <c r="C366" s="218"/>
      <c r="D366" s="218"/>
      <c r="E366" s="218"/>
      <c r="F366" s="219" t="s">
        <v>3326</v>
      </c>
      <c r="G366" s="218" t="s">
        <v>254</v>
      </c>
      <c r="H366" s="218" t="s">
        <v>309</v>
      </c>
      <c r="I366" s="223">
        <v>43830</v>
      </c>
      <c r="J366" s="218" t="s">
        <v>3039</v>
      </c>
      <c r="K366" s="218" t="s">
        <v>3040</v>
      </c>
      <c r="L366" s="218" t="s">
        <v>2704</v>
      </c>
      <c r="M366" s="218" t="s">
        <v>3327</v>
      </c>
      <c r="N366" s="218">
        <v>7.0000000000000007E-2</v>
      </c>
      <c r="O366" s="218" t="s">
        <v>292</v>
      </c>
      <c r="P366" s="218">
        <v>0.09</v>
      </c>
      <c r="Q366" s="218" t="s">
        <v>385</v>
      </c>
      <c r="R366" s="218" t="s">
        <v>1772</v>
      </c>
      <c r="S366" s="218" t="s">
        <v>396</v>
      </c>
      <c r="T366" s="218" t="s">
        <v>626</v>
      </c>
      <c r="U366" s="218" t="s">
        <v>2591</v>
      </c>
      <c r="V366" s="218" t="s">
        <v>381</v>
      </c>
      <c r="W366" s="218" t="s">
        <v>295</v>
      </c>
      <c r="X366" s="218" t="s">
        <v>379</v>
      </c>
      <c r="Y366" s="218">
        <v>0.08</v>
      </c>
      <c r="Z366" s="218">
        <f t="shared" si="7"/>
        <v>0.09</v>
      </c>
    </row>
    <row r="367" spans="1:26">
      <c r="A367" s="218" t="s">
        <v>2592</v>
      </c>
      <c r="B367" s="218"/>
      <c r="C367" s="218"/>
      <c r="D367" s="218"/>
      <c r="E367" s="218"/>
      <c r="F367" s="219" t="s">
        <v>3328</v>
      </c>
      <c r="G367" s="218" t="s">
        <v>254</v>
      </c>
      <c r="H367" s="218" t="s">
        <v>309</v>
      </c>
      <c r="I367" s="223">
        <v>43830</v>
      </c>
      <c r="J367" s="218" t="s">
        <v>3043</v>
      </c>
      <c r="K367" s="218" t="s">
        <v>3040</v>
      </c>
      <c r="L367" s="218" t="s">
        <v>2704</v>
      </c>
      <c r="M367" s="218" t="s">
        <v>3329</v>
      </c>
      <c r="N367" s="218">
        <v>0.49</v>
      </c>
      <c r="O367" s="218" t="s">
        <v>292</v>
      </c>
      <c r="P367" s="218">
        <v>0.64</v>
      </c>
      <c r="Q367" s="218" t="s">
        <v>405</v>
      </c>
      <c r="R367" s="218" t="s">
        <v>1780</v>
      </c>
      <c r="S367" s="218" t="s">
        <v>396</v>
      </c>
      <c r="T367" s="218" t="s">
        <v>501</v>
      </c>
      <c r="U367" s="218" t="s">
        <v>2591</v>
      </c>
      <c r="V367" s="218" t="s">
        <v>381</v>
      </c>
      <c r="W367" s="218" t="s">
        <v>295</v>
      </c>
      <c r="X367" s="218" t="s">
        <v>379</v>
      </c>
      <c r="Y367" s="218">
        <v>0.57999999999999996</v>
      </c>
      <c r="Z367" s="218">
        <f t="shared" si="7"/>
        <v>0.64</v>
      </c>
    </row>
    <row r="368" spans="1:26">
      <c r="A368" s="218" t="s">
        <v>2592</v>
      </c>
      <c r="B368" s="218"/>
      <c r="C368" s="218"/>
      <c r="D368" s="218"/>
      <c r="E368" s="218"/>
      <c r="F368" s="219" t="s">
        <v>3330</v>
      </c>
      <c r="G368" s="218" t="s">
        <v>254</v>
      </c>
      <c r="H368" s="218" t="s">
        <v>309</v>
      </c>
      <c r="I368" s="223">
        <v>43830</v>
      </c>
      <c r="J368" s="218" t="s">
        <v>3043</v>
      </c>
      <c r="K368" s="218" t="s">
        <v>3040</v>
      </c>
      <c r="L368" s="218" t="s">
        <v>2704</v>
      </c>
      <c r="M368" s="218" t="s">
        <v>3331</v>
      </c>
      <c r="N368" s="218">
        <v>0.18</v>
      </c>
      <c r="O368" s="218" t="s">
        <v>292</v>
      </c>
      <c r="P368" s="218">
        <v>0.23</v>
      </c>
      <c r="Q368" s="218" t="s">
        <v>405</v>
      </c>
      <c r="R368" s="218" t="s">
        <v>1780</v>
      </c>
      <c r="S368" s="218" t="s">
        <v>396</v>
      </c>
      <c r="T368" s="218" t="s">
        <v>501</v>
      </c>
      <c r="U368" s="218" t="s">
        <v>2591</v>
      </c>
      <c r="V368" s="218" t="s">
        <v>381</v>
      </c>
      <c r="W368" s="218" t="s">
        <v>295</v>
      </c>
      <c r="X368" s="218" t="s">
        <v>379</v>
      </c>
      <c r="Y368" s="218">
        <v>0.21</v>
      </c>
      <c r="Z368" s="218">
        <f t="shared" si="7"/>
        <v>0.23</v>
      </c>
    </row>
    <row r="369" spans="1:26">
      <c r="A369" s="218" t="s">
        <v>2592</v>
      </c>
      <c r="B369" s="218"/>
      <c r="C369" s="218"/>
      <c r="D369" s="218"/>
      <c r="E369" s="218"/>
      <c r="F369" s="219" t="s">
        <v>3332</v>
      </c>
      <c r="G369" s="218" t="s">
        <v>254</v>
      </c>
      <c r="H369" s="218" t="s">
        <v>309</v>
      </c>
      <c r="I369" s="223">
        <v>43830</v>
      </c>
      <c r="J369" s="218" t="s">
        <v>2591</v>
      </c>
      <c r="K369" s="218" t="s">
        <v>3077</v>
      </c>
      <c r="L369" s="218" t="s">
        <v>3078</v>
      </c>
      <c r="M369" s="218" t="s">
        <v>878</v>
      </c>
      <c r="N369" s="218">
        <v>348.66</v>
      </c>
      <c r="O369" s="218" t="s">
        <v>2591</v>
      </c>
      <c r="P369" s="218">
        <v>0</v>
      </c>
      <c r="Q369" s="218" t="s">
        <v>385</v>
      </c>
      <c r="R369" s="218" t="s">
        <v>1772</v>
      </c>
      <c r="S369" s="218" t="s">
        <v>374</v>
      </c>
      <c r="T369" s="218" t="s">
        <v>469</v>
      </c>
      <c r="U369" s="218" t="s">
        <v>2591</v>
      </c>
      <c r="V369" s="218" t="s">
        <v>381</v>
      </c>
      <c r="W369" s="218" t="s">
        <v>295</v>
      </c>
      <c r="X369" s="218" t="s">
        <v>379</v>
      </c>
      <c r="Y369" s="218">
        <v>409.32</v>
      </c>
      <c r="Z369" s="218">
        <v>450.9</v>
      </c>
    </row>
    <row r="370" spans="1:26">
      <c r="A370" s="218" t="s">
        <v>2592</v>
      </c>
      <c r="B370" s="218"/>
      <c r="C370" s="218"/>
      <c r="D370" s="218"/>
      <c r="E370" s="218"/>
      <c r="F370" s="219" t="s">
        <v>3333</v>
      </c>
      <c r="G370" s="218" t="s">
        <v>254</v>
      </c>
      <c r="H370" s="218" t="s">
        <v>309</v>
      </c>
      <c r="I370" s="223">
        <v>43830</v>
      </c>
      <c r="J370" s="218" t="s">
        <v>2591</v>
      </c>
      <c r="K370" s="218" t="s">
        <v>3077</v>
      </c>
      <c r="L370" s="218" t="s">
        <v>3078</v>
      </c>
      <c r="M370" s="218" t="s">
        <v>878</v>
      </c>
      <c r="N370" s="218">
        <v>34.869999999999997</v>
      </c>
      <c r="O370" s="218" t="s">
        <v>2591</v>
      </c>
      <c r="P370" s="218">
        <v>0</v>
      </c>
      <c r="Q370" s="218" t="s">
        <v>391</v>
      </c>
      <c r="R370" s="218" t="s">
        <v>1777</v>
      </c>
      <c r="S370" s="218" t="s">
        <v>374</v>
      </c>
      <c r="T370" s="218" t="s">
        <v>469</v>
      </c>
      <c r="U370" s="218" t="s">
        <v>2591</v>
      </c>
      <c r="V370" s="218" t="s">
        <v>381</v>
      </c>
      <c r="W370" s="218" t="s">
        <v>295</v>
      </c>
      <c r="X370" s="218" t="s">
        <v>379</v>
      </c>
      <c r="Y370" s="218">
        <v>40.94</v>
      </c>
      <c r="Z370" s="218">
        <v>45.1</v>
      </c>
    </row>
    <row r="371" spans="1:26">
      <c r="A371" s="218" t="s">
        <v>2592</v>
      </c>
      <c r="B371" s="218"/>
      <c r="C371" s="218"/>
      <c r="D371" s="218"/>
      <c r="E371" s="218"/>
      <c r="F371" s="219" t="s">
        <v>3334</v>
      </c>
      <c r="G371" s="218" t="s">
        <v>254</v>
      </c>
      <c r="H371" s="218" t="s">
        <v>309</v>
      </c>
      <c r="I371" s="223">
        <v>43830</v>
      </c>
      <c r="J371" s="218" t="s">
        <v>2591</v>
      </c>
      <c r="K371" s="218" t="s">
        <v>3083</v>
      </c>
      <c r="L371" s="218" t="s">
        <v>3084</v>
      </c>
      <c r="M371" s="218" t="s">
        <v>3083</v>
      </c>
      <c r="N371" s="218">
        <v>17.43</v>
      </c>
      <c r="O371" s="218" t="s">
        <v>2591</v>
      </c>
      <c r="P371" s="218">
        <v>0</v>
      </c>
      <c r="Q371" s="218" t="s">
        <v>385</v>
      </c>
      <c r="R371" s="218" t="s">
        <v>1772</v>
      </c>
      <c r="S371" s="218" t="s">
        <v>374</v>
      </c>
      <c r="T371" s="218" t="s">
        <v>469</v>
      </c>
      <c r="U371" s="218" t="s">
        <v>2591</v>
      </c>
      <c r="V371" s="218" t="s">
        <v>388</v>
      </c>
      <c r="W371" s="218" t="s">
        <v>295</v>
      </c>
      <c r="X371" s="218" t="s">
        <v>379</v>
      </c>
      <c r="Y371" s="218">
        <v>20.46</v>
      </c>
      <c r="Z371" s="218">
        <v>22.54</v>
      </c>
    </row>
    <row r="372" spans="1:26">
      <c r="A372" s="218" t="s">
        <v>2592</v>
      </c>
      <c r="B372" s="218"/>
      <c r="C372" s="218"/>
      <c r="D372" s="218"/>
      <c r="E372" s="218"/>
      <c r="F372" s="219" t="s">
        <v>3335</v>
      </c>
      <c r="G372" s="218" t="s">
        <v>254</v>
      </c>
      <c r="H372" s="218" t="s">
        <v>309</v>
      </c>
      <c r="I372" s="223">
        <v>43830</v>
      </c>
      <c r="J372" s="218" t="s">
        <v>2591</v>
      </c>
      <c r="K372" s="218" t="s">
        <v>3086</v>
      </c>
      <c r="L372" s="218" t="s">
        <v>3087</v>
      </c>
      <c r="M372" s="218" t="s">
        <v>3086</v>
      </c>
      <c r="N372" s="218">
        <v>5.23</v>
      </c>
      <c r="O372" s="218" t="s">
        <v>2591</v>
      </c>
      <c r="P372" s="218">
        <v>0</v>
      </c>
      <c r="Q372" s="218" t="s">
        <v>385</v>
      </c>
      <c r="R372" s="218" t="s">
        <v>1772</v>
      </c>
      <c r="S372" s="218" t="s">
        <v>374</v>
      </c>
      <c r="T372" s="218" t="s">
        <v>469</v>
      </c>
      <c r="U372" s="218" t="s">
        <v>2591</v>
      </c>
      <c r="V372" s="218" t="s">
        <v>390</v>
      </c>
      <c r="W372" s="218" t="s">
        <v>295</v>
      </c>
      <c r="X372" s="218" t="s">
        <v>379</v>
      </c>
      <c r="Y372" s="218">
        <v>6.14</v>
      </c>
      <c r="Z372" s="218">
        <v>6.76</v>
      </c>
    </row>
    <row r="373" spans="1:26">
      <c r="A373" s="218" t="s">
        <v>2592</v>
      </c>
      <c r="B373" s="218"/>
      <c r="C373" s="218"/>
      <c r="D373" s="218"/>
      <c r="E373" s="218"/>
      <c r="F373" s="219" t="s">
        <v>3336</v>
      </c>
      <c r="G373" s="218" t="s">
        <v>255</v>
      </c>
      <c r="H373" s="218" t="s">
        <v>309</v>
      </c>
      <c r="I373" s="223">
        <v>43769</v>
      </c>
      <c r="J373" s="218" t="s">
        <v>2976</v>
      </c>
      <c r="K373" s="218" t="s">
        <v>2601</v>
      </c>
      <c r="L373" s="218" t="s">
        <v>2596</v>
      </c>
      <c r="M373" s="218" t="s">
        <v>3337</v>
      </c>
      <c r="N373" s="218">
        <v>74.28</v>
      </c>
      <c r="O373" s="218" t="s">
        <v>292</v>
      </c>
      <c r="P373" s="218">
        <v>91.37</v>
      </c>
      <c r="Q373" s="218" t="s">
        <v>385</v>
      </c>
      <c r="R373" s="218" t="s">
        <v>1772</v>
      </c>
      <c r="S373" s="218" t="s">
        <v>396</v>
      </c>
      <c r="T373" s="218" t="s">
        <v>501</v>
      </c>
      <c r="U373" s="218" t="s">
        <v>2591</v>
      </c>
      <c r="V373" s="218" t="s">
        <v>381</v>
      </c>
      <c r="W373" s="218" t="s">
        <v>295</v>
      </c>
      <c r="X373" s="218" t="s">
        <v>379</v>
      </c>
      <c r="Y373" s="218">
        <v>83.67</v>
      </c>
      <c r="Z373" s="218">
        <f t="shared" ref="Z373:Z436" si="8">P373</f>
        <v>91.37</v>
      </c>
    </row>
    <row r="374" spans="1:26">
      <c r="A374" s="218" t="s">
        <v>2592</v>
      </c>
      <c r="B374" s="218"/>
      <c r="C374" s="218"/>
      <c r="D374" s="218"/>
      <c r="E374" s="218"/>
      <c r="F374" s="219" t="s">
        <v>3338</v>
      </c>
      <c r="G374" s="218" t="s">
        <v>255</v>
      </c>
      <c r="H374" s="218" t="s">
        <v>309</v>
      </c>
      <c r="I374" s="223">
        <v>43769</v>
      </c>
      <c r="J374" s="218" t="s">
        <v>2976</v>
      </c>
      <c r="K374" s="218" t="s">
        <v>2601</v>
      </c>
      <c r="L374" s="218" t="s">
        <v>2596</v>
      </c>
      <c r="M374" s="218" t="s">
        <v>3339</v>
      </c>
      <c r="N374" s="218">
        <v>32.74</v>
      </c>
      <c r="O374" s="218" t="s">
        <v>292</v>
      </c>
      <c r="P374" s="218">
        <v>40.270000000000003</v>
      </c>
      <c r="Q374" s="218" t="s">
        <v>385</v>
      </c>
      <c r="R374" s="218" t="s">
        <v>1772</v>
      </c>
      <c r="S374" s="218" t="s">
        <v>396</v>
      </c>
      <c r="T374" s="218" t="s">
        <v>908</v>
      </c>
      <c r="U374" s="218" t="s">
        <v>2591</v>
      </c>
      <c r="V374" s="218" t="s">
        <v>381</v>
      </c>
      <c r="W374" s="218" t="s">
        <v>295</v>
      </c>
      <c r="X374" s="218" t="s">
        <v>379</v>
      </c>
      <c r="Y374" s="218">
        <v>36.880000000000003</v>
      </c>
      <c r="Z374" s="218">
        <f t="shared" si="8"/>
        <v>40.270000000000003</v>
      </c>
    </row>
    <row r="375" spans="1:26">
      <c r="A375" s="218" t="s">
        <v>2592</v>
      </c>
      <c r="B375" s="218"/>
      <c r="C375" s="218"/>
      <c r="D375" s="218"/>
      <c r="E375" s="218"/>
      <c r="F375" s="219" t="s">
        <v>3340</v>
      </c>
      <c r="G375" s="218" t="s">
        <v>255</v>
      </c>
      <c r="H375" s="218" t="s">
        <v>309</v>
      </c>
      <c r="I375" s="223">
        <v>43769</v>
      </c>
      <c r="J375" s="218" t="s">
        <v>2976</v>
      </c>
      <c r="K375" s="218" t="s">
        <v>2601</v>
      </c>
      <c r="L375" s="218" t="s">
        <v>2596</v>
      </c>
      <c r="M375" s="218" t="s">
        <v>3341</v>
      </c>
      <c r="N375" s="218">
        <v>145.78</v>
      </c>
      <c r="O375" s="218" t="s">
        <v>292</v>
      </c>
      <c r="P375" s="218">
        <v>179.32</v>
      </c>
      <c r="Q375" s="218" t="s">
        <v>385</v>
      </c>
      <c r="R375" s="218" t="s">
        <v>1772</v>
      </c>
      <c r="S375" s="218" t="s">
        <v>396</v>
      </c>
      <c r="T375" s="218" t="s">
        <v>487</v>
      </c>
      <c r="U375" s="218" t="s">
        <v>2591</v>
      </c>
      <c r="V375" s="218" t="s">
        <v>381</v>
      </c>
      <c r="W375" s="218" t="s">
        <v>295</v>
      </c>
      <c r="X375" s="218" t="s">
        <v>379</v>
      </c>
      <c r="Y375" s="218">
        <v>164.21</v>
      </c>
      <c r="Z375" s="218">
        <f t="shared" si="8"/>
        <v>179.32</v>
      </c>
    </row>
    <row r="376" spans="1:26">
      <c r="A376" s="218" t="s">
        <v>2592</v>
      </c>
      <c r="B376" s="218"/>
      <c r="C376" s="218"/>
      <c r="D376" s="218"/>
      <c r="E376" s="218"/>
      <c r="F376" s="219" t="s">
        <v>3342</v>
      </c>
      <c r="G376" s="218" t="s">
        <v>255</v>
      </c>
      <c r="H376" s="218" t="s">
        <v>309</v>
      </c>
      <c r="I376" s="223">
        <v>43769</v>
      </c>
      <c r="J376" s="218" t="s">
        <v>2976</v>
      </c>
      <c r="K376" s="218" t="s">
        <v>2601</v>
      </c>
      <c r="L376" s="218" t="s">
        <v>2596</v>
      </c>
      <c r="M376" s="218" t="s">
        <v>3343</v>
      </c>
      <c r="N376" s="218">
        <v>32.53</v>
      </c>
      <c r="O376" s="218" t="s">
        <v>292</v>
      </c>
      <c r="P376" s="218">
        <v>40.020000000000003</v>
      </c>
      <c r="Q376" s="218" t="s">
        <v>385</v>
      </c>
      <c r="R376" s="218" t="s">
        <v>1772</v>
      </c>
      <c r="S376" s="218" t="s">
        <v>396</v>
      </c>
      <c r="T376" s="218" t="s">
        <v>628</v>
      </c>
      <c r="U376" s="218" t="s">
        <v>2591</v>
      </c>
      <c r="V376" s="218" t="s">
        <v>381</v>
      </c>
      <c r="W376" s="218" t="s">
        <v>295</v>
      </c>
      <c r="X376" s="218" t="s">
        <v>379</v>
      </c>
      <c r="Y376" s="218">
        <v>36.64</v>
      </c>
      <c r="Z376" s="218">
        <f t="shared" si="8"/>
        <v>40.020000000000003</v>
      </c>
    </row>
    <row r="377" spans="1:26">
      <c r="A377" s="218" t="s">
        <v>2592</v>
      </c>
      <c r="B377" s="218"/>
      <c r="C377" s="218"/>
      <c r="D377" s="218"/>
      <c r="E377" s="218"/>
      <c r="F377" s="219" t="s">
        <v>3344</v>
      </c>
      <c r="G377" s="218" t="s">
        <v>255</v>
      </c>
      <c r="H377" s="218" t="s">
        <v>309</v>
      </c>
      <c r="I377" s="223">
        <v>43769</v>
      </c>
      <c r="J377" s="218" t="s">
        <v>2976</v>
      </c>
      <c r="K377" s="218" t="s">
        <v>2601</v>
      </c>
      <c r="L377" s="218" t="s">
        <v>2596</v>
      </c>
      <c r="M377" s="218" t="s">
        <v>3345</v>
      </c>
      <c r="N377" s="218">
        <v>111.28</v>
      </c>
      <c r="O377" s="218" t="s">
        <v>292</v>
      </c>
      <c r="P377" s="218">
        <v>136.88999999999999</v>
      </c>
      <c r="Q377" s="218" t="s">
        <v>385</v>
      </c>
      <c r="R377" s="218" t="s">
        <v>1772</v>
      </c>
      <c r="S377" s="218" t="s">
        <v>396</v>
      </c>
      <c r="T377" s="218" t="s">
        <v>489</v>
      </c>
      <c r="U377" s="218" t="s">
        <v>2591</v>
      </c>
      <c r="V377" s="218" t="s">
        <v>381</v>
      </c>
      <c r="W377" s="218" t="s">
        <v>295</v>
      </c>
      <c r="X377" s="218" t="s">
        <v>379</v>
      </c>
      <c r="Y377" s="218">
        <v>125.35</v>
      </c>
      <c r="Z377" s="218">
        <f t="shared" si="8"/>
        <v>136.88999999999999</v>
      </c>
    </row>
    <row r="378" spans="1:26">
      <c r="A378" s="218" t="s">
        <v>2592</v>
      </c>
      <c r="B378" s="218"/>
      <c r="C378" s="218"/>
      <c r="D378" s="218"/>
      <c r="E378" s="218"/>
      <c r="F378" s="219" t="s">
        <v>3346</v>
      </c>
      <c r="G378" s="218" t="s">
        <v>255</v>
      </c>
      <c r="H378" s="218" t="s">
        <v>309</v>
      </c>
      <c r="I378" s="223">
        <v>43769</v>
      </c>
      <c r="J378" s="218" t="s">
        <v>2976</v>
      </c>
      <c r="K378" s="218" t="s">
        <v>2601</v>
      </c>
      <c r="L378" s="218" t="s">
        <v>2596</v>
      </c>
      <c r="M378" s="218" t="s">
        <v>3347</v>
      </c>
      <c r="N378" s="218">
        <v>19.649999999999999</v>
      </c>
      <c r="O378" s="218" t="s">
        <v>292</v>
      </c>
      <c r="P378" s="218">
        <v>24.17</v>
      </c>
      <c r="Q378" s="218" t="s">
        <v>385</v>
      </c>
      <c r="R378" s="218" t="s">
        <v>1772</v>
      </c>
      <c r="S378" s="218" t="s">
        <v>396</v>
      </c>
      <c r="T378" s="218" t="s">
        <v>915</v>
      </c>
      <c r="U378" s="218" t="s">
        <v>2591</v>
      </c>
      <c r="V378" s="218" t="s">
        <v>381</v>
      </c>
      <c r="W378" s="218" t="s">
        <v>295</v>
      </c>
      <c r="X378" s="218" t="s">
        <v>379</v>
      </c>
      <c r="Y378" s="218">
        <v>22.13</v>
      </c>
      <c r="Z378" s="218">
        <f t="shared" si="8"/>
        <v>24.17</v>
      </c>
    </row>
    <row r="379" spans="1:26">
      <c r="A379" s="218" t="s">
        <v>2592</v>
      </c>
      <c r="B379" s="218"/>
      <c r="C379" s="218"/>
      <c r="D379" s="218"/>
      <c r="E379" s="218"/>
      <c r="F379" s="219" t="s">
        <v>3348</v>
      </c>
      <c r="G379" s="218" t="s">
        <v>255</v>
      </c>
      <c r="H379" s="218" t="s">
        <v>309</v>
      </c>
      <c r="I379" s="223">
        <v>43769</v>
      </c>
      <c r="J379" s="218" t="s">
        <v>2979</v>
      </c>
      <c r="K379" s="218" t="s">
        <v>2601</v>
      </c>
      <c r="L379" s="218" t="s">
        <v>2596</v>
      </c>
      <c r="M379" s="218" t="s">
        <v>3349</v>
      </c>
      <c r="N379" s="218">
        <v>10.93</v>
      </c>
      <c r="O379" s="218" t="s">
        <v>292</v>
      </c>
      <c r="P379" s="218">
        <v>13.45</v>
      </c>
      <c r="Q379" s="218" t="s">
        <v>385</v>
      </c>
      <c r="R379" s="218" t="s">
        <v>1772</v>
      </c>
      <c r="S379" s="218" t="s">
        <v>396</v>
      </c>
      <c r="T379" s="218" t="s">
        <v>501</v>
      </c>
      <c r="U379" s="218" t="s">
        <v>2591</v>
      </c>
      <c r="V379" s="218" t="s">
        <v>381</v>
      </c>
      <c r="W379" s="218" t="s">
        <v>295</v>
      </c>
      <c r="X379" s="218" t="s">
        <v>379</v>
      </c>
      <c r="Y379" s="218">
        <v>12.31</v>
      </c>
      <c r="Z379" s="218">
        <f t="shared" si="8"/>
        <v>13.45</v>
      </c>
    </row>
    <row r="380" spans="1:26">
      <c r="A380" s="218" t="s">
        <v>2592</v>
      </c>
      <c r="B380" s="218"/>
      <c r="C380" s="218"/>
      <c r="D380" s="218"/>
      <c r="E380" s="218"/>
      <c r="F380" s="219" t="s">
        <v>3350</v>
      </c>
      <c r="G380" s="218" t="s">
        <v>255</v>
      </c>
      <c r="H380" s="218" t="s">
        <v>309</v>
      </c>
      <c r="I380" s="223">
        <v>43769</v>
      </c>
      <c r="J380" s="218" t="s">
        <v>2979</v>
      </c>
      <c r="K380" s="218" t="s">
        <v>2601</v>
      </c>
      <c r="L380" s="218" t="s">
        <v>2596</v>
      </c>
      <c r="M380" s="218" t="s">
        <v>3351</v>
      </c>
      <c r="N380" s="218">
        <v>2.67</v>
      </c>
      <c r="O380" s="218" t="s">
        <v>292</v>
      </c>
      <c r="P380" s="218">
        <v>3.29</v>
      </c>
      <c r="Q380" s="218" t="s">
        <v>385</v>
      </c>
      <c r="R380" s="218" t="s">
        <v>1772</v>
      </c>
      <c r="S380" s="218" t="s">
        <v>396</v>
      </c>
      <c r="T380" s="218" t="s">
        <v>908</v>
      </c>
      <c r="U380" s="218" t="s">
        <v>2591</v>
      </c>
      <c r="V380" s="218" t="s">
        <v>381</v>
      </c>
      <c r="W380" s="218" t="s">
        <v>295</v>
      </c>
      <c r="X380" s="218" t="s">
        <v>379</v>
      </c>
      <c r="Y380" s="218">
        <v>3.01</v>
      </c>
      <c r="Z380" s="218">
        <f t="shared" si="8"/>
        <v>3.29</v>
      </c>
    </row>
    <row r="381" spans="1:26">
      <c r="A381" s="218" t="s">
        <v>2592</v>
      </c>
      <c r="B381" s="218"/>
      <c r="C381" s="218"/>
      <c r="D381" s="218"/>
      <c r="E381" s="218"/>
      <c r="F381" s="219" t="s">
        <v>3352</v>
      </c>
      <c r="G381" s="218" t="s">
        <v>255</v>
      </c>
      <c r="H381" s="218" t="s">
        <v>309</v>
      </c>
      <c r="I381" s="223">
        <v>43769</v>
      </c>
      <c r="J381" s="218" t="s">
        <v>2979</v>
      </c>
      <c r="K381" s="218" t="s">
        <v>2601</v>
      </c>
      <c r="L381" s="218" t="s">
        <v>2596</v>
      </c>
      <c r="M381" s="218" t="s">
        <v>3353</v>
      </c>
      <c r="N381" s="218">
        <v>12.21</v>
      </c>
      <c r="O381" s="218" t="s">
        <v>292</v>
      </c>
      <c r="P381" s="218">
        <v>15.02</v>
      </c>
      <c r="Q381" s="218" t="s">
        <v>385</v>
      </c>
      <c r="R381" s="218" t="s">
        <v>1772</v>
      </c>
      <c r="S381" s="218" t="s">
        <v>396</v>
      </c>
      <c r="T381" s="218" t="s">
        <v>487</v>
      </c>
      <c r="U381" s="218" t="s">
        <v>2591</v>
      </c>
      <c r="V381" s="218" t="s">
        <v>381</v>
      </c>
      <c r="W381" s="218" t="s">
        <v>295</v>
      </c>
      <c r="X381" s="218" t="s">
        <v>379</v>
      </c>
      <c r="Y381" s="218">
        <v>13.75</v>
      </c>
      <c r="Z381" s="218">
        <f t="shared" si="8"/>
        <v>15.02</v>
      </c>
    </row>
    <row r="382" spans="1:26">
      <c r="A382" s="218" t="s">
        <v>2592</v>
      </c>
      <c r="B382" s="218"/>
      <c r="C382" s="218"/>
      <c r="D382" s="218"/>
      <c r="E382" s="218"/>
      <c r="F382" s="219" t="s">
        <v>3354</v>
      </c>
      <c r="G382" s="218" t="s">
        <v>255</v>
      </c>
      <c r="H382" s="218" t="s">
        <v>309</v>
      </c>
      <c r="I382" s="223">
        <v>43769</v>
      </c>
      <c r="J382" s="218" t="s">
        <v>2979</v>
      </c>
      <c r="K382" s="218" t="s">
        <v>2601</v>
      </c>
      <c r="L382" s="218" t="s">
        <v>2596</v>
      </c>
      <c r="M382" s="218" t="s">
        <v>3355</v>
      </c>
      <c r="N382" s="218">
        <v>3.07</v>
      </c>
      <c r="O382" s="218" t="s">
        <v>292</v>
      </c>
      <c r="P382" s="218">
        <v>3.78</v>
      </c>
      <c r="Q382" s="218" t="s">
        <v>385</v>
      </c>
      <c r="R382" s="218" t="s">
        <v>1772</v>
      </c>
      <c r="S382" s="218" t="s">
        <v>396</v>
      </c>
      <c r="T382" s="218" t="s">
        <v>628</v>
      </c>
      <c r="U382" s="218" t="s">
        <v>2591</v>
      </c>
      <c r="V382" s="218" t="s">
        <v>381</v>
      </c>
      <c r="W382" s="218" t="s">
        <v>295</v>
      </c>
      <c r="X382" s="218" t="s">
        <v>379</v>
      </c>
      <c r="Y382" s="218">
        <v>3.46</v>
      </c>
      <c r="Z382" s="218">
        <f t="shared" si="8"/>
        <v>3.78</v>
      </c>
    </row>
    <row r="383" spans="1:26">
      <c r="A383" s="218" t="s">
        <v>2592</v>
      </c>
      <c r="B383" s="218"/>
      <c r="C383" s="218"/>
      <c r="D383" s="218"/>
      <c r="E383" s="218"/>
      <c r="F383" s="219" t="s">
        <v>3356</v>
      </c>
      <c r="G383" s="218" t="s">
        <v>255</v>
      </c>
      <c r="H383" s="218" t="s">
        <v>309</v>
      </c>
      <c r="I383" s="223">
        <v>43769</v>
      </c>
      <c r="J383" s="218" t="s">
        <v>2979</v>
      </c>
      <c r="K383" s="218" t="s">
        <v>2601</v>
      </c>
      <c r="L383" s="218" t="s">
        <v>2596</v>
      </c>
      <c r="M383" s="218" t="s">
        <v>3357</v>
      </c>
      <c r="N383" s="218">
        <v>1.5</v>
      </c>
      <c r="O383" s="218" t="s">
        <v>292</v>
      </c>
      <c r="P383" s="218">
        <v>1.85</v>
      </c>
      <c r="Q383" s="218" t="s">
        <v>385</v>
      </c>
      <c r="R383" s="218" t="s">
        <v>1772</v>
      </c>
      <c r="S383" s="218" t="s">
        <v>396</v>
      </c>
      <c r="T383" s="218" t="s">
        <v>915</v>
      </c>
      <c r="U383" s="218" t="s">
        <v>2591</v>
      </c>
      <c r="V383" s="218" t="s">
        <v>381</v>
      </c>
      <c r="W383" s="218" t="s">
        <v>295</v>
      </c>
      <c r="X383" s="218" t="s">
        <v>379</v>
      </c>
      <c r="Y383" s="218">
        <v>1.69</v>
      </c>
      <c r="Z383" s="218">
        <f t="shared" si="8"/>
        <v>1.85</v>
      </c>
    </row>
    <row r="384" spans="1:26">
      <c r="A384" s="218" t="s">
        <v>2592</v>
      </c>
      <c r="B384" s="218"/>
      <c r="C384" s="218"/>
      <c r="D384" s="218"/>
      <c r="E384" s="218"/>
      <c r="F384" s="219" t="s">
        <v>3358</v>
      </c>
      <c r="G384" s="218" t="s">
        <v>255</v>
      </c>
      <c r="H384" s="218" t="s">
        <v>309</v>
      </c>
      <c r="I384" s="223">
        <v>43769</v>
      </c>
      <c r="J384" s="218" t="s">
        <v>3100</v>
      </c>
      <c r="K384" s="218" t="s">
        <v>2601</v>
      </c>
      <c r="L384" s="218" t="s">
        <v>2596</v>
      </c>
      <c r="M384" s="218" t="s">
        <v>3359</v>
      </c>
      <c r="N384" s="218">
        <v>137.72999999999999</v>
      </c>
      <c r="O384" s="218" t="s">
        <v>292</v>
      </c>
      <c r="P384" s="218">
        <v>169.43</v>
      </c>
      <c r="Q384" s="218" t="s">
        <v>385</v>
      </c>
      <c r="R384" s="218" t="s">
        <v>1772</v>
      </c>
      <c r="S384" s="218" t="s">
        <v>396</v>
      </c>
      <c r="T384" s="218" t="s">
        <v>495</v>
      </c>
      <c r="U384" s="218" t="s">
        <v>2591</v>
      </c>
      <c r="V384" s="218" t="s">
        <v>381</v>
      </c>
      <c r="W384" s="218" t="s">
        <v>295</v>
      </c>
      <c r="X384" s="218" t="s">
        <v>379</v>
      </c>
      <c r="Y384" s="218">
        <v>155.13999999999999</v>
      </c>
      <c r="Z384" s="218">
        <f t="shared" si="8"/>
        <v>169.43</v>
      </c>
    </row>
    <row r="385" spans="1:26">
      <c r="A385" s="218" t="s">
        <v>2592</v>
      </c>
      <c r="B385" s="218"/>
      <c r="C385" s="218"/>
      <c r="D385" s="218"/>
      <c r="E385" s="218"/>
      <c r="F385" s="219" t="s">
        <v>3360</v>
      </c>
      <c r="G385" s="218" t="s">
        <v>255</v>
      </c>
      <c r="H385" s="218" t="s">
        <v>309</v>
      </c>
      <c r="I385" s="223">
        <v>43769</v>
      </c>
      <c r="J385" s="218" t="s">
        <v>3100</v>
      </c>
      <c r="K385" s="218" t="s">
        <v>2601</v>
      </c>
      <c r="L385" s="218" t="s">
        <v>2596</v>
      </c>
      <c r="M385" s="218" t="s">
        <v>3361</v>
      </c>
      <c r="N385" s="218">
        <v>730.83</v>
      </c>
      <c r="O385" s="218" t="s">
        <v>292</v>
      </c>
      <c r="P385" s="218">
        <v>899</v>
      </c>
      <c r="Q385" s="218" t="s">
        <v>385</v>
      </c>
      <c r="R385" s="218" t="s">
        <v>1772</v>
      </c>
      <c r="S385" s="218" t="s">
        <v>396</v>
      </c>
      <c r="T385" s="218" t="s">
        <v>497</v>
      </c>
      <c r="U385" s="218" t="s">
        <v>2591</v>
      </c>
      <c r="V385" s="218" t="s">
        <v>381</v>
      </c>
      <c r="W385" s="218" t="s">
        <v>295</v>
      </c>
      <c r="X385" s="218" t="s">
        <v>379</v>
      </c>
      <c r="Y385" s="218">
        <v>823.21</v>
      </c>
      <c r="Z385" s="218">
        <f t="shared" si="8"/>
        <v>899</v>
      </c>
    </row>
    <row r="386" spans="1:26">
      <c r="A386" s="218" t="s">
        <v>2592</v>
      </c>
      <c r="B386" s="218"/>
      <c r="C386" s="218"/>
      <c r="D386" s="218"/>
      <c r="E386" s="218"/>
      <c r="F386" s="219" t="s">
        <v>3362</v>
      </c>
      <c r="G386" s="218" t="s">
        <v>255</v>
      </c>
      <c r="H386" s="218" t="s">
        <v>309</v>
      </c>
      <c r="I386" s="223">
        <v>43769</v>
      </c>
      <c r="J386" s="218" t="s">
        <v>3100</v>
      </c>
      <c r="K386" s="218" t="s">
        <v>2601</v>
      </c>
      <c r="L386" s="218" t="s">
        <v>2596</v>
      </c>
      <c r="M386" s="218" t="s">
        <v>3363</v>
      </c>
      <c r="N386" s="218">
        <v>154.97999999999999</v>
      </c>
      <c r="O386" s="218" t="s">
        <v>292</v>
      </c>
      <c r="P386" s="218">
        <v>190.64</v>
      </c>
      <c r="Q386" s="218" t="s">
        <v>385</v>
      </c>
      <c r="R386" s="218" t="s">
        <v>1772</v>
      </c>
      <c r="S386" s="218" t="s">
        <v>396</v>
      </c>
      <c r="T386" s="218" t="s">
        <v>499</v>
      </c>
      <c r="U386" s="218" t="s">
        <v>2591</v>
      </c>
      <c r="V386" s="218" t="s">
        <v>381</v>
      </c>
      <c r="W386" s="218" t="s">
        <v>295</v>
      </c>
      <c r="X386" s="218" t="s">
        <v>379</v>
      </c>
      <c r="Y386" s="218">
        <v>174.57</v>
      </c>
      <c r="Z386" s="218">
        <f t="shared" si="8"/>
        <v>190.64</v>
      </c>
    </row>
    <row r="387" spans="1:26">
      <c r="A387" s="218" t="s">
        <v>2592</v>
      </c>
      <c r="B387" s="218"/>
      <c r="C387" s="218"/>
      <c r="D387" s="218"/>
      <c r="E387" s="218"/>
      <c r="F387" s="219" t="s">
        <v>3364</v>
      </c>
      <c r="G387" s="218" t="s">
        <v>255</v>
      </c>
      <c r="H387" s="218" t="s">
        <v>309</v>
      </c>
      <c r="I387" s="223">
        <v>43769</v>
      </c>
      <c r="J387" s="218" t="s">
        <v>3100</v>
      </c>
      <c r="K387" s="218" t="s">
        <v>2601</v>
      </c>
      <c r="L387" s="218" t="s">
        <v>2596</v>
      </c>
      <c r="M387" s="218" t="s">
        <v>3365</v>
      </c>
      <c r="N387" s="218">
        <v>440.97</v>
      </c>
      <c r="O387" s="218" t="s">
        <v>292</v>
      </c>
      <c r="P387" s="218">
        <v>542.44000000000005</v>
      </c>
      <c r="Q387" s="218" t="s">
        <v>385</v>
      </c>
      <c r="R387" s="218" t="s">
        <v>1772</v>
      </c>
      <c r="S387" s="218" t="s">
        <v>396</v>
      </c>
      <c r="T387" s="218" t="s">
        <v>491</v>
      </c>
      <c r="U387" s="218" t="s">
        <v>2591</v>
      </c>
      <c r="V387" s="218" t="s">
        <v>381</v>
      </c>
      <c r="W387" s="218" t="s">
        <v>295</v>
      </c>
      <c r="X387" s="218" t="s">
        <v>379</v>
      </c>
      <c r="Y387" s="218">
        <v>496.71</v>
      </c>
      <c r="Z387" s="218">
        <f t="shared" si="8"/>
        <v>542.44000000000005</v>
      </c>
    </row>
    <row r="388" spans="1:26">
      <c r="A388" s="218" t="s">
        <v>2592</v>
      </c>
      <c r="B388" s="218"/>
      <c r="C388" s="218"/>
      <c r="D388" s="218"/>
      <c r="E388" s="218"/>
      <c r="F388" s="219" t="s">
        <v>3366</v>
      </c>
      <c r="G388" s="218" t="s">
        <v>255</v>
      </c>
      <c r="H388" s="218" t="s">
        <v>309</v>
      </c>
      <c r="I388" s="223">
        <v>43769</v>
      </c>
      <c r="J388" s="218" t="s">
        <v>3100</v>
      </c>
      <c r="K388" s="218" t="s">
        <v>2601</v>
      </c>
      <c r="L388" s="218" t="s">
        <v>2596</v>
      </c>
      <c r="M388" s="218" t="s">
        <v>3367</v>
      </c>
      <c r="N388" s="218">
        <v>278.76</v>
      </c>
      <c r="O388" s="218" t="s">
        <v>292</v>
      </c>
      <c r="P388" s="218">
        <v>342.9</v>
      </c>
      <c r="Q388" s="218" t="s">
        <v>385</v>
      </c>
      <c r="R388" s="218" t="s">
        <v>1772</v>
      </c>
      <c r="S388" s="218" t="s">
        <v>396</v>
      </c>
      <c r="T388" s="218" t="s">
        <v>493</v>
      </c>
      <c r="U388" s="218" t="s">
        <v>2591</v>
      </c>
      <c r="V388" s="218" t="s">
        <v>381</v>
      </c>
      <c r="W388" s="218" t="s">
        <v>295</v>
      </c>
      <c r="X388" s="218" t="s">
        <v>379</v>
      </c>
      <c r="Y388" s="218">
        <v>314</v>
      </c>
      <c r="Z388" s="218">
        <f t="shared" si="8"/>
        <v>342.9</v>
      </c>
    </row>
    <row r="389" spans="1:26">
      <c r="A389" s="218" t="s">
        <v>2592</v>
      </c>
      <c r="B389" s="218"/>
      <c r="C389" s="218"/>
      <c r="D389" s="218"/>
      <c r="E389" s="218"/>
      <c r="F389" s="219" t="s">
        <v>3368</v>
      </c>
      <c r="G389" s="218" t="s">
        <v>255</v>
      </c>
      <c r="H389" s="218" t="s">
        <v>309</v>
      </c>
      <c r="I389" s="223">
        <v>43769</v>
      </c>
      <c r="J389" s="218" t="s">
        <v>3103</v>
      </c>
      <c r="K389" s="218" t="s">
        <v>3104</v>
      </c>
      <c r="L389" s="218" t="s">
        <v>2596</v>
      </c>
      <c r="M389" s="218" t="s">
        <v>3369</v>
      </c>
      <c r="N389" s="218">
        <v>10.18</v>
      </c>
      <c r="O389" s="218" t="s">
        <v>292</v>
      </c>
      <c r="P389" s="218">
        <v>12.52</v>
      </c>
      <c r="Q389" s="218" t="s">
        <v>385</v>
      </c>
      <c r="R389" s="218" t="s">
        <v>1772</v>
      </c>
      <c r="S389" s="218" t="s">
        <v>400</v>
      </c>
      <c r="T389" s="218" t="s">
        <v>495</v>
      </c>
      <c r="U389" s="218" t="s">
        <v>2591</v>
      </c>
      <c r="V389" s="218" t="s">
        <v>381</v>
      </c>
      <c r="W389" s="218" t="s">
        <v>295</v>
      </c>
      <c r="X389" s="218" t="s">
        <v>379</v>
      </c>
      <c r="Y389" s="218">
        <v>11.47</v>
      </c>
      <c r="Z389" s="218">
        <f t="shared" si="8"/>
        <v>12.52</v>
      </c>
    </row>
    <row r="390" spans="1:26">
      <c r="A390" s="218" t="s">
        <v>2592</v>
      </c>
      <c r="B390" s="218"/>
      <c r="C390" s="218"/>
      <c r="D390" s="218"/>
      <c r="E390" s="218"/>
      <c r="F390" s="219" t="s">
        <v>3370</v>
      </c>
      <c r="G390" s="218" t="s">
        <v>255</v>
      </c>
      <c r="H390" s="218" t="s">
        <v>309</v>
      </c>
      <c r="I390" s="223">
        <v>43769</v>
      </c>
      <c r="J390" s="218" t="s">
        <v>3103</v>
      </c>
      <c r="K390" s="218" t="s">
        <v>3104</v>
      </c>
      <c r="L390" s="218" t="s">
        <v>2596</v>
      </c>
      <c r="M390" s="218" t="s">
        <v>3371</v>
      </c>
      <c r="N390" s="218">
        <v>77.599999999999994</v>
      </c>
      <c r="O390" s="218" t="s">
        <v>292</v>
      </c>
      <c r="P390" s="218">
        <v>95.46</v>
      </c>
      <c r="Q390" s="218" t="s">
        <v>385</v>
      </c>
      <c r="R390" s="218" t="s">
        <v>1772</v>
      </c>
      <c r="S390" s="218" t="s">
        <v>400</v>
      </c>
      <c r="T390" s="218" t="s">
        <v>497</v>
      </c>
      <c r="U390" s="218" t="s">
        <v>2591</v>
      </c>
      <c r="V390" s="218" t="s">
        <v>381</v>
      </c>
      <c r="W390" s="218" t="s">
        <v>295</v>
      </c>
      <c r="X390" s="218" t="s">
        <v>379</v>
      </c>
      <c r="Y390" s="218">
        <v>87.41</v>
      </c>
      <c r="Z390" s="218">
        <f t="shared" si="8"/>
        <v>95.46</v>
      </c>
    </row>
    <row r="391" spans="1:26">
      <c r="A391" s="218" t="s">
        <v>2592</v>
      </c>
      <c r="B391" s="218"/>
      <c r="C391" s="218"/>
      <c r="D391" s="218"/>
      <c r="E391" s="218"/>
      <c r="F391" s="219" t="s">
        <v>3372</v>
      </c>
      <c r="G391" s="218" t="s">
        <v>255</v>
      </c>
      <c r="H391" s="218" t="s">
        <v>309</v>
      </c>
      <c r="I391" s="223">
        <v>43769</v>
      </c>
      <c r="J391" s="218" t="s">
        <v>3103</v>
      </c>
      <c r="K391" s="218" t="s">
        <v>3104</v>
      </c>
      <c r="L391" s="218" t="s">
        <v>2596</v>
      </c>
      <c r="M391" s="218" t="s">
        <v>3373</v>
      </c>
      <c r="N391" s="218">
        <v>35.85</v>
      </c>
      <c r="O391" s="218" t="s">
        <v>292</v>
      </c>
      <c r="P391" s="218">
        <v>44.1</v>
      </c>
      <c r="Q391" s="218" t="s">
        <v>385</v>
      </c>
      <c r="R391" s="218" t="s">
        <v>1772</v>
      </c>
      <c r="S391" s="218" t="s">
        <v>400</v>
      </c>
      <c r="T391" s="218" t="s">
        <v>499</v>
      </c>
      <c r="U391" s="218" t="s">
        <v>2591</v>
      </c>
      <c r="V391" s="218" t="s">
        <v>381</v>
      </c>
      <c r="W391" s="218" t="s">
        <v>295</v>
      </c>
      <c r="X391" s="218" t="s">
        <v>379</v>
      </c>
      <c r="Y391" s="218">
        <v>40.380000000000003</v>
      </c>
      <c r="Z391" s="218">
        <f t="shared" si="8"/>
        <v>44.1</v>
      </c>
    </row>
    <row r="392" spans="1:26">
      <c r="A392" s="218" t="s">
        <v>2592</v>
      </c>
      <c r="B392" s="218"/>
      <c r="C392" s="218"/>
      <c r="D392" s="218"/>
      <c r="E392" s="218"/>
      <c r="F392" s="219" t="s">
        <v>3374</v>
      </c>
      <c r="G392" s="218" t="s">
        <v>255</v>
      </c>
      <c r="H392" s="218" t="s">
        <v>309</v>
      </c>
      <c r="I392" s="223">
        <v>43769</v>
      </c>
      <c r="J392" s="218" t="s">
        <v>3103</v>
      </c>
      <c r="K392" s="218" t="s">
        <v>3104</v>
      </c>
      <c r="L392" s="218" t="s">
        <v>2596</v>
      </c>
      <c r="M392" s="218" t="s">
        <v>3375</v>
      </c>
      <c r="N392" s="218">
        <v>46.53</v>
      </c>
      <c r="O392" s="218" t="s">
        <v>292</v>
      </c>
      <c r="P392" s="218">
        <v>57.24</v>
      </c>
      <c r="Q392" s="218" t="s">
        <v>385</v>
      </c>
      <c r="R392" s="218" t="s">
        <v>1772</v>
      </c>
      <c r="S392" s="218" t="s">
        <v>400</v>
      </c>
      <c r="T392" s="218" t="s">
        <v>491</v>
      </c>
      <c r="U392" s="218" t="s">
        <v>2591</v>
      </c>
      <c r="V392" s="218" t="s">
        <v>381</v>
      </c>
      <c r="W392" s="218" t="s">
        <v>295</v>
      </c>
      <c r="X392" s="218" t="s">
        <v>379</v>
      </c>
      <c r="Y392" s="218">
        <v>52.41</v>
      </c>
      <c r="Z392" s="218">
        <f t="shared" si="8"/>
        <v>57.24</v>
      </c>
    </row>
    <row r="393" spans="1:26">
      <c r="A393" s="218" t="s">
        <v>2592</v>
      </c>
      <c r="B393" s="218"/>
      <c r="C393" s="218"/>
      <c r="D393" s="218"/>
      <c r="E393" s="218"/>
      <c r="F393" s="219" t="s">
        <v>3376</v>
      </c>
      <c r="G393" s="218" t="s">
        <v>255</v>
      </c>
      <c r="H393" s="218" t="s">
        <v>309</v>
      </c>
      <c r="I393" s="223">
        <v>43769</v>
      </c>
      <c r="J393" s="218" t="s">
        <v>3103</v>
      </c>
      <c r="K393" s="218" t="s">
        <v>3104</v>
      </c>
      <c r="L393" s="218" t="s">
        <v>2596</v>
      </c>
      <c r="M393" s="218" t="s">
        <v>3377</v>
      </c>
      <c r="N393" s="218">
        <v>15.52</v>
      </c>
      <c r="O393" s="218" t="s">
        <v>292</v>
      </c>
      <c r="P393" s="218">
        <v>19.09</v>
      </c>
      <c r="Q393" s="218" t="s">
        <v>385</v>
      </c>
      <c r="R393" s="218" t="s">
        <v>1772</v>
      </c>
      <c r="S393" s="218" t="s">
        <v>400</v>
      </c>
      <c r="T393" s="218" t="s">
        <v>493</v>
      </c>
      <c r="U393" s="218" t="s">
        <v>2591</v>
      </c>
      <c r="V393" s="218" t="s">
        <v>381</v>
      </c>
      <c r="W393" s="218" t="s">
        <v>295</v>
      </c>
      <c r="X393" s="218" t="s">
        <v>379</v>
      </c>
      <c r="Y393" s="218">
        <v>17.48</v>
      </c>
      <c r="Z393" s="218">
        <f t="shared" si="8"/>
        <v>19.09</v>
      </c>
    </row>
    <row r="394" spans="1:26">
      <c r="A394" s="218" t="s">
        <v>2592</v>
      </c>
      <c r="B394" s="218"/>
      <c r="C394" s="218"/>
      <c r="D394" s="218"/>
      <c r="E394" s="218"/>
      <c r="F394" s="219" t="s">
        <v>3378</v>
      </c>
      <c r="G394" s="218" t="s">
        <v>255</v>
      </c>
      <c r="H394" s="218" t="s">
        <v>309</v>
      </c>
      <c r="I394" s="223">
        <v>43769</v>
      </c>
      <c r="J394" s="218" t="s">
        <v>2982</v>
      </c>
      <c r="K394" s="218" t="s">
        <v>2601</v>
      </c>
      <c r="L394" s="218" t="s">
        <v>2596</v>
      </c>
      <c r="M394" s="218" t="s">
        <v>3379</v>
      </c>
      <c r="N394" s="218">
        <v>11.69</v>
      </c>
      <c r="O394" s="218" t="s">
        <v>292</v>
      </c>
      <c r="P394" s="218">
        <v>14.38</v>
      </c>
      <c r="Q394" s="218" t="s">
        <v>391</v>
      </c>
      <c r="R394" s="218" t="s">
        <v>1777</v>
      </c>
      <c r="S394" s="218" t="s">
        <v>396</v>
      </c>
      <c r="T394" s="218" t="s">
        <v>501</v>
      </c>
      <c r="U394" s="218" t="s">
        <v>2591</v>
      </c>
      <c r="V394" s="218" t="s">
        <v>381</v>
      </c>
      <c r="W394" s="218" t="s">
        <v>295</v>
      </c>
      <c r="X394" s="218" t="s">
        <v>379</v>
      </c>
      <c r="Y394" s="218">
        <v>13.17</v>
      </c>
      <c r="Z394" s="218">
        <f t="shared" si="8"/>
        <v>14.38</v>
      </c>
    </row>
    <row r="395" spans="1:26">
      <c r="A395" s="218" t="s">
        <v>2592</v>
      </c>
      <c r="B395" s="218"/>
      <c r="C395" s="218"/>
      <c r="D395" s="218"/>
      <c r="E395" s="218"/>
      <c r="F395" s="219" t="s">
        <v>3380</v>
      </c>
      <c r="G395" s="218" t="s">
        <v>255</v>
      </c>
      <c r="H395" s="218" t="s">
        <v>309</v>
      </c>
      <c r="I395" s="223">
        <v>43769</v>
      </c>
      <c r="J395" s="218" t="s">
        <v>2982</v>
      </c>
      <c r="K395" s="218" t="s">
        <v>2601</v>
      </c>
      <c r="L395" s="218" t="s">
        <v>2596</v>
      </c>
      <c r="M395" s="218" t="s">
        <v>3381</v>
      </c>
      <c r="N395" s="218">
        <v>4.43</v>
      </c>
      <c r="O395" s="218" t="s">
        <v>292</v>
      </c>
      <c r="P395" s="218">
        <v>5.45</v>
      </c>
      <c r="Q395" s="218" t="s">
        <v>391</v>
      </c>
      <c r="R395" s="218" t="s">
        <v>1777</v>
      </c>
      <c r="S395" s="218" t="s">
        <v>396</v>
      </c>
      <c r="T395" s="218" t="s">
        <v>908</v>
      </c>
      <c r="U395" s="218" t="s">
        <v>2591</v>
      </c>
      <c r="V395" s="218" t="s">
        <v>381</v>
      </c>
      <c r="W395" s="218" t="s">
        <v>295</v>
      </c>
      <c r="X395" s="218" t="s">
        <v>379</v>
      </c>
      <c r="Y395" s="218">
        <v>4.99</v>
      </c>
      <c r="Z395" s="218">
        <f t="shared" si="8"/>
        <v>5.45</v>
      </c>
    </row>
    <row r="396" spans="1:26">
      <c r="A396" s="218" t="s">
        <v>2592</v>
      </c>
      <c r="B396" s="218"/>
      <c r="C396" s="218"/>
      <c r="D396" s="218"/>
      <c r="E396" s="218"/>
      <c r="F396" s="219" t="s">
        <v>3382</v>
      </c>
      <c r="G396" s="218" t="s">
        <v>255</v>
      </c>
      <c r="H396" s="218" t="s">
        <v>309</v>
      </c>
      <c r="I396" s="223">
        <v>43769</v>
      </c>
      <c r="J396" s="218" t="s">
        <v>2982</v>
      </c>
      <c r="K396" s="218" t="s">
        <v>2601</v>
      </c>
      <c r="L396" s="218" t="s">
        <v>2596</v>
      </c>
      <c r="M396" s="218" t="s">
        <v>3383</v>
      </c>
      <c r="N396" s="218">
        <v>18.29</v>
      </c>
      <c r="O396" s="218" t="s">
        <v>292</v>
      </c>
      <c r="P396" s="218">
        <v>22.5</v>
      </c>
      <c r="Q396" s="218" t="s">
        <v>391</v>
      </c>
      <c r="R396" s="218" t="s">
        <v>1777</v>
      </c>
      <c r="S396" s="218" t="s">
        <v>396</v>
      </c>
      <c r="T396" s="218" t="s">
        <v>487</v>
      </c>
      <c r="U396" s="218" t="s">
        <v>2591</v>
      </c>
      <c r="V396" s="218" t="s">
        <v>381</v>
      </c>
      <c r="W396" s="218" t="s">
        <v>295</v>
      </c>
      <c r="X396" s="218" t="s">
        <v>379</v>
      </c>
      <c r="Y396" s="218">
        <v>20.6</v>
      </c>
      <c r="Z396" s="218">
        <f t="shared" si="8"/>
        <v>22.5</v>
      </c>
    </row>
    <row r="397" spans="1:26">
      <c r="A397" s="218" t="s">
        <v>2592</v>
      </c>
      <c r="B397" s="218"/>
      <c r="C397" s="218"/>
      <c r="D397" s="218"/>
      <c r="E397" s="218"/>
      <c r="F397" s="219" t="s">
        <v>3384</v>
      </c>
      <c r="G397" s="218" t="s">
        <v>255</v>
      </c>
      <c r="H397" s="218" t="s">
        <v>309</v>
      </c>
      <c r="I397" s="223">
        <v>43769</v>
      </c>
      <c r="J397" s="218" t="s">
        <v>2982</v>
      </c>
      <c r="K397" s="218" t="s">
        <v>2601</v>
      </c>
      <c r="L397" s="218" t="s">
        <v>2596</v>
      </c>
      <c r="M397" s="218" t="s">
        <v>3385</v>
      </c>
      <c r="N397" s="218">
        <v>4.43</v>
      </c>
      <c r="O397" s="218" t="s">
        <v>292</v>
      </c>
      <c r="P397" s="218">
        <v>5.45</v>
      </c>
      <c r="Q397" s="218" t="s">
        <v>391</v>
      </c>
      <c r="R397" s="218" t="s">
        <v>1777</v>
      </c>
      <c r="S397" s="218" t="s">
        <v>396</v>
      </c>
      <c r="T397" s="218" t="s">
        <v>628</v>
      </c>
      <c r="U397" s="218" t="s">
        <v>2591</v>
      </c>
      <c r="V397" s="218" t="s">
        <v>381</v>
      </c>
      <c r="W397" s="218" t="s">
        <v>295</v>
      </c>
      <c r="X397" s="218" t="s">
        <v>379</v>
      </c>
      <c r="Y397" s="218">
        <v>4.99</v>
      </c>
      <c r="Z397" s="218">
        <f t="shared" si="8"/>
        <v>5.45</v>
      </c>
    </row>
    <row r="398" spans="1:26">
      <c r="A398" s="218" t="s">
        <v>2592</v>
      </c>
      <c r="B398" s="218"/>
      <c r="C398" s="218"/>
      <c r="D398" s="218"/>
      <c r="E398" s="218"/>
      <c r="F398" s="219" t="s">
        <v>3386</v>
      </c>
      <c r="G398" s="218" t="s">
        <v>255</v>
      </c>
      <c r="H398" s="218" t="s">
        <v>309</v>
      </c>
      <c r="I398" s="223">
        <v>43769</v>
      </c>
      <c r="J398" s="218" t="s">
        <v>2982</v>
      </c>
      <c r="K398" s="218" t="s">
        <v>2601</v>
      </c>
      <c r="L398" s="218" t="s">
        <v>2596</v>
      </c>
      <c r="M398" s="218" t="s">
        <v>3387</v>
      </c>
      <c r="N398" s="218">
        <v>2.2999999999999998</v>
      </c>
      <c r="O398" s="218" t="s">
        <v>292</v>
      </c>
      <c r="P398" s="218">
        <v>2.83</v>
      </c>
      <c r="Q398" s="218" t="s">
        <v>391</v>
      </c>
      <c r="R398" s="218" t="s">
        <v>1777</v>
      </c>
      <c r="S398" s="218" t="s">
        <v>396</v>
      </c>
      <c r="T398" s="218" t="s">
        <v>915</v>
      </c>
      <c r="U398" s="218" t="s">
        <v>2591</v>
      </c>
      <c r="V398" s="218" t="s">
        <v>381</v>
      </c>
      <c r="W398" s="218" t="s">
        <v>295</v>
      </c>
      <c r="X398" s="218" t="s">
        <v>379</v>
      </c>
      <c r="Y398" s="218">
        <v>2.59</v>
      </c>
      <c r="Z398" s="218">
        <f t="shared" si="8"/>
        <v>2.83</v>
      </c>
    </row>
    <row r="399" spans="1:26">
      <c r="A399" s="218" t="s">
        <v>2592</v>
      </c>
      <c r="B399" s="218"/>
      <c r="C399" s="218"/>
      <c r="D399" s="218"/>
      <c r="E399" s="218"/>
      <c r="F399" s="219" t="s">
        <v>3388</v>
      </c>
      <c r="G399" s="218" t="s">
        <v>255</v>
      </c>
      <c r="H399" s="218" t="s">
        <v>309</v>
      </c>
      <c r="I399" s="223">
        <v>43769</v>
      </c>
      <c r="J399" s="218" t="s">
        <v>3107</v>
      </c>
      <c r="K399" s="218" t="s">
        <v>3104</v>
      </c>
      <c r="L399" s="218" t="s">
        <v>2596</v>
      </c>
      <c r="M399" s="218" t="s">
        <v>3389</v>
      </c>
      <c r="N399" s="218">
        <v>17.920000000000002</v>
      </c>
      <c r="O399" s="218" t="s">
        <v>292</v>
      </c>
      <c r="P399" s="218">
        <v>22.04</v>
      </c>
      <c r="Q399" s="218" t="s">
        <v>391</v>
      </c>
      <c r="R399" s="218" t="s">
        <v>1777</v>
      </c>
      <c r="S399" s="218" t="s">
        <v>400</v>
      </c>
      <c r="T399" s="218" t="s">
        <v>495</v>
      </c>
      <c r="U399" s="218" t="s">
        <v>2591</v>
      </c>
      <c r="V399" s="218" t="s">
        <v>381</v>
      </c>
      <c r="W399" s="218" t="s">
        <v>295</v>
      </c>
      <c r="X399" s="218" t="s">
        <v>379</v>
      </c>
      <c r="Y399" s="218">
        <v>20.190000000000001</v>
      </c>
      <c r="Z399" s="218">
        <f t="shared" si="8"/>
        <v>22.04</v>
      </c>
    </row>
    <row r="400" spans="1:26">
      <c r="A400" s="218" t="s">
        <v>2592</v>
      </c>
      <c r="B400" s="218"/>
      <c r="C400" s="218"/>
      <c r="D400" s="218"/>
      <c r="E400" s="218"/>
      <c r="F400" s="219" t="s">
        <v>3390</v>
      </c>
      <c r="G400" s="218" t="s">
        <v>255</v>
      </c>
      <c r="H400" s="218" t="s">
        <v>309</v>
      </c>
      <c r="I400" s="223">
        <v>43769</v>
      </c>
      <c r="J400" s="218" t="s">
        <v>3107</v>
      </c>
      <c r="K400" s="218" t="s">
        <v>3104</v>
      </c>
      <c r="L400" s="218" t="s">
        <v>2596</v>
      </c>
      <c r="M400" s="218" t="s">
        <v>3391</v>
      </c>
      <c r="N400" s="218">
        <v>108.61</v>
      </c>
      <c r="O400" s="218" t="s">
        <v>292</v>
      </c>
      <c r="P400" s="218">
        <v>133.6</v>
      </c>
      <c r="Q400" s="218" t="s">
        <v>391</v>
      </c>
      <c r="R400" s="218" t="s">
        <v>1777</v>
      </c>
      <c r="S400" s="218" t="s">
        <v>400</v>
      </c>
      <c r="T400" s="218" t="s">
        <v>497</v>
      </c>
      <c r="U400" s="218" t="s">
        <v>2591</v>
      </c>
      <c r="V400" s="218" t="s">
        <v>381</v>
      </c>
      <c r="W400" s="218" t="s">
        <v>295</v>
      </c>
      <c r="X400" s="218" t="s">
        <v>379</v>
      </c>
      <c r="Y400" s="218">
        <v>122.34</v>
      </c>
      <c r="Z400" s="218">
        <f t="shared" si="8"/>
        <v>133.6</v>
      </c>
    </row>
    <row r="401" spans="1:26">
      <c r="A401" s="218" t="s">
        <v>2592</v>
      </c>
      <c r="B401" s="218"/>
      <c r="C401" s="218"/>
      <c r="D401" s="218"/>
      <c r="E401" s="218"/>
      <c r="F401" s="219" t="s">
        <v>3392</v>
      </c>
      <c r="G401" s="218" t="s">
        <v>255</v>
      </c>
      <c r="H401" s="218" t="s">
        <v>309</v>
      </c>
      <c r="I401" s="223">
        <v>43769</v>
      </c>
      <c r="J401" s="218" t="s">
        <v>3107</v>
      </c>
      <c r="K401" s="218" t="s">
        <v>3104</v>
      </c>
      <c r="L401" s="218" t="s">
        <v>2596</v>
      </c>
      <c r="M401" s="218" t="s">
        <v>3393</v>
      </c>
      <c r="N401" s="218">
        <v>26.92</v>
      </c>
      <c r="O401" s="218" t="s">
        <v>292</v>
      </c>
      <c r="P401" s="218">
        <v>33.11</v>
      </c>
      <c r="Q401" s="218" t="s">
        <v>391</v>
      </c>
      <c r="R401" s="218" t="s">
        <v>1777</v>
      </c>
      <c r="S401" s="218" t="s">
        <v>400</v>
      </c>
      <c r="T401" s="218" t="s">
        <v>499</v>
      </c>
      <c r="U401" s="218" t="s">
        <v>2591</v>
      </c>
      <c r="V401" s="218" t="s">
        <v>381</v>
      </c>
      <c r="W401" s="218" t="s">
        <v>295</v>
      </c>
      <c r="X401" s="218" t="s">
        <v>379</v>
      </c>
      <c r="Y401" s="218">
        <v>30.32</v>
      </c>
      <c r="Z401" s="218">
        <f t="shared" si="8"/>
        <v>33.11</v>
      </c>
    </row>
    <row r="402" spans="1:26">
      <c r="A402" s="218" t="s">
        <v>2592</v>
      </c>
      <c r="B402" s="218"/>
      <c r="C402" s="218"/>
      <c r="D402" s="218"/>
      <c r="E402" s="218"/>
      <c r="F402" s="219" t="s">
        <v>3394</v>
      </c>
      <c r="G402" s="218" t="s">
        <v>255</v>
      </c>
      <c r="H402" s="218" t="s">
        <v>309</v>
      </c>
      <c r="I402" s="223">
        <v>43769</v>
      </c>
      <c r="J402" s="218" t="s">
        <v>3107</v>
      </c>
      <c r="K402" s="218" t="s">
        <v>3104</v>
      </c>
      <c r="L402" s="218" t="s">
        <v>2596</v>
      </c>
      <c r="M402" s="218" t="s">
        <v>3395</v>
      </c>
      <c r="N402" s="218">
        <v>65.56</v>
      </c>
      <c r="O402" s="218" t="s">
        <v>292</v>
      </c>
      <c r="P402" s="218">
        <v>80.650000000000006</v>
      </c>
      <c r="Q402" s="218" t="s">
        <v>391</v>
      </c>
      <c r="R402" s="218" t="s">
        <v>1777</v>
      </c>
      <c r="S402" s="218" t="s">
        <v>400</v>
      </c>
      <c r="T402" s="218" t="s">
        <v>491</v>
      </c>
      <c r="U402" s="218" t="s">
        <v>2591</v>
      </c>
      <c r="V402" s="218" t="s">
        <v>381</v>
      </c>
      <c r="W402" s="218" t="s">
        <v>295</v>
      </c>
      <c r="X402" s="218" t="s">
        <v>379</v>
      </c>
      <c r="Y402" s="218">
        <v>73.849999999999994</v>
      </c>
      <c r="Z402" s="218">
        <f t="shared" si="8"/>
        <v>80.650000000000006</v>
      </c>
    </row>
    <row r="403" spans="1:26">
      <c r="A403" s="218" t="s">
        <v>2592</v>
      </c>
      <c r="B403" s="218"/>
      <c r="C403" s="218"/>
      <c r="D403" s="218"/>
      <c r="E403" s="218"/>
      <c r="F403" s="219" t="s">
        <v>3396</v>
      </c>
      <c r="G403" s="218" t="s">
        <v>255</v>
      </c>
      <c r="H403" s="218" t="s">
        <v>309</v>
      </c>
      <c r="I403" s="223">
        <v>43769</v>
      </c>
      <c r="J403" s="218" t="s">
        <v>3107</v>
      </c>
      <c r="K403" s="218" t="s">
        <v>3104</v>
      </c>
      <c r="L403" s="218" t="s">
        <v>2596</v>
      </c>
      <c r="M403" s="218" t="s">
        <v>3397</v>
      </c>
      <c r="N403" s="218">
        <v>33.15</v>
      </c>
      <c r="O403" s="218" t="s">
        <v>292</v>
      </c>
      <c r="P403" s="218">
        <v>40.78</v>
      </c>
      <c r="Q403" s="218" t="s">
        <v>391</v>
      </c>
      <c r="R403" s="218" t="s">
        <v>1777</v>
      </c>
      <c r="S403" s="218" t="s">
        <v>400</v>
      </c>
      <c r="T403" s="218" t="s">
        <v>493</v>
      </c>
      <c r="U403" s="218" t="s">
        <v>2591</v>
      </c>
      <c r="V403" s="218" t="s">
        <v>381</v>
      </c>
      <c r="W403" s="218" t="s">
        <v>295</v>
      </c>
      <c r="X403" s="218" t="s">
        <v>379</v>
      </c>
      <c r="Y403" s="218">
        <v>37.340000000000003</v>
      </c>
      <c r="Z403" s="218">
        <f t="shared" si="8"/>
        <v>40.78</v>
      </c>
    </row>
    <row r="404" spans="1:26">
      <c r="A404" s="218" t="s">
        <v>2592</v>
      </c>
      <c r="B404" s="218"/>
      <c r="C404" s="218"/>
      <c r="D404" s="218"/>
      <c r="E404" s="218"/>
      <c r="F404" s="219" t="s">
        <v>3398</v>
      </c>
      <c r="G404" s="218" t="s">
        <v>255</v>
      </c>
      <c r="H404" s="218" t="s">
        <v>309</v>
      </c>
      <c r="I404" s="223">
        <v>43769</v>
      </c>
      <c r="J404" s="218" t="s">
        <v>2985</v>
      </c>
      <c r="K404" s="218" t="s">
        <v>2601</v>
      </c>
      <c r="L404" s="218" t="s">
        <v>2596</v>
      </c>
      <c r="M404" s="218" t="s">
        <v>3399</v>
      </c>
      <c r="N404" s="218">
        <v>0.39</v>
      </c>
      <c r="O404" s="218" t="s">
        <v>292</v>
      </c>
      <c r="P404" s="218">
        <v>0.48</v>
      </c>
      <c r="Q404" s="218" t="s">
        <v>405</v>
      </c>
      <c r="R404" s="218" t="s">
        <v>1780</v>
      </c>
      <c r="S404" s="218" t="s">
        <v>396</v>
      </c>
      <c r="T404" s="218" t="s">
        <v>501</v>
      </c>
      <c r="U404" s="218" t="s">
        <v>2591</v>
      </c>
      <c r="V404" s="218" t="s">
        <v>381</v>
      </c>
      <c r="W404" s="218" t="s">
        <v>295</v>
      </c>
      <c r="X404" s="218" t="s">
        <v>379</v>
      </c>
      <c r="Y404" s="218">
        <v>0.44</v>
      </c>
      <c r="Z404" s="218">
        <f t="shared" si="8"/>
        <v>0.48</v>
      </c>
    </row>
    <row r="405" spans="1:26">
      <c r="A405" s="218" t="s">
        <v>2592</v>
      </c>
      <c r="B405" s="218"/>
      <c r="C405" s="218"/>
      <c r="D405" s="218"/>
      <c r="E405" s="218"/>
      <c r="F405" s="219" t="s">
        <v>3400</v>
      </c>
      <c r="G405" s="218" t="s">
        <v>255</v>
      </c>
      <c r="H405" s="218" t="s">
        <v>309</v>
      </c>
      <c r="I405" s="223">
        <v>43769</v>
      </c>
      <c r="J405" s="218" t="s">
        <v>2985</v>
      </c>
      <c r="K405" s="218" t="s">
        <v>2601</v>
      </c>
      <c r="L405" s="218" t="s">
        <v>2596</v>
      </c>
      <c r="M405" s="218" t="s">
        <v>3401</v>
      </c>
      <c r="N405" s="218">
        <v>0.05</v>
      </c>
      <c r="O405" s="218" t="s">
        <v>292</v>
      </c>
      <c r="P405" s="218">
        <v>0.06</v>
      </c>
      <c r="Q405" s="218" t="s">
        <v>405</v>
      </c>
      <c r="R405" s="218" t="s">
        <v>1780</v>
      </c>
      <c r="S405" s="218" t="s">
        <v>396</v>
      </c>
      <c r="T405" s="218" t="s">
        <v>908</v>
      </c>
      <c r="U405" s="218" t="s">
        <v>2591</v>
      </c>
      <c r="V405" s="218" t="s">
        <v>381</v>
      </c>
      <c r="W405" s="218" t="s">
        <v>295</v>
      </c>
      <c r="X405" s="218" t="s">
        <v>379</v>
      </c>
      <c r="Y405" s="218">
        <v>0.06</v>
      </c>
      <c r="Z405" s="218">
        <f t="shared" si="8"/>
        <v>0.06</v>
      </c>
    </row>
    <row r="406" spans="1:26">
      <c r="A406" s="218" t="s">
        <v>2592</v>
      </c>
      <c r="B406" s="218"/>
      <c r="C406" s="218"/>
      <c r="D406" s="218"/>
      <c r="E406" s="218"/>
      <c r="F406" s="219" t="s">
        <v>3402</v>
      </c>
      <c r="G406" s="218" t="s">
        <v>255</v>
      </c>
      <c r="H406" s="218" t="s">
        <v>309</v>
      </c>
      <c r="I406" s="223">
        <v>43769</v>
      </c>
      <c r="J406" s="218" t="s">
        <v>2985</v>
      </c>
      <c r="K406" s="218" t="s">
        <v>2601</v>
      </c>
      <c r="L406" s="218" t="s">
        <v>2596</v>
      </c>
      <c r="M406" s="218" t="s">
        <v>3403</v>
      </c>
      <c r="N406" s="218">
        <v>0.27</v>
      </c>
      <c r="O406" s="218" t="s">
        <v>292</v>
      </c>
      <c r="P406" s="218">
        <v>0.33</v>
      </c>
      <c r="Q406" s="218" t="s">
        <v>405</v>
      </c>
      <c r="R406" s="218" t="s">
        <v>1780</v>
      </c>
      <c r="S406" s="218" t="s">
        <v>396</v>
      </c>
      <c r="T406" s="218" t="s">
        <v>487</v>
      </c>
      <c r="U406" s="218" t="s">
        <v>2591</v>
      </c>
      <c r="V406" s="218" t="s">
        <v>381</v>
      </c>
      <c r="W406" s="218" t="s">
        <v>295</v>
      </c>
      <c r="X406" s="218" t="s">
        <v>379</v>
      </c>
      <c r="Y406" s="218">
        <v>0.3</v>
      </c>
      <c r="Z406" s="218">
        <f t="shared" si="8"/>
        <v>0.33</v>
      </c>
    </row>
    <row r="407" spans="1:26">
      <c r="A407" s="218" t="s">
        <v>2592</v>
      </c>
      <c r="B407" s="218"/>
      <c r="C407" s="218"/>
      <c r="D407" s="218"/>
      <c r="E407" s="218"/>
      <c r="F407" s="219" t="s">
        <v>3404</v>
      </c>
      <c r="G407" s="218" t="s">
        <v>255</v>
      </c>
      <c r="H407" s="218" t="s">
        <v>309</v>
      </c>
      <c r="I407" s="223">
        <v>43769</v>
      </c>
      <c r="J407" s="218" t="s">
        <v>2985</v>
      </c>
      <c r="K407" s="218" t="s">
        <v>2601</v>
      </c>
      <c r="L407" s="218" t="s">
        <v>2596</v>
      </c>
      <c r="M407" s="218" t="s">
        <v>3405</v>
      </c>
      <c r="N407" s="218">
        <v>0.05</v>
      </c>
      <c r="O407" s="218" t="s">
        <v>292</v>
      </c>
      <c r="P407" s="218">
        <v>0.06</v>
      </c>
      <c r="Q407" s="218" t="s">
        <v>405</v>
      </c>
      <c r="R407" s="218" t="s">
        <v>1780</v>
      </c>
      <c r="S407" s="218" t="s">
        <v>396</v>
      </c>
      <c r="T407" s="218" t="s">
        <v>628</v>
      </c>
      <c r="U407" s="218" t="s">
        <v>2591</v>
      </c>
      <c r="V407" s="218" t="s">
        <v>381</v>
      </c>
      <c r="W407" s="218" t="s">
        <v>295</v>
      </c>
      <c r="X407" s="218" t="s">
        <v>379</v>
      </c>
      <c r="Y407" s="218">
        <v>0.06</v>
      </c>
      <c r="Z407" s="218">
        <f t="shared" si="8"/>
        <v>0.06</v>
      </c>
    </row>
    <row r="408" spans="1:26">
      <c r="A408" s="218" t="s">
        <v>2592</v>
      </c>
      <c r="B408" s="218"/>
      <c r="C408" s="218"/>
      <c r="D408" s="218"/>
      <c r="E408" s="218"/>
      <c r="F408" s="219" t="s">
        <v>3406</v>
      </c>
      <c r="G408" s="218" t="s">
        <v>255</v>
      </c>
      <c r="H408" s="218" t="s">
        <v>309</v>
      </c>
      <c r="I408" s="223">
        <v>43769</v>
      </c>
      <c r="J408" s="218" t="s">
        <v>2985</v>
      </c>
      <c r="K408" s="218" t="s">
        <v>2601</v>
      </c>
      <c r="L408" s="218" t="s">
        <v>2596</v>
      </c>
      <c r="M408" s="218" t="s">
        <v>3407</v>
      </c>
      <c r="N408" s="218">
        <v>0.28000000000000003</v>
      </c>
      <c r="O408" s="218" t="s">
        <v>292</v>
      </c>
      <c r="P408" s="218">
        <v>0.35</v>
      </c>
      <c r="Q408" s="218" t="s">
        <v>405</v>
      </c>
      <c r="R408" s="218" t="s">
        <v>1780</v>
      </c>
      <c r="S408" s="218" t="s">
        <v>396</v>
      </c>
      <c r="T408" s="218" t="s">
        <v>489</v>
      </c>
      <c r="U408" s="218" t="s">
        <v>2591</v>
      </c>
      <c r="V408" s="218" t="s">
        <v>381</v>
      </c>
      <c r="W408" s="218" t="s">
        <v>295</v>
      </c>
      <c r="X408" s="218" t="s">
        <v>379</v>
      </c>
      <c r="Y408" s="218">
        <v>0.32</v>
      </c>
      <c r="Z408" s="218">
        <f t="shared" si="8"/>
        <v>0.35</v>
      </c>
    </row>
    <row r="409" spans="1:26">
      <c r="A409" s="218" t="s">
        <v>2592</v>
      </c>
      <c r="B409" s="218"/>
      <c r="C409" s="218"/>
      <c r="D409" s="218"/>
      <c r="E409" s="218"/>
      <c r="F409" s="219" t="s">
        <v>3408</v>
      </c>
      <c r="G409" s="218" t="s">
        <v>255</v>
      </c>
      <c r="H409" s="218" t="s">
        <v>309</v>
      </c>
      <c r="I409" s="223">
        <v>43769</v>
      </c>
      <c r="J409" s="218" t="s">
        <v>2985</v>
      </c>
      <c r="K409" s="218" t="s">
        <v>2601</v>
      </c>
      <c r="L409" s="218" t="s">
        <v>2596</v>
      </c>
      <c r="M409" s="218" t="s">
        <v>3409</v>
      </c>
      <c r="N409" s="218">
        <v>0.2</v>
      </c>
      <c r="O409" s="218" t="s">
        <v>292</v>
      </c>
      <c r="P409" s="218">
        <v>0.25</v>
      </c>
      <c r="Q409" s="218" t="s">
        <v>405</v>
      </c>
      <c r="R409" s="218" t="s">
        <v>1780</v>
      </c>
      <c r="S409" s="218" t="s">
        <v>396</v>
      </c>
      <c r="T409" s="218" t="s">
        <v>915</v>
      </c>
      <c r="U409" s="218" t="s">
        <v>2591</v>
      </c>
      <c r="V409" s="218" t="s">
        <v>381</v>
      </c>
      <c r="W409" s="218" t="s">
        <v>295</v>
      </c>
      <c r="X409" s="218" t="s">
        <v>379</v>
      </c>
      <c r="Y409" s="218">
        <v>0.23</v>
      </c>
      <c r="Z409" s="218">
        <f t="shared" si="8"/>
        <v>0.25</v>
      </c>
    </row>
    <row r="410" spans="1:26">
      <c r="A410" s="218" t="s">
        <v>2592</v>
      </c>
      <c r="B410" s="218"/>
      <c r="C410" s="218"/>
      <c r="D410" s="218"/>
      <c r="E410" s="218"/>
      <c r="F410" s="219" t="s">
        <v>3410</v>
      </c>
      <c r="G410" s="218" t="s">
        <v>255</v>
      </c>
      <c r="H410" s="218" t="s">
        <v>309</v>
      </c>
      <c r="I410" s="223">
        <v>43769</v>
      </c>
      <c r="J410" s="218" t="s">
        <v>2988</v>
      </c>
      <c r="K410" s="218" t="s">
        <v>2601</v>
      </c>
      <c r="L410" s="218" t="s">
        <v>2596</v>
      </c>
      <c r="M410" s="218" t="s">
        <v>3411</v>
      </c>
      <c r="N410" s="218">
        <v>1.95</v>
      </c>
      <c r="O410" s="218" t="s">
        <v>292</v>
      </c>
      <c r="P410" s="218">
        <v>2.4</v>
      </c>
      <c r="Q410" s="218" t="s">
        <v>405</v>
      </c>
      <c r="R410" s="218" t="s">
        <v>1780</v>
      </c>
      <c r="S410" s="218" t="s">
        <v>396</v>
      </c>
      <c r="T410" s="218" t="s">
        <v>501</v>
      </c>
      <c r="U410" s="218" t="s">
        <v>2591</v>
      </c>
      <c r="V410" s="218" t="s">
        <v>381</v>
      </c>
      <c r="W410" s="218" t="s">
        <v>295</v>
      </c>
      <c r="X410" s="218" t="s">
        <v>379</v>
      </c>
      <c r="Y410" s="218">
        <v>2.2000000000000002</v>
      </c>
      <c r="Z410" s="218">
        <f t="shared" si="8"/>
        <v>2.4</v>
      </c>
    </row>
    <row r="411" spans="1:26">
      <c r="A411" s="218" t="s">
        <v>2592</v>
      </c>
      <c r="B411" s="218"/>
      <c r="C411" s="218"/>
      <c r="D411" s="218"/>
      <c r="E411" s="218"/>
      <c r="F411" s="219" t="s">
        <v>3412</v>
      </c>
      <c r="G411" s="218" t="s">
        <v>255</v>
      </c>
      <c r="H411" s="218" t="s">
        <v>309</v>
      </c>
      <c r="I411" s="223">
        <v>43769</v>
      </c>
      <c r="J411" s="218" t="s">
        <v>2988</v>
      </c>
      <c r="K411" s="218" t="s">
        <v>2601</v>
      </c>
      <c r="L411" s="218" t="s">
        <v>2596</v>
      </c>
      <c r="M411" s="218" t="s">
        <v>3413</v>
      </c>
      <c r="N411" s="218">
        <v>0.74</v>
      </c>
      <c r="O411" s="218" t="s">
        <v>292</v>
      </c>
      <c r="P411" s="218">
        <v>0.91</v>
      </c>
      <c r="Q411" s="218" t="s">
        <v>405</v>
      </c>
      <c r="R411" s="218" t="s">
        <v>1780</v>
      </c>
      <c r="S411" s="218" t="s">
        <v>396</v>
      </c>
      <c r="T411" s="218" t="s">
        <v>908</v>
      </c>
      <c r="U411" s="218" t="s">
        <v>2591</v>
      </c>
      <c r="V411" s="218" t="s">
        <v>381</v>
      </c>
      <c r="W411" s="218" t="s">
        <v>295</v>
      </c>
      <c r="X411" s="218" t="s">
        <v>379</v>
      </c>
      <c r="Y411" s="218">
        <v>0.83</v>
      </c>
      <c r="Z411" s="218">
        <f t="shared" si="8"/>
        <v>0.91</v>
      </c>
    </row>
    <row r="412" spans="1:26">
      <c r="A412" s="218" t="s">
        <v>2592</v>
      </c>
      <c r="B412" s="218"/>
      <c r="C412" s="218"/>
      <c r="D412" s="218"/>
      <c r="E412" s="218"/>
      <c r="F412" s="219" t="s">
        <v>3414</v>
      </c>
      <c r="G412" s="218" t="s">
        <v>255</v>
      </c>
      <c r="H412" s="218" t="s">
        <v>309</v>
      </c>
      <c r="I412" s="223">
        <v>43769</v>
      </c>
      <c r="J412" s="218" t="s">
        <v>2988</v>
      </c>
      <c r="K412" s="218" t="s">
        <v>2601</v>
      </c>
      <c r="L412" s="218" t="s">
        <v>2596</v>
      </c>
      <c r="M412" s="218" t="s">
        <v>3415</v>
      </c>
      <c r="N412" s="218">
        <v>3.05</v>
      </c>
      <c r="O412" s="218" t="s">
        <v>292</v>
      </c>
      <c r="P412" s="218">
        <v>3.75</v>
      </c>
      <c r="Q412" s="218" t="s">
        <v>405</v>
      </c>
      <c r="R412" s="218" t="s">
        <v>1780</v>
      </c>
      <c r="S412" s="218" t="s">
        <v>396</v>
      </c>
      <c r="T412" s="218" t="s">
        <v>487</v>
      </c>
      <c r="U412" s="218" t="s">
        <v>2591</v>
      </c>
      <c r="V412" s="218" t="s">
        <v>381</v>
      </c>
      <c r="W412" s="218" t="s">
        <v>295</v>
      </c>
      <c r="X412" s="218" t="s">
        <v>379</v>
      </c>
      <c r="Y412" s="218">
        <v>3.44</v>
      </c>
      <c r="Z412" s="218">
        <f t="shared" si="8"/>
        <v>3.75</v>
      </c>
    </row>
    <row r="413" spans="1:26">
      <c r="A413" s="218" t="s">
        <v>2592</v>
      </c>
      <c r="B413" s="218"/>
      <c r="C413" s="218"/>
      <c r="D413" s="218"/>
      <c r="E413" s="218"/>
      <c r="F413" s="219" t="s">
        <v>3416</v>
      </c>
      <c r="G413" s="218" t="s">
        <v>255</v>
      </c>
      <c r="H413" s="218" t="s">
        <v>309</v>
      </c>
      <c r="I413" s="223">
        <v>43769</v>
      </c>
      <c r="J413" s="218" t="s">
        <v>2988</v>
      </c>
      <c r="K413" s="218" t="s">
        <v>2601</v>
      </c>
      <c r="L413" s="218" t="s">
        <v>2596</v>
      </c>
      <c r="M413" s="218" t="s">
        <v>3417</v>
      </c>
      <c r="N413" s="218">
        <v>0.74</v>
      </c>
      <c r="O413" s="218" t="s">
        <v>292</v>
      </c>
      <c r="P413" s="218">
        <v>0.91</v>
      </c>
      <c r="Q413" s="218" t="s">
        <v>405</v>
      </c>
      <c r="R413" s="218" t="s">
        <v>1780</v>
      </c>
      <c r="S413" s="218" t="s">
        <v>396</v>
      </c>
      <c r="T413" s="218" t="s">
        <v>628</v>
      </c>
      <c r="U413" s="218" t="s">
        <v>2591</v>
      </c>
      <c r="V413" s="218" t="s">
        <v>381</v>
      </c>
      <c r="W413" s="218" t="s">
        <v>295</v>
      </c>
      <c r="X413" s="218" t="s">
        <v>379</v>
      </c>
      <c r="Y413" s="218">
        <v>0.83</v>
      </c>
      <c r="Z413" s="218">
        <f t="shared" si="8"/>
        <v>0.91</v>
      </c>
    </row>
    <row r="414" spans="1:26">
      <c r="A414" s="218" t="s">
        <v>2592</v>
      </c>
      <c r="B414" s="218"/>
      <c r="C414" s="218"/>
      <c r="D414" s="218"/>
      <c r="E414" s="218"/>
      <c r="F414" s="219" t="s">
        <v>3418</v>
      </c>
      <c r="G414" s="218" t="s">
        <v>255</v>
      </c>
      <c r="H414" s="218" t="s">
        <v>309</v>
      </c>
      <c r="I414" s="223">
        <v>43769</v>
      </c>
      <c r="J414" s="218" t="s">
        <v>2988</v>
      </c>
      <c r="K414" s="218" t="s">
        <v>2601</v>
      </c>
      <c r="L414" s="218" t="s">
        <v>2596</v>
      </c>
      <c r="M414" s="218" t="s">
        <v>3419</v>
      </c>
      <c r="N414" s="218">
        <v>0.38</v>
      </c>
      <c r="O414" s="218" t="s">
        <v>292</v>
      </c>
      <c r="P414" s="218">
        <v>0.47</v>
      </c>
      <c r="Q414" s="218" t="s">
        <v>405</v>
      </c>
      <c r="R414" s="218" t="s">
        <v>1780</v>
      </c>
      <c r="S414" s="218" t="s">
        <v>396</v>
      </c>
      <c r="T414" s="218" t="s">
        <v>915</v>
      </c>
      <c r="U414" s="218" t="s">
        <v>2591</v>
      </c>
      <c r="V414" s="218" t="s">
        <v>381</v>
      </c>
      <c r="W414" s="218" t="s">
        <v>295</v>
      </c>
      <c r="X414" s="218" t="s">
        <v>379</v>
      </c>
      <c r="Y414" s="218">
        <v>0.43</v>
      </c>
      <c r="Z414" s="218">
        <f t="shared" si="8"/>
        <v>0.47</v>
      </c>
    </row>
    <row r="415" spans="1:26">
      <c r="A415" s="218" t="s">
        <v>2592</v>
      </c>
      <c r="B415" s="218"/>
      <c r="C415" s="218"/>
      <c r="D415" s="218"/>
      <c r="E415" s="218"/>
      <c r="F415" s="219" t="s">
        <v>3420</v>
      </c>
      <c r="G415" s="218" t="s">
        <v>255</v>
      </c>
      <c r="H415" s="218" t="s">
        <v>309</v>
      </c>
      <c r="I415" s="223">
        <v>43769</v>
      </c>
      <c r="J415" s="218" t="s">
        <v>3109</v>
      </c>
      <c r="K415" s="218" t="s">
        <v>3104</v>
      </c>
      <c r="L415" s="218" t="s">
        <v>2596</v>
      </c>
      <c r="M415" s="218" t="s">
        <v>3421</v>
      </c>
      <c r="N415" s="218">
        <v>1.2</v>
      </c>
      <c r="O415" s="218" t="s">
        <v>292</v>
      </c>
      <c r="P415" s="218">
        <v>1.48</v>
      </c>
      <c r="Q415" s="218" t="s">
        <v>405</v>
      </c>
      <c r="R415" s="218" t="s">
        <v>1780</v>
      </c>
      <c r="S415" s="218" t="s">
        <v>400</v>
      </c>
      <c r="T415" s="218" t="s">
        <v>497</v>
      </c>
      <c r="U415" s="218" t="s">
        <v>2591</v>
      </c>
      <c r="V415" s="218" t="s">
        <v>381</v>
      </c>
      <c r="W415" s="218" t="s">
        <v>295</v>
      </c>
      <c r="X415" s="218" t="s">
        <v>379</v>
      </c>
      <c r="Y415" s="218">
        <v>1.35</v>
      </c>
      <c r="Z415" s="218">
        <f t="shared" si="8"/>
        <v>1.48</v>
      </c>
    </row>
    <row r="416" spans="1:26">
      <c r="A416" s="218" t="s">
        <v>2592</v>
      </c>
      <c r="B416" s="218"/>
      <c r="C416" s="218"/>
      <c r="D416" s="218"/>
      <c r="E416" s="218"/>
      <c r="F416" s="219" t="s">
        <v>3422</v>
      </c>
      <c r="G416" s="218" t="s">
        <v>255</v>
      </c>
      <c r="H416" s="218" t="s">
        <v>309</v>
      </c>
      <c r="I416" s="223">
        <v>43769</v>
      </c>
      <c r="J416" s="218" t="s">
        <v>3109</v>
      </c>
      <c r="K416" s="218" t="s">
        <v>3104</v>
      </c>
      <c r="L416" s="218" t="s">
        <v>2596</v>
      </c>
      <c r="M416" s="218" t="s">
        <v>3423</v>
      </c>
      <c r="N416" s="218">
        <v>0.3</v>
      </c>
      <c r="O416" s="218" t="s">
        <v>292</v>
      </c>
      <c r="P416" s="218">
        <v>0.37</v>
      </c>
      <c r="Q416" s="218" t="s">
        <v>405</v>
      </c>
      <c r="R416" s="218" t="s">
        <v>1780</v>
      </c>
      <c r="S416" s="218" t="s">
        <v>400</v>
      </c>
      <c r="T416" s="218" t="s">
        <v>499</v>
      </c>
      <c r="U416" s="218" t="s">
        <v>2591</v>
      </c>
      <c r="V416" s="218" t="s">
        <v>381</v>
      </c>
      <c r="W416" s="218" t="s">
        <v>295</v>
      </c>
      <c r="X416" s="218" t="s">
        <v>379</v>
      </c>
      <c r="Y416" s="218">
        <v>0.34</v>
      </c>
      <c r="Z416" s="218">
        <f t="shared" si="8"/>
        <v>0.37</v>
      </c>
    </row>
    <row r="417" spans="1:26">
      <c r="A417" s="218" t="s">
        <v>2592</v>
      </c>
      <c r="B417" s="218"/>
      <c r="C417" s="218"/>
      <c r="D417" s="218"/>
      <c r="E417" s="218"/>
      <c r="F417" s="219" t="s">
        <v>3424</v>
      </c>
      <c r="G417" s="218" t="s">
        <v>255</v>
      </c>
      <c r="H417" s="218" t="s">
        <v>309</v>
      </c>
      <c r="I417" s="223">
        <v>43769</v>
      </c>
      <c r="J417" s="218" t="s">
        <v>3109</v>
      </c>
      <c r="K417" s="218" t="s">
        <v>3104</v>
      </c>
      <c r="L417" s="218" t="s">
        <v>2596</v>
      </c>
      <c r="M417" s="218" t="s">
        <v>3425</v>
      </c>
      <c r="N417" s="218">
        <v>0.73</v>
      </c>
      <c r="O417" s="218" t="s">
        <v>292</v>
      </c>
      <c r="P417" s="218">
        <v>0.9</v>
      </c>
      <c r="Q417" s="218" t="s">
        <v>405</v>
      </c>
      <c r="R417" s="218" t="s">
        <v>1780</v>
      </c>
      <c r="S417" s="218" t="s">
        <v>400</v>
      </c>
      <c r="T417" s="218" t="s">
        <v>491</v>
      </c>
      <c r="U417" s="218" t="s">
        <v>2591</v>
      </c>
      <c r="V417" s="218" t="s">
        <v>381</v>
      </c>
      <c r="W417" s="218" t="s">
        <v>295</v>
      </c>
      <c r="X417" s="218" t="s">
        <v>379</v>
      </c>
      <c r="Y417" s="218">
        <v>0.82</v>
      </c>
      <c r="Z417" s="218">
        <f t="shared" si="8"/>
        <v>0.9</v>
      </c>
    </row>
    <row r="418" spans="1:26">
      <c r="A418" s="218" t="s">
        <v>2592</v>
      </c>
      <c r="B418" s="218"/>
      <c r="C418" s="218"/>
      <c r="D418" s="218"/>
      <c r="E418" s="218"/>
      <c r="F418" s="219" t="s">
        <v>3426</v>
      </c>
      <c r="G418" s="218" t="s">
        <v>255</v>
      </c>
      <c r="H418" s="218" t="s">
        <v>309</v>
      </c>
      <c r="I418" s="223">
        <v>43769</v>
      </c>
      <c r="J418" s="218" t="s">
        <v>3109</v>
      </c>
      <c r="K418" s="218" t="s">
        <v>3104</v>
      </c>
      <c r="L418" s="218" t="s">
        <v>2596</v>
      </c>
      <c r="M418" s="218" t="s">
        <v>521</v>
      </c>
      <c r="N418" s="218">
        <v>0.37</v>
      </c>
      <c r="O418" s="218" t="s">
        <v>292</v>
      </c>
      <c r="P418" s="218">
        <v>0.45</v>
      </c>
      <c r="Q418" s="218" t="s">
        <v>405</v>
      </c>
      <c r="R418" s="218" t="s">
        <v>1780</v>
      </c>
      <c r="S418" s="218" t="s">
        <v>400</v>
      </c>
      <c r="T418" s="218" t="s">
        <v>493</v>
      </c>
      <c r="U418" s="218" t="s">
        <v>2591</v>
      </c>
      <c r="V418" s="218" t="s">
        <v>381</v>
      </c>
      <c r="W418" s="218" t="s">
        <v>295</v>
      </c>
      <c r="X418" s="218" t="s">
        <v>379</v>
      </c>
      <c r="Y418" s="218">
        <v>0.42</v>
      </c>
      <c r="Z418" s="218">
        <f t="shared" si="8"/>
        <v>0.45</v>
      </c>
    </row>
    <row r="419" spans="1:26">
      <c r="A419" s="218" t="s">
        <v>2592</v>
      </c>
      <c r="B419" s="218"/>
      <c r="C419" s="218"/>
      <c r="D419" s="218"/>
      <c r="E419" s="218"/>
      <c r="F419" s="219" t="s">
        <v>3427</v>
      </c>
      <c r="G419" s="218" t="s">
        <v>255</v>
      </c>
      <c r="H419" s="218" t="s">
        <v>309</v>
      </c>
      <c r="I419" s="223">
        <v>43769</v>
      </c>
      <c r="J419" s="218" t="s">
        <v>3111</v>
      </c>
      <c r="K419" s="218" t="s">
        <v>3104</v>
      </c>
      <c r="L419" s="218" t="s">
        <v>2596</v>
      </c>
      <c r="M419" s="218" t="s">
        <v>3428</v>
      </c>
      <c r="N419" s="218">
        <v>2.98</v>
      </c>
      <c r="O419" s="218" t="s">
        <v>292</v>
      </c>
      <c r="P419" s="218">
        <v>3.67</v>
      </c>
      <c r="Q419" s="218" t="s">
        <v>405</v>
      </c>
      <c r="R419" s="218" t="s">
        <v>1780</v>
      </c>
      <c r="S419" s="218" t="s">
        <v>400</v>
      </c>
      <c r="T419" s="218" t="s">
        <v>495</v>
      </c>
      <c r="U419" s="218" t="s">
        <v>2591</v>
      </c>
      <c r="V419" s="218" t="s">
        <v>381</v>
      </c>
      <c r="W419" s="218" t="s">
        <v>295</v>
      </c>
      <c r="X419" s="218" t="s">
        <v>379</v>
      </c>
      <c r="Y419" s="218">
        <v>3.36</v>
      </c>
      <c r="Z419" s="218">
        <f t="shared" si="8"/>
        <v>3.67</v>
      </c>
    </row>
    <row r="420" spans="1:26">
      <c r="A420" s="218" t="s">
        <v>2592</v>
      </c>
      <c r="B420" s="218"/>
      <c r="C420" s="218"/>
      <c r="D420" s="218"/>
      <c r="E420" s="218"/>
      <c r="F420" s="219" t="s">
        <v>3429</v>
      </c>
      <c r="G420" s="218" t="s">
        <v>255</v>
      </c>
      <c r="H420" s="218" t="s">
        <v>309</v>
      </c>
      <c r="I420" s="223">
        <v>43769</v>
      </c>
      <c r="J420" s="218" t="s">
        <v>3111</v>
      </c>
      <c r="K420" s="218" t="s">
        <v>3104</v>
      </c>
      <c r="L420" s="218" t="s">
        <v>2596</v>
      </c>
      <c r="M420" s="218" t="s">
        <v>3430</v>
      </c>
      <c r="N420" s="218">
        <v>18.100000000000001</v>
      </c>
      <c r="O420" s="218" t="s">
        <v>292</v>
      </c>
      <c r="P420" s="218">
        <v>22.27</v>
      </c>
      <c r="Q420" s="218" t="s">
        <v>405</v>
      </c>
      <c r="R420" s="218" t="s">
        <v>1780</v>
      </c>
      <c r="S420" s="218" t="s">
        <v>400</v>
      </c>
      <c r="T420" s="218" t="s">
        <v>497</v>
      </c>
      <c r="U420" s="218" t="s">
        <v>2591</v>
      </c>
      <c r="V420" s="218" t="s">
        <v>381</v>
      </c>
      <c r="W420" s="218" t="s">
        <v>295</v>
      </c>
      <c r="X420" s="218" t="s">
        <v>379</v>
      </c>
      <c r="Y420" s="218">
        <v>20.39</v>
      </c>
      <c r="Z420" s="218">
        <f t="shared" si="8"/>
        <v>22.27</v>
      </c>
    </row>
    <row r="421" spans="1:26">
      <c r="A421" s="218" t="s">
        <v>2592</v>
      </c>
      <c r="B421" s="218"/>
      <c r="C421" s="218"/>
      <c r="D421" s="218"/>
      <c r="E421" s="218"/>
      <c r="F421" s="219" t="s">
        <v>3431</v>
      </c>
      <c r="G421" s="218" t="s">
        <v>255</v>
      </c>
      <c r="H421" s="218" t="s">
        <v>309</v>
      </c>
      <c r="I421" s="223">
        <v>43769</v>
      </c>
      <c r="J421" s="218" t="s">
        <v>3111</v>
      </c>
      <c r="K421" s="218" t="s">
        <v>3104</v>
      </c>
      <c r="L421" s="218" t="s">
        <v>2596</v>
      </c>
      <c r="M421" s="218" t="s">
        <v>3432</v>
      </c>
      <c r="N421" s="218">
        <v>4.49</v>
      </c>
      <c r="O421" s="218" t="s">
        <v>292</v>
      </c>
      <c r="P421" s="218">
        <v>5.52</v>
      </c>
      <c r="Q421" s="218" t="s">
        <v>405</v>
      </c>
      <c r="R421" s="218" t="s">
        <v>1780</v>
      </c>
      <c r="S421" s="218" t="s">
        <v>400</v>
      </c>
      <c r="T421" s="218" t="s">
        <v>499</v>
      </c>
      <c r="U421" s="218" t="s">
        <v>2591</v>
      </c>
      <c r="V421" s="218" t="s">
        <v>381</v>
      </c>
      <c r="W421" s="218" t="s">
        <v>295</v>
      </c>
      <c r="X421" s="218" t="s">
        <v>379</v>
      </c>
      <c r="Y421" s="218">
        <v>5.0599999999999996</v>
      </c>
      <c r="Z421" s="218">
        <f t="shared" si="8"/>
        <v>5.52</v>
      </c>
    </row>
    <row r="422" spans="1:26">
      <c r="A422" s="218" t="s">
        <v>2592</v>
      </c>
      <c r="B422" s="218"/>
      <c r="C422" s="218"/>
      <c r="D422" s="218"/>
      <c r="E422" s="218"/>
      <c r="F422" s="219" t="s">
        <v>3433</v>
      </c>
      <c r="G422" s="218" t="s">
        <v>255</v>
      </c>
      <c r="H422" s="218" t="s">
        <v>309</v>
      </c>
      <c r="I422" s="223">
        <v>43769</v>
      </c>
      <c r="J422" s="218" t="s">
        <v>3111</v>
      </c>
      <c r="K422" s="218" t="s">
        <v>3104</v>
      </c>
      <c r="L422" s="218" t="s">
        <v>2596</v>
      </c>
      <c r="M422" s="218" t="s">
        <v>3434</v>
      </c>
      <c r="N422" s="218">
        <v>10.93</v>
      </c>
      <c r="O422" s="218" t="s">
        <v>292</v>
      </c>
      <c r="P422" s="218">
        <v>13.44</v>
      </c>
      <c r="Q422" s="218" t="s">
        <v>405</v>
      </c>
      <c r="R422" s="218" t="s">
        <v>1780</v>
      </c>
      <c r="S422" s="218" t="s">
        <v>400</v>
      </c>
      <c r="T422" s="218" t="s">
        <v>491</v>
      </c>
      <c r="U422" s="218" t="s">
        <v>2591</v>
      </c>
      <c r="V422" s="218" t="s">
        <v>381</v>
      </c>
      <c r="W422" s="218" t="s">
        <v>295</v>
      </c>
      <c r="X422" s="218" t="s">
        <v>379</v>
      </c>
      <c r="Y422" s="218">
        <v>12.31</v>
      </c>
      <c r="Z422" s="218">
        <f t="shared" si="8"/>
        <v>13.44</v>
      </c>
    </row>
    <row r="423" spans="1:26">
      <c r="A423" s="218" t="s">
        <v>2592</v>
      </c>
      <c r="B423" s="218"/>
      <c r="C423" s="218"/>
      <c r="D423" s="218"/>
      <c r="E423" s="218"/>
      <c r="F423" s="219" t="s">
        <v>3435</v>
      </c>
      <c r="G423" s="218" t="s">
        <v>255</v>
      </c>
      <c r="H423" s="218" t="s">
        <v>309</v>
      </c>
      <c r="I423" s="223">
        <v>43769</v>
      </c>
      <c r="J423" s="218" t="s">
        <v>3111</v>
      </c>
      <c r="K423" s="218" t="s">
        <v>3104</v>
      </c>
      <c r="L423" s="218" t="s">
        <v>2596</v>
      </c>
      <c r="M423" s="218" t="s">
        <v>3436</v>
      </c>
      <c r="N423" s="218">
        <v>5.53</v>
      </c>
      <c r="O423" s="218" t="s">
        <v>292</v>
      </c>
      <c r="P423" s="218">
        <v>6.8</v>
      </c>
      <c r="Q423" s="218" t="s">
        <v>405</v>
      </c>
      <c r="R423" s="218" t="s">
        <v>1780</v>
      </c>
      <c r="S423" s="218" t="s">
        <v>400</v>
      </c>
      <c r="T423" s="218" t="s">
        <v>493</v>
      </c>
      <c r="U423" s="218" t="s">
        <v>2591</v>
      </c>
      <c r="V423" s="218" t="s">
        <v>381</v>
      </c>
      <c r="W423" s="218" t="s">
        <v>295</v>
      </c>
      <c r="X423" s="218" t="s">
        <v>379</v>
      </c>
      <c r="Y423" s="218">
        <v>6.23</v>
      </c>
      <c r="Z423" s="218">
        <f t="shared" si="8"/>
        <v>6.8</v>
      </c>
    </row>
    <row r="424" spans="1:26">
      <c r="A424" s="218" t="s">
        <v>2592</v>
      </c>
      <c r="B424" s="218"/>
      <c r="C424" s="218"/>
      <c r="D424" s="218"/>
      <c r="E424" s="218"/>
      <c r="F424" s="219" t="s">
        <v>3437</v>
      </c>
      <c r="G424" s="218" t="s">
        <v>255</v>
      </c>
      <c r="H424" s="218" t="s">
        <v>309</v>
      </c>
      <c r="I424" s="223">
        <v>43769</v>
      </c>
      <c r="J424" s="218" t="s">
        <v>2991</v>
      </c>
      <c r="K424" s="218" t="s">
        <v>2601</v>
      </c>
      <c r="L424" s="218" t="s">
        <v>2596</v>
      </c>
      <c r="M424" s="218" t="s">
        <v>3438</v>
      </c>
      <c r="N424" s="218">
        <v>0.78</v>
      </c>
      <c r="O424" s="218" t="s">
        <v>292</v>
      </c>
      <c r="P424" s="218">
        <v>0.96</v>
      </c>
      <c r="Q424" s="218" t="s">
        <v>405</v>
      </c>
      <c r="R424" s="218" t="s">
        <v>1780</v>
      </c>
      <c r="S424" s="218" t="s">
        <v>396</v>
      </c>
      <c r="T424" s="218" t="s">
        <v>501</v>
      </c>
      <c r="U424" s="218" t="s">
        <v>2591</v>
      </c>
      <c r="V424" s="218" t="s">
        <v>381</v>
      </c>
      <c r="W424" s="218" t="s">
        <v>295</v>
      </c>
      <c r="X424" s="218" t="s">
        <v>379</v>
      </c>
      <c r="Y424" s="218">
        <v>0.88</v>
      </c>
      <c r="Z424" s="218">
        <f t="shared" si="8"/>
        <v>0.96</v>
      </c>
    </row>
    <row r="425" spans="1:26">
      <c r="A425" s="218" t="s">
        <v>2592</v>
      </c>
      <c r="B425" s="218"/>
      <c r="C425" s="218"/>
      <c r="D425" s="218"/>
      <c r="E425" s="218"/>
      <c r="F425" s="219" t="s">
        <v>3439</v>
      </c>
      <c r="G425" s="218" t="s">
        <v>255</v>
      </c>
      <c r="H425" s="218" t="s">
        <v>309</v>
      </c>
      <c r="I425" s="223">
        <v>43769</v>
      </c>
      <c r="J425" s="218" t="s">
        <v>2991</v>
      </c>
      <c r="K425" s="218" t="s">
        <v>2601</v>
      </c>
      <c r="L425" s="218" t="s">
        <v>2596</v>
      </c>
      <c r="M425" s="218" t="s">
        <v>3440</v>
      </c>
      <c r="N425" s="218">
        <v>0.1</v>
      </c>
      <c r="O425" s="218" t="s">
        <v>292</v>
      </c>
      <c r="P425" s="218">
        <v>0.12</v>
      </c>
      <c r="Q425" s="218" t="s">
        <v>405</v>
      </c>
      <c r="R425" s="218" t="s">
        <v>1780</v>
      </c>
      <c r="S425" s="218" t="s">
        <v>396</v>
      </c>
      <c r="T425" s="218" t="s">
        <v>908</v>
      </c>
      <c r="U425" s="218" t="s">
        <v>2591</v>
      </c>
      <c r="V425" s="218" t="s">
        <v>381</v>
      </c>
      <c r="W425" s="218" t="s">
        <v>295</v>
      </c>
      <c r="X425" s="218" t="s">
        <v>379</v>
      </c>
      <c r="Y425" s="218">
        <v>0.11</v>
      </c>
      <c r="Z425" s="218">
        <f t="shared" si="8"/>
        <v>0.12</v>
      </c>
    </row>
    <row r="426" spans="1:26">
      <c r="A426" s="218" t="s">
        <v>2592</v>
      </c>
      <c r="B426" s="218"/>
      <c r="C426" s="218"/>
      <c r="D426" s="218"/>
      <c r="E426" s="218"/>
      <c r="F426" s="219" t="s">
        <v>3441</v>
      </c>
      <c r="G426" s="218" t="s">
        <v>255</v>
      </c>
      <c r="H426" s="218" t="s">
        <v>309</v>
      </c>
      <c r="I426" s="223">
        <v>43769</v>
      </c>
      <c r="J426" s="218" t="s">
        <v>2991</v>
      </c>
      <c r="K426" s="218" t="s">
        <v>2601</v>
      </c>
      <c r="L426" s="218" t="s">
        <v>2596</v>
      </c>
      <c r="M426" s="218" t="s">
        <v>3442</v>
      </c>
      <c r="N426" s="218">
        <v>0.27</v>
      </c>
      <c r="O426" s="218" t="s">
        <v>292</v>
      </c>
      <c r="P426" s="218">
        <v>0.33</v>
      </c>
      <c r="Q426" s="218" t="s">
        <v>405</v>
      </c>
      <c r="R426" s="218" t="s">
        <v>1780</v>
      </c>
      <c r="S426" s="218" t="s">
        <v>396</v>
      </c>
      <c r="T426" s="218" t="s">
        <v>487</v>
      </c>
      <c r="U426" s="218" t="s">
        <v>2591</v>
      </c>
      <c r="V426" s="218" t="s">
        <v>381</v>
      </c>
      <c r="W426" s="218" t="s">
        <v>295</v>
      </c>
      <c r="X426" s="218" t="s">
        <v>379</v>
      </c>
      <c r="Y426" s="218">
        <v>0.3</v>
      </c>
      <c r="Z426" s="218">
        <f t="shared" si="8"/>
        <v>0.33</v>
      </c>
    </row>
    <row r="427" spans="1:26">
      <c r="A427" s="218" t="s">
        <v>2592</v>
      </c>
      <c r="B427" s="218"/>
      <c r="C427" s="218"/>
      <c r="D427" s="218"/>
      <c r="E427" s="218"/>
      <c r="F427" s="219" t="s">
        <v>3443</v>
      </c>
      <c r="G427" s="218" t="s">
        <v>255</v>
      </c>
      <c r="H427" s="218" t="s">
        <v>309</v>
      </c>
      <c r="I427" s="223">
        <v>43769</v>
      </c>
      <c r="J427" s="218" t="s">
        <v>2991</v>
      </c>
      <c r="K427" s="218" t="s">
        <v>2601</v>
      </c>
      <c r="L427" s="218" t="s">
        <v>2596</v>
      </c>
      <c r="M427" s="218" t="s">
        <v>3444</v>
      </c>
      <c r="N427" s="218">
        <v>0.1</v>
      </c>
      <c r="O427" s="218" t="s">
        <v>292</v>
      </c>
      <c r="P427" s="218">
        <v>0.12</v>
      </c>
      <c r="Q427" s="218" t="s">
        <v>405</v>
      </c>
      <c r="R427" s="218" t="s">
        <v>1780</v>
      </c>
      <c r="S427" s="218" t="s">
        <v>396</v>
      </c>
      <c r="T427" s="218" t="s">
        <v>628</v>
      </c>
      <c r="U427" s="218" t="s">
        <v>2591</v>
      </c>
      <c r="V427" s="218" t="s">
        <v>381</v>
      </c>
      <c r="W427" s="218" t="s">
        <v>295</v>
      </c>
      <c r="X427" s="218" t="s">
        <v>379</v>
      </c>
      <c r="Y427" s="218">
        <v>0.11</v>
      </c>
      <c r="Z427" s="218">
        <f t="shared" si="8"/>
        <v>0.12</v>
      </c>
    </row>
    <row r="428" spans="1:26">
      <c r="A428" s="218" t="s">
        <v>2592</v>
      </c>
      <c r="B428" s="218"/>
      <c r="C428" s="218"/>
      <c r="D428" s="218"/>
      <c r="E428" s="218"/>
      <c r="F428" s="219" t="s">
        <v>3445</v>
      </c>
      <c r="G428" s="218" t="s">
        <v>255</v>
      </c>
      <c r="H428" s="218" t="s">
        <v>309</v>
      </c>
      <c r="I428" s="223">
        <v>43769</v>
      </c>
      <c r="J428" s="218" t="s">
        <v>2991</v>
      </c>
      <c r="K428" s="218" t="s">
        <v>2601</v>
      </c>
      <c r="L428" s="218" t="s">
        <v>2596</v>
      </c>
      <c r="M428" s="218" t="s">
        <v>3446</v>
      </c>
      <c r="N428" s="218">
        <v>3.18</v>
      </c>
      <c r="O428" s="218" t="s">
        <v>292</v>
      </c>
      <c r="P428" s="218">
        <v>3.91</v>
      </c>
      <c r="Q428" s="218" t="s">
        <v>405</v>
      </c>
      <c r="R428" s="218" t="s">
        <v>1780</v>
      </c>
      <c r="S428" s="218" t="s">
        <v>396</v>
      </c>
      <c r="T428" s="218" t="s">
        <v>915</v>
      </c>
      <c r="U428" s="218" t="s">
        <v>2591</v>
      </c>
      <c r="V428" s="218" t="s">
        <v>381</v>
      </c>
      <c r="W428" s="218" t="s">
        <v>295</v>
      </c>
      <c r="X428" s="218" t="s">
        <v>379</v>
      </c>
      <c r="Y428" s="218">
        <v>3.58</v>
      </c>
      <c r="Z428" s="218">
        <f t="shared" si="8"/>
        <v>3.91</v>
      </c>
    </row>
    <row r="429" spans="1:26">
      <c r="A429" s="218" t="s">
        <v>2592</v>
      </c>
      <c r="B429" s="218"/>
      <c r="C429" s="218"/>
      <c r="D429" s="218"/>
      <c r="E429" s="218"/>
      <c r="F429" s="219" t="s">
        <v>3447</v>
      </c>
      <c r="G429" s="218" t="s">
        <v>255</v>
      </c>
      <c r="H429" s="218" t="s">
        <v>309</v>
      </c>
      <c r="I429" s="223">
        <v>43769</v>
      </c>
      <c r="J429" s="218" t="s">
        <v>3448</v>
      </c>
      <c r="K429" s="218" t="s">
        <v>3104</v>
      </c>
      <c r="L429" s="218" t="s">
        <v>2596</v>
      </c>
      <c r="M429" s="218" t="s">
        <v>3449</v>
      </c>
      <c r="N429" s="218">
        <v>7.15</v>
      </c>
      <c r="O429" s="218" t="s">
        <v>292</v>
      </c>
      <c r="P429" s="218">
        <v>8.8000000000000007</v>
      </c>
      <c r="Q429" s="218" t="s">
        <v>640</v>
      </c>
      <c r="R429" s="218" t="s">
        <v>1580</v>
      </c>
      <c r="S429" s="218" t="s">
        <v>400</v>
      </c>
      <c r="T429" s="218" t="s">
        <v>2591</v>
      </c>
      <c r="U429" s="218" t="s">
        <v>2591</v>
      </c>
      <c r="V429" s="218" t="s">
        <v>381</v>
      </c>
      <c r="W429" s="218" t="s">
        <v>295</v>
      </c>
      <c r="X429" s="218" t="s">
        <v>379</v>
      </c>
      <c r="Y429" s="218">
        <v>8.0500000000000007</v>
      </c>
      <c r="Z429" s="218">
        <f t="shared" si="8"/>
        <v>8.8000000000000007</v>
      </c>
    </row>
    <row r="430" spans="1:26">
      <c r="A430" s="218" t="s">
        <v>2592</v>
      </c>
      <c r="B430" s="218"/>
      <c r="C430" s="218"/>
      <c r="D430" s="218"/>
      <c r="E430" s="218"/>
      <c r="F430" s="219" t="s">
        <v>3450</v>
      </c>
      <c r="G430" s="218" t="s">
        <v>255</v>
      </c>
      <c r="H430" s="218" t="s">
        <v>309</v>
      </c>
      <c r="I430" s="223">
        <v>43769</v>
      </c>
      <c r="J430" s="218" t="s">
        <v>3109</v>
      </c>
      <c r="K430" s="218" t="s">
        <v>3104</v>
      </c>
      <c r="L430" s="218" t="s">
        <v>2596</v>
      </c>
      <c r="M430" s="218" t="s">
        <v>3451</v>
      </c>
      <c r="N430" s="218">
        <v>0.2</v>
      </c>
      <c r="O430" s="218" t="s">
        <v>292</v>
      </c>
      <c r="P430" s="218">
        <v>0.24</v>
      </c>
      <c r="Q430" s="218" t="s">
        <v>637</v>
      </c>
      <c r="R430" s="218" t="s">
        <v>2255</v>
      </c>
      <c r="S430" s="218" t="s">
        <v>400</v>
      </c>
      <c r="T430" s="218" t="s">
        <v>2591</v>
      </c>
      <c r="U430" s="218" t="s">
        <v>2591</v>
      </c>
      <c r="V430" s="218" t="s">
        <v>381</v>
      </c>
      <c r="W430" s="218" t="s">
        <v>295</v>
      </c>
      <c r="X430" s="218" t="s">
        <v>379</v>
      </c>
      <c r="Y430" s="218">
        <v>0.23</v>
      </c>
      <c r="Z430" s="218">
        <f t="shared" si="8"/>
        <v>0.24</v>
      </c>
    </row>
    <row r="431" spans="1:26">
      <c r="A431" s="218" t="s">
        <v>2592</v>
      </c>
      <c r="B431" s="218"/>
      <c r="C431" s="218"/>
      <c r="D431" s="218"/>
      <c r="E431" s="218"/>
      <c r="F431" s="219" t="s">
        <v>3452</v>
      </c>
      <c r="G431" s="218" t="s">
        <v>255</v>
      </c>
      <c r="H431" s="218" t="s">
        <v>309</v>
      </c>
      <c r="I431" s="223">
        <v>43799</v>
      </c>
      <c r="J431" s="218" t="s">
        <v>2994</v>
      </c>
      <c r="K431" s="218" t="s">
        <v>3453</v>
      </c>
      <c r="L431" s="218" t="s">
        <v>2996</v>
      </c>
      <c r="M431" s="218" t="s">
        <v>3454</v>
      </c>
      <c r="N431" s="218">
        <v>71.14</v>
      </c>
      <c r="O431" s="218" t="s">
        <v>292</v>
      </c>
      <c r="P431" s="218">
        <v>92.07</v>
      </c>
      <c r="Q431" s="218" t="s">
        <v>385</v>
      </c>
      <c r="R431" s="218" t="s">
        <v>1772</v>
      </c>
      <c r="S431" s="218" t="s">
        <v>396</v>
      </c>
      <c r="T431" s="218" t="s">
        <v>501</v>
      </c>
      <c r="U431" s="218" t="s">
        <v>2591</v>
      </c>
      <c r="V431" s="218" t="s">
        <v>381</v>
      </c>
      <c r="W431" s="218" t="s">
        <v>295</v>
      </c>
      <c r="X431" s="218" t="s">
        <v>379</v>
      </c>
      <c r="Y431" s="218">
        <v>82.53</v>
      </c>
      <c r="Z431" s="218">
        <f t="shared" si="8"/>
        <v>92.07</v>
      </c>
    </row>
    <row r="432" spans="1:26">
      <c r="A432" s="218" t="s">
        <v>2592</v>
      </c>
      <c r="B432" s="218"/>
      <c r="C432" s="218"/>
      <c r="D432" s="218"/>
      <c r="E432" s="218"/>
      <c r="F432" s="219" t="s">
        <v>3455</v>
      </c>
      <c r="G432" s="218" t="s">
        <v>255</v>
      </c>
      <c r="H432" s="218" t="s">
        <v>309</v>
      </c>
      <c r="I432" s="223">
        <v>43799</v>
      </c>
      <c r="J432" s="218" t="s">
        <v>2994</v>
      </c>
      <c r="K432" s="218" t="s">
        <v>3456</v>
      </c>
      <c r="L432" s="218" t="s">
        <v>2996</v>
      </c>
      <c r="M432" s="218" t="s">
        <v>3457</v>
      </c>
      <c r="N432" s="218">
        <v>46.18</v>
      </c>
      <c r="O432" s="218" t="s">
        <v>292</v>
      </c>
      <c r="P432" s="218">
        <v>59.77</v>
      </c>
      <c r="Q432" s="218" t="s">
        <v>385</v>
      </c>
      <c r="R432" s="218" t="s">
        <v>1772</v>
      </c>
      <c r="S432" s="218" t="s">
        <v>396</v>
      </c>
      <c r="T432" s="218" t="s">
        <v>487</v>
      </c>
      <c r="U432" s="218" t="s">
        <v>2591</v>
      </c>
      <c r="V432" s="218" t="s">
        <v>381</v>
      </c>
      <c r="W432" s="218" t="s">
        <v>295</v>
      </c>
      <c r="X432" s="218" t="s">
        <v>379</v>
      </c>
      <c r="Y432" s="218">
        <v>53.57</v>
      </c>
      <c r="Z432" s="218">
        <f t="shared" si="8"/>
        <v>59.77</v>
      </c>
    </row>
    <row r="433" spans="1:26">
      <c r="A433" s="218" t="s">
        <v>2592</v>
      </c>
      <c r="B433" s="218"/>
      <c r="C433" s="218"/>
      <c r="D433" s="218"/>
      <c r="E433" s="218"/>
      <c r="F433" s="219" t="s">
        <v>3458</v>
      </c>
      <c r="G433" s="218" t="s">
        <v>255</v>
      </c>
      <c r="H433" s="218" t="s">
        <v>309</v>
      </c>
      <c r="I433" s="223">
        <v>43799</v>
      </c>
      <c r="J433" s="218" t="s">
        <v>2994</v>
      </c>
      <c r="K433" s="218" t="s">
        <v>3459</v>
      </c>
      <c r="L433" s="218" t="s">
        <v>2996</v>
      </c>
      <c r="M433" s="218" t="s">
        <v>3460</v>
      </c>
      <c r="N433" s="218">
        <v>18.670000000000002</v>
      </c>
      <c r="O433" s="218" t="s">
        <v>292</v>
      </c>
      <c r="P433" s="218">
        <v>24.16</v>
      </c>
      <c r="Q433" s="218" t="s">
        <v>385</v>
      </c>
      <c r="R433" s="218" t="s">
        <v>1772</v>
      </c>
      <c r="S433" s="218" t="s">
        <v>396</v>
      </c>
      <c r="T433" s="218" t="s">
        <v>915</v>
      </c>
      <c r="U433" s="218" t="s">
        <v>2591</v>
      </c>
      <c r="V433" s="218" t="s">
        <v>381</v>
      </c>
      <c r="W433" s="218" t="s">
        <v>295</v>
      </c>
      <c r="X433" s="218" t="s">
        <v>379</v>
      </c>
      <c r="Y433" s="218">
        <v>21.66</v>
      </c>
      <c r="Z433" s="218">
        <f t="shared" si="8"/>
        <v>24.16</v>
      </c>
    </row>
    <row r="434" spans="1:26">
      <c r="A434" s="218" t="s">
        <v>2592</v>
      </c>
      <c r="B434" s="218"/>
      <c r="C434" s="218"/>
      <c r="D434" s="218"/>
      <c r="E434" s="218"/>
      <c r="F434" s="219" t="s">
        <v>3461</v>
      </c>
      <c r="G434" s="218" t="s">
        <v>255</v>
      </c>
      <c r="H434" s="218" t="s">
        <v>309</v>
      </c>
      <c r="I434" s="223">
        <v>43799</v>
      </c>
      <c r="J434" s="218" t="s">
        <v>2999</v>
      </c>
      <c r="K434" s="218" t="s">
        <v>3000</v>
      </c>
      <c r="L434" s="218" t="s">
        <v>2996</v>
      </c>
      <c r="M434" s="218" t="s">
        <v>3462</v>
      </c>
      <c r="N434" s="218">
        <v>10.62</v>
      </c>
      <c r="O434" s="218" t="s">
        <v>292</v>
      </c>
      <c r="P434" s="218">
        <v>13.75</v>
      </c>
      <c r="Q434" s="218" t="s">
        <v>385</v>
      </c>
      <c r="R434" s="218" t="s">
        <v>1772</v>
      </c>
      <c r="S434" s="218" t="s">
        <v>396</v>
      </c>
      <c r="T434" s="218" t="s">
        <v>501</v>
      </c>
      <c r="U434" s="218" t="s">
        <v>2591</v>
      </c>
      <c r="V434" s="218" t="s">
        <v>381</v>
      </c>
      <c r="W434" s="218" t="s">
        <v>295</v>
      </c>
      <c r="X434" s="218" t="s">
        <v>379</v>
      </c>
      <c r="Y434" s="218">
        <v>12.32</v>
      </c>
      <c r="Z434" s="218">
        <f t="shared" si="8"/>
        <v>13.75</v>
      </c>
    </row>
    <row r="435" spans="1:26">
      <c r="A435" s="218" t="s">
        <v>2592</v>
      </c>
      <c r="B435" s="218"/>
      <c r="C435" s="218"/>
      <c r="D435" s="218"/>
      <c r="E435" s="218"/>
      <c r="F435" s="219" t="s">
        <v>3463</v>
      </c>
      <c r="G435" s="218" t="s">
        <v>255</v>
      </c>
      <c r="H435" s="218" t="s">
        <v>309</v>
      </c>
      <c r="I435" s="223">
        <v>43799</v>
      </c>
      <c r="J435" s="218" t="s">
        <v>2999</v>
      </c>
      <c r="K435" s="218" t="s">
        <v>3000</v>
      </c>
      <c r="L435" s="218" t="s">
        <v>2996</v>
      </c>
      <c r="M435" s="218" t="s">
        <v>3464</v>
      </c>
      <c r="N435" s="218">
        <v>3.87</v>
      </c>
      <c r="O435" s="218" t="s">
        <v>292</v>
      </c>
      <c r="P435" s="218">
        <v>5.01</v>
      </c>
      <c r="Q435" s="218" t="s">
        <v>385</v>
      </c>
      <c r="R435" s="218" t="s">
        <v>1772</v>
      </c>
      <c r="S435" s="218" t="s">
        <v>396</v>
      </c>
      <c r="T435" s="218" t="s">
        <v>487</v>
      </c>
      <c r="U435" s="218" t="s">
        <v>2591</v>
      </c>
      <c r="V435" s="218" t="s">
        <v>381</v>
      </c>
      <c r="W435" s="218" t="s">
        <v>295</v>
      </c>
      <c r="X435" s="218" t="s">
        <v>379</v>
      </c>
      <c r="Y435" s="218">
        <v>4.49</v>
      </c>
      <c r="Z435" s="218">
        <f t="shared" si="8"/>
        <v>5.01</v>
      </c>
    </row>
    <row r="436" spans="1:26">
      <c r="A436" s="218" t="s">
        <v>2592</v>
      </c>
      <c r="B436" s="218"/>
      <c r="C436" s="218"/>
      <c r="D436" s="218"/>
      <c r="E436" s="218"/>
      <c r="F436" s="219" t="s">
        <v>3465</v>
      </c>
      <c r="G436" s="218" t="s">
        <v>255</v>
      </c>
      <c r="H436" s="218" t="s">
        <v>309</v>
      </c>
      <c r="I436" s="223">
        <v>43799</v>
      </c>
      <c r="J436" s="218" t="s">
        <v>2999</v>
      </c>
      <c r="K436" s="218" t="s">
        <v>3000</v>
      </c>
      <c r="L436" s="218" t="s">
        <v>2996</v>
      </c>
      <c r="M436" s="218" t="s">
        <v>3466</v>
      </c>
      <c r="N436" s="218">
        <v>1.43</v>
      </c>
      <c r="O436" s="218" t="s">
        <v>292</v>
      </c>
      <c r="P436" s="218">
        <v>1.85</v>
      </c>
      <c r="Q436" s="218" t="s">
        <v>385</v>
      </c>
      <c r="R436" s="218" t="s">
        <v>1772</v>
      </c>
      <c r="S436" s="218" t="s">
        <v>396</v>
      </c>
      <c r="T436" s="218" t="s">
        <v>915</v>
      </c>
      <c r="U436" s="218" t="s">
        <v>2591</v>
      </c>
      <c r="V436" s="218" t="s">
        <v>381</v>
      </c>
      <c r="W436" s="218" t="s">
        <v>295</v>
      </c>
      <c r="X436" s="218" t="s">
        <v>379</v>
      </c>
      <c r="Y436" s="218">
        <v>1.66</v>
      </c>
      <c r="Z436" s="218">
        <f t="shared" si="8"/>
        <v>1.85</v>
      </c>
    </row>
    <row r="437" spans="1:26">
      <c r="A437" s="218" t="s">
        <v>2592</v>
      </c>
      <c r="B437" s="218"/>
      <c r="C437" s="218"/>
      <c r="D437" s="218"/>
      <c r="E437" s="218"/>
      <c r="F437" s="219" t="s">
        <v>3467</v>
      </c>
      <c r="G437" s="218" t="s">
        <v>255</v>
      </c>
      <c r="H437" s="218" t="s">
        <v>309</v>
      </c>
      <c r="I437" s="223">
        <v>43799</v>
      </c>
      <c r="J437" s="218" t="s">
        <v>3003</v>
      </c>
      <c r="K437" s="218" t="s">
        <v>3004</v>
      </c>
      <c r="L437" s="218" t="s">
        <v>2996</v>
      </c>
      <c r="M437" s="218" t="s">
        <v>3468</v>
      </c>
      <c r="N437" s="218">
        <v>11.11</v>
      </c>
      <c r="O437" s="218" t="s">
        <v>292</v>
      </c>
      <c r="P437" s="218">
        <v>14.38</v>
      </c>
      <c r="Q437" s="218" t="s">
        <v>391</v>
      </c>
      <c r="R437" s="218" t="s">
        <v>1777</v>
      </c>
      <c r="S437" s="218" t="s">
        <v>396</v>
      </c>
      <c r="T437" s="218" t="s">
        <v>501</v>
      </c>
      <c r="U437" s="218" t="s">
        <v>2591</v>
      </c>
      <c r="V437" s="218" t="s">
        <v>381</v>
      </c>
      <c r="W437" s="218" t="s">
        <v>295</v>
      </c>
      <c r="X437" s="218" t="s">
        <v>379</v>
      </c>
      <c r="Y437" s="218">
        <v>12.89</v>
      </c>
      <c r="Z437" s="218">
        <f t="shared" ref="Z437:Z500" si="9">P437</f>
        <v>14.38</v>
      </c>
    </row>
    <row r="438" spans="1:26">
      <c r="A438" s="218" t="s">
        <v>2592</v>
      </c>
      <c r="B438" s="218"/>
      <c r="C438" s="218"/>
      <c r="D438" s="218"/>
      <c r="E438" s="218"/>
      <c r="F438" s="219" t="s">
        <v>3469</v>
      </c>
      <c r="G438" s="218" t="s">
        <v>255</v>
      </c>
      <c r="H438" s="218" t="s">
        <v>309</v>
      </c>
      <c r="I438" s="223">
        <v>43799</v>
      </c>
      <c r="J438" s="218" t="s">
        <v>3003</v>
      </c>
      <c r="K438" s="218" t="s">
        <v>3004</v>
      </c>
      <c r="L438" s="218" t="s">
        <v>2996</v>
      </c>
      <c r="M438" s="218" t="s">
        <v>3470</v>
      </c>
      <c r="N438" s="218">
        <v>5.79</v>
      </c>
      <c r="O438" s="218" t="s">
        <v>292</v>
      </c>
      <c r="P438" s="218">
        <v>7.5</v>
      </c>
      <c r="Q438" s="218" t="s">
        <v>391</v>
      </c>
      <c r="R438" s="218" t="s">
        <v>1777</v>
      </c>
      <c r="S438" s="218" t="s">
        <v>396</v>
      </c>
      <c r="T438" s="218" t="s">
        <v>487</v>
      </c>
      <c r="U438" s="218" t="s">
        <v>2591</v>
      </c>
      <c r="V438" s="218" t="s">
        <v>381</v>
      </c>
      <c r="W438" s="218" t="s">
        <v>295</v>
      </c>
      <c r="X438" s="218" t="s">
        <v>379</v>
      </c>
      <c r="Y438" s="218">
        <v>6.72</v>
      </c>
      <c r="Z438" s="218">
        <f t="shared" si="9"/>
        <v>7.5</v>
      </c>
    </row>
    <row r="439" spans="1:26">
      <c r="A439" s="218" t="s">
        <v>2592</v>
      </c>
      <c r="B439" s="218"/>
      <c r="C439" s="218"/>
      <c r="D439" s="218"/>
      <c r="E439" s="218"/>
      <c r="F439" s="219" t="s">
        <v>3471</v>
      </c>
      <c r="G439" s="218" t="s">
        <v>255</v>
      </c>
      <c r="H439" s="218" t="s">
        <v>309</v>
      </c>
      <c r="I439" s="223">
        <v>43799</v>
      </c>
      <c r="J439" s="218" t="s">
        <v>3003</v>
      </c>
      <c r="K439" s="218" t="s">
        <v>3004</v>
      </c>
      <c r="L439" s="218" t="s">
        <v>2996</v>
      </c>
      <c r="M439" s="218" t="s">
        <v>3472</v>
      </c>
      <c r="N439" s="218">
        <v>2.19</v>
      </c>
      <c r="O439" s="218" t="s">
        <v>292</v>
      </c>
      <c r="P439" s="218">
        <v>2.83</v>
      </c>
      <c r="Q439" s="218" t="s">
        <v>391</v>
      </c>
      <c r="R439" s="218" t="s">
        <v>1777</v>
      </c>
      <c r="S439" s="218" t="s">
        <v>396</v>
      </c>
      <c r="T439" s="218" t="s">
        <v>915</v>
      </c>
      <c r="U439" s="218" t="s">
        <v>2591</v>
      </c>
      <c r="V439" s="218" t="s">
        <v>381</v>
      </c>
      <c r="W439" s="218" t="s">
        <v>295</v>
      </c>
      <c r="X439" s="218" t="s">
        <v>379</v>
      </c>
      <c r="Y439" s="218">
        <v>2.54</v>
      </c>
      <c r="Z439" s="218">
        <f t="shared" si="9"/>
        <v>2.83</v>
      </c>
    </row>
    <row r="440" spans="1:26">
      <c r="A440" s="218" t="s">
        <v>2592</v>
      </c>
      <c r="B440" s="218"/>
      <c r="C440" s="218"/>
      <c r="D440" s="218"/>
      <c r="E440" s="218"/>
      <c r="F440" s="219" t="s">
        <v>3473</v>
      </c>
      <c r="G440" s="218" t="s">
        <v>255</v>
      </c>
      <c r="H440" s="218" t="s">
        <v>309</v>
      </c>
      <c r="I440" s="223">
        <v>43799</v>
      </c>
      <c r="J440" s="218" t="s">
        <v>3007</v>
      </c>
      <c r="K440" s="218" t="s">
        <v>3008</v>
      </c>
      <c r="L440" s="218" t="s">
        <v>2996</v>
      </c>
      <c r="M440" s="218" t="s">
        <v>3474</v>
      </c>
      <c r="N440" s="218">
        <v>1.85</v>
      </c>
      <c r="O440" s="218" t="s">
        <v>292</v>
      </c>
      <c r="P440" s="218">
        <v>2.4</v>
      </c>
      <c r="Q440" s="218" t="s">
        <v>405</v>
      </c>
      <c r="R440" s="218" t="s">
        <v>1780</v>
      </c>
      <c r="S440" s="218" t="s">
        <v>396</v>
      </c>
      <c r="T440" s="218" t="s">
        <v>501</v>
      </c>
      <c r="U440" s="218" t="s">
        <v>2591</v>
      </c>
      <c r="V440" s="218" t="s">
        <v>381</v>
      </c>
      <c r="W440" s="218" t="s">
        <v>295</v>
      </c>
      <c r="X440" s="218" t="s">
        <v>379</v>
      </c>
      <c r="Y440" s="218">
        <v>2.15</v>
      </c>
      <c r="Z440" s="218">
        <f t="shared" si="9"/>
        <v>2.4</v>
      </c>
    </row>
    <row r="441" spans="1:26">
      <c r="A441" s="218" t="s">
        <v>2592</v>
      </c>
      <c r="B441" s="218"/>
      <c r="C441" s="218"/>
      <c r="D441" s="218"/>
      <c r="E441" s="218"/>
      <c r="F441" s="219" t="s">
        <v>3475</v>
      </c>
      <c r="G441" s="218" t="s">
        <v>255</v>
      </c>
      <c r="H441" s="218" t="s">
        <v>309</v>
      </c>
      <c r="I441" s="223">
        <v>43799</v>
      </c>
      <c r="J441" s="218" t="s">
        <v>3007</v>
      </c>
      <c r="K441" s="218" t="s">
        <v>3008</v>
      </c>
      <c r="L441" s="218" t="s">
        <v>2996</v>
      </c>
      <c r="M441" s="218" t="s">
        <v>3476</v>
      </c>
      <c r="N441" s="218">
        <v>0.97</v>
      </c>
      <c r="O441" s="218" t="s">
        <v>292</v>
      </c>
      <c r="P441" s="218">
        <v>1.25</v>
      </c>
      <c r="Q441" s="218" t="s">
        <v>405</v>
      </c>
      <c r="R441" s="218" t="s">
        <v>1780</v>
      </c>
      <c r="S441" s="218" t="s">
        <v>396</v>
      </c>
      <c r="T441" s="218" t="s">
        <v>487</v>
      </c>
      <c r="U441" s="218" t="s">
        <v>2591</v>
      </c>
      <c r="V441" s="218" t="s">
        <v>381</v>
      </c>
      <c r="W441" s="218" t="s">
        <v>295</v>
      </c>
      <c r="X441" s="218" t="s">
        <v>379</v>
      </c>
      <c r="Y441" s="218">
        <v>1.1299999999999999</v>
      </c>
      <c r="Z441" s="218">
        <f t="shared" si="9"/>
        <v>1.25</v>
      </c>
    </row>
    <row r="442" spans="1:26">
      <c r="A442" s="218" t="s">
        <v>2592</v>
      </c>
      <c r="B442" s="218"/>
      <c r="C442" s="218"/>
      <c r="D442" s="218"/>
      <c r="E442" s="218"/>
      <c r="F442" s="219" t="s">
        <v>3477</v>
      </c>
      <c r="G442" s="218" t="s">
        <v>255</v>
      </c>
      <c r="H442" s="218" t="s">
        <v>309</v>
      </c>
      <c r="I442" s="223">
        <v>43799</v>
      </c>
      <c r="J442" s="218" t="s">
        <v>3007</v>
      </c>
      <c r="K442" s="218" t="s">
        <v>3008</v>
      </c>
      <c r="L442" s="218" t="s">
        <v>2996</v>
      </c>
      <c r="M442" s="218" t="s">
        <v>3478</v>
      </c>
      <c r="N442" s="218">
        <v>0.36</v>
      </c>
      <c r="O442" s="218" t="s">
        <v>292</v>
      </c>
      <c r="P442" s="218">
        <v>0.47</v>
      </c>
      <c r="Q442" s="218" t="s">
        <v>405</v>
      </c>
      <c r="R442" s="218" t="s">
        <v>1780</v>
      </c>
      <c r="S442" s="218" t="s">
        <v>396</v>
      </c>
      <c r="T442" s="218" t="s">
        <v>915</v>
      </c>
      <c r="U442" s="218" t="s">
        <v>2591</v>
      </c>
      <c r="V442" s="218" t="s">
        <v>381</v>
      </c>
      <c r="W442" s="218" t="s">
        <v>295</v>
      </c>
      <c r="X442" s="218" t="s">
        <v>379</v>
      </c>
      <c r="Y442" s="218">
        <v>0.42</v>
      </c>
      <c r="Z442" s="218">
        <f t="shared" si="9"/>
        <v>0.47</v>
      </c>
    </row>
    <row r="443" spans="1:26">
      <c r="A443" s="218" t="s">
        <v>2592</v>
      </c>
      <c r="B443" s="218"/>
      <c r="C443" s="218"/>
      <c r="D443" s="218"/>
      <c r="E443" s="218"/>
      <c r="F443" s="219" t="s">
        <v>3479</v>
      </c>
      <c r="G443" s="218" t="s">
        <v>255</v>
      </c>
      <c r="H443" s="218" t="s">
        <v>309</v>
      </c>
      <c r="I443" s="223">
        <v>43799</v>
      </c>
      <c r="J443" s="218" t="s">
        <v>3113</v>
      </c>
      <c r="K443" s="218" t="s">
        <v>3480</v>
      </c>
      <c r="L443" s="218" t="s">
        <v>3115</v>
      </c>
      <c r="M443" s="218" t="s">
        <v>494</v>
      </c>
      <c r="N443" s="218">
        <v>46.24</v>
      </c>
      <c r="O443" s="218" t="s">
        <v>292</v>
      </c>
      <c r="P443" s="218">
        <v>59.85</v>
      </c>
      <c r="Q443" s="218" t="s">
        <v>385</v>
      </c>
      <c r="R443" s="218" t="s">
        <v>1772</v>
      </c>
      <c r="S443" s="218" t="s">
        <v>400</v>
      </c>
      <c r="T443" s="218" t="s">
        <v>495</v>
      </c>
      <c r="U443" s="218" t="s">
        <v>2591</v>
      </c>
      <c r="V443" s="218" t="s">
        <v>381</v>
      </c>
      <c r="W443" s="218" t="s">
        <v>295</v>
      </c>
      <c r="X443" s="218" t="s">
        <v>3117</v>
      </c>
      <c r="Y443" s="218">
        <v>53.64</v>
      </c>
      <c r="Z443" s="218">
        <f t="shared" si="9"/>
        <v>59.85</v>
      </c>
    </row>
    <row r="444" spans="1:26">
      <c r="A444" s="218" t="s">
        <v>2592</v>
      </c>
      <c r="B444" s="218"/>
      <c r="C444" s="218"/>
      <c r="D444" s="218"/>
      <c r="E444" s="218"/>
      <c r="F444" s="219" t="s">
        <v>3481</v>
      </c>
      <c r="G444" s="218" t="s">
        <v>255</v>
      </c>
      <c r="H444" s="218" t="s">
        <v>309</v>
      </c>
      <c r="I444" s="223">
        <v>43799</v>
      </c>
      <c r="J444" s="218" t="s">
        <v>3113</v>
      </c>
      <c r="K444" s="218" t="s">
        <v>3482</v>
      </c>
      <c r="L444" s="218" t="s">
        <v>3115</v>
      </c>
      <c r="M444" s="218" t="s">
        <v>496</v>
      </c>
      <c r="N444" s="218">
        <v>279.41000000000003</v>
      </c>
      <c r="O444" s="218" t="s">
        <v>292</v>
      </c>
      <c r="P444" s="218">
        <v>361.62</v>
      </c>
      <c r="Q444" s="218" t="s">
        <v>385</v>
      </c>
      <c r="R444" s="218" t="s">
        <v>1772</v>
      </c>
      <c r="S444" s="218" t="s">
        <v>400</v>
      </c>
      <c r="T444" s="218" t="s">
        <v>497</v>
      </c>
      <c r="U444" s="218" t="s">
        <v>2591</v>
      </c>
      <c r="V444" s="218" t="s">
        <v>381</v>
      </c>
      <c r="W444" s="218" t="s">
        <v>295</v>
      </c>
      <c r="X444" s="218" t="s">
        <v>3117</v>
      </c>
      <c r="Y444" s="218">
        <v>324.14</v>
      </c>
      <c r="Z444" s="218">
        <f t="shared" si="9"/>
        <v>361.62</v>
      </c>
    </row>
    <row r="445" spans="1:26">
      <c r="A445" s="218" t="s">
        <v>2592</v>
      </c>
      <c r="B445" s="218"/>
      <c r="C445" s="218"/>
      <c r="D445" s="218"/>
      <c r="E445" s="218"/>
      <c r="F445" s="219" t="s">
        <v>3483</v>
      </c>
      <c r="G445" s="218" t="s">
        <v>255</v>
      </c>
      <c r="H445" s="218" t="s">
        <v>309</v>
      </c>
      <c r="I445" s="223">
        <v>43799</v>
      </c>
      <c r="J445" s="218" t="s">
        <v>3113</v>
      </c>
      <c r="K445" s="218" t="s">
        <v>3484</v>
      </c>
      <c r="L445" s="218" t="s">
        <v>3115</v>
      </c>
      <c r="M445" s="218" t="s">
        <v>3485</v>
      </c>
      <c r="N445" s="218">
        <v>180.77</v>
      </c>
      <c r="O445" s="218" t="s">
        <v>292</v>
      </c>
      <c r="P445" s="218">
        <v>233.96</v>
      </c>
      <c r="Q445" s="218" t="s">
        <v>385</v>
      </c>
      <c r="R445" s="218" t="s">
        <v>1772</v>
      </c>
      <c r="S445" s="218" t="s">
        <v>400</v>
      </c>
      <c r="T445" s="218" t="s">
        <v>499</v>
      </c>
      <c r="U445" s="218" t="s">
        <v>2591</v>
      </c>
      <c r="V445" s="218" t="s">
        <v>381</v>
      </c>
      <c r="W445" s="218" t="s">
        <v>295</v>
      </c>
      <c r="X445" s="218" t="s">
        <v>3117</v>
      </c>
      <c r="Y445" s="218">
        <v>209.71</v>
      </c>
      <c r="Z445" s="218">
        <f t="shared" si="9"/>
        <v>233.96</v>
      </c>
    </row>
    <row r="446" spans="1:26">
      <c r="A446" s="218" t="s">
        <v>2592</v>
      </c>
      <c r="B446" s="218"/>
      <c r="C446" s="218"/>
      <c r="D446" s="218"/>
      <c r="E446" s="218"/>
      <c r="F446" s="219" t="s">
        <v>3486</v>
      </c>
      <c r="G446" s="218" t="s">
        <v>255</v>
      </c>
      <c r="H446" s="218" t="s">
        <v>309</v>
      </c>
      <c r="I446" s="223">
        <v>43799</v>
      </c>
      <c r="J446" s="218" t="s">
        <v>3113</v>
      </c>
      <c r="K446" s="218" t="s">
        <v>3487</v>
      </c>
      <c r="L446" s="218" t="s">
        <v>3115</v>
      </c>
      <c r="M446" s="218" t="s">
        <v>490</v>
      </c>
      <c r="N446" s="218">
        <v>100.8</v>
      </c>
      <c r="O446" s="218" t="s">
        <v>292</v>
      </c>
      <c r="P446" s="218">
        <v>130.46</v>
      </c>
      <c r="Q446" s="218" t="s">
        <v>385</v>
      </c>
      <c r="R446" s="218" t="s">
        <v>1772</v>
      </c>
      <c r="S446" s="218" t="s">
        <v>400</v>
      </c>
      <c r="T446" s="218" t="s">
        <v>491</v>
      </c>
      <c r="U446" s="218" t="s">
        <v>2591</v>
      </c>
      <c r="V446" s="218" t="s">
        <v>381</v>
      </c>
      <c r="W446" s="218" t="s">
        <v>295</v>
      </c>
      <c r="X446" s="218" t="s">
        <v>3117</v>
      </c>
      <c r="Y446" s="218">
        <v>116.94</v>
      </c>
      <c r="Z446" s="218">
        <f t="shared" si="9"/>
        <v>130.46</v>
      </c>
    </row>
    <row r="447" spans="1:26">
      <c r="A447" s="218" t="s">
        <v>2592</v>
      </c>
      <c r="B447" s="218"/>
      <c r="C447" s="218"/>
      <c r="D447" s="218"/>
      <c r="E447" s="218"/>
      <c r="F447" s="219" t="s">
        <v>3488</v>
      </c>
      <c r="G447" s="218" t="s">
        <v>255</v>
      </c>
      <c r="H447" s="218" t="s">
        <v>309</v>
      </c>
      <c r="I447" s="223">
        <v>43799</v>
      </c>
      <c r="J447" s="218" t="s">
        <v>3113</v>
      </c>
      <c r="K447" s="218" t="s">
        <v>3489</v>
      </c>
      <c r="L447" s="218" t="s">
        <v>3115</v>
      </c>
      <c r="M447" s="218" t="s">
        <v>492</v>
      </c>
      <c r="N447" s="218">
        <v>139.79</v>
      </c>
      <c r="O447" s="218" t="s">
        <v>292</v>
      </c>
      <c r="P447" s="218">
        <v>180.92</v>
      </c>
      <c r="Q447" s="218" t="s">
        <v>385</v>
      </c>
      <c r="R447" s="218" t="s">
        <v>1772</v>
      </c>
      <c r="S447" s="218" t="s">
        <v>400</v>
      </c>
      <c r="T447" s="218" t="s">
        <v>493</v>
      </c>
      <c r="U447" s="218" t="s">
        <v>2591</v>
      </c>
      <c r="V447" s="218" t="s">
        <v>381</v>
      </c>
      <c r="W447" s="218" t="s">
        <v>295</v>
      </c>
      <c r="X447" s="218" t="s">
        <v>3117</v>
      </c>
      <c r="Y447" s="218">
        <v>162.16999999999999</v>
      </c>
      <c r="Z447" s="218">
        <f t="shared" si="9"/>
        <v>180.92</v>
      </c>
    </row>
    <row r="448" spans="1:26">
      <c r="A448" s="218" t="s">
        <v>2592</v>
      </c>
      <c r="B448" s="218"/>
      <c r="C448" s="218"/>
      <c r="D448" s="218"/>
      <c r="E448" s="218"/>
      <c r="F448" s="219" t="s">
        <v>3490</v>
      </c>
      <c r="G448" s="218" t="s">
        <v>255</v>
      </c>
      <c r="H448" s="218" t="s">
        <v>309</v>
      </c>
      <c r="I448" s="223">
        <v>43799</v>
      </c>
      <c r="J448" s="218" t="s">
        <v>3119</v>
      </c>
      <c r="K448" s="218" t="s">
        <v>3120</v>
      </c>
      <c r="L448" s="218" t="s">
        <v>3115</v>
      </c>
      <c r="M448" s="218" t="s">
        <v>506</v>
      </c>
      <c r="N448" s="218">
        <v>5.68</v>
      </c>
      <c r="O448" s="218" t="s">
        <v>292</v>
      </c>
      <c r="P448" s="218">
        <v>7.35</v>
      </c>
      <c r="Q448" s="218" t="s">
        <v>391</v>
      </c>
      <c r="R448" s="218" t="s">
        <v>1777</v>
      </c>
      <c r="S448" s="218" t="s">
        <v>400</v>
      </c>
      <c r="T448" s="218" t="s">
        <v>495</v>
      </c>
      <c r="U448" s="218" t="s">
        <v>2591</v>
      </c>
      <c r="V448" s="218" t="s">
        <v>381</v>
      </c>
      <c r="W448" s="218" t="s">
        <v>295</v>
      </c>
      <c r="X448" s="218" t="s">
        <v>3117</v>
      </c>
      <c r="Y448" s="218">
        <v>6.59</v>
      </c>
      <c r="Z448" s="218">
        <f t="shared" si="9"/>
        <v>7.35</v>
      </c>
    </row>
    <row r="449" spans="1:26">
      <c r="A449" s="218" t="s">
        <v>2592</v>
      </c>
      <c r="B449" s="218"/>
      <c r="C449" s="218"/>
      <c r="D449" s="218"/>
      <c r="E449" s="218"/>
      <c r="F449" s="219" t="s">
        <v>3491</v>
      </c>
      <c r="G449" s="218" t="s">
        <v>255</v>
      </c>
      <c r="H449" s="218" t="s">
        <v>309</v>
      </c>
      <c r="I449" s="223">
        <v>43799</v>
      </c>
      <c r="J449" s="218" t="s">
        <v>3119</v>
      </c>
      <c r="K449" s="218" t="s">
        <v>3120</v>
      </c>
      <c r="L449" s="218" t="s">
        <v>3115</v>
      </c>
      <c r="M449" s="218" t="s">
        <v>507</v>
      </c>
      <c r="N449" s="218">
        <v>37.54</v>
      </c>
      <c r="O449" s="218" t="s">
        <v>292</v>
      </c>
      <c r="P449" s="218">
        <v>48.58</v>
      </c>
      <c r="Q449" s="218" t="s">
        <v>391</v>
      </c>
      <c r="R449" s="218" t="s">
        <v>1777</v>
      </c>
      <c r="S449" s="218" t="s">
        <v>400</v>
      </c>
      <c r="T449" s="218" t="s">
        <v>497</v>
      </c>
      <c r="U449" s="218" t="s">
        <v>2591</v>
      </c>
      <c r="V449" s="218" t="s">
        <v>381</v>
      </c>
      <c r="W449" s="218" t="s">
        <v>295</v>
      </c>
      <c r="X449" s="218" t="s">
        <v>3117</v>
      </c>
      <c r="Y449" s="218">
        <v>43.55</v>
      </c>
      <c r="Z449" s="218">
        <f t="shared" si="9"/>
        <v>48.58</v>
      </c>
    </row>
    <row r="450" spans="1:26">
      <c r="A450" s="218" t="s">
        <v>2592</v>
      </c>
      <c r="B450" s="218"/>
      <c r="C450" s="218"/>
      <c r="D450" s="218"/>
      <c r="E450" s="218"/>
      <c r="F450" s="219" t="s">
        <v>3492</v>
      </c>
      <c r="G450" s="218" t="s">
        <v>255</v>
      </c>
      <c r="H450" s="218" t="s">
        <v>309</v>
      </c>
      <c r="I450" s="223">
        <v>43799</v>
      </c>
      <c r="J450" s="218" t="s">
        <v>3119</v>
      </c>
      <c r="K450" s="218" t="s">
        <v>3120</v>
      </c>
      <c r="L450" s="218" t="s">
        <v>3115</v>
      </c>
      <c r="M450" s="218" t="s">
        <v>3493</v>
      </c>
      <c r="N450" s="218">
        <v>25.56</v>
      </c>
      <c r="O450" s="218" t="s">
        <v>292</v>
      </c>
      <c r="P450" s="218">
        <v>33.08</v>
      </c>
      <c r="Q450" s="218" t="s">
        <v>391</v>
      </c>
      <c r="R450" s="218" t="s">
        <v>1777</v>
      </c>
      <c r="S450" s="218" t="s">
        <v>400</v>
      </c>
      <c r="T450" s="218" t="s">
        <v>499</v>
      </c>
      <c r="U450" s="218" t="s">
        <v>2591</v>
      </c>
      <c r="V450" s="218" t="s">
        <v>381</v>
      </c>
      <c r="W450" s="218" t="s">
        <v>295</v>
      </c>
      <c r="X450" s="218" t="s">
        <v>3117</v>
      </c>
      <c r="Y450" s="218">
        <v>29.65</v>
      </c>
      <c r="Z450" s="218">
        <f t="shared" si="9"/>
        <v>33.08</v>
      </c>
    </row>
    <row r="451" spans="1:26">
      <c r="A451" s="218" t="s">
        <v>2592</v>
      </c>
      <c r="B451" s="218"/>
      <c r="C451" s="218"/>
      <c r="D451" s="218"/>
      <c r="E451" s="218"/>
      <c r="F451" s="219" t="s">
        <v>3494</v>
      </c>
      <c r="G451" s="218" t="s">
        <v>255</v>
      </c>
      <c r="H451" s="218" t="s">
        <v>309</v>
      </c>
      <c r="I451" s="223">
        <v>43799</v>
      </c>
      <c r="J451" s="218" t="s">
        <v>3119</v>
      </c>
      <c r="K451" s="218" t="s">
        <v>3120</v>
      </c>
      <c r="L451" s="218" t="s">
        <v>3115</v>
      </c>
      <c r="M451" s="218" t="s">
        <v>544</v>
      </c>
      <c r="N451" s="218">
        <v>13.85</v>
      </c>
      <c r="O451" s="218" t="s">
        <v>292</v>
      </c>
      <c r="P451" s="218">
        <v>17.920000000000002</v>
      </c>
      <c r="Q451" s="218" t="s">
        <v>391</v>
      </c>
      <c r="R451" s="218" t="s">
        <v>1777</v>
      </c>
      <c r="S451" s="218" t="s">
        <v>400</v>
      </c>
      <c r="T451" s="218" t="s">
        <v>491</v>
      </c>
      <c r="U451" s="218" t="s">
        <v>2591</v>
      </c>
      <c r="V451" s="218" t="s">
        <v>381</v>
      </c>
      <c r="W451" s="218" t="s">
        <v>295</v>
      </c>
      <c r="X451" s="218" t="s">
        <v>3117</v>
      </c>
      <c r="Y451" s="218">
        <v>16.07</v>
      </c>
      <c r="Z451" s="218">
        <f t="shared" si="9"/>
        <v>17.920000000000002</v>
      </c>
    </row>
    <row r="452" spans="1:26">
      <c r="A452" s="218" t="s">
        <v>2592</v>
      </c>
      <c r="B452" s="218"/>
      <c r="C452" s="218"/>
      <c r="D452" s="218"/>
      <c r="E452" s="218"/>
      <c r="F452" s="219" t="s">
        <v>3495</v>
      </c>
      <c r="G452" s="218" t="s">
        <v>255</v>
      </c>
      <c r="H452" s="218" t="s">
        <v>309</v>
      </c>
      <c r="I452" s="223">
        <v>43799</v>
      </c>
      <c r="J452" s="218" t="s">
        <v>3119</v>
      </c>
      <c r="K452" s="218" t="s">
        <v>3120</v>
      </c>
      <c r="L452" s="218" t="s">
        <v>3115</v>
      </c>
      <c r="M452" s="218" t="s">
        <v>503</v>
      </c>
      <c r="N452" s="218">
        <v>16.97</v>
      </c>
      <c r="O452" s="218" t="s">
        <v>292</v>
      </c>
      <c r="P452" s="218">
        <v>21.96</v>
      </c>
      <c r="Q452" s="218" t="s">
        <v>391</v>
      </c>
      <c r="R452" s="218" t="s">
        <v>1777</v>
      </c>
      <c r="S452" s="218" t="s">
        <v>400</v>
      </c>
      <c r="T452" s="218" t="s">
        <v>493</v>
      </c>
      <c r="U452" s="218" t="s">
        <v>2591</v>
      </c>
      <c r="V452" s="218" t="s">
        <v>381</v>
      </c>
      <c r="W452" s="218" t="s">
        <v>295</v>
      </c>
      <c r="X452" s="218" t="s">
        <v>3117</v>
      </c>
      <c r="Y452" s="218">
        <v>19.690000000000001</v>
      </c>
      <c r="Z452" s="218">
        <f t="shared" si="9"/>
        <v>21.96</v>
      </c>
    </row>
    <row r="453" spans="1:26">
      <c r="A453" s="218" t="s">
        <v>2592</v>
      </c>
      <c r="B453" s="218"/>
      <c r="C453" s="218"/>
      <c r="D453" s="218"/>
      <c r="E453" s="218"/>
      <c r="F453" s="219" t="s">
        <v>3496</v>
      </c>
      <c r="G453" s="218" t="s">
        <v>255</v>
      </c>
      <c r="H453" s="218" t="s">
        <v>309</v>
      </c>
      <c r="I453" s="223">
        <v>43799</v>
      </c>
      <c r="J453" s="218" t="s">
        <v>3123</v>
      </c>
      <c r="K453" s="218" t="s">
        <v>3124</v>
      </c>
      <c r="L453" s="218" t="s">
        <v>3115</v>
      </c>
      <c r="M453" s="218" t="s">
        <v>513</v>
      </c>
      <c r="N453" s="218">
        <v>0.94</v>
      </c>
      <c r="O453" s="218" t="s">
        <v>292</v>
      </c>
      <c r="P453" s="218">
        <v>1.22</v>
      </c>
      <c r="Q453" s="218" t="s">
        <v>405</v>
      </c>
      <c r="R453" s="218" t="s">
        <v>1780</v>
      </c>
      <c r="S453" s="218" t="s">
        <v>400</v>
      </c>
      <c r="T453" s="218" t="s">
        <v>495</v>
      </c>
      <c r="U453" s="218" t="s">
        <v>2591</v>
      </c>
      <c r="V453" s="218" t="s">
        <v>381</v>
      </c>
      <c r="W453" s="218" t="s">
        <v>295</v>
      </c>
      <c r="X453" s="218" t="s">
        <v>3117</v>
      </c>
      <c r="Y453" s="218">
        <v>1.0900000000000001</v>
      </c>
      <c r="Z453" s="218">
        <f t="shared" si="9"/>
        <v>1.22</v>
      </c>
    </row>
    <row r="454" spans="1:26">
      <c r="A454" s="218" t="s">
        <v>2592</v>
      </c>
      <c r="B454" s="218"/>
      <c r="C454" s="218"/>
      <c r="D454" s="218"/>
      <c r="E454" s="218"/>
      <c r="F454" s="219" t="s">
        <v>3497</v>
      </c>
      <c r="G454" s="218" t="s">
        <v>255</v>
      </c>
      <c r="H454" s="218" t="s">
        <v>309</v>
      </c>
      <c r="I454" s="223">
        <v>43799</v>
      </c>
      <c r="J454" s="218" t="s">
        <v>3123</v>
      </c>
      <c r="K454" s="218" t="s">
        <v>3124</v>
      </c>
      <c r="L454" s="218" t="s">
        <v>3115</v>
      </c>
      <c r="M454" s="218" t="s">
        <v>514</v>
      </c>
      <c r="N454" s="218">
        <v>6.26</v>
      </c>
      <c r="O454" s="218" t="s">
        <v>292</v>
      </c>
      <c r="P454" s="218">
        <v>8.1</v>
      </c>
      <c r="Q454" s="218" t="s">
        <v>405</v>
      </c>
      <c r="R454" s="218" t="s">
        <v>1780</v>
      </c>
      <c r="S454" s="218" t="s">
        <v>400</v>
      </c>
      <c r="T454" s="218" t="s">
        <v>497</v>
      </c>
      <c r="U454" s="218" t="s">
        <v>2591</v>
      </c>
      <c r="V454" s="218" t="s">
        <v>381</v>
      </c>
      <c r="W454" s="218" t="s">
        <v>295</v>
      </c>
      <c r="X454" s="218" t="s">
        <v>3117</v>
      </c>
      <c r="Y454" s="218">
        <v>7.26</v>
      </c>
      <c r="Z454" s="218">
        <f t="shared" si="9"/>
        <v>8.1</v>
      </c>
    </row>
    <row r="455" spans="1:26">
      <c r="A455" s="218" t="s">
        <v>2592</v>
      </c>
      <c r="B455" s="218"/>
      <c r="C455" s="218"/>
      <c r="D455" s="218"/>
      <c r="E455" s="218"/>
      <c r="F455" s="219" t="s">
        <v>3498</v>
      </c>
      <c r="G455" s="218" t="s">
        <v>255</v>
      </c>
      <c r="H455" s="218" t="s">
        <v>309</v>
      </c>
      <c r="I455" s="223">
        <v>43799</v>
      </c>
      <c r="J455" s="218" t="s">
        <v>3123</v>
      </c>
      <c r="K455" s="218" t="s">
        <v>3124</v>
      </c>
      <c r="L455" s="218" t="s">
        <v>3115</v>
      </c>
      <c r="M455" s="218" t="s">
        <v>3499</v>
      </c>
      <c r="N455" s="218">
        <v>4.26</v>
      </c>
      <c r="O455" s="218" t="s">
        <v>292</v>
      </c>
      <c r="P455" s="218">
        <v>5.51</v>
      </c>
      <c r="Q455" s="218" t="s">
        <v>405</v>
      </c>
      <c r="R455" s="218" t="s">
        <v>1780</v>
      </c>
      <c r="S455" s="218" t="s">
        <v>400</v>
      </c>
      <c r="T455" s="218" t="s">
        <v>499</v>
      </c>
      <c r="U455" s="218" t="s">
        <v>2591</v>
      </c>
      <c r="V455" s="218" t="s">
        <v>381</v>
      </c>
      <c r="W455" s="218" t="s">
        <v>295</v>
      </c>
      <c r="X455" s="218" t="s">
        <v>3117</v>
      </c>
      <c r="Y455" s="218">
        <v>4.9400000000000004</v>
      </c>
      <c r="Z455" s="218">
        <f t="shared" si="9"/>
        <v>5.51</v>
      </c>
    </row>
    <row r="456" spans="1:26">
      <c r="A456" s="218" t="s">
        <v>2592</v>
      </c>
      <c r="B456" s="218"/>
      <c r="C456" s="218"/>
      <c r="D456" s="218"/>
      <c r="E456" s="218"/>
      <c r="F456" s="219" t="s">
        <v>3500</v>
      </c>
      <c r="G456" s="218" t="s">
        <v>255</v>
      </c>
      <c r="H456" s="218" t="s">
        <v>309</v>
      </c>
      <c r="I456" s="223">
        <v>43799</v>
      </c>
      <c r="J456" s="218" t="s">
        <v>3123</v>
      </c>
      <c r="K456" s="218" t="s">
        <v>3124</v>
      </c>
      <c r="L456" s="218" t="s">
        <v>3115</v>
      </c>
      <c r="M456" s="218" t="s">
        <v>518</v>
      </c>
      <c r="N456" s="218">
        <v>2.31</v>
      </c>
      <c r="O456" s="218" t="s">
        <v>292</v>
      </c>
      <c r="P456" s="218">
        <v>2.99</v>
      </c>
      <c r="Q456" s="218" t="s">
        <v>405</v>
      </c>
      <c r="R456" s="218" t="s">
        <v>1780</v>
      </c>
      <c r="S456" s="218" t="s">
        <v>400</v>
      </c>
      <c r="T456" s="218" t="s">
        <v>491</v>
      </c>
      <c r="U456" s="218" t="s">
        <v>2591</v>
      </c>
      <c r="V456" s="218" t="s">
        <v>381</v>
      </c>
      <c r="W456" s="218" t="s">
        <v>295</v>
      </c>
      <c r="X456" s="218" t="s">
        <v>3117</v>
      </c>
      <c r="Y456" s="218">
        <v>2.68</v>
      </c>
      <c r="Z456" s="218">
        <f t="shared" si="9"/>
        <v>2.99</v>
      </c>
    </row>
    <row r="457" spans="1:26">
      <c r="A457" s="218" t="s">
        <v>2592</v>
      </c>
      <c r="B457" s="218"/>
      <c r="C457" s="218"/>
      <c r="D457" s="218"/>
      <c r="E457" s="218"/>
      <c r="F457" s="219" t="s">
        <v>3501</v>
      </c>
      <c r="G457" s="218" t="s">
        <v>255</v>
      </c>
      <c r="H457" s="218" t="s">
        <v>309</v>
      </c>
      <c r="I457" s="223">
        <v>43799</v>
      </c>
      <c r="J457" s="218" t="s">
        <v>3123</v>
      </c>
      <c r="K457" s="218" t="s">
        <v>3124</v>
      </c>
      <c r="L457" s="218" t="s">
        <v>3115</v>
      </c>
      <c r="M457" s="218" t="s">
        <v>519</v>
      </c>
      <c r="N457" s="218">
        <v>2.83</v>
      </c>
      <c r="O457" s="218" t="s">
        <v>292</v>
      </c>
      <c r="P457" s="218">
        <v>3.66</v>
      </c>
      <c r="Q457" s="218" t="s">
        <v>405</v>
      </c>
      <c r="R457" s="218" t="s">
        <v>1780</v>
      </c>
      <c r="S457" s="218" t="s">
        <v>400</v>
      </c>
      <c r="T457" s="218" t="s">
        <v>493</v>
      </c>
      <c r="U457" s="218" t="s">
        <v>2591</v>
      </c>
      <c r="V457" s="218" t="s">
        <v>381</v>
      </c>
      <c r="W457" s="218" t="s">
        <v>295</v>
      </c>
      <c r="X457" s="218" t="s">
        <v>3117</v>
      </c>
      <c r="Y457" s="218">
        <v>3.28</v>
      </c>
      <c r="Z457" s="218">
        <f t="shared" si="9"/>
        <v>3.66</v>
      </c>
    </row>
    <row r="458" spans="1:26">
      <c r="A458" s="218" t="s">
        <v>2592</v>
      </c>
      <c r="B458" s="218"/>
      <c r="C458" s="218"/>
      <c r="D458" s="218"/>
      <c r="E458" s="218"/>
      <c r="F458" s="219" t="s">
        <v>3502</v>
      </c>
      <c r="G458" s="218" t="s">
        <v>255</v>
      </c>
      <c r="H458" s="218" t="s">
        <v>309</v>
      </c>
      <c r="I458" s="223">
        <v>43799</v>
      </c>
      <c r="J458" s="218" t="s">
        <v>3127</v>
      </c>
      <c r="K458" s="218" t="s">
        <v>3128</v>
      </c>
      <c r="L458" s="218" t="s">
        <v>3115</v>
      </c>
      <c r="M458" s="218" t="s">
        <v>509</v>
      </c>
      <c r="N458" s="218">
        <v>0.06</v>
      </c>
      <c r="O458" s="218" t="s">
        <v>292</v>
      </c>
      <c r="P458" s="218">
        <v>0.08</v>
      </c>
      <c r="Q458" s="218" t="s">
        <v>405</v>
      </c>
      <c r="R458" s="218" t="s">
        <v>1780</v>
      </c>
      <c r="S458" s="218" t="s">
        <v>400</v>
      </c>
      <c r="T458" s="218" t="s">
        <v>495</v>
      </c>
      <c r="U458" s="218" t="s">
        <v>2591</v>
      </c>
      <c r="V458" s="218" t="s">
        <v>381</v>
      </c>
      <c r="W458" s="218" t="s">
        <v>295</v>
      </c>
      <c r="X458" s="218" t="s">
        <v>379</v>
      </c>
      <c r="Y458" s="218">
        <v>7.0000000000000007E-2</v>
      </c>
      <c r="Z458" s="218">
        <f t="shared" si="9"/>
        <v>0.08</v>
      </c>
    </row>
    <row r="459" spans="1:26">
      <c r="A459" s="218" t="s">
        <v>2592</v>
      </c>
      <c r="B459" s="218"/>
      <c r="C459" s="218"/>
      <c r="D459" s="218"/>
      <c r="E459" s="218"/>
      <c r="F459" s="219" t="s">
        <v>3503</v>
      </c>
      <c r="G459" s="218" t="s">
        <v>255</v>
      </c>
      <c r="H459" s="218" t="s">
        <v>309</v>
      </c>
      <c r="I459" s="223">
        <v>43799</v>
      </c>
      <c r="J459" s="218" t="s">
        <v>3127</v>
      </c>
      <c r="K459" s="218" t="s">
        <v>3128</v>
      </c>
      <c r="L459" s="218" t="s">
        <v>3115</v>
      </c>
      <c r="M459" s="218" t="s">
        <v>510</v>
      </c>
      <c r="N459" s="218">
        <v>0.42</v>
      </c>
      <c r="O459" s="218" t="s">
        <v>292</v>
      </c>
      <c r="P459" s="218">
        <v>0.54</v>
      </c>
      <c r="Q459" s="218" t="s">
        <v>405</v>
      </c>
      <c r="R459" s="218" t="s">
        <v>1780</v>
      </c>
      <c r="S459" s="218" t="s">
        <v>400</v>
      </c>
      <c r="T459" s="218" t="s">
        <v>497</v>
      </c>
      <c r="U459" s="218" t="s">
        <v>2591</v>
      </c>
      <c r="V459" s="218" t="s">
        <v>381</v>
      </c>
      <c r="W459" s="218" t="s">
        <v>295</v>
      </c>
      <c r="X459" s="218" t="s">
        <v>379</v>
      </c>
      <c r="Y459" s="218">
        <v>0.49</v>
      </c>
      <c r="Z459" s="218">
        <f t="shared" si="9"/>
        <v>0.54</v>
      </c>
    </row>
    <row r="460" spans="1:26">
      <c r="A460" s="218" t="s">
        <v>2592</v>
      </c>
      <c r="B460" s="218"/>
      <c r="C460" s="218"/>
      <c r="D460" s="218"/>
      <c r="E460" s="218"/>
      <c r="F460" s="219" t="s">
        <v>3504</v>
      </c>
      <c r="G460" s="218" t="s">
        <v>255</v>
      </c>
      <c r="H460" s="218" t="s">
        <v>309</v>
      </c>
      <c r="I460" s="223">
        <v>43799</v>
      </c>
      <c r="J460" s="218" t="s">
        <v>3127</v>
      </c>
      <c r="K460" s="218" t="s">
        <v>3128</v>
      </c>
      <c r="L460" s="218" t="s">
        <v>3115</v>
      </c>
      <c r="M460" s="218" t="s">
        <v>3505</v>
      </c>
      <c r="N460" s="218">
        <v>0.28999999999999998</v>
      </c>
      <c r="O460" s="218" t="s">
        <v>292</v>
      </c>
      <c r="P460" s="218">
        <v>0.37</v>
      </c>
      <c r="Q460" s="218" t="s">
        <v>405</v>
      </c>
      <c r="R460" s="218" t="s">
        <v>1780</v>
      </c>
      <c r="S460" s="218" t="s">
        <v>400</v>
      </c>
      <c r="T460" s="218" t="s">
        <v>499</v>
      </c>
      <c r="U460" s="218" t="s">
        <v>2591</v>
      </c>
      <c r="V460" s="218" t="s">
        <v>381</v>
      </c>
      <c r="W460" s="218" t="s">
        <v>295</v>
      </c>
      <c r="X460" s="218" t="s">
        <v>379</v>
      </c>
      <c r="Y460" s="218">
        <v>0.34</v>
      </c>
      <c r="Z460" s="218">
        <f t="shared" si="9"/>
        <v>0.37</v>
      </c>
    </row>
    <row r="461" spans="1:26">
      <c r="A461" s="218" t="s">
        <v>2592</v>
      </c>
      <c r="B461" s="218"/>
      <c r="C461" s="218"/>
      <c r="D461" s="218"/>
      <c r="E461" s="218"/>
      <c r="F461" s="219" t="s">
        <v>3506</v>
      </c>
      <c r="G461" s="218" t="s">
        <v>255</v>
      </c>
      <c r="H461" s="218" t="s">
        <v>309</v>
      </c>
      <c r="I461" s="223">
        <v>43799</v>
      </c>
      <c r="J461" s="218" t="s">
        <v>3127</v>
      </c>
      <c r="K461" s="218" t="s">
        <v>3128</v>
      </c>
      <c r="L461" s="218" t="s">
        <v>3115</v>
      </c>
      <c r="M461" s="218" t="s">
        <v>520</v>
      </c>
      <c r="N461" s="218">
        <v>0.15</v>
      </c>
      <c r="O461" s="218" t="s">
        <v>292</v>
      </c>
      <c r="P461" s="218">
        <v>0.2</v>
      </c>
      <c r="Q461" s="218" t="s">
        <v>405</v>
      </c>
      <c r="R461" s="218" t="s">
        <v>1780</v>
      </c>
      <c r="S461" s="218" t="s">
        <v>400</v>
      </c>
      <c r="T461" s="218" t="s">
        <v>491</v>
      </c>
      <c r="U461" s="218" t="s">
        <v>2591</v>
      </c>
      <c r="V461" s="218" t="s">
        <v>381</v>
      </c>
      <c r="W461" s="218" t="s">
        <v>295</v>
      </c>
      <c r="X461" s="218" t="s">
        <v>379</v>
      </c>
      <c r="Y461" s="218">
        <v>0.17</v>
      </c>
      <c r="Z461" s="218">
        <f t="shared" si="9"/>
        <v>0.2</v>
      </c>
    </row>
    <row r="462" spans="1:26">
      <c r="A462" s="218" t="s">
        <v>2592</v>
      </c>
      <c r="B462" s="218"/>
      <c r="C462" s="218"/>
      <c r="D462" s="218"/>
      <c r="E462" s="218"/>
      <c r="F462" s="219" t="s">
        <v>3507</v>
      </c>
      <c r="G462" s="218" t="s">
        <v>255</v>
      </c>
      <c r="H462" s="218" t="s">
        <v>309</v>
      </c>
      <c r="I462" s="223">
        <v>43799</v>
      </c>
      <c r="J462" s="218" t="s">
        <v>3127</v>
      </c>
      <c r="K462" s="218" t="s">
        <v>3128</v>
      </c>
      <c r="L462" s="218" t="s">
        <v>3115</v>
      </c>
      <c r="M462" s="218" t="s">
        <v>521</v>
      </c>
      <c r="N462" s="218">
        <v>0.19</v>
      </c>
      <c r="O462" s="218" t="s">
        <v>292</v>
      </c>
      <c r="P462" s="218">
        <v>0.24</v>
      </c>
      <c r="Q462" s="218" t="s">
        <v>405</v>
      </c>
      <c r="R462" s="218" t="s">
        <v>1780</v>
      </c>
      <c r="S462" s="218" t="s">
        <v>400</v>
      </c>
      <c r="T462" s="218" t="s">
        <v>493</v>
      </c>
      <c r="U462" s="218" t="s">
        <v>2591</v>
      </c>
      <c r="V462" s="218" t="s">
        <v>381</v>
      </c>
      <c r="W462" s="218" t="s">
        <v>295</v>
      </c>
      <c r="X462" s="218" t="s">
        <v>379</v>
      </c>
      <c r="Y462" s="218">
        <v>0.22</v>
      </c>
      <c r="Z462" s="218">
        <f t="shared" si="9"/>
        <v>0.24</v>
      </c>
    </row>
    <row r="463" spans="1:26">
      <c r="A463" s="218" t="s">
        <v>2592</v>
      </c>
      <c r="B463" s="218"/>
      <c r="C463" s="218"/>
      <c r="D463" s="218"/>
      <c r="E463" s="218"/>
      <c r="F463" s="219" t="s">
        <v>3508</v>
      </c>
      <c r="G463" s="218" t="s">
        <v>255</v>
      </c>
      <c r="H463" s="218" t="s">
        <v>309</v>
      </c>
      <c r="I463" s="223">
        <v>43830</v>
      </c>
      <c r="J463" s="218" t="s">
        <v>3131</v>
      </c>
      <c r="K463" s="218" t="s">
        <v>3509</v>
      </c>
      <c r="L463" s="218" t="s">
        <v>2617</v>
      </c>
      <c r="M463" s="218" t="s">
        <v>3510</v>
      </c>
      <c r="N463" s="218">
        <v>92.09</v>
      </c>
      <c r="O463" s="218" t="s">
        <v>292</v>
      </c>
      <c r="P463" s="218">
        <v>119.1</v>
      </c>
      <c r="Q463" s="218" t="s">
        <v>385</v>
      </c>
      <c r="R463" s="218" t="s">
        <v>1772</v>
      </c>
      <c r="S463" s="218" t="s">
        <v>400</v>
      </c>
      <c r="T463" s="218" t="s">
        <v>495</v>
      </c>
      <c r="U463" s="218" t="s">
        <v>2591</v>
      </c>
      <c r="V463" s="218" t="s">
        <v>381</v>
      </c>
      <c r="W463" s="218" t="s">
        <v>295</v>
      </c>
      <c r="X463" s="218" t="s">
        <v>379</v>
      </c>
      <c r="Y463" s="218">
        <v>108.11</v>
      </c>
      <c r="Z463" s="218">
        <f t="shared" si="9"/>
        <v>119.1</v>
      </c>
    </row>
    <row r="464" spans="1:26">
      <c r="A464" s="218" t="s">
        <v>2592</v>
      </c>
      <c r="B464" s="218"/>
      <c r="C464" s="218"/>
      <c r="D464" s="218"/>
      <c r="E464" s="218"/>
      <c r="F464" s="219" t="s">
        <v>3511</v>
      </c>
      <c r="G464" s="218" t="s">
        <v>255</v>
      </c>
      <c r="H464" s="218" t="s">
        <v>309</v>
      </c>
      <c r="I464" s="223">
        <v>43830</v>
      </c>
      <c r="J464" s="218" t="s">
        <v>3131</v>
      </c>
      <c r="K464" s="218" t="s">
        <v>3512</v>
      </c>
      <c r="L464" s="218" t="s">
        <v>2617</v>
      </c>
      <c r="M464" s="218" t="s">
        <v>3513</v>
      </c>
      <c r="N464" s="218">
        <v>312.66000000000003</v>
      </c>
      <c r="O464" s="218" t="s">
        <v>292</v>
      </c>
      <c r="P464" s="218">
        <v>404.34</v>
      </c>
      <c r="Q464" s="218" t="s">
        <v>385</v>
      </c>
      <c r="R464" s="218" t="s">
        <v>1772</v>
      </c>
      <c r="S464" s="218" t="s">
        <v>400</v>
      </c>
      <c r="T464" s="218" t="s">
        <v>497</v>
      </c>
      <c r="U464" s="218" t="s">
        <v>2591</v>
      </c>
      <c r="V464" s="218" t="s">
        <v>381</v>
      </c>
      <c r="W464" s="218" t="s">
        <v>295</v>
      </c>
      <c r="X464" s="218" t="s">
        <v>379</v>
      </c>
      <c r="Y464" s="218">
        <v>367.06</v>
      </c>
      <c r="Z464" s="218">
        <f t="shared" si="9"/>
        <v>404.34</v>
      </c>
    </row>
    <row r="465" spans="1:26">
      <c r="A465" s="218" t="s">
        <v>2592</v>
      </c>
      <c r="B465" s="218"/>
      <c r="C465" s="218"/>
      <c r="D465" s="218"/>
      <c r="E465" s="218"/>
      <c r="F465" s="219" t="s">
        <v>3514</v>
      </c>
      <c r="G465" s="218" t="s">
        <v>255</v>
      </c>
      <c r="H465" s="218" t="s">
        <v>309</v>
      </c>
      <c r="I465" s="223">
        <v>43830</v>
      </c>
      <c r="J465" s="218" t="s">
        <v>3131</v>
      </c>
      <c r="K465" s="218" t="s">
        <v>3515</v>
      </c>
      <c r="L465" s="218" t="s">
        <v>2617</v>
      </c>
      <c r="M465" s="218" t="s">
        <v>3516</v>
      </c>
      <c r="N465" s="218">
        <v>303.58999999999997</v>
      </c>
      <c r="O465" s="218" t="s">
        <v>292</v>
      </c>
      <c r="P465" s="218">
        <v>392.61</v>
      </c>
      <c r="Q465" s="218" t="s">
        <v>385</v>
      </c>
      <c r="R465" s="218" t="s">
        <v>1772</v>
      </c>
      <c r="S465" s="218" t="s">
        <v>400</v>
      </c>
      <c r="T465" s="218" t="s">
        <v>499</v>
      </c>
      <c r="U465" s="218" t="s">
        <v>2591</v>
      </c>
      <c r="V465" s="218" t="s">
        <v>381</v>
      </c>
      <c r="W465" s="218" t="s">
        <v>295</v>
      </c>
      <c r="X465" s="218" t="s">
        <v>379</v>
      </c>
      <c r="Y465" s="218">
        <v>356.41</v>
      </c>
      <c r="Z465" s="218">
        <f t="shared" si="9"/>
        <v>392.61</v>
      </c>
    </row>
    <row r="466" spans="1:26">
      <c r="A466" s="218" t="s">
        <v>2592</v>
      </c>
      <c r="B466" s="218"/>
      <c r="C466" s="218"/>
      <c r="D466" s="218"/>
      <c r="E466" s="218"/>
      <c r="F466" s="219" t="s">
        <v>3517</v>
      </c>
      <c r="G466" s="218" t="s">
        <v>255</v>
      </c>
      <c r="H466" s="218" t="s">
        <v>309</v>
      </c>
      <c r="I466" s="223">
        <v>43830</v>
      </c>
      <c r="J466" s="218" t="s">
        <v>3131</v>
      </c>
      <c r="K466" s="218" t="s">
        <v>3518</v>
      </c>
      <c r="L466" s="218" t="s">
        <v>2617</v>
      </c>
      <c r="M466" s="218" t="s">
        <v>3519</v>
      </c>
      <c r="N466" s="218">
        <v>220.68</v>
      </c>
      <c r="O466" s="218" t="s">
        <v>292</v>
      </c>
      <c r="P466" s="218">
        <v>285.39</v>
      </c>
      <c r="Q466" s="218" t="s">
        <v>385</v>
      </c>
      <c r="R466" s="218" t="s">
        <v>1772</v>
      </c>
      <c r="S466" s="218" t="s">
        <v>400</v>
      </c>
      <c r="T466" s="218" t="s">
        <v>491</v>
      </c>
      <c r="U466" s="218" t="s">
        <v>2591</v>
      </c>
      <c r="V466" s="218" t="s">
        <v>381</v>
      </c>
      <c r="W466" s="218" t="s">
        <v>295</v>
      </c>
      <c r="X466" s="218" t="s">
        <v>379</v>
      </c>
      <c r="Y466" s="218">
        <v>259.07</v>
      </c>
      <c r="Z466" s="218">
        <f t="shared" si="9"/>
        <v>285.39</v>
      </c>
    </row>
    <row r="467" spans="1:26">
      <c r="A467" s="218" t="s">
        <v>2592</v>
      </c>
      <c r="B467" s="218"/>
      <c r="C467" s="218"/>
      <c r="D467" s="218"/>
      <c r="E467" s="218"/>
      <c r="F467" s="219" t="s">
        <v>3520</v>
      </c>
      <c r="G467" s="218" t="s">
        <v>255</v>
      </c>
      <c r="H467" s="218" t="s">
        <v>309</v>
      </c>
      <c r="I467" s="223">
        <v>43830</v>
      </c>
      <c r="J467" s="218" t="s">
        <v>3131</v>
      </c>
      <c r="K467" s="218" t="s">
        <v>3521</v>
      </c>
      <c r="L467" s="218" t="s">
        <v>2617</v>
      </c>
      <c r="M467" s="218" t="s">
        <v>3522</v>
      </c>
      <c r="N467" s="218">
        <v>81.400000000000006</v>
      </c>
      <c r="O467" s="218" t="s">
        <v>292</v>
      </c>
      <c r="P467" s="218">
        <v>105.27</v>
      </c>
      <c r="Q467" s="218" t="s">
        <v>385</v>
      </c>
      <c r="R467" s="218" t="s">
        <v>1772</v>
      </c>
      <c r="S467" s="218" t="s">
        <v>400</v>
      </c>
      <c r="T467" s="218" t="s">
        <v>493</v>
      </c>
      <c r="U467" s="218" t="s">
        <v>2591</v>
      </c>
      <c r="V467" s="218" t="s">
        <v>381</v>
      </c>
      <c r="W467" s="218" t="s">
        <v>295</v>
      </c>
      <c r="X467" s="218" t="s">
        <v>379</v>
      </c>
      <c r="Y467" s="218">
        <v>95.56</v>
      </c>
      <c r="Z467" s="218">
        <f t="shared" si="9"/>
        <v>105.27</v>
      </c>
    </row>
    <row r="468" spans="1:26">
      <c r="A468" s="218" t="s">
        <v>2592</v>
      </c>
      <c r="B468" s="218"/>
      <c r="C468" s="218"/>
      <c r="D468" s="218"/>
      <c r="E468" s="218"/>
      <c r="F468" s="219" t="s">
        <v>3523</v>
      </c>
      <c r="G468" s="218" t="s">
        <v>255</v>
      </c>
      <c r="H468" s="218" t="s">
        <v>309</v>
      </c>
      <c r="I468" s="223">
        <v>43830</v>
      </c>
      <c r="J468" s="218" t="s">
        <v>3135</v>
      </c>
      <c r="K468" s="218" t="s">
        <v>3136</v>
      </c>
      <c r="L468" s="218" t="s">
        <v>2617</v>
      </c>
      <c r="M468" s="218" t="s">
        <v>3524</v>
      </c>
      <c r="N468" s="218">
        <v>17.45</v>
      </c>
      <c r="O468" s="218" t="s">
        <v>292</v>
      </c>
      <c r="P468" s="218">
        <v>22.57</v>
      </c>
      <c r="Q468" s="218" t="s">
        <v>391</v>
      </c>
      <c r="R468" s="218" t="s">
        <v>1777</v>
      </c>
      <c r="S468" s="218" t="s">
        <v>400</v>
      </c>
      <c r="T468" s="218" t="s">
        <v>495</v>
      </c>
      <c r="U468" s="218" t="s">
        <v>2591</v>
      </c>
      <c r="V468" s="218" t="s">
        <v>381</v>
      </c>
      <c r="W468" s="218" t="s">
        <v>295</v>
      </c>
      <c r="X468" s="218" t="s">
        <v>379</v>
      </c>
      <c r="Y468" s="218">
        <v>20.49</v>
      </c>
      <c r="Z468" s="218">
        <f t="shared" si="9"/>
        <v>22.57</v>
      </c>
    </row>
    <row r="469" spans="1:26">
      <c r="A469" s="218" t="s">
        <v>2592</v>
      </c>
      <c r="B469" s="218"/>
      <c r="C469" s="218"/>
      <c r="D469" s="218"/>
      <c r="E469" s="218"/>
      <c r="F469" s="219" t="s">
        <v>3525</v>
      </c>
      <c r="G469" s="218" t="s">
        <v>255</v>
      </c>
      <c r="H469" s="218" t="s">
        <v>309</v>
      </c>
      <c r="I469" s="223">
        <v>43830</v>
      </c>
      <c r="J469" s="218" t="s">
        <v>3135</v>
      </c>
      <c r="K469" s="218" t="s">
        <v>3136</v>
      </c>
      <c r="L469" s="218" t="s">
        <v>2617</v>
      </c>
      <c r="M469" s="218" t="s">
        <v>3526</v>
      </c>
      <c r="N469" s="218">
        <v>59.24</v>
      </c>
      <c r="O469" s="218" t="s">
        <v>292</v>
      </c>
      <c r="P469" s="218">
        <v>76.61</v>
      </c>
      <c r="Q469" s="218" t="s">
        <v>391</v>
      </c>
      <c r="R469" s="218" t="s">
        <v>1777</v>
      </c>
      <c r="S469" s="218" t="s">
        <v>400</v>
      </c>
      <c r="T469" s="218" t="s">
        <v>497</v>
      </c>
      <c r="U469" s="218" t="s">
        <v>2591</v>
      </c>
      <c r="V469" s="218" t="s">
        <v>381</v>
      </c>
      <c r="W469" s="218" t="s">
        <v>295</v>
      </c>
      <c r="X469" s="218" t="s">
        <v>379</v>
      </c>
      <c r="Y469" s="218">
        <v>69.55</v>
      </c>
      <c r="Z469" s="218">
        <f t="shared" si="9"/>
        <v>76.61</v>
      </c>
    </row>
    <row r="470" spans="1:26">
      <c r="A470" s="218" t="s">
        <v>2592</v>
      </c>
      <c r="B470" s="218"/>
      <c r="C470" s="218"/>
      <c r="D470" s="218"/>
      <c r="E470" s="218"/>
      <c r="F470" s="219" t="s">
        <v>3527</v>
      </c>
      <c r="G470" s="218" t="s">
        <v>255</v>
      </c>
      <c r="H470" s="218" t="s">
        <v>309</v>
      </c>
      <c r="I470" s="223">
        <v>43830</v>
      </c>
      <c r="J470" s="218" t="s">
        <v>3135</v>
      </c>
      <c r="K470" s="218" t="s">
        <v>3136</v>
      </c>
      <c r="L470" s="218" t="s">
        <v>2617</v>
      </c>
      <c r="M470" s="218" t="s">
        <v>3528</v>
      </c>
      <c r="N470" s="218">
        <v>57.52</v>
      </c>
      <c r="O470" s="218" t="s">
        <v>292</v>
      </c>
      <c r="P470" s="218">
        <v>74.39</v>
      </c>
      <c r="Q470" s="218" t="s">
        <v>391</v>
      </c>
      <c r="R470" s="218" t="s">
        <v>1777</v>
      </c>
      <c r="S470" s="218" t="s">
        <v>400</v>
      </c>
      <c r="T470" s="218" t="s">
        <v>499</v>
      </c>
      <c r="U470" s="218" t="s">
        <v>2591</v>
      </c>
      <c r="V470" s="218" t="s">
        <v>381</v>
      </c>
      <c r="W470" s="218" t="s">
        <v>295</v>
      </c>
      <c r="X470" s="218" t="s">
        <v>379</v>
      </c>
      <c r="Y470" s="218">
        <v>67.53</v>
      </c>
      <c r="Z470" s="218">
        <f t="shared" si="9"/>
        <v>74.39</v>
      </c>
    </row>
    <row r="471" spans="1:26">
      <c r="A471" s="218" t="s">
        <v>2592</v>
      </c>
      <c r="B471" s="218"/>
      <c r="C471" s="218"/>
      <c r="D471" s="218"/>
      <c r="E471" s="218"/>
      <c r="F471" s="219" t="s">
        <v>3529</v>
      </c>
      <c r="G471" s="218" t="s">
        <v>255</v>
      </c>
      <c r="H471" s="218" t="s">
        <v>309</v>
      </c>
      <c r="I471" s="223">
        <v>43830</v>
      </c>
      <c r="J471" s="218" t="s">
        <v>3135</v>
      </c>
      <c r="K471" s="218" t="s">
        <v>3136</v>
      </c>
      <c r="L471" s="218" t="s">
        <v>2617</v>
      </c>
      <c r="M471" s="218" t="s">
        <v>3530</v>
      </c>
      <c r="N471" s="218">
        <v>41.81</v>
      </c>
      <c r="O471" s="218" t="s">
        <v>292</v>
      </c>
      <c r="P471" s="218">
        <v>54.07</v>
      </c>
      <c r="Q471" s="218" t="s">
        <v>391</v>
      </c>
      <c r="R471" s="218" t="s">
        <v>1777</v>
      </c>
      <c r="S471" s="218" t="s">
        <v>400</v>
      </c>
      <c r="T471" s="218" t="s">
        <v>491</v>
      </c>
      <c r="U471" s="218" t="s">
        <v>2591</v>
      </c>
      <c r="V471" s="218" t="s">
        <v>381</v>
      </c>
      <c r="W471" s="218" t="s">
        <v>295</v>
      </c>
      <c r="X471" s="218" t="s">
        <v>379</v>
      </c>
      <c r="Y471" s="218">
        <v>49.08</v>
      </c>
      <c r="Z471" s="218">
        <f t="shared" si="9"/>
        <v>54.07</v>
      </c>
    </row>
    <row r="472" spans="1:26">
      <c r="A472" s="218" t="s">
        <v>2592</v>
      </c>
      <c r="B472" s="218"/>
      <c r="C472" s="218"/>
      <c r="D472" s="218"/>
      <c r="E472" s="218"/>
      <c r="F472" s="219" t="s">
        <v>3531</v>
      </c>
      <c r="G472" s="218" t="s">
        <v>255</v>
      </c>
      <c r="H472" s="218" t="s">
        <v>309</v>
      </c>
      <c r="I472" s="223">
        <v>43830</v>
      </c>
      <c r="J472" s="218" t="s">
        <v>3135</v>
      </c>
      <c r="K472" s="218" t="s">
        <v>3136</v>
      </c>
      <c r="L472" s="218" t="s">
        <v>2617</v>
      </c>
      <c r="M472" s="218" t="s">
        <v>3532</v>
      </c>
      <c r="N472" s="218">
        <v>15.43</v>
      </c>
      <c r="O472" s="218" t="s">
        <v>292</v>
      </c>
      <c r="P472" s="218">
        <v>19.95</v>
      </c>
      <c r="Q472" s="218" t="s">
        <v>391</v>
      </c>
      <c r="R472" s="218" t="s">
        <v>1777</v>
      </c>
      <c r="S472" s="218" t="s">
        <v>400</v>
      </c>
      <c r="T472" s="218" t="s">
        <v>493</v>
      </c>
      <c r="U472" s="218" t="s">
        <v>2591</v>
      </c>
      <c r="V472" s="218" t="s">
        <v>381</v>
      </c>
      <c r="W472" s="218" t="s">
        <v>295</v>
      </c>
      <c r="X472" s="218" t="s">
        <v>379</v>
      </c>
      <c r="Y472" s="218">
        <v>18.11</v>
      </c>
      <c r="Z472" s="218">
        <f t="shared" si="9"/>
        <v>19.95</v>
      </c>
    </row>
    <row r="473" spans="1:26">
      <c r="A473" s="218" t="s">
        <v>2592</v>
      </c>
      <c r="B473" s="218"/>
      <c r="C473" s="218"/>
      <c r="D473" s="218"/>
      <c r="E473" s="218"/>
      <c r="F473" s="219" t="s">
        <v>3533</v>
      </c>
      <c r="G473" s="218" t="s">
        <v>255</v>
      </c>
      <c r="H473" s="218" t="s">
        <v>309</v>
      </c>
      <c r="I473" s="223">
        <v>43830</v>
      </c>
      <c r="J473" s="218" t="s">
        <v>3139</v>
      </c>
      <c r="K473" s="218" t="s">
        <v>3140</v>
      </c>
      <c r="L473" s="218" t="s">
        <v>2617</v>
      </c>
      <c r="M473" s="218" t="s">
        <v>3534</v>
      </c>
      <c r="N473" s="218">
        <v>2.91</v>
      </c>
      <c r="O473" s="218" t="s">
        <v>292</v>
      </c>
      <c r="P473" s="218">
        <v>3.76</v>
      </c>
      <c r="Q473" s="218" t="s">
        <v>405</v>
      </c>
      <c r="R473" s="218" t="s">
        <v>1780</v>
      </c>
      <c r="S473" s="218" t="s">
        <v>400</v>
      </c>
      <c r="T473" s="218" t="s">
        <v>495</v>
      </c>
      <c r="U473" s="218" t="s">
        <v>2591</v>
      </c>
      <c r="V473" s="218" t="s">
        <v>381</v>
      </c>
      <c r="W473" s="218" t="s">
        <v>295</v>
      </c>
      <c r="X473" s="218" t="s">
        <v>379</v>
      </c>
      <c r="Y473" s="218">
        <v>3.42</v>
      </c>
      <c r="Z473" s="218">
        <f t="shared" si="9"/>
        <v>3.76</v>
      </c>
    </row>
    <row r="474" spans="1:26">
      <c r="A474" s="218" t="s">
        <v>2592</v>
      </c>
      <c r="B474" s="218"/>
      <c r="C474" s="218"/>
      <c r="D474" s="218"/>
      <c r="E474" s="218"/>
      <c r="F474" s="219" t="s">
        <v>3535</v>
      </c>
      <c r="G474" s="218" t="s">
        <v>255</v>
      </c>
      <c r="H474" s="218" t="s">
        <v>309</v>
      </c>
      <c r="I474" s="223">
        <v>43830</v>
      </c>
      <c r="J474" s="218" t="s">
        <v>3139</v>
      </c>
      <c r="K474" s="218" t="s">
        <v>3140</v>
      </c>
      <c r="L474" s="218" t="s">
        <v>2617</v>
      </c>
      <c r="M474" s="218" t="s">
        <v>3536</v>
      </c>
      <c r="N474" s="218">
        <v>9.8699999999999992</v>
      </c>
      <c r="O474" s="218" t="s">
        <v>292</v>
      </c>
      <c r="P474" s="218">
        <v>12.76</v>
      </c>
      <c r="Q474" s="218" t="s">
        <v>405</v>
      </c>
      <c r="R474" s="218" t="s">
        <v>1780</v>
      </c>
      <c r="S474" s="218" t="s">
        <v>400</v>
      </c>
      <c r="T474" s="218" t="s">
        <v>497</v>
      </c>
      <c r="U474" s="218" t="s">
        <v>2591</v>
      </c>
      <c r="V474" s="218" t="s">
        <v>381</v>
      </c>
      <c r="W474" s="218" t="s">
        <v>295</v>
      </c>
      <c r="X474" s="218" t="s">
        <v>379</v>
      </c>
      <c r="Y474" s="218">
        <v>11.59</v>
      </c>
      <c r="Z474" s="218">
        <f t="shared" si="9"/>
        <v>12.76</v>
      </c>
    </row>
    <row r="475" spans="1:26">
      <c r="A475" s="218" t="s">
        <v>2592</v>
      </c>
      <c r="B475" s="218"/>
      <c r="C475" s="218"/>
      <c r="D475" s="218"/>
      <c r="E475" s="218"/>
      <c r="F475" s="219" t="s">
        <v>3537</v>
      </c>
      <c r="G475" s="218" t="s">
        <v>255</v>
      </c>
      <c r="H475" s="218" t="s">
        <v>309</v>
      </c>
      <c r="I475" s="223">
        <v>43830</v>
      </c>
      <c r="J475" s="218" t="s">
        <v>3139</v>
      </c>
      <c r="K475" s="218" t="s">
        <v>3140</v>
      </c>
      <c r="L475" s="218" t="s">
        <v>2617</v>
      </c>
      <c r="M475" s="218" t="s">
        <v>3538</v>
      </c>
      <c r="N475" s="218">
        <v>9.59</v>
      </c>
      <c r="O475" s="218" t="s">
        <v>292</v>
      </c>
      <c r="P475" s="218">
        <v>12.4</v>
      </c>
      <c r="Q475" s="218" t="s">
        <v>405</v>
      </c>
      <c r="R475" s="218" t="s">
        <v>1780</v>
      </c>
      <c r="S475" s="218" t="s">
        <v>400</v>
      </c>
      <c r="T475" s="218" t="s">
        <v>499</v>
      </c>
      <c r="U475" s="218" t="s">
        <v>2591</v>
      </c>
      <c r="V475" s="218" t="s">
        <v>381</v>
      </c>
      <c r="W475" s="218" t="s">
        <v>295</v>
      </c>
      <c r="X475" s="218" t="s">
        <v>379</v>
      </c>
      <c r="Y475" s="218">
        <v>11.26</v>
      </c>
      <c r="Z475" s="218">
        <f t="shared" si="9"/>
        <v>12.4</v>
      </c>
    </row>
    <row r="476" spans="1:26">
      <c r="A476" s="218" t="s">
        <v>2592</v>
      </c>
      <c r="B476" s="218"/>
      <c r="C476" s="218"/>
      <c r="D476" s="218"/>
      <c r="E476" s="218"/>
      <c r="F476" s="219" t="s">
        <v>3539</v>
      </c>
      <c r="G476" s="218" t="s">
        <v>255</v>
      </c>
      <c r="H476" s="218" t="s">
        <v>309</v>
      </c>
      <c r="I476" s="223">
        <v>43830</v>
      </c>
      <c r="J476" s="218" t="s">
        <v>3139</v>
      </c>
      <c r="K476" s="218" t="s">
        <v>3140</v>
      </c>
      <c r="L476" s="218" t="s">
        <v>2617</v>
      </c>
      <c r="M476" s="218" t="s">
        <v>3540</v>
      </c>
      <c r="N476" s="218">
        <v>6.97</v>
      </c>
      <c r="O476" s="218" t="s">
        <v>292</v>
      </c>
      <c r="P476" s="218">
        <v>9.01</v>
      </c>
      <c r="Q476" s="218" t="s">
        <v>405</v>
      </c>
      <c r="R476" s="218" t="s">
        <v>1780</v>
      </c>
      <c r="S476" s="218" t="s">
        <v>400</v>
      </c>
      <c r="T476" s="218" t="s">
        <v>491</v>
      </c>
      <c r="U476" s="218" t="s">
        <v>2591</v>
      </c>
      <c r="V476" s="218" t="s">
        <v>381</v>
      </c>
      <c r="W476" s="218" t="s">
        <v>295</v>
      </c>
      <c r="X476" s="218" t="s">
        <v>379</v>
      </c>
      <c r="Y476" s="218">
        <v>8.18</v>
      </c>
      <c r="Z476" s="218">
        <f t="shared" si="9"/>
        <v>9.01</v>
      </c>
    </row>
    <row r="477" spans="1:26">
      <c r="A477" s="218" t="s">
        <v>2592</v>
      </c>
      <c r="B477" s="218"/>
      <c r="C477" s="218"/>
      <c r="D477" s="218"/>
      <c r="E477" s="218"/>
      <c r="F477" s="219" t="s">
        <v>3541</v>
      </c>
      <c r="G477" s="218" t="s">
        <v>255</v>
      </c>
      <c r="H477" s="218" t="s">
        <v>309</v>
      </c>
      <c r="I477" s="223">
        <v>43830</v>
      </c>
      <c r="J477" s="218" t="s">
        <v>3139</v>
      </c>
      <c r="K477" s="218" t="s">
        <v>3140</v>
      </c>
      <c r="L477" s="218" t="s">
        <v>2617</v>
      </c>
      <c r="M477" s="218" t="s">
        <v>3542</v>
      </c>
      <c r="N477" s="218">
        <v>2.57</v>
      </c>
      <c r="O477" s="218" t="s">
        <v>292</v>
      </c>
      <c r="P477" s="218">
        <v>3.33</v>
      </c>
      <c r="Q477" s="218" t="s">
        <v>405</v>
      </c>
      <c r="R477" s="218" t="s">
        <v>1780</v>
      </c>
      <c r="S477" s="218" t="s">
        <v>400</v>
      </c>
      <c r="T477" s="218" t="s">
        <v>493</v>
      </c>
      <c r="U477" s="218" t="s">
        <v>2591</v>
      </c>
      <c r="V477" s="218" t="s">
        <v>381</v>
      </c>
      <c r="W477" s="218" t="s">
        <v>295</v>
      </c>
      <c r="X477" s="218" t="s">
        <v>379</v>
      </c>
      <c r="Y477" s="218">
        <v>3.02</v>
      </c>
      <c r="Z477" s="218">
        <f t="shared" si="9"/>
        <v>3.33</v>
      </c>
    </row>
    <row r="478" spans="1:26">
      <c r="A478" s="218" t="s">
        <v>2592</v>
      </c>
      <c r="B478" s="218"/>
      <c r="C478" s="218"/>
      <c r="D478" s="218"/>
      <c r="E478" s="218"/>
      <c r="F478" s="219" t="s">
        <v>3543</v>
      </c>
      <c r="G478" s="218" t="s">
        <v>255</v>
      </c>
      <c r="H478" s="218" t="s">
        <v>309</v>
      </c>
      <c r="I478" s="223">
        <v>43830</v>
      </c>
      <c r="J478" s="218" t="s">
        <v>3143</v>
      </c>
      <c r="K478" s="218" t="s">
        <v>3544</v>
      </c>
      <c r="L478" s="218" t="s">
        <v>2617</v>
      </c>
      <c r="M478" s="218" t="s">
        <v>494</v>
      </c>
      <c r="N478" s="218">
        <v>44.42</v>
      </c>
      <c r="O478" s="218" t="s">
        <v>292</v>
      </c>
      <c r="P478" s="218">
        <v>57.45</v>
      </c>
      <c r="Q478" s="218" t="s">
        <v>385</v>
      </c>
      <c r="R478" s="218" t="s">
        <v>1772</v>
      </c>
      <c r="S478" s="218" t="s">
        <v>400</v>
      </c>
      <c r="T478" s="218" t="s">
        <v>495</v>
      </c>
      <c r="U478" s="218" t="s">
        <v>2591</v>
      </c>
      <c r="V478" s="218" t="s">
        <v>381</v>
      </c>
      <c r="W478" s="218" t="s">
        <v>295</v>
      </c>
      <c r="X478" s="218" t="s">
        <v>379</v>
      </c>
      <c r="Y478" s="218">
        <v>52.15</v>
      </c>
      <c r="Z478" s="218">
        <f t="shared" si="9"/>
        <v>57.45</v>
      </c>
    </row>
    <row r="479" spans="1:26">
      <c r="A479" s="218" t="s">
        <v>2592</v>
      </c>
      <c r="B479" s="218"/>
      <c r="C479" s="218"/>
      <c r="D479" s="218"/>
      <c r="E479" s="218"/>
      <c r="F479" s="219" t="s">
        <v>3545</v>
      </c>
      <c r="G479" s="218" t="s">
        <v>255</v>
      </c>
      <c r="H479" s="218" t="s">
        <v>309</v>
      </c>
      <c r="I479" s="223">
        <v>43830</v>
      </c>
      <c r="J479" s="218" t="s">
        <v>3143</v>
      </c>
      <c r="K479" s="218" t="s">
        <v>3546</v>
      </c>
      <c r="L479" s="218" t="s">
        <v>2617</v>
      </c>
      <c r="M479" s="218" t="s">
        <v>496</v>
      </c>
      <c r="N479" s="218">
        <v>275.91000000000003</v>
      </c>
      <c r="O479" s="218" t="s">
        <v>292</v>
      </c>
      <c r="P479" s="218">
        <v>356.82</v>
      </c>
      <c r="Q479" s="218" t="s">
        <v>385</v>
      </c>
      <c r="R479" s="218" t="s">
        <v>1772</v>
      </c>
      <c r="S479" s="218" t="s">
        <v>400</v>
      </c>
      <c r="T479" s="218" t="s">
        <v>497</v>
      </c>
      <c r="U479" s="218" t="s">
        <v>2591</v>
      </c>
      <c r="V479" s="218" t="s">
        <v>381</v>
      </c>
      <c r="W479" s="218" t="s">
        <v>295</v>
      </c>
      <c r="X479" s="218" t="s">
        <v>379</v>
      </c>
      <c r="Y479" s="218">
        <v>323.91000000000003</v>
      </c>
      <c r="Z479" s="218">
        <f t="shared" si="9"/>
        <v>356.82</v>
      </c>
    </row>
    <row r="480" spans="1:26">
      <c r="A480" s="218" t="s">
        <v>2592</v>
      </c>
      <c r="B480" s="218"/>
      <c r="C480" s="218"/>
      <c r="D480" s="218"/>
      <c r="E480" s="218"/>
      <c r="F480" s="219" t="s">
        <v>3547</v>
      </c>
      <c r="G480" s="218" t="s">
        <v>255</v>
      </c>
      <c r="H480" s="218" t="s">
        <v>309</v>
      </c>
      <c r="I480" s="223">
        <v>43830</v>
      </c>
      <c r="J480" s="218" t="s">
        <v>3143</v>
      </c>
      <c r="K480" s="218" t="s">
        <v>3548</v>
      </c>
      <c r="L480" s="218" t="s">
        <v>2617</v>
      </c>
      <c r="M480" s="218" t="s">
        <v>3485</v>
      </c>
      <c r="N480" s="218">
        <v>179.67</v>
      </c>
      <c r="O480" s="218" t="s">
        <v>292</v>
      </c>
      <c r="P480" s="218">
        <v>232.36</v>
      </c>
      <c r="Q480" s="218" t="s">
        <v>385</v>
      </c>
      <c r="R480" s="218" t="s">
        <v>1772</v>
      </c>
      <c r="S480" s="218" t="s">
        <v>400</v>
      </c>
      <c r="T480" s="218" t="s">
        <v>499</v>
      </c>
      <c r="U480" s="218" t="s">
        <v>2591</v>
      </c>
      <c r="V480" s="218" t="s">
        <v>381</v>
      </c>
      <c r="W480" s="218" t="s">
        <v>295</v>
      </c>
      <c r="X480" s="218" t="s">
        <v>379</v>
      </c>
      <c r="Y480" s="218">
        <v>210.93</v>
      </c>
      <c r="Z480" s="218">
        <f t="shared" si="9"/>
        <v>232.36</v>
      </c>
    </row>
    <row r="481" spans="1:26">
      <c r="A481" s="218" t="s">
        <v>2592</v>
      </c>
      <c r="B481" s="218"/>
      <c r="C481" s="218"/>
      <c r="D481" s="218"/>
      <c r="E481" s="218"/>
      <c r="F481" s="219" t="s">
        <v>3549</v>
      </c>
      <c r="G481" s="218" t="s">
        <v>255</v>
      </c>
      <c r="H481" s="218" t="s">
        <v>309</v>
      </c>
      <c r="I481" s="223">
        <v>43830</v>
      </c>
      <c r="J481" s="218" t="s">
        <v>3143</v>
      </c>
      <c r="K481" s="218" t="s">
        <v>3550</v>
      </c>
      <c r="L481" s="218" t="s">
        <v>2617</v>
      </c>
      <c r="M481" s="218" t="s">
        <v>490</v>
      </c>
      <c r="N481" s="218">
        <v>101.5</v>
      </c>
      <c r="O481" s="218" t="s">
        <v>292</v>
      </c>
      <c r="P481" s="218">
        <v>131.26</v>
      </c>
      <c r="Q481" s="218" t="s">
        <v>385</v>
      </c>
      <c r="R481" s="218" t="s">
        <v>1772</v>
      </c>
      <c r="S481" s="218" t="s">
        <v>400</v>
      </c>
      <c r="T481" s="218" t="s">
        <v>491</v>
      </c>
      <c r="U481" s="218" t="s">
        <v>2591</v>
      </c>
      <c r="V481" s="218" t="s">
        <v>381</v>
      </c>
      <c r="W481" s="218" t="s">
        <v>295</v>
      </c>
      <c r="X481" s="218" t="s">
        <v>379</v>
      </c>
      <c r="Y481" s="218">
        <v>119.16</v>
      </c>
      <c r="Z481" s="218">
        <f t="shared" si="9"/>
        <v>131.26</v>
      </c>
    </row>
    <row r="482" spans="1:26">
      <c r="A482" s="218" t="s">
        <v>2592</v>
      </c>
      <c r="B482" s="218"/>
      <c r="C482" s="218"/>
      <c r="D482" s="218"/>
      <c r="E482" s="218"/>
      <c r="F482" s="219" t="s">
        <v>3551</v>
      </c>
      <c r="G482" s="218" t="s">
        <v>255</v>
      </c>
      <c r="H482" s="218" t="s">
        <v>309</v>
      </c>
      <c r="I482" s="223">
        <v>43830</v>
      </c>
      <c r="J482" s="218" t="s">
        <v>3143</v>
      </c>
      <c r="K482" s="218" t="s">
        <v>3552</v>
      </c>
      <c r="L482" s="218" t="s">
        <v>2617</v>
      </c>
      <c r="M482" s="218" t="s">
        <v>492</v>
      </c>
      <c r="N482" s="218">
        <v>231.74</v>
      </c>
      <c r="O482" s="218" t="s">
        <v>292</v>
      </c>
      <c r="P482" s="218">
        <v>299.7</v>
      </c>
      <c r="Q482" s="218" t="s">
        <v>385</v>
      </c>
      <c r="R482" s="218" t="s">
        <v>1772</v>
      </c>
      <c r="S482" s="218" t="s">
        <v>400</v>
      </c>
      <c r="T482" s="218" t="s">
        <v>493</v>
      </c>
      <c r="U482" s="218" t="s">
        <v>2591</v>
      </c>
      <c r="V482" s="218" t="s">
        <v>381</v>
      </c>
      <c r="W482" s="218" t="s">
        <v>295</v>
      </c>
      <c r="X482" s="218" t="s">
        <v>379</v>
      </c>
      <c r="Y482" s="218">
        <v>272.06</v>
      </c>
      <c r="Z482" s="218">
        <f t="shared" si="9"/>
        <v>299.7</v>
      </c>
    </row>
    <row r="483" spans="1:26">
      <c r="A483" s="218" t="s">
        <v>2592</v>
      </c>
      <c r="B483" s="218"/>
      <c r="C483" s="218"/>
      <c r="D483" s="218"/>
      <c r="E483" s="218"/>
      <c r="F483" s="219" t="s">
        <v>3553</v>
      </c>
      <c r="G483" s="218" t="s">
        <v>255</v>
      </c>
      <c r="H483" s="218" t="s">
        <v>309</v>
      </c>
      <c r="I483" s="223">
        <v>43830</v>
      </c>
      <c r="J483" s="218" t="s">
        <v>3146</v>
      </c>
      <c r="K483" s="218" t="s">
        <v>3147</v>
      </c>
      <c r="L483" s="218" t="s">
        <v>2617</v>
      </c>
      <c r="M483" s="218" t="s">
        <v>506</v>
      </c>
      <c r="N483" s="218">
        <v>5.68</v>
      </c>
      <c r="O483" s="218" t="s">
        <v>292</v>
      </c>
      <c r="P483" s="218">
        <v>7.35</v>
      </c>
      <c r="Q483" s="218" t="s">
        <v>391</v>
      </c>
      <c r="R483" s="218" t="s">
        <v>1777</v>
      </c>
      <c r="S483" s="218" t="s">
        <v>400</v>
      </c>
      <c r="T483" s="218" t="s">
        <v>495</v>
      </c>
      <c r="U483" s="218" t="s">
        <v>2591</v>
      </c>
      <c r="V483" s="218" t="s">
        <v>381</v>
      </c>
      <c r="W483" s="218" t="s">
        <v>295</v>
      </c>
      <c r="X483" s="218" t="s">
        <v>379</v>
      </c>
      <c r="Y483" s="218">
        <v>6.67</v>
      </c>
      <c r="Z483" s="218">
        <f t="shared" si="9"/>
        <v>7.35</v>
      </c>
    </row>
    <row r="484" spans="1:26">
      <c r="A484" s="218" t="s">
        <v>2592</v>
      </c>
      <c r="B484" s="218"/>
      <c r="C484" s="218"/>
      <c r="D484" s="218"/>
      <c r="E484" s="218"/>
      <c r="F484" s="219" t="s">
        <v>3554</v>
      </c>
      <c r="G484" s="218" t="s">
        <v>255</v>
      </c>
      <c r="H484" s="218" t="s">
        <v>309</v>
      </c>
      <c r="I484" s="223">
        <v>43830</v>
      </c>
      <c r="J484" s="218" t="s">
        <v>3146</v>
      </c>
      <c r="K484" s="218" t="s">
        <v>3147</v>
      </c>
      <c r="L484" s="218" t="s">
        <v>2617</v>
      </c>
      <c r="M484" s="218" t="s">
        <v>507</v>
      </c>
      <c r="N484" s="218">
        <v>37.56</v>
      </c>
      <c r="O484" s="218" t="s">
        <v>292</v>
      </c>
      <c r="P484" s="218">
        <v>48.58</v>
      </c>
      <c r="Q484" s="218" t="s">
        <v>391</v>
      </c>
      <c r="R484" s="218" t="s">
        <v>1777</v>
      </c>
      <c r="S484" s="218" t="s">
        <v>400</v>
      </c>
      <c r="T484" s="218" t="s">
        <v>497</v>
      </c>
      <c r="U484" s="218" t="s">
        <v>2591</v>
      </c>
      <c r="V484" s="218" t="s">
        <v>381</v>
      </c>
      <c r="W484" s="218" t="s">
        <v>295</v>
      </c>
      <c r="X484" s="218" t="s">
        <v>379</v>
      </c>
      <c r="Y484" s="218">
        <v>44.09</v>
      </c>
      <c r="Z484" s="218">
        <f t="shared" si="9"/>
        <v>48.58</v>
      </c>
    </row>
    <row r="485" spans="1:26">
      <c r="A485" s="218" t="s">
        <v>2592</v>
      </c>
      <c r="B485" s="218"/>
      <c r="C485" s="218"/>
      <c r="D485" s="218"/>
      <c r="E485" s="218"/>
      <c r="F485" s="219" t="s">
        <v>3555</v>
      </c>
      <c r="G485" s="218" t="s">
        <v>255</v>
      </c>
      <c r="H485" s="218" t="s">
        <v>309</v>
      </c>
      <c r="I485" s="223">
        <v>43830</v>
      </c>
      <c r="J485" s="218" t="s">
        <v>3146</v>
      </c>
      <c r="K485" s="218" t="s">
        <v>3147</v>
      </c>
      <c r="L485" s="218" t="s">
        <v>2617</v>
      </c>
      <c r="M485" s="218" t="s">
        <v>3493</v>
      </c>
      <c r="N485" s="218">
        <v>25.58</v>
      </c>
      <c r="O485" s="218" t="s">
        <v>292</v>
      </c>
      <c r="P485" s="218">
        <v>33.08</v>
      </c>
      <c r="Q485" s="218" t="s">
        <v>391</v>
      </c>
      <c r="R485" s="218" t="s">
        <v>1777</v>
      </c>
      <c r="S485" s="218" t="s">
        <v>400</v>
      </c>
      <c r="T485" s="218" t="s">
        <v>499</v>
      </c>
      <c r="U485" s="218" t="s">
        <v>2591</v>
      </c>
      <c r="V485" s="218" t="s">
        <v>381</v>
      </c>
      <c r="W485" s="218" t="s">
        <v>295</v>
      </c>
      <c r="X485" s="218" t="s">
        <v>379</v>
      </c>
      <c r="Y485" s="218">
        <v>30.03</v>
      </c>
      <c r="Z485" s="218">
        <f t="shared" si="9"/>
        <v>33.08</v>
      </c>
    </row>
    <row r="486" spans="1:26">
      <c r="A486" s="218" t="s">
        <v>2592</v>
      </c>
      <c r="B486" s="218"/>
      <c r="C486" s="218"/>
      <c r="D486" s="218"/>
      <c r="E486" s="218"/>
      <c r="F486" s="219" t="s">
        <v>3556</v>
      </c>
      <c r="G486" s="218" t="s">
        <v>255</v>
      </c>
      <c r="H486" s="218" t="s">
        <v>309</v>
      </c>
      <c r="I486" s="223">
        <v>43830</v>
      </c>
      <c r="J486" s="218" t="s">
        <v>3146</v>
      </c>
      <c r="K486" s="218" t="s">
        <v>3147</v>
      </c>
      <c r="L486" s="218" t="s">
        <v>2617</v>
      </c>
      <c r="M486" s="218" t="s">
        <v>544</v>
      </c>
      <c r="N486" s="218">
        <v>13.86</v>
      </c>
      <c r="O486" s="218" t="s">
        <v>292</v>
      </c>
      <c r="P486" s="218">
        <v>17.920000000000002</v>
      </c>
      <c r="Q486" s="218" t="s">
        <v>391</v>
      </c>
      <c r="R486" s="218" t="s">
        <v>1777</v>
      </c>
      <c r="S486" s="218" t="s">
        <v>400</v>
      </c>
      <c r="T486" s="218" t="s">
        <v>491</v>
      </c>
      <c r="U486" s="218" t="s">
        <v>2591</v>
      </c>
      <c r="V486" s="218" t="s">
        <v>381</v>
      </c>
      <c r="W486" s="218" t="s">
        <v>295</v>
      </c>
      <c r="X486" s="218" t="s">
        <v>379</v>
      </c>
      <c r="Y486" s="218">
        <v>16.27</v>
      </c>
      <c r="Z486" s="218">
        <f t="shared" si="9"/>
        <v>17.920000000000002</v>
      </c>
    </row>
    <row r="487" spans="1:26">
      <c r="A487" s="218" t="s">
        <v>2592</v>
      </c>
      <c r="B487" s="218"/>
      <c r="C487" s="218"/>
      <c r="D487" s="218"/>
      <c r="E487" s="218"/>
      <c r="F487" s="219" t="s">
        <v>3557</v>
      </c>
      <c r="G487" s="218" t="s">
        <v>255</v>
      </c>
      <c r="H487" s="218" t="s">
        <v>309</v>
      </c>
      <c r="I487" s="223">
        <v>43830</v>
      </c>
      <c r="J487" s="218" t="s">
        <v>3146</v>
      </c>
      <c r="K487" s="218" t="s">
        <v>3147</v>
      </c>
      <c r="L487" s="218" t="s">
        <v>2617</v>
      </c>
      <c r="M487" s="218" t="s">
        <v>503</v>
      </c>
      <c r="N487" s="218">
        <v>26.68</v>
      </c>
      <c r="O487" s="218" t="s">
        <v>292</v>
      </c>
      <c r="P487" s="218">
        <v>34.5</v>
      </c>
      <c r="Q487" s="218" t="s">
        <v>391</v>
      </c>
      <c r="R487" s="218" t="s">
        <v>1777</v>
      </c>
      <c r="S487" s="218" t="s">
        <v>400</v>
      </c>
      <c r="T487" s="218" t="s">
        <v>493</v>
      </c>
      <c r="U487" s="218" t="s">
        <v>2591</v>
      </c>
      <c r="V487" s="218" t="s">
        <v>381</v>
      </c>
      <c r="W487" s="218" t="s">
        <v>295</v>
      </c>
      <c r="X487" s="218" t="s">
        <v>379</v>
      </c>
      <c r="Y487" s="218">
        <v>31.32</v>
      </c>
      <c r="Z487" s="218">
        <f t="shared" si="9"/>
        <v>34.5</v>
      </c>
    </row>
    <row r="488" spans="1:26">
      <c r="A488" s="218" t="s">
        <v>2592</v>
      </c>
      <c r="B488" s="218"/>
      <c r="C488" s="218"/>
      <c r="D488" s="218"/>
      <c r="E488" s="218"/>
      <c r="F488" s="219" t="s">
        <v>3558</v>
      </c>
      <c r="G488" s="218" t="s">
        <v>255</v>
      </c>
      <c r="H488" s="218" t="s">
        <v>309</v>
      </c>
      <c r="I488" s="223">
        <v>43830</v>
      </c>
      <c r="J488" s="218" t="s">
        <v>3149</v>
      </c>
      <c r="K488" s="218" t="s">
        <v>3150</v>
      </c>
      <c r="L488" s="218" t="s">
        <v>2617</v>
      </c>
      <c r="M488" s="218" t="s">
        <v>513</v>
      </c>
      <c r="N488" s="218">
        <v>0.94</v>
      </c>
      <c r="O488" s="218" t="s">
        <v>292</v>
      </c>
      <c r="P488" s="218">
        <v>1.22</v>
      </c>
      <c r="Q488" s="218" t="s">
        <v>405</v>
      </c>
      <c r="R488" s="218" t="s">
        <v>1780</v>
      </c>
      <c r="S488" s="218" t="s">
        <v>400</v>
      </c>
      <c r="T488" s="218" t="s">
        <v>495</v>
      </c>
      <c r="U488" s="218" t="s">
        <v>2591</v>
      </c>
      <c r="V488" s="218" t="s">
        <v>381</v>
      </c>
      <c r="W488" s="218" t="s">
        <v>295</v>
      </c>
      <c r="X488" s="218" t="s">
        <v>379</v>
      </c>
      <c r="Y488" s="218">
        <v>1.1000000000000001</v>
      </c>
      <c r="Z488" s="218">
        <f t="shared" si="9"/>
        <v>1.22</v>
      </c>
    </row>
    <row r="489" spans="1:26">
      <c r="A489" s="218" t="s">
        <v>2592</v>
      </c>
      <c r="B489" s="218"/>
      <c r="C489" s="218"/>
      <c r="D489" s="218"/>
      <c r="E489" s="218"/>
      <c r="F489" s="219" t="s">
        <v>3559</v>
      </c>
      <c r="G489" s="218" t="s">
        <v>255</v>
      </c>
      <c r="H489" s="218" t="s">
        <v>309</v>
      </c>
      <c r="I489" s="223">
        <v>43830</v>
      </c>
      <c r="J489" s="218" t="s">
        <v>3149</v>
      </c>
      <c r="K489" s="218" t="s">
        <v>3150</v>
      </c>
      <c r="L489" s="218" t="s">
        <v>2617</v>
      </c>
      <c r="M489" s="218" t="s">
        <v>514</v>
      </c>
      <c r="N489" s="218">
        <v>6.26</v>
      </c>
      <c r="O489" s="218" t="s">
        <v>292</v>
      </c>
      <c r="P489" s="218">
        <v>8.1</v>
      </c>
      <c r="Q489" s="218" t="s">
        <v>405</v>
      </c>
      <c r="R489" s="218" t="s">
        <v>1780</v>
      </c>
      <c r="S489" s="218" t="s">
        <v>400</v>
      </c>
      <c r="T489" s="218" t="s">
        <v>497</v>
      </c>
      <c r="U489" s="218" t="s">
        <v>2591</v>
      </c>
      <c r="V489" s="218" t="s">
        <v>381</v>
      </c>
      <c r="W489" s="218" t="s">
        <v>295</v>
      </c>
      <c r="X489" s="218" t="s">
        <v>379</v>
      </c>
      <c r="Y489" s="218">
        <v>7.35</v>
      </c>
      <c r="Z489" s="218">
        <f t="shared" si="9"/>
        <v>8.1</v>
      </c>
    </row>
    <row r="490" spans="1:26">
      <c r="A490" s="218" t="s">
        <v>2592</v>
      </c>
      <c r="B490" s="218"/>
      <c r="C490" s="218"/>
      <c r="D490" s="218"/>
      <c r="E490" s="218"/>
      <c r="F490" s="219" t="s">
        <v>3560</v>
      </c>
      <c r="G490" s="218" t="s">
        <v>255</v>
      </c>
      <c r="H490" s="218" t="s">
        <v>309</v>
      </c>
      <c r="I490" s="223">
        <v>43830</v>
      </c>
      <c r="J490" s="218" t="s">
        <v>3149</v>
      </c>
      <c r="K490" s="218" t="s">
        <v>3150</v>
      </c>
      <c r="L490" s="218" t="s">
        <v>2617</v>
      </c>
      <c r="M490" s="218" t="s">
        <v>3499</v>
      </c>
      <c r="N490" s="218">
        <v>4.26</v>
      </c>
      <c r="O490" s="218" t="s">
        <v>292</v>
      </c>
      <c r="P490" s="218">
        <v>5.51</v>
      </c>
      <c r="Q490" s="218" t="s">
        <v>405</v>
      </c>
      <c r="R490" s="218" t="s">
        <v>1780</v>
      </c>
      <c r="S490" s="218" t="s">
        <v>400</v>
      </c>
      <c r="T490" s="218" t="s">
        <v>499</v>
      </c>
      <c r="U490" s="218" t="s">
        <v>2591</v>
      </c>
      <c r="V490" s="218" t="s">
        <v>381</v>
      </c>
      <c r="W490" s="218" t="s">
        <v>295</v>
      </c>
      <c r="X490" s="218" t="s">
        <v>379</v>
      </c>
      <c r="Y490" s="218">
        <v>5</v>
      </c>
      <c r="Z490" s="218">
        <f t="shared" si="9"/>
        <v>5.51</v>
      </c>
    </row>
    <row r="491" spans="1:26">
      <c r="A491" s="218" t="s">
        <v>2592</v>
      </c>
      <c r="B491" s="218"/>
      <c r="C491" s="218"/>
      <c r="D491" s="218"/>
      <c r="E491" s="218"/>
      <c r="F491" s="219" t="s">
        <v>3561</v>
      </c>
      <c r="G491" s="218" t="s">
        <v>255</v>
      </c>
      <c r="H491" s="218" t="s">
        <v>309</v>
      </c>
      <c r="I491" s="223">
        <v>43830</v>
      </c>
      <c r="J491" s="218" t="s">
        <v>3149</v>
      </c>
      <c r="K491" s="218" t="s">
        <v>3150</v>
      </c>
      <c r="L491" s="218" t="s">
        <v>2617</v>
      </c>
      <c r="M491" s="218" t="s">
        <v>518</v>
      </c>
      <c r="N491" s="218">
        <v>2.31</v>
      </c>
      <c r="O491" s="218" t="s">
        <v>292</v>
      </c>
      <c r="P491" s="218">
        <v>2.99</v>
      </c>
      <c r="Q491" s="218" t="s">
        <v>405</v>
      </c>
      <c r="R491" s="218" t="s">
        <v>1780</v>
      </c>
      <c r="S491" s="218" t="s">
        <v>400</v>
      </c>
      <c r="T491" s="218" t="s">
        <v>491</v>
      </c>
      <c r="U491" s="218" t="s">
        <v>2591</v>
      </c>
      <c r="V491" s="218" t="s">
        <v>381</v>
      </c>
      <c r="W491" s="218" t="s">
        <v>295</v>
      </c>
      <c r="X491" s="218" t="s">
        <v>379</v>
      </c>
      <c r="Y491" s="218">
        <v>2.71</v>
      </c>
      <c r="Z491" s="218">
        <f t="shared" si="9"/>
        <v>2.99</v>
      </c>
    </row>
    <row r="492" spans="1:26">
      <c r="A492" s="218" t="s">
        <v>2592</v>
      </c>
      <c r="B492" s="218"/>
      <c r="C492" s="218"/>
      <c r="D492" s="218"/>
      <c r="E492" s="218"/>
      <c r="F492" s="219" t="s">
        <v>3562</v>
      </c>
      <c r="G492" s="218" t="s">
        <v>255</v>
      </c>
      <c r="H492" s="218" t="s">
        <v>309</v>
      </c>
      <c r="I492" s="223">
        <v>43830</v>
      </c>
      <c r="J492" s="218" t="s">
        <v>3149</v>
      </c>
      <c r="K492" s="218" t="s">
        <v>3150</v>
      </c>
      <c r="L492" s="218" t="s">
        <v>2617</v>
      </c>
      <c r="M492" s="218" t="s">
        <v>519</v>
      </c>
      <c r="N492" s="218">
        <v>4.45</v>
      </c>
      <c r="O492" s="218" t="s">
        <v>292</v>
      </c>
      <c r="P492" s="218">
        <v>5.75</v>
      </c>
      <c r="Q492" s="218" t="s">
        <v>405</v>
      </c>
      <c r="R492" s="218" t="s">
        <v>1780</v>
      </c>
      <c r="S492" s="218" t="s">
        <v>400</v>
      </c>
      <c r="T492" s="218" t="s">
        <v>493</v>
      </c>
      <c r="U492" s="218" t="s">
        <v>2591</v>
      </c>
      <c r="V492" s="218" t="s">
        <v>381</v>
      </c>
      <c r="W492" s="218" t="s">
        <v>295</v>
      </c>
      <c r="X492" s="218" t="s">
        <v>379</v>
      </c>
      <c r="Y492" s="218">
        <v>5.22</v>
      </c>
      <c r="Z492" s="218">
        <f t="shared" si="9"/>
        <v>5.75</v>
      </c>
    </row>
    <row r="493" spans="1:26">
      <c r="A493" s="218" t="s">
        <v>2592</v>
      </c>
      <c r="B493" s="218"/>
      <c r="C493" s="218"/>
      <c r="D493" s="218"/>
      <c r="E493" s="218"/>
      <c r="F493" s="219" t="s">
        <v>3563</v>
      </c>
      <c r="G493" s="218" t="s">
        <v>255</v>
      </c>
      <c r="H493" s="218" t="s">
        <v>309</v>
      </c>
      <c r="I493" s="223">
        <v>43830</v>
      </c>
      <c r="J493" s="218" t="s">
        <v>3152</v>
      </c>
      <c r="K493" s="218" t="s">
        <v>3564</v>
      </c>
      <c r="L493" s="218" t="s">
        <v>2617</v>
      </c>
      <c r="M493" s="218" t="s">
        <v>3565</v>
      </c>
      <c r="N493" s="218">
        <v>15.47</v>
      </c>
      <c r="O493" s="218" t="s">
        <v>292</v>
      </c>
      <c r="P493" s="218">
        <v>20</v>
      </c>
      <c r="Q493" s="218" t="s">
        <v>640</v>
      </c>
      <c r="R493" s="218" t="s">
        <v>1580</v>
      </c>
      <c r="S493" s="218" t="s">
        <v>400</v>
      </c>
      <c r="T493" s="218" t="s">
        <v>2591</v>
      </c>
      <c r="U493" s="218" t="s">
        <v>2591</v>
      </c>
      <c r="V493" s="218" t="s">
        <v>381</v>
      </c>
      <c r="W493" s="218" t="s">
        <v>295</v>
      </c>
      <c r="X493" s="218" t="s">
        <v>379</v>
      </c>
      <c r="Y493" s="218">
        <v>18.16</v>
      </c>
      <c r="Z493" s="218">
        <f t="shared" si="9"/>
        <v>20</v>
      </c>
    </row>
    <row r="494" spans="1:26">
      <c r="A494" s="218" t="s">
        <v>2592</v>
      </c>
      <c r="B494" s="218"/>
      <c r="C494" s="218"/>
      <c r="D494" s="218"/>
      <c r="E494" s="218"/>
      <c r="F494" s="219" t="s">
        <v>3566</v>
      </c>
      <c r="G494" s="218" t="s">
        <v>255</v>
      </c>
      <c r="H494" s="218" t="s">
        <v>309</v>
      </c>
      <c r="I494" s="223">
        <v>43830</v>
      </c>
      <c r="J494" s="218" t="s">
        <v>3152</v>
      </c>
      <c r="K494" s="218" t="s">
        <v>3567</v>
      </c>
      <c r="L494" s="218" t="s">
        <v>2617</v>
      </c>
      <c r="M494" s="218" t="s">
        <v>3568</v>
      </c>
      <c r="N494" s="218">
        <v>9.67</v>
      </c>
      <c r="O494" s="218" t="s">
        <v>292</v>
      </c>
      <c r="P494" s="218">
        <v>12.5</v>
      </c>
      <c r="Q494" s="218" t="s">
        <v>640</v>
      </c>
      <c r="R494" s="218" t="s">
        <v>1580</v>
      </c>
      <c r="S494" s="218" t="s">
        <v>400</v>
      </c>
      <c r="T494" s="218" t="s">
        <v>2591</v>
      </c>
      <c r="U494" s="218" t="s">
        <v>2591</v>
      </c>
      <c r="V494" s="218" t="s">
        <v>381</v>
      </c>
      <c r="W494" s="218" t="s">
        <v>295</v>
      </c>
      <c r="X494" s="218" t="s">
        <v>379</v>
      </c>
      <c r="Y494" s="218">
        <v>11.35</v>
      </c>
      <c r="Z494" s="218">
        <f t="shared" si="9"/>
        <v>12.5</v>
      </c>
    </row>
    <row r="495" spans="1:26">
      <c r="A495" s="218" t="s">
        <v>2592</v>
      </c>
      <c r="B495" s="218"/>
      <c r="C495" s="218"/>
      <c r="D495" s="218"/>
      <c r="E495" s="218"/>
      <c r="F495" s="219" t="s">
        <v>3569</v>
      </c>
      <c r="G495" s="218" t="s">
        <v>255</v>
      </c>
      <c r="H495" s="218" t="s">
        <v>309</v>
      </c>
      <c r="I495" s="223">
        <v>43830</v>
      </c>
      <c r="J495" s="218" t="s">
        <v>3152</v>
      </c>
      <c r="K495" s="218" t="s">
        <v>3153</v>
      </c>
      <c r="L495" s="218" t="s">
        <v>2617</v>
      </c>
      <c r="M495" s="218" t="s">
        <v>509</v>
      </c>
      <c r="N495" s="218">
        <v>0.19</v>
      </c>
      <c r="O495" s="218" t="s">
        <v>292</v>
      </c>
      <c r="P495" s="218">
        <v>0.25</v>
      </c>
      <c r="Q495" s="218" t="s">
        <v>405</v>
      </c>
      <c r="R495" s="218" t="s">
        <v>1780</v>
      </c>
      <c r="S495" s="218" t="s">
        <v>400</v>
      </c>
      <c r="T495" s="218" t="s">
        <v>495</v>
      </c>
      <c r="U495" s="218" t="s">
        <v>2591</v>
      </c>
      <c r="V495" s="218" t="s">
        <v>381</v>
      </c>
      <c r="W495" s="218" t="s">
        <v>295</v>
      </c>
      <c r="X495" s="218" t="s">
        <v>379</v>
      </c>
      <c r="Y495" s="218">
        <v>0.22</v>
      </c>
      <c r="Z495" s="218">
        <f t="shared" si="9"/>
        <v>0.25</v>
      </c>
    </row>
    <row r="496" spans="1:26">
      <c r="A496" s="218" t="s">
        <v>2592</v>
      </c>
      <c r="B496" s="218"/>
      <c r="C496" s="218"/>
      <c r="D496" s="218"/>
      <c r="E496" s="218"/>
      <c r="F496" s="219" t="s">
        <v>3570</v>
      </c>
      <c r="G496" s="218" t="s">
        <v>255</v>
      </c>
      <c r="H496" s="218" t="s">
        <v>309</v>
      </c>
      <c r="I496" s="223">
        <v>43830</v>
      </c>
      <c r="J496" s="218" t="s">
        <v>3152</v>
      </c>
      <c r="K496" s="218" t="s">
        <v>3153</v>
      </c>
      <c r="L496" s="218" t="s">
        <v>2617</v>
      </c>
      <c r="M496" s="218" t="s">
        <v>510</v>
      </c>
      <c r="N496" s="218">
        <v>0.67</v>
      </c>
      <c r="O496" s="218" t="s">
        <v>292</v>
      </c>
      <c r="P496" s="218">
        <v>0.87</v>
      </c>
      <c r="Q496" s="218" t="s">
        <v>405</v>
      </c>
      <c r="R496" s="218" t="s">
        <v>1780</v>
      </c>
      <c r="S496" s="218" t="s">
        <v>400</v>
      </c>
      <c r="T496" s="218" t="s">
        <v>497</v>
      </c>
      <c r="U496" s="218" t="s">
        <v>2591</v>
      </c>
      <c r="V496" s="218" t="s">
        <v>381</v>
      </c>
      <c r="W496" s="218" t="s">
        <v>295</v>
      </c>
      <c r="X496" s="218" t="s">
        <v>379</v>
      </c>
      <c r="Y496" s="218">
        <v>0.79</v>
      </c>
      <c r="Z496" s="218">
        <f t="shared" si="9"/>
        <v>0.87</v>
      </c>
    </row>
    <row r="497" spans="1:26">
      <c r="A497" s="218" t="s">
        <v>2592</v>
      </c>
      <c r="B497" s="218"/>
      <c r="C497" s="218"/>
      <c r="D497" s="218"/>
      <c r="E497" s="218"/>
      <c r="F497" s="219" t="s">
        <v>3571</v>
      </c>
      <c r="G497" s="218" t="s">
        <v>255</v>
      </c>
      <c r="H497" s="218" t="s">
        <v>309</v>
      </c>
      <c r="I497" s="223">
        <v>43830</v>
      </c>
      <c r="J497" s="218" t="s">
        <v>3152</v>
      </c>
      <c r="K497" s="218" t="s">
        <v>3153</v>
      </c>
      <c r="L497" s="218" t="s">
        <v>2617</v>
      </c>
      <c r="M497" s="218" t="s">
        <v>3505</v>
      </c>
      <c r="N497" s="218">
        <v>0.64</v>
      </c>
      <c r="O497" s="218" t="s">
        <v>292</v>
      </c>
      <c r="P497" s="218">
        <v>0.83</v>
      </c>
      <c r="Q497" s="218" t="s">
        <v>405</v>
      </c>
      <c r="R497" s="218" t="s">
        <v>1780</v>
      </c>
      <c r="S497" s="218" t="s">
        <v>400</v>
      </c>
      <c r="T497" s="218" t="s">
        <v>499</v>
      </c>
      <c r="U497" s="218" t="s">
        <v>2591</v>
      </c>
      <c r="V497" s="218" t="s">
        <v>381</v>
      </c>
      <c r="W497" s="218" t="s">
        <v>295</v>
      </c>
      <c r="X497" s="218" t="s">
        <v>379</v>
      </c>
      <c r="Y497" s="218">
        <v>0.75</v>
      </c>
      <c r="Z497" s="218">
        <f t="shared" si="9"/>
        <v>0.83</v>
      </c>
    </row>
    <row r="498" spans="1:26">
      <c r="A498" s="218" t="s">
        <v>2592</v>
      </c>
      <c r="B498" s="218"/>
      <c r="C498" s="218"/>
      <c r="D498" s="218"/>
      <c r="E498" s="218"/>
      <c r="F498" s="219" t="s">
        <v>3572</v>
      </c>
      <c r="G498" s="218" t="s">
        <v>255</v>
      </c>
      <c r="H498" s="218" t="s">
        <v>309</v>
      </c>
      <c r="I498" s="223">
        <v>43830</v>
      </c>
      <c r="J498" s="218" t="s">
        <v>3152</v>
      </c>
      <c r="K498" s="218" t="s">
        <v>3153</v>
      </c>
      <c r="L498" s="218" t="s">
        <v>2617</v>
      </c>
      <c r="M498" s="218" t="s">
        <v>520</v>
      </c>
      <c r="N498" s="218">
        <v>0.46</v>
      </c>
      <c r="O498" s="218" t="s">
        <v>292</v>
      </c>
      <c r="P498" s="218">
        <v>0.6</v>
      </c>
      <c r="Q498" s="218" t="s">
        <v>405</v>
      </c>
      <c r="R498" s="218" t="s">
        <v>1780</v>
      </c>
      <c r="S498" s="218" t="s">
        <v>400</v>
      </c>
      <c r="T498" s="218" t="s">
        <v>491</v>
      </c>
      <c r="U498" s="218" t="s">
        <v>2591</v>
      </c>
      <c r="V498" s="218" t="s">
        <v>381</v>
      </c>
      <c r="W498" s="218" t="s">
        <v>295</v>
      </c>
      <c r="X498" s="218" t="s">
        <v>379</v>
      </c>
      <c r="Y498" s="218">
        <v>0.54</v>
      </c>
      <c r="Z498" s="218">
        <f t="shared" si="9"/>
        <v>0.6</v>
      </c>
    </row>
    <row r="499" spans="1:26">
      <c r="A499" s="218" t="s">
        <v>2592</v>
      </c>
      <c r="B499" s="218"/>
      <c r="C499" s="218"/>
      <c r="D499" s="218"/>
      <c r="E499" s="218"/>
      <c r="F499" s="219" t="s">
        <v>3573</v>
      </c>
      <c r="G499" s="218" t="s">
        <v>255</v>
      </c>
      <c r="H499" s="218" t="s">
        <v>309</v>
      </c>
      <c r="I499" s="223">
        <v>43830</v>
      </c>
      <c r="J499" s="218" t="s">
        <v>3152</v>
      </c>
      <c r="K499" s="218" t="s">
        <v>3153</v>
      </c>
      <c r="L499" s="218" t="s">
        <v>2617</v>
      </c>
      <c r="M499" s="218" t="s">
        <v>521</v>
      </c>
      <c r="N499" s="218">
        <v>0.18</v>
      </c>
      <c r="O499" s="218" t="s">
        <v>292</v>
      </c>
      <c r="P499" s="218">
        <v>0.23</v>
      </c>
      <c r="Q499" s="218" t="s">
        <v>405</v>
      </c>
      <c r="R499" s="218" t="s">
        <v>1780</v>
      </c>
      <c r="S499" s="218" t="s">
        <v>400</v>
      </c>
      <c r="T499" s="218" t="s">
        <v>493</v>
      </c>
      <c r="U499" s="218" t="s">
        <v>2591</v>
      </c>
      <c r="V499" s="218" t="s">
        <v>381</v>
      </c>
      <c r="W499" s="218" t="s">
        <v>295</v>
      </c>
      <c r="X499" s="218" t="s">
        <v>379</v>
      </c>
      <c r="Y499" s="218">
        <v>0.21</v>
      </c>
      <c r="Z499" s="218">
        <f t="shared" si="9"/>
        <v>0.23</v>
      </c>
    </row>
    <row r="500" spans="1:26">
      <c r="A500" s="218" t="s">
        <v>2592</v>
      </c>
      <c r="B500" s="218"/>
      <c r="C500" s="218"/>
      <c r="D500" s="218"/>
      <c r="E500" s="218"/>
      <c r="F500" s="219" t="s">
        <v>3574</v>
      </c>
      <c r="G500" s="218" t="s">
        <v>255</v>
      </c>
      <c r="H500" s="218" t="s">
        <v>309</v>
      </c>
      <c r="I500" s="223">
        <v>43830</v>
      </c>
      <c r="J500" s="218" t="s">
        <v>3152</v>
      </c>
      <c r="K500" s="218" t="s">
        <v>3155</v>
      </c>
      <c r="L500" s="218" t="s">
        <v>2617</v>
      </c>
      <c r="M500" s="218" t="s">
        <v>509</v>
      </c>
      <c r="N500" s="218">
        <v>0.06</v>
      </c>
      <c r="O500" s="218" t="s">
        <v>292</v>
      </c>
      <c r="P500" s="218">
        <v>0.08</v>
      </c>
      <c r="Q500" s="218" t="s">
        <v>405</v>
      </c>
      <c r="R500" s="218" t="s">
        <v>1780</v>
      </c>
      <c r="S500" s="218" t="s">
        <v>400</v>
      </c>
      <c r="T500" s="218" t="s">
        <v>495</v>
      </c>
      <c r="U500" s="218" t="s">
        <v>2591</v>
      </c>
      <c r="V500" s="218" t="s">
        <v>381</v>
      </c>
      <c r="W500" s="218" t="s">
        <v>295</v>
      </c>
      <c r="X500" s="218" t="s">
        <v>379</v>
      </c>
      <c r="Y500" s="218">
        <v>7.0000000000000007E-2</v>
      </c>
      <c r="Z500" s="218">
        <f t="shared" si="9"/>
        <v>0.08</v>
      </c>
    </row>
    <row r="501" spans="1:26">
      <c r="A501" s="218" t="s">
        <v>2592</v>
      </c>
      <c r="B501" s="218"/>
      <c r="C501" s="218"/>
      <c r="D501" s="218"/>
      <c r="E501" s="218"/>
      <c r="F501" s="219" t="s">
        <v>3575</v>
      </c>
      <c r="G501" s="218" t="s">
        <v>255</v>
      </c>
      <c r="H501" s="218" t="s">
        <v>309</v>
      </c>
      <c r="I501" s="223">
        <v>43830</v>
      </c>
      <c r="J501" s="218" t="s">
        <v>3152</v>
      </c>
      <c r="K501" s="218" t="s">
        <v>3155</v>
      </c>
      <c r="L501" s="218" t="s">
        <v>2617</v>
      </c>
      <c r="M501" s="218" t="s">
        <v>510</v>
      </c>
      <c r="N501" s="218">
        <v>0.42</v>
      </c>
      <c r="O501" s="218" t="s">
        <v>292</v>
      </c>
      <c r="P501" s="218">
        <v>0.54</v>
      </c>
      <c r="Q501" s="218" t="s">
        <v>405</v>
      </c>
      <c r="R501" s="218" t="s">
        <v>1780</v>
      </c>
      <c r="S501" s="218" t="s">
        <v>400</v>
      </c>
      <c r="T501" s="218" t="s">
        <v>497</v>
      </c>
      <c r="U501" s="218" t="s">
        <v>2591</v>
      </c>
      <c r="V501" s="218" t="s">
        <v>381</v>
      </c>
      <c r="W501" s="218" t="s">
        <v>295</v>
      </c>
      <c r="X501" s="218" t="s">
        <v>379</v>
      </c>
      <c r="Y501" s="218">
        <v>0.49</v>
      </c>
      <c r="Z501" s="218">
        <f t="shared" ref="Z501:Z564" si="10">P501</f>
        <v>0.54</v>
      </c>
    </row>
    <row r="502" spans="1:26">
      <c r="A502" s="218" t="s">
        <v>2592</v>
      </c>
      <c r="B502" s="218"/>
      <c r="C502" s="218"/>
      <c r="D502" s="218"/>
      <c r="E502" s="218"/>
      <c r="F502" s="219" t="s">
        <v>3576</v>
      </c>
      <c r="G502" s="218" t="s">
        <v>255</v>
      </c>
      <c r="H502" s="218" t="s">
        <v>309</v>
      </c>
      <c r="I502" s="223">
        <v>43830</v>
      </c>
      <c r="J502" s="218" t="s">
        <v>3152</v>
      </c>
      <c r="K502" s="218" t="s">
        <v>3155</v>
      </c>
      <c r="L502" s="218" t="s">
        <v>2617</v>
      </c>
      <c r="M502" s="218" t="s">
        <v>3505</v>
      </c>
      <c r="N502" s="218">
        <v>0.28999999999999998</v>
      </c>
      <c r="O502" s="218" t="s">
        <v>292</v>
      </c>
      <c r="P502" s="218">
        <v>0.37</v>
      </c>
      <c r="Q502" s="218" t="s">
        <v>405</v>
      </c>
      <c r="R502" s="218" t="s">
        <v>1780</v>
      </c>
      <c r="S502" s="218" t="s">
        <v>400</v>
      </c>
      <c r="T502" s="218" t="s">
        <v>499</v>
      </c>
      <c r="U502" s="218" t="s">
        <v>2591</v>
      </c>
      <c r="V502" s="218" t="s">
        <v>381</v>
      </c>
      <c r="W502" s="218" t="s">
        <v>295</v>
      </c>
      <c r="X502" s="218" t="s">
        <v>379</v>
      </c>
      <c r="Y502" s="218">
        <v>0.34</v>
      </c>
      <c r="Z502" s="218">
        <f t="shared" si="10"/>
        <v>0.37</v>
      </c>
    </row>
    <row r="503" spans="1:26">
      <c r="A503" s="218" t="s">
        <v>2592</v>
      </c>
      <c r="B503" s="218"/>
      <c r="C503" s="218"/>
      <c r="D503" s="218"/>
      <c r="E503" s="218"/>
      <c r="F503" s="219" t="s">
        <v>3577</v>
      </c>
      <c r="G503" s="218" t="s">
        <v>255</v>
      </c>
      <c r="H503" s="218" t="s">
        <v>309</v>
      </c>
      <c r="I503" s="223">
        <v>43830</v>
      </c>
      <c r="J503" s="218" t="s">
        <v>3152</v>
      </c>
      <c r="K503" s="218" t="s">
        <v>3155</v>
      </c>
      <c r="L503" s="218" t="s">
        <v>2617</v>
      </c>
      <c r="M503" s="218" t="s">
        <v>520</v>
      </c>
      <c r="N503" s="218">
        <v>0.15</v>
      </c>
      <c r="O503" s="218" t="s">
        <v>292</v>
      </c>
      <c r="P503" s="218">
        <v>0.2</v>
      </c>
      <c r="Q503" s="218" t="s">
        <v>405</v>
      </c>
      <c r="R503" s="218" t="s">
        <v>1780</v>
      </c>
      <c r="S503" s="218" t="s">
        <v>400</v>
      </c>
      <c r="T503" s="218" t="s">
        <v>491</v>
      </c>
      <c r="U503" s="218" t="s">
        <v>2591</v>
      </c>
      <c r="V503" s="218" t="s">
        <v>381</v>
      </c>
      <c r="W503" s="218" t="s">
        <v>295</v>
      </c>
      <c r="X503" s="218" t="s">
        <v>379</v>
      </c>
      <c r="Y503" s="218">
        <v>0.18</v>
      </c>
      <c r="Z503" s="218">
        <f t="shared" si="10"/>
        <v>0.2</v>
      </c>
    </row>
    <row r="504" spans="1:26">
      <c r="A504" s="218" t="s">
        <v>2592</v>
      </c>
      <c r="B504" s="218"/>
      <c r="C504" s="218"/>
      <c r="D504" s="218"/>
      <c r="E504" s="218"/>
      <c r="F504" s="219" t="s">
        <v>3578</v>
      </c>
      <c r="G504" s="218" t="s">
        <v>255</v>
      </c>
      <c r="H504" s="218" t="s">
        <v>309</v>
      </c>
      <c r="I504" s="223">
        <v>43830</v>
      </c>
      <c r="J504" s="218" t="s">
        <v>3152</v>
      </c>
      <c r="K504" s="218" t="s">
        <v>3155</v>
      </c>
      <c r="L504" s="218" t="s">
        <v>2617</v>
      </c>
      <c r="M504" s="218" t="s">
        <v>521</v>
      </c>
      <c r="N504" s="218">
        <v>0.3</v>
      </c>
      <c r="O504" s="218" t="s">
        <v>292</v>
      </c>
      <c r="P504" s="218">
        <v>0.39</v>
      </c>
      <c r="Q504" s="218" t="s">
        <v>405</v>
      </c>
      <c r="R504" s="218" t="s">
        <v>1780</v>
      </c>
      <c r="S504" s="218" t="s">
        <v>400</v>
      </c>
      <c r="T504" s="218" t="s">
        <v>493</v>
      </c>
      <c r="U504" s="218" t="s">
        <v>2591</v>
      </c>
      <c r="V504" s="218" t="s">
        <v>381</v>
      </c>
      <c r="W504" s="218" t="s">
        <v>295</v>
      </c>
      <c r="X504" s="218" t="s">
        <v>379</v>
      </c>
      <c r="Y504" s="218">
        <v>0.35</v>
      </c>
      <c r="Z504" s="218">
        <f t="shared" si="10"/>
        <v>0.39</v>
      </c>
    </row>
    <row r="505" spans="1:26">
      <c r="A505" s="218" t="s">
        <v>2592</v>
      </c>
      <c r="B505" s="218"/>
      <c r="C505" s="218"/>
      <c r="D505" s="218"/>
      <c r="E505" s="218"/>
      <c r="F505" s="219" t="s">
        <v>3579</v>
      </c>
      <c r="G505" s="218" t="s">
        <v>255</v>
      </c>
      <c r="H505" s="218" t="s">
        <v>309</v>
      </c>
      <c r="I505" s="223">
        <v>43830</v>
      </c>
      <c r="J505" s="218" t="s">
        <v>3011</v>
      </c>
      <c r="K505" s="218" t="s">
        <v>3580</v>
      </c>
      <c r="L505" s="218" t="s">
        <v>2704</v>
      </c>
      <c r="M505" s="218" t="s">
        <v>3581</v>
      </c>
      <c r="N505" s="218">
        <v>281.94</v>
      </c>
      <c r="O505" s="218" t="s">
        <v>292</v>
      </c>
      <c r="P505" s="218">
        <v>364.62</v>
      </c>
      <c r="Q505" s="218" t="s">
        <v>385</v>
      </c>
      <c r="R505" s="218" t="s">
        <v>1772</v>
      </c>
      <c r="S505" s="218" t="s">
        <v>396</v>
      </c>
      <c r="T505" s="218" t="s">
        <v>501</v>
      </c>
      <c r="U505" s="218" t="s">
        <v>2591</v>
      </c>
      <c r="V505" s="218" t="s">
        <v>381</v>
      </c>
      <c r="W505" s="218" t="s">
        <v>295</v>
      </c>
      <c r="X505" s="218" t="s">
        <v>379</v>
      </c>
      <c r="Y505" s="218">
        <v>330.99</v>
      </c>
      <c r="Z505" s="218">
        <f t="shared" si="10"/>
        <v>364.62</v>
      </c>
    </row>
    <row r="506" spans="1:26">
      <c r="A506" s="218" t="s">
        <v>2592</v>
      </c>
      <c r="B506" s="218"/>
      <c r="C506" s="218"/>
      <c r="D506" s="218"/>
      <c r="E506" s="218"/>
      <c r="F506" s="219" t="s">
        <v>3582</v>
      </c>
      <c r="G506" s="218" t="s">
        <v>255</v>
      </c>
      <c r="H506" s="218" t="s">
        <v>309</v>
      </c>
      <c r="I506" s="223">
        <v>43830</v>
      </c>
      <c r="J506" s="218" t="s">
        <v>3011</v>
      </c>
      <c r="K506" s="218" t="s">
        <v>3583</v>
      </c>
      <c r="L506" s="218" t="s">
        <v>2704</v>
      </c>
      <c r="M506" s="218" t="s">
        <v>3584</v>
      </c>
      <c r="N506" s="218">
        <v>30.73</v>
      </c>
      <c r="O506" s="218" t="s">
        <v>292</v>
      </c>
      <c r="P506" s="218">
        <v>39.74</v>
      </c>
      <c r="Q506" s="218" t="s">
        <v>385</v>
      </c>
      <c r="R506" s="218" t="s">
        <v>1772</v>
      </c>
      <c r="S506" s="218" t="s">
        <v>396</v>
      </c>
      <c r="T506" s="218" t="s">
        <v>908</v>
      </c>
      <c r="U506" s="218" t="s">
        <v>2591</v>
      </c>
      <c r="V506" s="218" t="s">
        <v>381</v>
      </c>
      <c r="W506" s="218" t="s">
        <v>295</v>
      </c>
      <c r="X506" s="218" t="s">
        <v>379</v>
      </c>
      <c r="Y506" s="218">
        <v>36.08</v>
      </c>
      <c r="Z506" s="218">
        <f t="shared" si="10"/>
        <v>39.74</v>
      </c>
    </row>
    <row r="507" spans="1:26">
      <c r="A507" s="218" t="s">
        <v>2592</v>
      </c>
      <c r="B507" s="218"/>
      <c r="C507" s="218"/>
      <c r="D507" s="218"/>
      <c r="E507" s="218"/>
      <c r="F507" s="219" t="s">
        <v>3585</v>
      </c>
      <c r="G507" s="218" t="s">
        <v>255</v>
      </c>
      <c r="H507" s="218" t="s">
        <v>309</v>
      </c>
      <c r="I507" s="223">
        <v>43830</v>
      </c>
      <c r="J507" s="218" t="s">
        <v>3011</v>
      </c>
      <c r="K507" s="218" t="s">
        <v>3586</v>
      </c>
      <c r="L507" s="218" t="s">
        <v>2704</v>
      </c>
      <c r="M507" s="218" t="s">
        <v>3587</v>
      </c>
      <c r="N507" s="218">
        <v>88.68</v>
      </c>
      <c r="O507" s="218" t="s">
        <v>292</v>
      </c>
      <c r="P507" s="218">
        <v>114.68</v>
      </c>
      <c r="Q507" s="218" t="s">
        <v>385</v>
      </c>
      <c r="R507" s="218" t="s">
        <v>1772</v>
      </c>
      <c r="S507" s="218" t="s">
        <v>396</v>
      </c>
      <c r="T507" s="218" t="s">
        <v>487</v>
      </c>
      <c r="U507" s="218" t="s">
        <v>2591</v>
      </c>
      <c r="V507" s="218" t="s">
        <v>381</v>
      </c>
      <c r="W507" s="218" t="s">
        <v>295</v>
      </c>
      <c r="X507" s="218" t="s">
        <v>379</v>
      </c>
      <c r="Y507" s="218">
        <v>104.11</v>
      </c>
      <c r="Z507" s="218">
        <f t="shared" si="10"/>
        <v>114.68</v>
      </c>
    </row>
    <row r="508" spans="1:26">
      <c r="A508" s="218" t="s">
        <v>2592</v>
      </c>
      <c r="B508" s="218"/>
      <c r="C508" s="218"/>
      <c r="D508" s="218"/>
      <c r="E508" s="218"/>
      <c r="F508" s="219" t="s">
        <v>3588</v>
      </c>
      <c r="G508" s="218" t="s">
        <v>255</v>
      </c>
      <c r="H508" s="218" t="s">
        <v>309</v>
      </c>
      <c r="I508" s="223">
        <v>43830</v>
      </c>
      <c r="J508" s="218" t="s">
        <v>3011</v>
      </c>
      <c r="K508" s="218" t="s">
        <v>3589</v>
      </c>
      <c r="L508" s="218" t="s">
        <v>2704</v>
      </c>
      <c r="M508" s="218" t="s">
        <v>3590</v>
      </c>
      <c r="N508" s="218">
        <v>30.01</v>
      </c>
      <c r="O508" s="218" t="s">
        <v>292</v>
      </c>
      <c r="P508" s="218">
        <v>38.81</v>
      </c>
      <c r="Q508" s="218" t="s">
        <v>385</v>
      </c>
      <c r="R508" s="218" t="s">
        <v>1772</v>
      </c>
      <c r="S508" s="218" t="s">
        <v>396</v>
      </c>
      <c r="T508" s="218" t="s">
        <v>628</v>
      </c>
      <c r="U508" s="218" t="s">
        <v>2591</v>
      </c>
      <c r="V508" s="218" t="s">
        <v>381</v>
      </c>
      <c r="W508" s="218" t="s">
        <v>295</v>
      </c>
      <c r="X508" s="218" t="s">
        <v>379</v>
      </c>
      <c r="Y508" s="218">
        <v>35.229999999999997</v>
      </c>
      <c r="Z508" s="218">
        <f t="shared" si="10"/>
        <v>38.81</v>
      </c>
    </row>
    <row r="509" spans="1:26">
      <c r="A509" s="218" t="s">
        <v>2592</v>
      </c>
      <c r="B509" s="218"/>
      <c r="C509" s="218"/>
      <c r="D509" s="218"/>
      <c r="E509" s="218"/>
      <c r="F509" s="219" t="s">
        <v>3591</v>
      </c>
      <c r="G509" s="218" t="s">
        <v>255</v>
      </c>
      <c r="H509" s="218" t="s">
        <v>309</v>
      </c>
      <c r="I509" s="223">
        <v>43830</v>
      </c>
      <c r="J509" s="218" t="s">
        <v>3011</v>
      </c>
      <c r="K509" s="218" t="s">
        <v>3592</v>
      </c>
      <c r="L509" s="218" t="s">
        <v>2704</v>
      </c>
      <c r="M509" s="218" t="s">
        <v>3593</v>
      </c>
      <c r="N509" s="218">
        <v>105.3</v>
      </c>
      <c r="O509" s="218" t="s">
        <v>292</v>
      </c>
      <c r="P509" s="218">
        <v>136.18</v>
      </c>
      <c r="Q509" s="218" t="s">
        <v>385</v>
      </c>
      <c r="R509" s="218" t="s">
        <v>1772</v>
      </c>
      <c r="S509" s="218" t="s">
        <v>396</v>
      </c>
      <c r="T509" s="218" t="s">
        <v>489</v>
      </c>
      <c r="U509" s="218" t="s">
        <v>2591</v>
      </c>
      <c r="V509" s="218" t="s">
        <v>381</v>
      </c>
      <c r="W509" s="218" t="s">
        <v>295</v>
      </c>
      <c r="X509" s="218" t="s">
        <v>379</v>
      </c>
      <c r="Y509" s="218">
        <v>123.62</v>
      </c>
      <c r="Z509" s="218">
        <f t="shared" si="10"/>
        <v>136.18</v>
      </c>
    </row>
    <row r="510" spans="1:26">
      <c r="A510" s="218" t="s">
        <v>2592</v>
      </c>
      <c r="B510" s="218"/>
      <c r="C510" s="218"/>
      <c r="D510" s="218"/>
      <c r="E510" s="218"/>
      <c r="F510" s="219" t="s">
        <v>3594</v>
      </c>
      <c r="G510" s="218" t="s">
        <v>255</v>
      </c>
      <c r="H510" s="218" t="s">
        <v>309</v>
      </c>
      <c r="I510" s="223">
        <v>43830</v>
      </c>
      <c r="J510" s="218" t="s">
        <v>3011</v>
      </c>
      <c r="K510" s="218" t="s">
        <v>3595</v>
      </c>
      <c r="L510" s="218" t="s">
        <v>2704</v>
      </c>
      <c r="M510" s="218" t="s">
        <v>3596</v>
      </c>
      <c r="N510" s="218">
        <v>31.94</v>
      </c>
      <c r="O510" s="218" t="s">
        <v>292</v>
      </c>
      <c r="P510" s="218">
        <v>41.31</v>
      </c>
      <c r="Q510" s="218" t="s">
        <v>385</v>
      </c>
      <c r="R510" s="218" t="s">
        <v>1772</v>
      </c>
      <c r="S510" s="218" t="s">
        <v>396</v>
      </c>
      <c r="T510" s="218" t="s">
        <v>915</v>
      </c>
      <c r="U510" s="218" t="s">
        <v>2591</v>
      </c>
      <c r="V510" s="218" t="s">
        <v>381</v>
      </c>
      <c r="W510" s="218" t="s">
        <v>295</v>
      </c>
      <c r="X510" s="218" t="s">
        <v>379</v>
      </c>
      <c r="Y510" s="218">
        <v>37.5</v>
      </c>
      <c r="Z510" s="218">
        <f t="shared" si="10"/>
        <v>41.31</v>
      </c>
    </row>
    <row r="511" spans="1:26">
      <c r="A511" s="218" t="s">
        <v>2592</v>
      </c>
      <c r="B511" s="218"/>
      <c r="C511" s="218"/>
      <c r="D511" s="218"/>
      <c r="E511" s="218"/>
      <c r="F511" s="219" t="s">
        <v>3597</v>
      </c>
      <c r="G511" s="218" t="s">
        <v>255</v>
      </c>
      <c r="H511" s="218" t="s">
        <v>309</v>
      </c>
      <c r="I511" s="223">
        <v>43830</v>
      </c>
      <c r="J511" s="218" t="s">
        <v>3014</v>
      </c>
      <c r="K511" s="218" t="s">
        <v>3000</v>
      </c>
      <c r="L511" s="218" t="s">
        <v>2704</v>
      </c>
      <c r="M511" s="218" t="s">
        <v>3598</v>
      </c>
      <c r="N511" s="218">
        <v>41.64</v>
      </c>
      <c r="O511" s="218" t="s">
        <v>292</v>
      </c>
      <c r="P511" s="218">
        <v>53.85</v>
      </c>
      <c r="Q511" s="218" t="s">
        <v>385</v>
      </c>
      <c r="R511" s="218" t="s">
        <v>1772</v>
      </c>
      <c r="S511" s="218" t="s">
        <v>396</v>
      </c>
      <c r="T511" s="218" t="s">
        <v>501</v>
      </c>
      <c r="U511" s="218" t="s">
        <v>2591</v>
      </c>
      <c r="V511" s="218" t="s">
        <v>381</v>
      </c>
      <c r="W511" s="218" t="s">
        <v>295</v>
      </c>
      <c r="X511" s="218" t="s">
        <v>379</v>
      </c>
      <c r="Y511" s="218">
        <v>48.88</v>
      </c>
      <c r="Z511" s="218">
        <f t="shared" si="10"/>
        <v>53.85</v>
      </c>
    </row>
    <row r="512" spans="1:26">
      <c r="A512" s="218" t="s">
        <v>2592</v>
      </c>
      <c r="B512" s="218"/>
      <c r="C512" s="218"/>
      <c r="D512" s="218"/>
      <c r="E512" s="218"/>
      <c r="F512" s="219" t="s">
        <v>3599</v>
      </c>
      <c r="G512" s="218" t="s">
        <v>255</v>
      </c>
      <c r="H512" s="218" t="s">
        <v>309</v>
      </c>
      <c r="I512" s="223">
        <v>43830</v>
      </c>
      <c r="J512" s="218" t="s">
        <v>3014</v>
      </c>
      <c r="K512" s="218" t="s">
        <v>3000</v>
      </c>
      <c r="L512" s="218" t="s">
        <v>2704</v>
      </c>
      <c r="M512" s="218" t="s">
        <v>3600</v>
      </c>
      <c r="N512" s="218">
        <v>2.4900000000000002</v>
      </c>
      <c r="O512" s="218" t="s">
        <v>292</v>
      </c>
      <c r="P512" s="218">
        <v>3.22</v>
      </c>
      <c r="Q512" s="218" t="s">
        <v>385</v>
      </c>
      <c r="R512" s="218" t="s">
        <v>1772</v>
      </c>
      <c r="S512" s="218" t="s">
        <v>396</v>
      </c>
      <c r="T512" s="218" t="s">
        <v>908</v>
      </c>
      <c r="U512" s="218" t="s">
        <v>2591</v>
      </c>
      <c r="V512" s="218" t="s">
        <v>381</v>
      </c>
      <c r="W512" s="218" t="s">
        <v>295</v>
      </c>
      <c r="X512" s="218" t="s">
        <v>379</v>
      </c>
      <c r="Y512" s="218">
        <v>2.92</v>
      </c>
      <c r="Z512" s="218">
        <f t="shared" si="10"/>
        <v>3.22</v>
      </c>
    </row>
    <row r="513" spans="1:26">
      <c r="A513" s="218" t="s">
        <v>2592</v>
      </c>
      <c r="B513" s="218"/>
      <c r="C513" s="218"/>
      <c r="D513" s="218"/>
      <c r="E513" s="218"/>
      <c r="F513" s="219" t="s">
        <v>3601</v>
      </c>
      <c r="G513" s="218" t="s">
        <v>255</v>
      </c>
      <c r="H513" s="218" t="s">
        <v>309</v>
      </c>
      <c r="I513" s="223">
        <v>43830</v>
      </c>
      <c r="J513" s="218" t="s">
        <v>3014</v>
      </c>
      <c r="K513" s="218" t="s">
        <v>3000</v>
      </c>
      <c r="L513" s="218" t="s">
        <v>2704</v>
      </c>
      <c r="M513" s="218" t="s">
        <v>3602</v>
      </c>
      <c r="N513" s="218">
        <v>7.18</v>
      </c>
      <c r="O513" s="218" t="s">
        <v>292</v>
      </c>
      <c r="P513" s="218">
        <v>9.2799999999999994</v>
      </c>
      <c r="Q513" s="218" t="s">
        <v>385</v>
      </c>
      <c r="R513" s="218" t="s">
        <v>1772</v>
      </c>
      <c r="S513" s="218" t="s">
        <v>396</v>
      </c>
      <c r="T513" s="218" t="s">
        <v>487</v>
      </c>
      <c r="U513" s="218" t="s">
        <v>2591</v>
      </c>
      <c r="V513" s="218" t="s">
        <v>381</v>
      </c>
      <c r="W513" s="218" t="s">
        <v>295</v>
      </c>
      <c r="X513" s="218" t="s">
        <v>379</v>
      </c>
      <c r="Y513" s="218">
        <v>8.43</v>
      </c>
      <c r="Z513" s="218">
        <f t="shared" si="10"/>
        <v>9.2799999999999994</v>
      </c>
    </row>
    <row r="514" spans="1:26">
      <c r="A514" s="218" t="s">
        <v>2592</v>
      </c>
      <c r="B514" s="218"/>
      <c r="C514" s="218"/>
      <c r="D514" s="218"/>
      <c r="E514" s="218"/>
      <c r="F514" s="219" t="s">
        <v>3603</v>
      </c>
      <c r="G514" s="218" t="s">
        <v>255</v>
      </c>
      <c r="H514" s="218" t="s">
        <v>309</v>
      </c>
      <c r="I514" s="223">
        <v>43830</v>
      </c>
      <c r="J514" s="218" t="s">
        <v>3014</v>
      </c>
      <c r="K514" s="218" t="s">
        <v>3000</v>
      </c>
      <c r="L514" s="218" t="s">
        <v>2704</v>
      </c>
      <c r="M514" s="218" t="s">
        <v>3604</v>
      </c>
      <c r="N514" s="218">
        <v>2.78</v>
      </c>
      <c r="O514" s="218" t="s">
        <v>292</v>
      </c>
      <c r="P514" s="218">
        <v>3.59</v>
      </c>
      <c r="Q514" s="218" t="s">
        <v>385</v>
      </c>
      <c r="R514" s="218" t="s">
        <v>1772</v>
      </c>
      <c r="S514" s="218" t="s">
        <v>396</v>
      </c>
      <c r="T514" s="218" t="s">
        <v>628</v>
      </c>
      <c r="U514" s="218" t="s">
        <v>2591</v>
      </c>
      <c r="V514" s="218" t="s">
        <v>381</v>
      </c>
      <c r="W514" s="218" t="s">
        <v>295</v>
      </c>
      <c r="X514" s="218" t="s">
        <v>379</v>
      </c>
      <c r="Y514" s="218">
        <v>3.26</v>
      </c>
      <c r="Z514" s="218">
        <f t="shared" si="10"/>
        <v>3.59</v>
      </c>
    </row>
    <row r="515" spans="1:26">
      <c r="A515" s="218" t="s">
        <v>2592</v>
      </c>
      <c r="B515" s="218"/>
      <c r="C515" s="218"/>
      <c r="D515" s="218"/>
      <c r="E515" s="218"/>
      <c r="F515" s="219" t="s">
        <v>3605</v>
      </c>
      <c r="G515" s="218" t="s">
        <v>255</v>
      </c>
      <c r="H515" s="218" t="s">
        <v>309</v>
      </c>
      <c r="I515" s="223">
        <v>43830</v>
      </c>
      <c r="J515" s="218" t="s">
        <v>3014</v>
      </c>
      <c r="K515" s="218" t="s">
        <v>3000</v>
      </c>
      <c r="L515" s="218" t="s">
        <v>2704</v>
      </c>
      <c r="M515" s="218" t="s">
        <v>3606</v>
      </c>
      <c r="N515" s="218">
        <v>12.55</v>
      </c>
      <c r="O515" s="218" t="s">
        <v>292</v>
      </c>
      <c r="P515" s="218">
        <v>16.23</v>
      </c>
      <c r="Q515" s="218" t="s">
        <v>385</v>
      </c>
      <c r="R515" s="218" t="s">
        <v>1772</v>
      </c>
      <c r="S515" s="218" t="s">
        <v>396</v>
      </c>
      <c r="T515" s="218" t="s">
        <v>489</v>
      </c>
      <c r="U515" s="218" t="s">
        <v>2591</v>
      </c>
      <c r="V515" s="218" t="s">
        <v>381</v>
      </c>
      <c r="W515" s="218" t="s">
        <v>295</v>
      </c>
      <c r="X515" s="218" t="s">
        <v>379</v>
      </c>
      <c r="Y515" s="218">
        <v>14.73</v>
      </c>
      <c r="Z515" s="218">
        <f t="shared" si="10"/>
        <v>16.23</v>
      </c>
    </row>
    <row r="516" spans="1:26">
      <c r="A516" s="218" t="s">
        <v>2592</v>
      </c>
      <c r="B516" s="218"/>
      <c r="C516" s="218"/>
      <c r="D516" s="218"/>
      <c r="E516" s="218"/>
      <c r="F516" s="219" t="s">
        <v>3607</v>
      </c>
      <c r="G516" s="218" t="s">
        <v>255</v>
      </c>
      <c r="H516" s="218" t="s">
        <v>309</v>
      </c>
      <c r="I516" s="223">
        <v>43830</v>
      </c>
      <c r="J516" s="218" t="s">
        <v>3014</v>
      </c>
      <c r="K516" s="218" t="s">
        <v>3000</v>
      </c>
      <c r="L516" s="218" t="s">
        <v>2704</v>
      </c>
      <c r="M516" s="218" t="s">
        <v>3608</v>
      </c>
      <c r="N516" s="218">
        <v>2.1</v>
      </c>
      <c r="O516" s="218" t="s">
        <v>292</v>
      </c>
      <c r="P516" s="218">
        <v>2.72</v>
      </c>
      <c r="Q516" s="218" t="s">
        <v>385</v>
      </c>
      <c r="R516" s="218" t="s">
        <v>1772</v>
      </c>
      <c r="S516" s="218" t="s">
        <v>396</v>
      </c>
      <c r="T516" s="218" t="s">
        <v>915</v>
      </c>
      <c r="U516" s="218" t="s">
        <v>2591</v>
      </c>
      <c r="V516" s="218" t="s">
        <v>381</v>
      </c>
      <c r="W516" s="218" t="s">
        <v>295</v>
      </c>
      <c r="X516" s="218" t="s">
        <v>379</v>
      </c>
      <c r="Y516" s="218">
        <v>2.4700000000000002</v>
      </c>
      <c r="Z516" s="218">
        <f t="shared" si="10"/>
        <v>2.72</v>
      </c>
    </row>
    <row r="517" spans="1:26">
      <c r="A517" s="218" t="s">
        <v>2592</v>
      </c>
      <c r="B517" s="218"/>
      <c r="C517" s="218"/>
      <c r="D517" s="218"/>
      <c r="E517" s="218"/>
      <c r="F517" s="219" t="s">
        <v>3609</v>
      </c>
      <c r="G517" s="218" t="s">
        <v>255</v>
      </c>
      <c r="H517" s="218" t="s">
        <v>309</v>
      </c>
      <c r="I517" s="223">
        <v>43830</v>
      </c>
      <c r="J517" s="218" t="s">
        <v>3016</v>
      </c>
      <c r="K517" s="218" t="s">
        <v>3004</v>
      </c>
      <c r="L517" s="218" t="s">
        <v>2704</v>
      </c>
      <c r="M517" s="218" t="s">
        <v>3610</v>
      </c>
      <c r="N517" s="218">
        <v>44.48</v>
      </c>
      <c r="O517" s="218" t="s">
        <v>292</v>
      </c>
      <c r="P517" s="218">
        <v>57.52</v>
      </c>
      <c r="Q517" s="218" t="s">
        <v>391</v>
      </c>
      <c r="R517" s="218" t="s">
        <v>1777</v>
      </c>
      <c r="S517" s="218" t="s">
        <v>396</v>
      </c>
      <c r="T517" s="218" t="s">
        <v>501</v>
      </c>
      <c r="U517" s="218" t="s">
        <v>2591</v>
      </c>
      <c r="V517" s="218" t="s">
        <v>381</v>
      </c>
      <c r="W517" s="218" t="s">
        <v>295</v>
      </c>
      <c r="X517" s="218" t="s">
        <v>379</v>
      </c>
      <c r="Y517" s="218">
        <v>52.22</v>
      </c>
      <c r="Z517" s="218">
        <f t="shared" si="10"/>
        <v>57.52</v>
      </c>
    </row>
    <row r="518" spans="1:26">
      <c r="A518" s="218" t="s">
        <v>2592</v>
      </c>
      <c r="B518" s="218"/>
      <c r="C518" s="218"/>
      <c r="D518" s="218"/>
      <c r="E518" s="218"/>
      <c r="F518" s="219" t="s">
        <v>3611</v>
      </c>
      <c r="G518" s="218" t="s">
        <v>255</v>
      </c>
      <c r="H518" s="218" t="s">
        <v>309</v>
      </c>
      <c r="I518" s="223">
        <v>43830</v>
      </c>
      <c r="J518" s="218" t="s">
        <v>3016</v>
      </c>
      <c r="K518" s="218" t="s">
        <v>3004</v>
      </c>
      <c r="L518" s="218" t="s">
        <v>2704</v>
      </c>
      <c r="M518" s="218" t="s">
        <v>3612</v>
      </c>
      <c r="N518" s="218">
        <v>4.21</v>
      </c>
      <c r="O518" s="218" t="s">
        <v>292</v>
      </c>
      <c r="P518" s="218">
        <v>5.45</v>
      </c>
      <c r="Q518" s="218" t="s">
        <v>391</v>
      </c>
      <c r="R518" s="218" t="s">
        <v>1777</v>
      </c>
      <c r="S518" s="218" t="s">
        <v>396</v>
      </c>
      <c r="T518" s="218" t="s">
        <v>908</v>
      </c>
      <c r="U518" s="218" t="s">
        <v>2591</v>
      </c>
      <c r="V518" s="218" t="s">
        <v>381</v>
      </c>
      <c r="W518" s="218" t="s">
        <v>295</v>
      </c>
      <c r="X518" s="218" t="s">
        <v>379</v>
      </c>
      <c r="Y518" s="218">
        <v>4.9400000000000004</v>
      </c>
      <c r="Z518" s="218">
        <f t="shared" si="10"/>
        <v>5.45</v>
      </c>
    </row>
    <row r="519" spans="1:26">
      <c r="A519" s="218" t="s">
        <v>2592</v>
      </c>
      <c r="B519" s="218"/>
      <c r="C519" s="218"/>
      <c r="D519" s="218"/>
      <c r="E519" s="218"/>
      <c r="F519" s="219" t="s">
        <v>3613</v>
      </c>
      <c r="G519" s="218" t="s">
        <v>255</v>
      </c>
      <c r="H519" s="218" t="s">
        <v>309</v>
      </c>
      <c r="I519" s="223">
        <v>43830</v>
      </c>
      <c r="J519" s="218" t="s">
        <v>3016</v>
      </c>
      <c r="K519" s="218" t="s">
        <v>3004</v>
      </c>
      <c r="L519" s="218" t="s">
        <v>2704</v>
      </c>
      <c r="M519" s="218" t="s">
        <v>3614</v>
      </c>
      <c r="N519" s="218">
        <v>11.6</v>
      </c>
      <c r="O519" s="218" t="s">
        <v>292</v>
      </c>
      <c r="P519" s="218">
        <v>15</v>
      </c>
      <c r="Q519" s="218" t="s">
        <v>391</v>
      </c>
      <c r="R519" s="218" t="s">
        <v>1777</v>
      </c>
      <c r="S519" s="218" t="s">
        <v>396</v>
      </c>
      <c r="T519" s="218" t="s">
        <v>487</v>
      </c>
      <c r="U519" s="218" t="s">
        <v>2591</v>
      </c>
      <c r="V519" s="218" t="s">
        <v>381</v>
      </c>
      <c r="W519" s="218" t="s">
        <v>295</v>
      </c>
      <c r="X519" s="218" t="s">
        <v>379</v>
      </c>
      <c r="Y519" s="218">
        <v>13.62</v>
      </c>
      <c r="Z519" s="218">
        <f t="shared" si="10"/>
        <v>15</v>
      </c>
    </row>
    <row r="520" spans="1:26">
      <c r="A520" s="218" t="s">
        <v>2592</v>
      </c>
      <c r="B520" s="218"/>
      <c r="C520" s="218"/>
      <c r="D520" s="218"/>
      <c r="E520" s="218"/>
      <c r="F520" s="219" t="s">
        <v>3615</v>
      </c>
      <c r="G520" s="218" t="s">
        <v>255</v>
      </c>
      <c r="H520" s="218" t="s">
        <v>309</v>
      </c>
      <c r="I520" s="223">
        <v>43830</v>
      </c>
      <c r="J520" s="218" t="s">
        <v>3016</v>
      </c>
      <c r="K520" s="218" t="s">
        <v>3004</v>
      </c>
      <c r="L520" s="218" t="s">
        <v>2704</v>
      </c>
      <c r="M520" s="218" t="s">
        <v>3616</v>
      </c>
      <c r="N520" s="218">
        <v>4.21</v>
      </c>
      <c r="O520" s="218" t="s">
        <v>292</v>
      </c>
      <c r="P520" s="218">
        <v>5.45</v>
      </c>
      <c r="Q520" s="218" t="s">
        <v>391</v>
      </c>
      <c r="R520" s="218" t="s">
        <v>1777</v>
      </c>
      <c r="S520" s="218" t="s">
        <v>396</v>
      </c>
      <c r="T520" s="218" t="s">
        <v>628</v>
      </c>
      <c r="U520" s="218" t="s">
        <v>2591</v>
      </c>
      <c r="V520" s="218" t="s">
        <v>381</v>
      </c>
      <c r="W520" s="218" t="s">
        <v>295</v>
      </c>
      <c r="X520" s="218" t="s">
        <v>379</v>
      </c>
      <c r="Y520" s="218">
        <v>4.9400000000000004</v>
      </c>
      <c r="Z520" s="218">
        <f t="shared" si="10"/>
        <v>5.45</v>
      </c>
    </row>
    <row r="521" spans="1:26">
      <c r="A521" s="218" t="s">
        <v>2592</v>
      </c>
      <c r="B521" s="218"/>
      <c r="C521" s="218"/>
      <c r="D521" s="218"/>
      <c r="E521" s="218"/>
      <c r="F521" s="219" t="s">
        <v>3617</v>
      </c>
      <c r="G521" s="218" t="s">
        <v>255</v>
      </c>
      <c r="H521" s="218" t="s">
        <v>309</v>
      </c>
      <c r="I521" s="223">
        <v>43830</v>
      </c>
      <c r="J521" s="218" t="s">
        <v>3016</v>
      </c>
      <c r="K521" s="218" t="s">
        <v>3004</v>
      </c>
      <c r="L521" s="218" t="s">
        <v>2704</v>
      </c>
      <c r="M521" s="218" t="s">
        <v>3618</v>
      </c>
      <c r="N521" s="218">
        <v>16.22</v>
      </c>
      <c r="O521" s="218" t="s">
        <v>292</v>
      </c>
      <c r="P521" s="218">
        <v>20.97</v>
      </c>
      <c r="Q521" s="218" t="s">
        <v>391</v>
      </c>
      <c r="R521" s="218" t="s">
        <v>1777</v>
      </c>
      <c r="S521" s="218" t="s">
        <v>396</v>
      </c>
      <c r="T521" s="218" t="s">
        <v>489</v>
      </c>
      <c r="U521" s="218" t="s">
        <v>2591</v>
      </c>
      <c r="V521" s="218" t="s">
        <v>381</v>
      </c>
      <c r="W521" s="218" t="s">
        <v>295</v>
      </c>
      <c r="X521" s="218" t="s">
        <v>379</v>
      </c>
      <c r="Y521" s="218">
        <v>19.04</v>
      </c>
      <c r="Z521" s="218">
        <f t="shared" si="10"/>
        <v>20.97</v>
      </c>
    </row>
    <row r="522" spans="1:26">
      <c r="A522" s="218" t="s">
        <v>2592</v>
      </c>
      <c r="B522" s="218"/>
      <c r="C522" s="218"/>
      <c r="D522" s="218"/>
      <c r="E522" s="218"/>
      <c r="F522" s="219" t="s">
        <v>3619</v>
      </c>
      <c r="G522" s="218" t="s">
        <v>255</v>
      </c>
      <c r="H522" s="218" t="s">
        <v>309</v>
      </c>
      <c r="I522" s="223">
        <v>43830</v>
      </c>
      <c r="J522" s="218" t="s">
        <v>3016</v>
      </c>
      <c r="K522" s="218" t="s">
        <v>3004</v>
      </c>
      <c r="L522" s="218" t="s">
        <v>2704</v>
      </c>
      <c r="M522" s="218" t="s">
        <v>3620</v>
      </c>
      <c r="N522" s="218">
        <v>4.38</v>
      </c>
      <c r="O522" s="218" t="s">
        <v>292</v>
      </c>
      <c r="P522" s="218">
        <v>5.66</v>
      </c>
      <c r="Q522" s="218" t="s">
        <v>391</v>
      </c>
      <c r="R522" s="218" t="s">
        <v>1777</v>
      </c>
      <c r="S522" s="218" t="s">
        <v>396</v>
      </c>
      <c r="T522" s="218" t="s">
        <v>915</v>
      </c>
      <c r="U522" s="218" t="s">
        <v>2591</v>
      </c>
      <c r="V522" s="218" t="s">
        <v>381</v>
      </c>
      <c r="W522" s="218" t="s">
        <v>295</v>
      </c>
      <c r="X522" s="218" t="s">
        <v>379</v>
      </c>
      <c r="Y522" s="218">
        <v>5.14</v>
      </c>
      <c r="Z522" s="218">
        <f t="shared" si="10"/>
        <v>5.66</v>
      </c>
    </row>
    <row r="523" spans="1:26">
      <c r="A523" s="218" t="s">
        <v>2592</v>
      </c>
      <c r="B523" s="218"/>
      <c r="C523" s="218"/>
      <c r="D523" s="218"/>
      <c r="E523" s="218"/>
      <c r="F523" s="219" t="s">
        <v>3621</v>
      </c>
      <c r="G523" s="218" t="s">
        <v>255</v>
      </c>
      <c r="H523" s="218" t="s">
        <v>309</v>
      </c>
      <c r="I523" s="223">
        <v>43830</v>
      </c>
      <c r="J523" s="218" t="s">
        <v>3018</v>
      </c>
      <c r="K523" s="218" t="s">
        <v>3008</v>
      </c>
      <c r="L523" s="218" t="s">
        <v>2704</v>
      </c>
      <c r="M523" s="218" t="s">
        <v>3622</v>
      </c>
      <c r="N523" s="218">
        <v>7.42</v>
      </c>
      <c r="O523" s="218" t="s">
        <v>292</v>
      </c>
      <c r="P523" s="218">
        <v>9.59</v>
      </c>
      <c r="Q523" s="218" t="s">
        <v>405</v>
      </c>
      <c r="R523" s="218" t="s">
        <v>1780</v>
      </c>
      <c r="S523" s="218" t="s">
        <v>396</v>
      </c>
      <c r="T523" s="218" t="s">
        <v>501</v>
      </c>
      <c r="U523" s="218" t="s">
        <v>2591</v>
      </c>
      <c r="V523" s="218" t="s">
        <v>381</v>
      </c>
      <c r="W523" s="218" t="s">
        <v>295</v>
      </c>
      <c r="X523" s="218" t="s">
        <v>379</v>
      </c>
      <c r="Y523" s="218">
        <v>8.7100000000000009</v>
      </c>
      <c r="Z523" s="218">
        <f t="shared" si="10"/>
        <v>9.59</v>
      </c>
    </row>
    <row r="524" spans="1:26">
      <c r="A524" s="218" t="s">
        <v>2592</v>
      </c>
      <c r="B524" s="218"/>
      <c r="C524" s="218"/>
      <c r="D524" s="218"/>
      <c r="E524" s="218"/>
      <c r="F524" s="219" t="s">
        <v>3623</v>
      </c>
      <c r="G524" s="218" t="s">
        <v>255</v>
      </c>
      <c r="H524" s="218" t="s">
        <v>309</v>
      </c>
      <c r="I524" s="223">
        <v>43830</v>
      </c>
      <c r="J524" s="218" t="s">
        <v>3018</v>
      </c>
      <c r="K524" s="218" t="s">
        <v>3008</v>
      </c>
      <c r="L524" s="218" t="s">
        <v>2704</v>
      </c>
      <c r="M524" s="218" t="s">
        <v>3624</v>
      </c>
      <c r="N524" s="218">
        <v>0.7</v>
      </c>
      <c r="O524" s="218" t="s">
        <v>292</v>
      </c>
      <c r="P524" s="218">
        <v>0.91</v>
      </c>
      <c r="Q524" s="218" t="s">
        <v>405</v>
      </c>
      <c r="R524" s="218" t="s">
        <v>1780</v>
      </c>
      <c r="S524" s="218" t="s">
        <v>396</v>
      </c>
      <c r="T524" s="218" t="s">
        <v>908</v>
      </c>
      <c r="U524" s="218" t="s">
        <v>2591</v>
      </c>
      <c r="V524" s="218" t="s">
        <v>381</v>
      </c>
      <c r="W524" s="218" t="s">
        <v>295</v>
      </c>
      <c r="X524" s="218" t="s">
        <v>379</v>
      </c>
      <c r="Y524" s="218">
        <v>0.82</v>
      </c>
      <c r="Z524" s="218">
        <f t="shared" si="10"/>
        <v>0.91</v>
      </c>
    </row>
    <row r="525" spans="1:26">
      <c r="A525" s="218" t="s">
        <v>2592</v>
      </c>
      <c r="B525" s="218"/>
      <c r="C525" s="218"/>
      <c r="D525" s="218"/>
      <c r="E525" s="218"/>
      <c r="F525" s="219" t="s">
        <v>3625</v>
      </c>
      <c r="G525" s="218" t="s">
        <v>255</v>
      </c>
      <c r="H525" s="218" t="s">
        <v>309</v>
      </c>
      <c r="I525" s="223">
        <v>43830</v>
      </c>
      <c r="J525" s="218" t="s">
        <v>3018</v>
      </c>
      <c r="K525" s="218" t="s">
        <v>3008</v>
      </c>
      <c r="L525" s="218" t="s">
        <v>2704</v>
      </c>
      <c r="M525" s="218" t="s">
        <v>3626</v>
      </c>
      <c r="N525" s="218">
        <v>1.93</v>
      </c>
      <c r="O525" s="218" t="s">
        <v>292</v>
      </c>
      <c r="P525" s="218">
        <v>2.5</v>
      </c>
      <c r="Q525" s="218" t="s">
        <v>405</v>
      </c>
      <c r="R525" s="218" t="s">
        <v>1780</v>
      </c>
      <c r="S525" s="218" t="s">
        <v>396</v>
      </c>
      <c r="T525" s="218" t="s">
        <v>487</v>
      </c>
      <c r="U525" s="218" t="s">
        <v>2591</v>
      </c>
      <c r="V525" s="218" t="s">
        <v>381</v>
      </c>
      <c r="W525" s="218" t="s">
        <v>295</v>
      </c>
      <c r="X525" s="218" t="s">
        <v>379</v>
      </c>
      <c r="Y525" s="218">
        <v>2.27</v>
      </c>
      <c r="Z525" s="218">
        <f t="shared" si="10"/>
        <v>2.5</v>
      </c>
    </row>
    <row r="526" spans="1:26">
      <c r="A526" s="218" t="s">
        <v>2592</v>
      </c>
      <c r="B526" s="218"/>
      <c r="C526" s="218"/>
      <c r="D526" s="218"/>
      <c r="E526" s="218"/>
      <c r="F526" s="219" t="s">
        <v>3627</v>
      </c>
      <c r="G526" s="218" t="s">
        <v>255</v>
      </c>
      <c r="H526" s="218" t="s">
        <v>309</v>
      </c>
      <c r="I526" s="223">
        <v>43830</v>
      </c>
      <c r="J526" s="218" t="s">
        <v>3018</v>
      </c>
      <c r="K526" s="218" t="s">
        <v>3008</v>
      </c>
      <c r="L526" s="218" t="s">
        <v>2704</v>
      </c>
      <c r="M526" s="218" t="s">
        <v>3628</v>
      </c>
      <c r="N526" s="218">
        <v>0.7</v>
      </c>
      <c r="O526" s="218" t="s">
        <v>292</v>
      </c>
      <c r="P526" s="218">
        <v>0.91</v>
      </c>
      <c r="Q526" s="218" t="s">
        <v>405</v>
      </c>
      <c r="R526" s="218" t="s">
        <v>1780</v>
      </c>
      <c r="S526" s="218" t="s">
        <v>396</v>
      </c>
      <c r="T526" s="218" t="s">
        <v>628</v>
      </c>
      <c r="U526" s="218" t="s">
        <v>2591</v>
      </c>
      <c r="V526" s="218" t="s">
        <v>381</v>
      </c>
      <c r="W526" s="218" t="s">
        <v>295</v>
      </c>
      <c r="X526" s="218" t="s">
        <v>379</v>
      </c>
      <c r="Y526" s="218">
        <v>0.82</v>
      </c>
      <c r="Z526" s="218">
        <f t="shared" si="10"/>
        <v>0.91</v>
      </c>
    </row>
    <row r="527" spans="1:26">
      <c r="A527" s="218" t="s">
        <v>2592</v>
      </c>
      <c r="B527" s="218"/>
      <c r="C527" s="218"/>
      <c r="D527" s="218"/>
      <c r="E527" s="218"/>
      <c r="F527" s="219" t="s">
        <v>3629</v>
      </c>
      <c r="G527" s="218" t="s">
        <v>255</v>
      </c>
      <c r="H527" s="218" t="s">
        <v>309</v>
      </c>
      <c r="I527" s="223">
        <v>43830</v>
      </c>
      <c r="J527" s="218" t="s">
        <v>3018</v>
      </c>
      <c r="K527" s="218" t="s">
        <v>3008</v>
      </c>
      <c r="L527" s="218" t="s">
        <v>2704</v>
      </c>
      <c r="M527" s="218" t="s">
        <v>3630</v>
      </c>
      <c r="N527" s="218">
        <v>2.71</v>
      </c>
      <c r="O527" s="218" t="s">
        <v>292</v>
      </c>
      <c r="P527" s="218">
        <v>3.5</v>
      </c>
      <c r="Q527" s="218" t="s">
        <v>405</v>
      </c>
      <c r="R527" s="218" t="s">
        <v>1780</v>
      </c>
      <c r="S527" s="218" t="s">
        <v>396</v>
      </c>
      <c r="T527" s="218" t="s">
        <v>489</v>
      </c>
      <c r="U527" s="218" t="s">
        <v>2591</v>
      </c>
      <c r="V527" s="218" t="s">
        <v>381</v>
      </c>
      <c r="W527" s="218" t="s">
        <v>295</v>
      </c>
      <c r="X527" s="218" t="s">
        <v>379</v>
      </c>
      <c r="Y527" s="218">
        <v>3.18</v>
      </c>
      <c r="Z527" s="218">
        <f t="shared" si="10"/>
        <v>3.5</v>
      </c>
    </row>
    <row r="528" spans="1:26">
      <c r="A528" s="218" t="s">
        <v>2592</v>
      </c>
      <c r="B528" s="218"/>
      <c r="C528" s="218"/>
      <c r="D528" s="218"/>
      <c r="E528" s="218"/>
      <c r="F528" s="219" t="s">
        <v>3631</v>
      </c>
      <c r="G528" s="218" t="s">
        <v>255</v>
      </c>
      <c r="H528" s="218" t="s">
        <v>309</v>
      </c>
      <c r="I528" s="223">
        <v>43830</v>
      </c>
      <c r="J528" s="218" t="s">
        <v>3018</v>
      </c>
      <c r="K528" s="218" t="s">
        <v>3008</v>
      </c>
      <c r="L528" s="218" t="s">
        <v>2704</v>
      </c>
      <c r="M528" s="218" t="s">
        <v>3632</v>
      </c>
      <c r="N528" s="218">
        <v>0.73</v>
      </c>
      <c r="O528" s="218" t="s">
        <v>292</v>
      </c>
      <c r="P528" s="218">
        <v>0.94</v>
      </c>
      <c r="Q528" s="218" t="s">
        <v>405</v>
      </c>
      <c r="R528" s="218" t="s">
        <v>1780</v>
      </c>
      <c r="S528" s="218" t="s">
        <v>396</v>
      </c>
      <c r="T528" s="218" t="s">
        <v>915</v>
      </c>
      <c r="U528" s="218" t="s">
        <v>2591</v>
      </c>
      <c r="V528" s="218" t="s">
        <v>381</v>
      </c>
      <c r="W528" s="218" t="s">
        <v>295</v>
      </c>
      <c r="X528" s="218" t="s">
        <v>379</v>
      </c>
      <c r="Y528" s="218">
        <v>0.86</v>
      </c>
      <c r="Z528" s="218">
        <f t="shared" si="10"/>
        <v>0.94</v>
      </c>
    </row>
    <row r="529" spans="1:26">
      <c r="A529" s="218" t="s">
        <v>2592</v>
      </c>
      <c r="B529" s="218"/>
      <c r="C529" s="218"/>
      <c r="D529" s="218"/>
      <c r="E529" s="218"/>
      <c r="F529" s="219" t="s">
        <v>3633</v>
      </c>
      <c r="G529" s="218" t="s">
        <v>255</v>
      </c>
      <c r="H529" s="218" t="s">
        <v>309</v>
      </c>
      <c r="I529" s="223">
        <v>43830</v>
      </c>
      <c r="J529" s="218" t="s">
        <v>3021</v>
      </c>
      <c r="K529" s="218" t="s">
        <v>3634</v>
      </c>
      <c r="L529" s="218" t="s">
        <v>2704</v>
      </c>
      <c r="M529" s="218" t="s">
        <v>3635</v>
      </c>
      <c r="N529" s="218">
        <v>290.06</v>
      </c>
      <c r="O529" s="218" t="s">
        <v>292</v>
      </c>
      <c r="P529" s="218">
        <v>375.12</v>
      </c>
      <c r="Q529" s="218" t="s">
        <v>385</v>
      </c>
      <c r="R529" s="218" t="s">
        <v>1772</v>
      </c>
      <c r="S529" s="218" t="s">
        <v>396</v>
      </c>
      <c r="T529" s="218" t="s">
        <v>501</v>
      </c>
      <c r="U529" s="218" t="s">
        <v>2591</v>
      </c>
      <c r="V529" s="218" t="s">
        <v>381</v>
      </c>
      <c r="W529" s="218" t="s">
        <v>295</v>
      </c>
      <c r="X529" s="218" t="s">
        <v>379</v>
      </c>
      <c r="Y529" s="218">
        <v>340.52</v>
      </c>
      <c r="Z529" s="218">
        <f t="shared" si="10"/>
        <v>375.12</v>
      </c>
    </row>
    <row r="530" spans="1:26">
      <c r="A530" s="218" t="s">
        <v>2592</v>
      </c>
      <c r="B530" s="218"/>
      <c r="C530" s="218"/>
      <c r="D530" s="218"/>
      <c r="E530" s="218"/>
      <c r="F530" s="219" t="s">
        <v>3636</v>
      </c>
      <c r="G530" s="218" t="s">
        <v>255</v>
      </c>
      <c r="H530" s="218" t="s">
        <v>309</v>
      </c>
      <c r="I530" s="223">
        <v>43830</v>
      </c>
      <c r="J530" s="218" t="s">
        <v>3021</v>
      </c>
      <c r="K530" s="218" t="s">
        <v>3637</v>
      </c>
      <c r="L530" s="218" t="s">
        <v>2704</v>
      </c>
      <c r="M530" s="218" t="s">
        <v>3638</v>
      </c>
      <c r="N530" s="218">
        <v>28.15</v>
      </c>
      <c r="O530" s="218" t="s">
        <v>292</v>
      </c>
      <c r="P530" s="218">
        <v>36.409999999999997</v>
      </c>
      <c r="Q530" s="218" t="s">
        <v>385</v>
      </c>
      <c r="R530" s="218" t="s">
        <v>1772</v>
      </c>
      <c r="S530" s="218" t="s">
        <v>396</v>
      </c>
      <c r="T530" s="218" t="s">
        <v>908</v>
      </c>
      <c r="U530" s="218" t="s">
        <v>2591</v>
      </c>
      <c r="V530" s="218" t="s">
        <v>381</v>
      </c>
      <c r="W530" s="218" t="s">
        <v>295</v>
      </c>
      <c r="X530" s="218" t="s">
        <v>379</v>
      </c>
      <c r="Y530" s="218">
        <v>33.049999999999997</v>
      </c>
      <c r="Z530" s="218">
        <f t="shared" si="10"/>
        <v>36.409999999999997</v>
      </c>
    </row>
    <row r="531" spans="1:26">
      <c r="A531" s="218" t="s">
        <v>2592</v>
      </c>
      <c r="B531" s="218"/>
      <c r="C531" s="218"/>
      <c r="D531" s="218"/>
      <c r="E531" s="218"/>
      <c r="F531" s="219" t="s">
        <v>3639</v>
      </c>
      <c r="G531" s="218" t="s">
        <v>255</v>
      </c>
      <c r="H531" s="218" t="s">
        <v>309</v>
      </c>
      <c r="I531" s="223">
        <v>43830</v>
      </c>
      <c r="J531" s="218" t="s">
        <v>3021</v>
      </c>
      <c r="K531" s="218" t="s">
        <v>3640</v>
      </c>
      <c r="L531" s="218" t="s">
        <v>2704</v>
      </c>
      <c r="M531" s="218" t="s">
        <v>3641</v>
      </c>
      <c r="N531" s="218">
        <v>111.53</v>
      </c>
      <c r="O531" s="218" t="s">
        <v>292</v>
      </c>
      <c r="P531" s="218">
        <v>144.22999999999999</v>
      </c>
      <c r="Q531" s="218" t="s">
        <v>385</v>
      </c>
      <c r="R531" s="218" t="s">
        <v>1772</v>
      </c>
      <c r="S531" s="218" t="s">
        <v>396</v>
      </c>
      <c r="T531" s="218" t="s">
        <v>487</v>
      </c>
      <c r="U531" s="218" t="s">
        <v>2591</v>
      </c>
      <c r="V531" s="218" t="s">
        <v>381</v>
      </c>
      <c r="W531" s="218" t="s">
        <v>295</v>
      </c>
      <c r="X531" s="218" t="s">
        <v>379</v>
      </c>
      <c r="Y531" s="218">
        <v>130.93</v>
      </c>
      <c r="Z531" s="218">
        <f t="shared" si="10"/>
        <v>144.22999999999999</v>
      </c>
    </row>
    <row r="532" spans="1:26">
      <c r="A532" s="218" t="s">
        <v>2592</v>
      </c>
      <c r="B532" s="218"/>
      <c r="C532" s="218"/>
      <c r="D532" s="218"/>
      <c r="E532" s="218"/>
      <c r="F532" s="219" t="s">
        <v>3642</v>
      </c>
      <c r="G532" s="218" t="s">
        <v>255</v>
      </c>
      <c r="H532" s="218" t="s">
        <v>309</v>
      </c>
      <c r="I532" s="223">
        <v>43830</v>
      </c>
      <c r="J532" s="218" t="s">
        <v>3021</v>
      </c>
      <c r="K532" s="218" t="s">
        <v>3643</v>
      </c>
      <c r="L532" s="218" t="s">
        <v>2704</v>
      </c>
      <c r="M532" s="218" t="s">
        <v>3644</v>
      </c>
      <c r="N532" s="218">
        <v>21.43</v>
      </c>
      <c r="O532" s="218" t="s">
        <v>292</v>
      </c>
      <c r="P532" s="218">
        <v>27.71</v>
      </c>
      <c r="Q532" s="218" t="s">
        <v>385</v>
      </c>
      <c r="R532" s="218" t="s">
        <v>1772</v>
      </c>
      <c r="S532" s="218" t="s">
        <v>396</v>
      </c>
      <c r="T532" s="218" t="s">
        <v>628</v>
      </c>
      <c r="U532" s="218" t="s">
        <v>2591</v>
      </c>
      <c r="V532" s="218" t="s">
        <v>381</v>
      </c>
      <c r="W532" s="218" t="s">
        <v>295</v>
      </c>
      <c r="X532" s="218" t="s">
        <v>379</v>
      </c>
      <c r="Y532" s="218">
        <v>25.16</v>
      </c>
      <c r="Z532" s="218">
        <f t="shared" si="10"/>
        <v>27.71</v>
      </c>
    </row>
    <row r="533" spans="1:26">
      <c r="A533" s="218" t="s">
        <v>2592</v>
      </c>
      <c r="B533" s="218"/>
      <c r="C533" s="218"/>
      <c r="D533" s="218"/>
      <c r="E533" s="218"/>
      <c r="F533" s="219" t="s">
        <v>3645</v>
      </c>
      <c r="G533" s="218" t="s">
        <v>255</v>
      </c>
      <c r="H533" s="218" t="s">
        <v>309</v>
      </c>
      <c r="I533" s="223">
        <v>43830</v>
      </c>
      <c r="J533" s="218" t="s">
        <v>3021</v>
      </c>
      <c r="K533" s="218" t="s">
        <v>3646</v>
      </c>
      <c r="L533" s="218" t="s">
        <v>2704</v>
      </c>
      <c r="M533" s="218" t="s">
        <v>3647</v>
      </c>
      <c r="N533" s="218">
        <v>167.95</v>
      </c>
      <c r="O533" s="218" t="s">
        <v>292</v>
      </c>
      <c r="P533" s="218">
        <v>217.2</v>
      </c>
      <c r="Q533" s="218" t="s">
        <v>385</v>
      </c>
      <c r="R533" s="218" t="s">
        <v>1772</v>
      </c>
      <c r="S533" s="218" t="s">
        <v>396</v>
      </c>
      <c r="T533" s="218" t="s">
        <v>489</v>
      </c>
      <c r="U533" s="218" t="s">
        <v>2591</v>
      </c>
      <c r="V533" s="218" t="s">
        <v>381</v>
      </c>
      <c r="W533" s="218" t="s">
        <v>295</v>
      </c>
      <c r="X533" s="218" t="s">
        <v>379</v>
      </c>
      <c r="Y533" s="218">
        <v>197.17</v>
      </c>
      <c r="Z533" s="218">
        <f t="shared" si="10"/>
        <v>217.2</v>
      </c>
    </row>
    <row r="534" spans="1:26">
      <c r="A534" s="218" t="s">
        <v>2592</v>
      </c>
      <c r="B534" s="218"/>
      <c r="C534" s="218"/>
      <c r="D534" s="218"/>
      <c r="E534" s="218"/>
      <c r="F534" s="219" t="s">
        <v>3648</v>
      </c>
      <c r="G534" s="218" t="s">
        <v>255</v>
      </c>
      <c r="H534" s="218" t="s">
        <v>309</v>
      </c>
      <c r="I534" s="223">
        <v>43830</v>
      </c>
      <c r="J534" s="218" t="s">
        <v>3021</v>
      </c>
      <c r="K534" s="218" t="s">
        <v>3649</v>
      </c>
      <c r="L534" s="218" t="s">
        <v>2704</v>
      </c>
      <c r="M534" s="218" t="s">
        <v>3650</v>
      </c>
      <c r="N534" s="218">
        <v>104.75</v>
      </c>
      <c r="O534" s="218" t="s">
        <v>292</v>
      </c>
      <c r="P534" s="218">
        <v>135.47</v>
      </c>
      <c r="Q534" s="218" t="s">
        <v>385</v>
      </c>
      <c r="R534" s="218" t="s">
        <v>1772</v>
      </c>
      <c r="S534" s="218" t="s">
        <v>396</v>
      </c>
      <c r="T534" s="218" t="s">
        <v>915</v>
      </c>
      <c r="U534" s="218" t="s">
        <v>2591</v>
      </c>
      <c r="V534" s="218" t="s">
        <v>381</v>
      </c>
      <c r="W534" s="218" t="s">
        <v>295</v>
      </c>
      <c r="X534" s="218" t="s">
        <v>255</v>
      </c>
      <c r="Y534" s="218">
        <v>122.97</v>
      </c>
      <c r="Z534" s="218">
        <f t="shared" si="10"/>
        <v>135.47</v>
      </c>
    </row>
    <row r="535" spans="1:26">
      <c r="A535" s="218" t="s">
        <v>2592</v>
      </c>
      <c r="B535" s="218"/>
      <c r="C535" s="218"/>
      <c r="D535" s="218"/>
      <c r="E535" s="218"/>
      <c r="F535" s="219" t="s">
        <v>3651</v>
      </c>
      <c r="G535" s="218" t="s">
        <v>255</v>
      </c>
      <c r="H535" s="218" t="s">
        <v>309</v>
      </c>
      <c r="I535" s="223">
        <v>43830</v>
      </c>
      <c r="J535" s="218" t="s">
        <v>3025</v>
      </c>
      <c r="K535" s="218" t="s">
        <v>3026</v>
      </c>
      <c r="L535" s="218" t="s">
        <v>2704</v>
      </c>
      <c r="M535" s="218" t="s">
        <v>3652</v>
      </c>
      <c r="N535" s="218">
        <v>70.680000000000007</v>
      </c>
      <c r="O535" s="218" t="s">
        <v>292</v>
      </c>
      <c r="P535" s="218">
        <v>91.4</v>
      </c>
      <c r="Q535" s="218" t="s">
        <v>385</v>
      </c>
      <c r="R535" s="218" t="s">
        <v>1772</v>
      </c>
      <c r="S535" s="218" t="s">
        <v>396</v>
      </c>
      <c r="T535" s="218" t="s">
        <v>501</v>
      </c>
      <c r="U535" s="218" t="s">
        <v>2591</v>
      </c>
      <c r="V535" s="218" t="s">
        <v>381</v>
      </c>
      <c r="W535" s="218" t="s">
        <v>295</v>
      </c>
      <c r="X535" s="218" t="s">
        <v>379</v>
      </c>
      <c r="Y535" s="218">
        <v>82.98</v>
      </c>
      <c r="Z535" s="218">
        <f t="shared" si="10"/>
        <v>91.4</v>
      </c>
    </row>
    <row r="536" spans="1:26">
      <c r="A536" s="218" t="s">
        <v>2592</v>
      </c>
      <c r="B536" s="218"/>
      <c r="C536" s="218"/>
      <c r="D536" s="218"/>
      <c r="E536" s="218"/>
      <c r="F536" s="219" t="s">
        <v>3653</v>
      </c>
      <c r="G536" s="218" t="s">
        <v>255</v>
      </c>
      <c r="H536" s="218" t="s">
        <v>309</v>
      </c>
      <c r="I536" s="223">
        <v>43830</v>
      </c>
      <c r="J536" s="218" t="s">
        <v>3025</v>
      </c>
      <c r="K536" s="218" t="s">
        <v>3026</v>
      </c>
      <c r="L536" s="218" t="s">
        <v>2704</v>
      </c>
      <c r="M536" s="218" t="s">
        <v>3654</v>
      </c>
      <c r="N536" s="218">
        <v>3.52</v>
      </c>
      <c r="O536" s="218" t="s">
        <v>292</v>
      </c>
      <c r="P536" s="218">
        <v>4.55</v>
      </c>
      <c r="Q536" s="218" t="s">
        <v>385</v>
      </c>
      <c r="R536" s="218" t="s">
        <v>1772</v>
      </c>
      <c r="S536" s="218" t="s">
        <v>396</v>
      </c>
      <c r="T536" s="218" t="s">
        <v>908</v>
      </c>
      <c r="U536" s="218" t="s">
        <v>2591</v>
      </c>
      <c r="V536" s="218" t="s">
        <v>381</v>
      </c>
      <c r="W536" s="218" t="s">
        <v>295</v>
      </c>
      <c r="X536" s="218" t="s">
        <v>379</v>
      </c>
      <c r="Y536" s="218">
        <v>4.13</v>
      </c>
      <c r="Z536" s="218">
        <f t="shared" si="10"/>
        <v>4.55</v>
      </c>
    </row>
    <row r="537" spans="1:26">
      <c r="A537" s="218" t="s">
        <v>2592</v>
      </c>
      <c r="B537" s="218"/>
      <c r="C537" s="218"/>
      <c r="D537" s="218"/>
      <c r="E537" s="218"/>
      <c r="F537" s="219" t="s">
        <v>3655</v>
      </c>
      <c r="G537" s="218" t="s">
        <v>255</v>
      </c>
      <c r="H537" s="218" t="s">
        <v>309</v>
      </c>
      <c r="I537" s="223">
        <v>43830</v>
      </c>
      <c r="J537" s="218" t="s">
        <v>3025</v>
      </c>
      <c r="K537" s="218" t="s">
        <v>3026</v>
      </c>
      <c r="L537" s="218" t="s">
        <v>2704</v>
      </c>
      <c r="M537" s="218" t="s">
        <v>3656</v>
      </c>
      <c r="N537" s="218">
        <v>14</v>
      </c>
      <c r="O537" s="218" t="s">
        <v>292</v>
      </c>
      <c r="P537" s="218">
        <v>18.11</v>
      </c>
      <c r="Q537" s="218" t="s">
        <v>385</v>
      </c>
      <c r="R537" s="218" t="s">
        <v>1772</v>
      </c>
      <c r="S537" s="218" t="s">
        <v>396</v>
      </c>
      <c r="T537" s="218" t="s">
        <v>487</v>
      </c>
      <c r="U537" s="218" t="s">
        <v>2591</v>
      </c>
      <c r="V537" s="218" t="s">
        <v>381</v>
      </c>
      <c r="W537" s="218" t="s">
        <v>295</v>
      </c>
      <c r="X537" s="218" t="s">
        <v>379</v>
      </c>
      <c r="Y537" s="218">
        <v>16.440000000000001</v>
      </c>
      <c r="Z537" s="218">
        <f t="shared" si="10"/>
        <v>18.11</v>
      </c>
    </row>
    <row r="538" spans="1:26">
      <c r="A538" s="218" t="s">
        <v>2592</v>
      </c>
      <c r="B538" s="218"/>
      <c r="C538" s="218"/>
      <c r="D538" s="218"/>
      <c r="E538" s="218"/>
      <c r="F538" s="219" t="s">
        <v>3657</v>
      </c>
      <c r="G538" s="218" t="s">
        <v>255</v>
      </c>
      <c r="H538" s="218" t="s">
        <v>309</v>
      </c>
      <c r="I538" s="223">
        <v>43830</v>
      </c>
      <c r="J538" s="218" t="s">
        <v>3025</v>
      </c>
      <c r="K538" s="218" t="s">
        <v>3026</v>
      </c>
      <c r="L538" s="218" t="s">
        <v>2704</v>
      </c>
      <c r="M538" s="218" t="s">
        <v>3658</v>
      </c>
      <c r="N538" s="218">
        <v>2.95</v>
      </c>
      <c r="O538" s="218" t="s">
        <v>292</v>
      </c>
      <c r="P538" s="218">
        <v>3.81</v>
      </c>
      <c r="Q538" s="218" t="s">
        <v>385</v>
      </c>
      <c r="R538" s="218" t="s">
        <v>1772</v>
      </c>
      <c r="S538" s="218" t="s">
        <v>396</v>
      </c>
      <c r="T538" s="218" t="s">
        <v>628</v>
      </c>
      <c r="U538" s="218" t="s">
        <v>2591</v>
      </c>
      <c r="V538" s="218" t="s">
        <v>381</v>
      </c>
      <c r="W538" s="218" t="s">
        <v>295</v>
      </c>
      <c r="X538" s="218" t="s">
        <v>379</v>
      </c>
      <c r="Y538" s="218">
        <v>3.46</v>
      </c>
      <c r="Z538" s="218">
        <f t="shared" si="10"/>
        <v>3.81</v>
      </c>
    </row>
    <row r="539" spans="1:26">
      <c r="A539" s="218" t="s">
        <v>2592</v>
      </c>
      <c r="B539" s="218"/>
      <c r="C539" s="218"/>
      <c r="D539" s="218"/>
      <c r="E539" s="218"/>
      <c r="F539" s="219" t="s">
        <v>3659</v>
      </c>
      <c r="G539" s="218" t="s">
        <v>255</v>
      </c>
      <c r="H539" s="218" t="s">
        <v>309</v>
      </c>
      <c r="I539" s="223">
        <v>43830</v>
      </c>
      <c r="J539" s="218" t="s">
        <v>3025</v>
      </c>
      <c r="K539" s="218" t="s">
        <v>3026</v>
      </c>
      <c r="L539" s="218" t="s">
        <v>2704</v>
      </c>
      <c r="M539" s="218" t="s">
        <v>3660</v>
      </c>
      <c r="N539" s="218">
        <v>35.83</v>
      </c>
      <c r="O539" s="218" t="s">
        <v>292</v>
      </c>
      <c r="P539" s="218">
        <v>46.34</v>
      </c>
      <c r="Q539" s="218" t="s">
        <v>385</v>
      </c>
      <c r="R539" s="218" t="s">
        <v>1772</v>
      </c>
      <c r="S539" s="218" t="s">
        <v>396</v>
      </c>
      <c r="T539" s="218" t="s">
        <v>489</v>
      </c>
      <c r="U539" s="218" t="s">
        <v>2591</v>
      </c>
      <c r="V539" s="218" t="s">
        <v>381</v>
      </c>
      <c r="W539" s="218" t="s">
        <v>295</v>
      </c>
      <c r="X539" s="218" t="s">
        <v>379</v>
      </c>
      <c r="Y539" s="218">
        <v>42.06</v>
      </c>
      <c r="Z539" s="218">
        <f t="shared" si="10"/>
        <v>46.34</v>
      </c>
    </row>
    <row r="540" spans="1:26">
      <c r="A540" s="218" t="s">
        <v>2592</v>
      </c>
      <c r="B540" s="218"/>
      <c r="C540" s="218"/>
      <c r="D540" s="218"/>
      <c r="E540" s="218"/>
      <c r="F540" s="219" t="s">
        <v>3661</v>
      </c>
      <c r="G540" s="218" t="s">
        <v>255</v>
      </c>
      <c r="H540" s="218" t="s">
        <v>309</v>
      </c>
      <c r="I540" s="223">
        <v>43830</v>
      </c>
      <c r="J540" s="218" t="s">
        <v>3025</v>
      </c>
      <c r="K540" s="218" t="s">
        <v>3026</v>
      </c>
      <c r="L540" s="218" t="s">
        <v>2704</v>
      </c>
      <c r="M540" s="218" t="s">
        <v>3662</v>
      </c>
      <c r="N540" s="218">
        <v>12.24</v>
      </c>
      <c r="O540" s="218" t="s">
        <v>292</v>
      </c>
      <c r="P540" s="218">
        <v>15.83</v>
      </c>
      <c r="Q540" s="218" t="s">
        <v>385</v>
      </c>
      <c r="R540" s="218" t="s">
        <v>1772</v>
      </c>
      <c r="S540" s="218" t="s">
        <v>396</v>
      </c>
      <c r="T540" s="218" t="s">
        <v>915</v>
      </c>
      <c r="U540" s="218" t="s">
        <v>2591</v>
      </c>
      <c r="V540" s="218" t="s">
        <v>381</v>
      </c>
      <c r="W540" s="218" t="s">
        <v>295</v>
      </c>
      <c r="X540" s="218" t="s">
        <v>255</v>
      </c>
      <c r="Y540" s="218">
        <v>14.37</v>
      </c>
      <c r="Z540" s="218">
        <f t="shared" si="10"/>
        <v>15.83</v>
      </c>
    </row>
    <row r="541" spans="1:26">
      <c r="A541" s="218" t="s">
        <v>2592</v>
      </c>
      <c r="B541" s="218"/>
      <c r="C541" s="218"/>
      <c r="D541" s="218"/>
      <c r="E541" s="218"/>
      <c r="F541" s="219" t="s">
        <v>3663</v>
      </c>
      <c r="G541" s="218" t="s">
        <v>255</v>
      </c>
      <c r="H541" s="218" t="s">
        <v>309</v>
      </c>
      <c r="I541" s="223">
        <v>43830</v>
      </c>
      <c r="J541" s="218" t="s">
        <v>3029</v>
      </c>
      <c r="K541" s="218" t="s">
        <v>3030</v>
      </c>
      <c r="L541" s="218" t="s">
        <v>2704</v>
      </c>
      <c r="M541" s="218" t="s">
        <v>3664</v>
      </c>
      <c r="N541" s="218">
        <v>51.15</v>
      </c>
      <c r="O541" s="218" t="s">
        <v>292</v>
      </c>
      <c r="P541" s="218">
        <v>66.150000000000006</v>
      </c>
      <c r="Q541" s="218" t="s">
        <v>391</v>
      </c>
      <c r="R541" s="218" t="s">
        <v>1777</v>
      </c>
      <c r="S541" s="218" t="s">
        <v>396</v>
      </c>
      <c r="T541" s="218" t="s">
        <v>501</v>
      </c>
      <c r="U541" s="218" t="s">
        <v>2591</v>
      </c>
      <c r="V541" s="218" t="s">
        <v>381</v>
      </c>
      <c r="W541" s="218" t="s">
        <v>295</v>
      </c>
      <c r="X541" s="218" t="s">
        <v>379</v>
      </c>
      <c r="Y541" s="218">
        <v>60.05</v>
      </c>
      <c r="Z541" s="218">
        <f t="shared" si="10"/>
        <v>66.150000000000006</v>
      </c>
    </row>
    <row r="542" spans="1:26">
      <c r="A542" s="218" t="s">
        <v>2592</v>
      </c>
      <c r="B542" s="218"/>
      <c r="C542" s="218"/>
      <c r="D542" s="218"/>
      <c r="E542" s="218"/>
      <c r="F542" s="219" t="s">
        <v>3665</v>
      </c>
      <c r="G542" s="218" t="s">
        <v>255</v>
      </c>
      <c r="H542" s="218" t="s">
        <v>309</v>
      </c>
      <c r="I542" s="223">
        <v>43830</v>
      </c>
      <c r="J542" s="218" t="s">
        <v>3029</v>
      </c>
      <c r="K542" s="218" t="s">
        <v>3030</v>
      </c>
      <c r="L542" s="218" t="s">
        <v>2704</v>
      </c>
      <c r="M542" s="218" t="s">
        <v>3666</v>
      </c>
      <c r="N542" s="218">
        <v>4.21</v>
      </c>
      <c r="O542" s="218" t="s">
        <v>292</v>
      </c>
      <c r="P542" s="218">
        <v>5.45</v>
      </c>
      <c r="Q542" s="218" t="s">
        <v>391</v>
      </c>
      <c r="R542" s="218" t="s">
        <v>1777</v>
      </c>
      <c r="S542" s="218" t="s">
        <v>396</v>
      </c>
      <c r="T542" s="218" t="s">
        <v>908</v>
      </c>
      <c r="U542" s="218" t="s">
        <v>2591</v>
      </c>
      <c r="V542" s="218" t="s">
        <v>381</v>
      </c>
      <c r="W542" s="218" t="s">
        <v>295</v>
      </c>
      <c r="X542" s="218" t="s">
        <v>379</v>
      </c>
      <c r="Y542" s="218">
        <v>4.9400000000000004</v>
      </c>
      <c r="Z542" s="218">
        <f t="shared" si="10"/>
        <v>5.45</v>
      </c>
    </row>
    <row r="543" spans="1:26">
      <c r="A543" s="218" t="s">
        <v>2592</v>
      </c>
      <c r="B543" s="218"/>
      <c r="C543" s="218"/>
      <c r="D543" s="218"/>
      <c r="E543" s="218"/>
      <c r="F543" s="219" t="s">
        <v>3667</v>
      </c>
      <c r="G543" s="218" t="s">
        <v>255</v>
      </c>
      <c r="H543" s="218" t="s">
        <v>309</v>
      </c>
      <c r="I543" s="223">
        <v>43830</v>
      </c>
      <c r="J543" s="218" t="s">
        <v>3029</v>
      </c>
      <c r="K543" s="218" t="s">
        <v>3030</v>
      </c>
      <c r="L543" s="218" t="s">
        <v>2704</v>
      </c>
      <c r="M543" s="218" t="s">
        <v>3668</v>
      </c>
      <c r="N543" s="218">
        <v>16.82</v>
      </c>
      <c r="O543" s="218" t="s">
        <v>292</v>
      </c>
      <c r="P543" s="218">
        <v>21.75</v>
      </c>
      <c r="Q543" s="218" t="s">
        <v>391</v>
      </c>
      <c r="R543" s="218" t="s">
        <v>1777</v>
      </c>
      <c r="S543" s="218" t="s">
        <v>396</v>
      </c>
      <c r="T543" s="218" t="s">
        <v>487</v>
      </c>
      <c r="U543" s="218" t="s">
        <v>2591</v>
      </c>
      <c r="V543" s="218" t="s">
        <v>381</v>
      </c>
      <c r="W543" s="218" t="s">
        <v>295</v>
      </c>
      <c r="X543" s="218" t="s">
        <v>379</v>
      </c>
      <c r="Y543" s="218">
        <v>19.75</v>
      </c>
      <c r="Z543" s="218">
        <f t="shared" si="10"/>
        <v>21.75</v>
      </c>
    </row>
    <row r="544" spans="1:26">
      <c r="A544" s="218" t="s">
        <v>2592</v>
      </c>
      <c r="B544" s="218"/>
      <c r="C544" s="218"/>
      <c r="D544" s="218"/>
      <c r="E544" s="218"/>
      <c r="F544" s="219" t="s">
        <v>3669</v>
      </c>
      <c r="G544" s="218" t="s">
        <v>255</v>
      </c>
      <c r="H544" s="218" t="s">
        <v>309</v>
      </c>
      <c r="I544" s="223">
        <v>43830</v>
      </c>
      <c r="J544" s="218" t="s">
        <v>3029</v>
      </c>
      <c r="K544" s="218" t="s">
        <v>3030</v>
      </c>
      <c r="L544" s="218" t="s">
        <v>2704</v>
      </c>
      <c r="M544" s="218" t="s">
        <v>3670</v>
      </c>
      <c r="N544" s="218">
        <v>3.37</v>
      </c>
      <c r="O544" s="218" t="s">
        <v>292</v>
      </c>
      <c r="P544" s="218">
        <v>4.3600000000000003</v>
      </c>
      <c r="Q544" s="218" t="s">
        <v>391</v>
      </c>
      <c r="R544" s="218" t="s">
        <v>1777</v>
      </c>
      <c r="S544" s="218" t="s">
        <v>396</v>
      </c>
      <c r="T544" s="218" t="s">
        <v>628</v>
      </c>
      <c r="U544" s="218" t="s">
        <v>2591</v>
      </c>
      <c r="V544" s="218" t="s">
        <v>381</v>
      </c>
      <c r="W544" s="218" t="s">
        <v>295</v>
      </c>
      <c r="X544" s="218" t="s">
        <v>379</v>
      </c>
      <c r="Y544" s="218">
        <v>3.96</v>
      </c>
      <c r="Z544" s="218">
        <f t="shared" si="10"/>
        <v>4.3600000000000003</v>
      </c>
    </row>
    <row r="545" spans="1:26">
      <c r="A545" s="218" t="s">
        <v>2592</v>
      </c>
      <c r="B545" s="218"/>
      <c r="C545" s="218"/>
      <c r="D545" s="218"/>
      <c r="E545" s="218"/>
      <c r="F545" s="219" t="s">
        <v>3671</v>
      </c>
      <c r="G545" s="218" t="s">
        <v>255</v>
      </c>
      <c r="H545" s="218" t="s">
        <v>309</v>
      </c>
      <c r="I545" s="223">
        <v>43830</v>
      </c>
      <c r="J545" s="218" t="s">
        <v>3029</v>
      </c>
      <c r="K545" s="218" t="s">
        <v>3030</v>
      </c>
      <c r="L545" s="218" t="s">
        <v>2704</v>
      </c>
      <c r="M545" s="218" t="s">
        <v>3672</v>
      </c>
      <c r="N545" s="218">
        <v>29.19</v>
      </c>
      <c r="O545" s="218" t="s">
        <v>292</v>
      </c>
      <c r="P545" s="218">
        <v>37.75</v>
      </c>
      <c r="Q545" s="218" t="s">
        <v>391</v>
      </c>
      <c r="R545" s="218" t="s">
        <v>1777</v>
      </c>
      <c r="S545" s="218" t="s">
        <v>396</v>
      </c>
      <c r="T545" s="218" t="s">
        <v>489</v>
      </c>
      <c r="U545" s="218" t="s">
        <v>2591</v>
      </c>
      <c r="V545" s="218" t="s">
        <v>381</v>
      </c>
      <c r="W545" s="218" t="s">
        <v>295</v>
      </c>
      <c r="X545" s="218" t="s">
        <v>379</v>
      </c>
      <c r="Y545" s="218">
        <v>34.270000000000003</v>
      </c>
      <c r="Z545" s="218">
        <f t="shared" si="10"/>
        <v>37.75</v>
      </c>
    </row>
    <row r="546" spans="1:26">
      <c r="A546" s="218" t="s">
        <v>2592</v>
      </c>
      <c r="B546" s="218"/>
      <c r="C546" s="218"/>
      <c r="D546" s="218"/>
      <c r="E546" s="218"/>
      <c r="F546" s="219" t="s">
        <v>3673</v>
      </c>
      <c r="G546" s="218" t="s">
        <v>255</v>
      </c>
      <c r="H546" s="218" t="s">
        <v>309</v>
      </c>
      <c r="I546" s="223">
        <v>43830</v>
      </c>
      <c r="J546" s="218" t="s">
        <v>3029</v>
      </c>
      <c r="K546" s="218" t="s">
        <v>3030</v>
      </c>
      <c r="L546" s="218" t="s">
        <v>2704</v>
      </c>
      <c r="M546" s="218" t="s">
        <v>3674</v>
      </c>
      <c r="N546" s="218">
        <v>15.33</v>
      </c>
      <c r="O546" s="218" t="s">
        <v>292</v>
      </c>
      <c r="P546" s="218">
        <v>19.82</v>
      </c>
      <c r="Q546" s="218" t="s">
        <v>391</v>
      </c>
      <c r="R546" s="218" t="s">
        <v>1777</v>
      </c>
      <c r="S546" s="218" t="s">
        <v>396</v>
      </c>
      <c r="T546" s="218" t="s">
        <v>915</v>
      </c>
      <c r="U546" s="218" t="s">
        <v>2591</v>
      </c>
      <c r="V546" s="218" t="s">
        <v>381</v>
      </c>
      <c r="W546" s="218" t="s">
        <v>295</v>
      </c>
      <c r="X546" s="218" t="s">
        <v>255</v>
      </c>
      <c r="Y546" s="218">
        <v>18</v>
      </c>
      <c r="Z546" s="218">
        <f t="shared" si="10"/>
        <v>19.82</v>
      </c>
    </row>
    <row r="547" spans="1:26">
      <c r="A547" s="218" t="s">
        <v>2592</v>
      </c>
      <c r="B547" s="218"/>
      <c r="C547" s="218"/>
      <c r="D547" s="218"/>
      <c r="E547" s="218"/>
      <c r="F547" s="219" t="s">
        <v>3675</v>
      </c>
      <c r="G547" s="218" t="s">
        <v>255</v>
      </c>
      <c r="H547" s="218" t="s">
        <v>309</v>
      </c>
      <c r="I547" s="223">
        <v>43830</v>
      </c>
      <c r="J547" s="218" t="s">
        <v>3033</v>
      </c>
      <c r="K547" s="218" t="s">
        <v>3034</v>
      </c>
      <c r="L547" s="218" t="s">
        <v>2704</v>
      </c>
      <c r="M547" s="218" t="s">
        <v>3676</v>
      </c>
      <c r="N547" s="218">
        <v>8.52</v>
      </c>
      <c r="O547" s="218" t="s">
        <v>292</v>
      </c>
      <c r="P547" s="218">
        <v>11.02</v>
      </c>
      <c r="Q547" s="218" t="s">
        <v>3036</v>
      </c>
      <c r="R547" s="218" t="s">
        <v>3037</v>
      </c>
      <c r="S547" s="218" t="s">
        <v>396</v>
      </c>
      <c r="T547" s="218" t="s">
        <v>501</v>
      </c>
      <c r="U547" s="218" t="s">
        <v>2591</v>
      </c>
      <c r="V547" s="218" t="s">
        <v>381</v>
      </c>
      <c r="W547" s="218" t="s">
        <v>295</v>
      </c>
      <c r="X547" s="218" t="s">
        <v>379</v>
      </c>
      <c r="Y547" s="218">
        <v>10</v>
      </c>
      <c r="Z547" s="218">
        <f t="shared" si="10"/>
        <v>11.02</v>
      </c>
    </row>
    <row r="548" spans="1:26">
      <c r="A548" s="218" t="s">
        <v>2592</v>
      </c>
      <c r="B548" s="218"/>
      <c r="C548" s="218"/>
      <c r="D548" s="218"/>
      <c r="E548" s="218"/>
      <c r="F548" s="219" t="s">
        <v>3677</v>
      </c>
      <c r="G548" s="218" t="s">
        <v>255</v>
      </c>
      <c r="H548" s="218" t="s">
        <v>309</v>
      </c>
      <c r="I548" s="223">
        <v>43830</v>
      </c>
      <c r="J548" s="218" t="s">
        <v>3033</v>
      </c>
      <c r="K548" s="218" t="s">
        <v>3034</v>
      </c>
      <c r="L548" s="218" t="s">
        <v>2704</v>
      </c>
      <c r="M548" s="218" t="s">
        <v>3678</v>
      </c>
      <c r="N548" s="218">
        <v>0.7</v>
      </c>
      <c r="O548" s="218" t="s">
        <v>292</v>
      </c>
      <c r="P548" s="218">
        <v>0.91</v>
      </c>
      <c r="Q548" s="218" t="s">
        <v>3036</v>
      </c>
      <c r="R548" s="218" t="s">
        <v>3037</v>
      </c>
      <c r="S548" s="218" t="s">
        <v>396</v>
      </c>
      <c r="T548" s="218" t="s">
        <v>908</v>
      </c>
      <c r="U548" s="218" t="s">
        <v>2591</v>
      </c>
      <c r="V548" s="218" t="s">
        <v>381</v>
      </c>
      <c r="W548" s="218" t="s">
        <v>295</v>
      </c>
      <c r="X548" s="218" t="s">
        <v>379</v>
      </c>
      <c r="Y548" s="218">
        <v>0.82</v>
      </c>
      <c r="Z548" s="218">
        <f t="shared" si="10"/>
        <v>0.91</v>
      </c>
    </row>
    <row r="549" spans="1:26">
      <c r="A549" s="218" t="s">
        <v>2592</v>
      </c>
      <c r="B549" s="218"/>
      <c r="C549" s="218"/>
      <c r="D549" s="218"/>
      <c r="E549" s="218"/>
      <c r="F549" s="219" t="s">
        <v>3679</v>
      </c>
      <c r="G549" s="218" t="s">
        <v>255</v>
      </c>
      <c r="H549" s="218" t="s">
        <v>309</v>
      </c>
      <c r="I549" s="223">
        <v>43830</v>
      </c>
      <c r="J549" s="218" t="s">
        <v>3033</v>
      </c>
      <c r="K549" s="218" t="s">
        <v>3034</v>
      </c>
      <c r="L549" s="218" t="s">
        <v>2704</v>
      </c>
      <c r="M549" s="218" t="s">
        <v>3680</v>
      </c>
      <c r="N549" s="218">
        <v>2.8</v>
      </c>
      <c r="O549" s="218" t="s">
        <v>292</v>
      </c>
      <c r="P549" s="218">
        <v>3.62</v>
      </c>
      <c r="Q549" s="218" t="s">
        <v>3036</v>
      </c>
      <c r="R549" s="218" t="s">
        <v>3037</v>
      </c>
      <c r="S549" s="218" t="s">
        <v>396</v>
      </c>
      <c r="T549" s="218" t="s">
        <v>487</v>
      </c>
      <c r="U549" s="218" t="s">
        <v>2591</v>
      </c>
      <c r="V549" s="218" t="s">
        <v>381</v>
      </c>
      <c r="W549" s="218" t="s">
        <v>295</v>
      </c>
      <c r="X549" s="218" t="s">
        <v>379</v>
      </c>
      <c r="Y549" s="218">
        <v>3.29</v>
      </c>
      <c r="Z549" s="218">
        <f t="shared" si="10"/>
        <v>3.62</v>
      </c>
    </row>
    <row r="550" spans="1:26">
      <c r="A550" s="218" t="s">
        <v>2592</v>
      </c>
      <c r="B550" s="218"/>
      <c r="C550" s="218"/>
      <c r="D550" s="218"/>
      <c r="E550" s="218"/>
      <c r="F550" s="219" t="s">
        <v>3681</v>
      </c>
      <c r="G550" s="218" t="s">
        <v>255</v>
      </c>
      <c r="H550" s="218" t="s">
        <v>309</v>
      </c>
      <c r="I550" s="223">
        <v>43830</v>
      </c>
      <c r="J550" s="218" t="s">
        <v>3033</v>
      </c>
      <c r="K550" s="218" t="s">
        <v>3034</v>
      </c>
      <c r="L550" s="218" t="s">
        <v>2704</v>
      </c>
      <c r="M550" s="218" t="s">
        <v>3682</v>
      </c>
      <c r="N550" s="218">
        <v>0.56000000000000005</v>
      </c>
      <c r="O550" s="218" t="s">
        <v>292</v>
      </c>
      <c r="P550" s="218">
        <v>0.73</v>
      </c>
      <c r="Q550" s="218" t="s">
        <v>3036</v>
      </c>
      <c r="R550" s="218" t="s">
        <v>3037</v>
      </c>
      <c r="S550" s="218" t="s">
        <v>396</v>
      </c>
      <c r="T550" s="218" t="s">
        <v>628</v>
      </c>
      <c r="U550" s="218" t="s">
        <v>2591</v>
      </c>
      <c r="V550" s="218" t="s">
        <v>381</v>
      </c>
      <c r="W550" s="218" t="s">
        <v>295</v>
      </c>
      <c r="X550" s="218" t="s">
        <v>379</v>
      </c>
      <c r="Y550" s="218">
        <v>0.66</v>
      </c>
      <c r="Z550" s="218">
        <f t="shared" si="10"/>
        <v>0.73</v>
      </c>
    </row>
    <row r="551" spans="1:26">
      <c r="A551" s="218" t="s">
        <v>2592</v>
      </c>
      <c r="B551" s="218"/>
      <c r="C551" s="218"/>
      <c r="D551" s="218"/>
      <c r="E551" s="218"/>
      <c r="F551" s="219" t="s">
        <v>3683</v>
      </c>
      <c r="G551" s="218" t="s">
        <v>255</v>
      </c>
      <c r="H551" s="218" t="s">
        <v>309</v>
      </c>
      <c r="I551" s="223">
        <v>43830</v>
      </c>
      <c r="J551" s="218" t="s">
        <v>3033</v>
      </c>
      <c r="K551" s="218" t="s">
        <v>3034</v>
      </c>
      <c r="L551" s="218" t="s">
        <v>2704</v>
      </c>
      <c r="M551" s="218" t="s">
        <v>3684</v>
      </c>
      <c r="N551" s="218">
        <v>4.8600000000000003</v>
      </c>
      <c r="O551" s="218" t="s">
        <v>292</v>
      </c>
      <c r="P551" s="218">
        <v>6.29</v>
      </c>
      <c r="Q551" s="218" t="s">
        <v>3036</v>
      </c>
      <c r="R551" s="218" t="s">
        <v>3037</v>
      </c>
      <c r="S551" s="218" t="s">
        <v>396</v>
      </c>
      <c r="T551" s="218" t="s">
        <v>489</v>
      </c>
      <c r="U551" s="218" t="s">
        <v>2591</v>
      </c>
      <c r="V551" s="218" t="s">
        <v>381</v>
      </c>
      <c r="W551" s="218" t="s">
        <v>295</v>
      </c>
      <c r="X551" s="218" t="s">
        <v>379</v>
      </c>
      <c r="Y551" s="218">
        <v>5.71</v>
      </c>
      <c r="Z551" s="218">
        <f t="shared" si="10"/>
        <v>6.29</v>
      </c>
    </row>
    <row r="552" spans="1:26">
      <c r="A552" s="218" t="s">
        <v>2592</v>
      </c>
      <c r="B552" s="218"/>
      <c r="C552" s="218"/>
      <c r="D552" s="218"/>
      <c r="E552" s="218"/>
      <c r="F552" s="219" t="s">
        <v>3685</v>
      </c>
      <c r="G552" s="218" t="s">
        <v>255</v>
      </c>
      <c r="H552" s="218" t="s">
        <v>309</v>
      </c>
      <c r="I552" s="223">
        <v>43830</v>
      </c>
      <c r="J552" s="218" t="s">
        <v>3033</v>
      </c>
      <c r="K552" s="218" t="s">
        <v>3034</v>
      </c>
      <c r="L552" s="218" t="s">
        <v>2704</v>
      </c>
      <c r="M552" s="218" t="s">
        <v>3686</v>
      </c>
      <c r="N552" s="218">
        <v>2.5499999999999998</v>
      </c>
      <c r="O552" s="218" t="s">
        <v>292</v>
      </c>
      <c r="P552" s="218">
        <v>3.3</v>
      </c>
      <c r="Q552" s="218" t="s">
        <v>3036</v>
      </c>
      <c r="R552" s="218" t="s">
        <v>3037</v>
      </c>
      <c r="S552" s="218" t="s">
        <v>396</v>
      </c>
      <c r="T552" s="218" t="s">
        <v>915</v>
      </c>
      <c r="U552" s="218" t="s">
        <v>2591</v>
      </c>
      <c r="V552" s="218" t="s">
        <v>381</v>
      </c>
      <c r="W552" s="218" t="s">
        <v>295</v>
      </c>
      <c r="X552" s="218" t="s">
        <v>255</v>
      </c>
      <c r="Y552" s="218">
        <v>2.99</v>
      </c>
      <c r="Z552" s="218">
        <f t="shared" si="10"/>
        <v>3.3</v>
      </c>
    </row>
    <row r="553" spans="1:26">
      <c r="A553" s="218" t="s">
        <v>2592</v>
      </c>
      <c r="B553" s="218"/>
      <c r="C553" s="218"/>
      <c r="D553" s="218"/>
      <c r="E553" s="218"/>
      <c r="F553" s="219" t="s">
        <v>3687</v>
      </c>
      <c r="G553" s="218" t="s">
        <v>255</v>
      </c>
      <c r="H553" s="218" t="s">
        <v>309</v>
      </c>
      <c r="I553" s="223">
        <v>43830</v>
      </c>
      <c r="J553" s="218" t="s">
        <v>3039</v>
      </c>
      <c r="K553" s="218" t="s">
        <v>3688</v>
      </c>
      <c r="L553" s="218" t="s">
        <v>2704</v>
      </c>
      <c r="M553" s="218" t="s">
        <v>3689</v>
      </c>
      <c r="N553" s="218">
        <v>5.8</v>
      </c>
      <c r="O553" s="218" t="s">
        <v>292</v>
      </c>
      <c r="P553" s="218">
        <v>7.5</v>
      </c>
      <c r="Q553" s="218" t="s">
        <v>640</v>
      </c>
      <c r="R553" s="218" t="s">
        <v>1580</v>
      </c>
      <c r="S553" s="218" t="s">
        <v>396</v>
      </c>
      <c r="T553" s="218" t="s">
        <v>2591</v>
      </c>
      <c r="U553" s="218" t="s">
        <v>2591</v>
      </c>
      <c r="V553" s="218" t="s">
        <v>381</v>
      </c>
      <c r="W553" s="218" t="s">
        <v>295</v>
      </c>
      <c r="X553" s="218" t="s">
        <v>379</v>
      </c>
      <c r="Y553" s="218">
        <v>6.81</v>
      </c>
      <c r="Z553" s="218">
        <f t="shared" si="10"/>
        <v>7.5</v>
      </c>
    </row>
    <row r="554" spans="1:26">
      <c r="A554" s="218" t="s">
        <v>2592</v>
      </c>
      <c r="B554" s="218"/>
      <c r="C554" s="218"/>
      <c r="D554" s="218"/>
      <c r="E554" s="218"/>
      <c r="F554" s="219" t="s">
        <v>3690</v>
      </c>
      <c r="G554" s="218" t="s">
        <v>255</v>
      </c>
      <c r="H554" s="218" t="s">
        <v>309</v>
      </c>
      <c r="I554" s="223">
        <v>43830</v>
      </c>
      <c r="J554" s="218" t="s">
        <v>3039</v>
      </c>
      <c r="K554" s="218" t="s">
        <v>3040</v>
      </c>
      <c r="L554" s="218" t="s">
        <v>2704</v>
      </c>
      <c r="M554" s="218" t="s">
        <v>3691</v>
      </c>
      <c r="N554" s="218">
        <v>0.49</v>
      </c>
      <c r="O554" s="218" t="s">
        <v>292</v>
      </c>
      <c r="P554" s="218">
        <v>0.64</v>
      </c>
      <c r="Q554" s="218" t="s">
        <v>385</v>
      </c>
      <c r="R554" s="218" t="s">
        <v>1772</v>
      </c>
      <c r="S554" s="218" t="s">
        <v>396</v>
      </c>
      <c r="T554" s="218" t="s">
        <v>501</v>
      </c>
      <c r="U554" s="218" t="s">
        <v>2591</v>
      </c>
      <c r="V554" s="218" t="s">
        <v>381</v>
      </c>
      <c r="W554" s="218" t="s">
        <v>295</v>
      </c>
      <c r="X554" s="218" t="s">
        <v>379</v>
      </c>
      <c r="Y554" s="218">
        <v>0.57999999999999996</v>
      </c>
      <c r="Z554" s="218">
        <f t="shared" si="10"/>
        <v>0.64</v>
      </c>
    </row>
    <row r="555" spans="1:26">
      <c r="A555" s="218" t="s">
        <v>2592</v>
      </c>
      <c r="B555" s="218"/>
      <c r="C555" s="218"/>
      <c r="D555" s="218"/>
      <c r="E555" s="218"/>
      <c r="F555" s="219" t="s">
        <v>3692</v>
      </c>
      <c r="G555" s="218" t="s">
        <v>255</v>
      </c>
      <c r="H555" s="218" t="s">
        <v>309</v>
      </c>
      <c r="I555" s="223">
        <v>43830</v>
      </c>
      <c r="J555" s="218" t="s">
        <v>3039</v>
      </c>
      <c r="K555" s="218" t="s">
        <v>3040</v>
      </c>
      <c r="L555" s="218" t="s">
        <v>2704</v>
      </c>
      <c r="M555" s="218" t="s">
        <v>3693</v>
      </c>
      <c r="N555" s="218">
        <v>0.05</v>
      </c>
      <c r="O555" s="218" t="s">
        <v>292</v>
      </c>
      <c r="P555" s="218">
        <v>0.06</v>
      </c>
      <c r="Q555" s="218" t="s">
        <v>385</v>
      </c>
      <c r="R555" s="218" t="s">
        <v>1772</v>
      </c>
      <c r="S555" s="218" t="s">
        <v>396</v>
      </c>
      <c r="T555" s="218" t="s">
        <v>908</v>
      </c>
      <c r="U555" s="218" t="s">
        <v>2591</v>
      </c>
      <c r="V555" s="218" t="s">
        <v>381</v>
      </c>
      <c r="W555" s="218" t="s">
        <v>295</v>
      </c>
      <c r="X555" s="218" t="s">
        <v>379</v>
      </c>
      <c r="Y555" s="218">
        <v>0.06</v>
      </c>
      <c r="Z555" s="218">
        <f t="shared" si="10"/>
        <v>0.06</v>
      </c>
    </row>
    <row r="556" spans="1:26">
      <c r="A556" s="218" t="s">
        <v>2592</v>
      </c>
      <c r="B556" s="218"/>
      <c r="C556" s="218"/>
      <c r="D556" s="218"/>
      <c r="E556" s="218"/>
      <c r="F556" s="219" t="s">
        <v>3694</v>
      </c>
      <c r="G556" s="218" t="s">
        <v>255</v>
      </c>
      <c r="H556" s="218" t="s">
        <v>309</v>
      </c>
      <c r="I556" s="223">
        <v>43830</v>
      </c>
      <c r="J556" s="218" t="s">
        <v>3039</v>
      </c>
      <c r="K556" s="218" t="s">
        <v>3040</v>
      </c>
      <c r="L556" s="218" t="s">
        <v>2704</v>
      </c>
      <c r="M556" s="218" t="s">
        <v>3695</v>
      </c>
      <c r="N556" s="218">
        <v>0.13</v>
      </c>
      <c r="O556" s="218" t="s">
        <v>292</v>
      </c>
      <c r="P556" s="218">
        <v>0.17</v>
      </c>
      <c r="Q556" s="218" t="s">
        <v>385</v>
      </c>
      <c r="R556" s="218" t="s">
        <v>1772</v>
      </c>
      <c r="S556" s="218" t="s">
        <v>396</v>
      </c>
      <c r="T556" s="218" t="s">
        <v>487</v>
      </c>
      <c r="U556" s="218" t="s">
        <v>2591</v>
      </c>
      <c r="V556" s="218" t="s">
        <v>381</v>
      </c>
      <c r="W556" s="218" t="s">
        <v>295</v>
      </c>
      <c r="X556" s="218" t="s">
        <v>379</v>
      </c>
      <c r="Y556" s="218">
        <v>0.15</v>
      </c>
      <c r="Z556" s="218">
        <f t="shared" si="10"/>
        <v>0.17</v>
      </c>
    </row>
    <row r="557" spans="1:26">
      <c r="A557" s="218" t="s">
        <v>2592</v>
      </c>
      <c r="B557" s="218"/>
      <c r="C557" s="218"/>
      <c r="D557" s="218"/>
      <c r="E557" s="218"/>
      <c r="F557" s="219" t="s">
        <v>3696</v>
      </c>
      <c r="G557" s="218" t="s">
        <v>255</v>
      </c>
      <c r="H557" s="218" t="s">
        <v>309</v>
      </c>
      <c r="I557" s="223">
        <v>43830</v>
      </c>
      <c r="J557" s="218" t="s">
        <v>3039</v>
      </c>
      <c r="K557" s="218" t="s">
        <v>3040</v>
      </c>
      <c r="L557" s="218" t="s">
        <v>2704</v>
      </c>
      <c r="M557" s="218" t="s">
        <v>3697</v>
      </c>
      <c r="N557" s="218">
        <v>0.05</v>
      </c>
      <c r="O557" s="218" t="s">
        <v>292</v>
      </c>
      <c r="P557" s="218">
        <v>0.06</v>
      </c>
      <c r="Q557" s="218" t="s">
        <v>385</v>
      </c>
      <c r="R557" s="218" t="s">
        <v>1772</v>
      </c>
      <c r="S557" s="218" t="s">
        <v>396</v>
      </c>
      <c r="T557" s="218" t="s">
        <v>628</v>
      </c>
      <c r="U557" s="218" t="s">
        <v>2591</v>
      </c>
      <c r="V557" s="218" t="s">
        <v>381</v>
      </c>
      <c r="W557" s="218" t="s">
        <v>295</v>
      </c>
      <c r="X557" s="218" t="s">
        <v>379</v>
      </c>
      <c r="Y557" s="218">
        <v>0.06</v>
      </c>
      <c r="Z557" s="218">
        <f t="shared" si="10"/>
        <v>0.06</v>
      </c>
    </row>
    <row r="558" spans="1:26">
      <c r="A558" s="218" t="s">
        <v>2592</v>
      </c>
      <c r="B558" s="218"/>
      <c r="C558" s="218"/>
      <c r="D558" s="218"/>
      <c r="E558" s="218"/>
      <c r="F558" s="219" t="s">
        <v>3698</v>
      </c>
      <c r="G558" s="218" t="s">
        <v>255</v>
      </c>
      <c r="H558" s="218" t="s">
        <v>309</v>
      </c>
      <c r="I558" s="223">
        <v>43830</v>
      </c>
      <c r="J558" s="218" t="s">
        <v>3039</v>
      </c>
      <c r="K558" s="218" t="s">
        <v>3040</v>
      </c>
      <c r="L558" s="218" t="s">
        <v>2704</v>
      </c>
      <c r="M558" s="218" t="s">
        <v>3699</v>
      </c>
      <c r="N558" s="218">
        <v>0.18</v>
      </c>
      <c r="O558" s="218" t="s">
        <v>292</v>
      </c>
      <c r="P558" s="218">
        <v>0.23</v>
      </c>
      <c r="Q558" s="218" t="s">
        <v>385</v>
      </c>
      <c r="R558" s="218" t="s">
        <v>1772</v>
      </c>
      <c r="S558" s="218" t="s">
        <v>396</v>
      </c>
      <c r="T558" s="218" t="s">
        <v>489</v>
      </c>
      <c r="U558" s="218" t="s">
        <v>2591</v>
      </c>
      <c r="V558" s="218" t="s">
        <v>381</v>
      </c>
      <c r="W558" s="218" t="s">
        <v>295</v>
      </c>
      <c r="X558" s="218" t="s">
        <v>379</v>
      </c>
      <c r="Y558" s="218">
        <v>0.21</v>
      </c>
      <c r="Z558" s="218">
        <f t="shared" si="10"/>
        <v>0.23</v>
      </c>
    </row>
    <row r="559" spans="1:26">
      <c r="A559" s="218" t="s">
        <v>2592</v>
      </c>
      <c r="B559" s="218"/>
      <c r="C559" s="218"/>
      <c r="D559" s="218"/>
      <c r="E559" s="218"/>
      <c r="F559" s="219" t="s">
        <v>3700</v>
      </c>
      <c r="G559" s="218" t="s">
        <v>255</v>
      </c>
      <c r="H559" s="218" t="s">
        <v>309</v>
      </c>
      <c r="I559" s="223">
        <v>43830</v>
      </c>
      <c r="J559" s="218" t="s">
        <v>3039</v>
      </c>
      <c r="K559" s="218" t="s">
        <v>3040</v>
      </c>
      <c r="L559" s="218" t="s">
        <v>2704</v>
      </c>
      <c r="M559" s="218" t="s">
        <v>3701</v>
      </c>
      <c r="N559" s="218">
        <v>0.05</v>
      </c>
      <c r="O559" s="218" t="s">
        <v>292</v>
      </c>
      <c r="P559" s="218">
        <v>0.06</v>
      </c>
      <c r="Q559" s="218" t="s">
        <v>385</v>
      </c>
      <c r="R559" s="218" t="s">
        <v>1772</v>
      </c>
      <c r="S559" s="218" t="s">
        <v>396</v>
      </c>
      <c r="T559" s="218" t="s">
        <v>915</v>
      </c>
      <c r="U559" s="218" t="s">
        <v>2591</v>
      </c>
      <c r="V559" s="218" t="s">
        <v>381</v>
      </c>
      <c r="W559" s="218" t="s">
        <v>295</v>
      </c>
      <c r="X559" s="218" t="s">
        <v>379</v>
      </c>
      <c r="Y559" s="218">
        <v>0.06</v>
      </c>
      <c r="Z559" s="218">
        <f t="shared" si="10"/>
        <v>0.06</v>
      </c>
    </row>
    <row r="560" spans="1:26">
      <c r="A560" s="218" t="s">
        <v>2592</v>
      </c>
      <c r="B560" s="218"/>
      <c r="C560" s="218"/>
      <c r="D560" s="218"/>
      <c r="E560" s="218"/>
      <c r="F560" s="219" t="s">
        <v>3702</v>
      </c>
      <c r="G560" s="218" t="s">
        <v>255</v>
      </c>
      <c r="H560" s="218" t="s">
        <v>309</v>
      </c>
      <c r="I560" s="223">
        <v>43830</v>
      </c>
      <c r="J560" s="218" t="s">
        <v>3039</v>
      </c>
      <c r="K560" s="218" t="s">
        <v>3040</v>
      </c>
      <c r="L560" s="218" t="s">
        <v>2704</v>
      </c>
      <c r="M560" s="218" t="s">
        <v>3703</v>
      </c>
      <c r="N560" s="218">
        <v>0.49</v>
      </c>
      <c r="O560" s="218" t="s">
        <v>292</v>
      </c>
      <c r="P560" s="218">
        <v>0.64</v>
      </c>
      <c r="Q560" s="218" t="s">
        <v>385</v>
      </c>
      <c r="R560" s="218" t="s">
        <v>1772</v>
      </c>
      <c r="S560" s="218" t="s">
        <v>396</v>
      </c>
      <c r="T560" s="218" t="s">
        <v>501</v>
      </c>
      <c r="U560" s="218" t="s">
        <v>2591</v>
      </c>
      <c r="V560" s="218" t="s">
        <v>381</v>
      </c>
      <c r="W560" s="218" t="s">
        <v>295</v>
      </c>
      <c r="X560" s="218" t="s">
        <v>379</v>
      </c>
      <c r="Y560" s="218">
        <v>0.57999999999999996</v>
      </c>
      <c r="Z560" s="218">
        <f t="shared" si="10"/>
        <v>0.64</v>
      </c>
    </row>
    <row r="561" spans="1:26">
      <c r="A561" s="218" t="s">
        <v>2592</v>
      </c>
      <c r="B561" s="218"/>
      <c r="C561" s="218"/>
      <c r="D561" s="218"/>
      <c r="E561" s="218"/>
      <c r="F561" s="219" t="s">
        <v>3704</v>
      </c>
      <c r="G561" s="218" t="s">
        <v>255</v>
      </c>
      <c r="H561" s="218" t="s">
        <v>309</v>
      </c>
      <c r="I561" s="223">
        <v>43830</v>
      </c>
      <c r="J561" s="218" t="s">
        <v>3039</v>
      </c>
      <c r="K561" s="218" t="s">
        <v>3040</v>
      </c>
      <c r="L561" s="218" t="s">
        <v>2704</v>
      </c>
      <c r="M561" s="218" t="s">
        <v>3705</v>
      </c>
      <c r="N561" s="218">
        <v>0.05</v>
      </c>
      <c r="O561" s="218" t="s">
        <v>292</v>
      </c>
      <c r="P561" s="218">
        <v>0.06</v>
      </c>
      <c r="Q561" s="218" t="s">
        <v>385</v>
      </c>
      <c r="R561" s="218" t="s">
        <v>1772</v>
      </c>
      <c r="S561" s="218" t="s">
        <v>396</v>
      </c>
      <c r="T561" s="218" t="s">
        <v>908</v>
      </c>
      <c r="U561" s="218" t="s">
        <v>2591</v>
      </c>
      <c r="V561" s="218" t="s">
        <v>381</v>
      </c>
      <c r="W561" s="218" t="s">
        <v>295</v>
      </c>
      <c r="X561" s="218" t="s">
        <v>379</v>
      </c>
      <c r="Y561" s="218">
        <v>0.06</v>
      </c>
      <c r="Z561" s="218">
        <f t="shared" si="10"/>
        <v>0.06</v>
      </c>
    </row>
    <row r="562" spans="1:26">
      <c r="A562" s="218" t="s">
        <v>2592</v>
      </c>
      <c r="B562" s="218"/>
      <c r="C562" s="218"/>
      <c r="D562" s="218"/>
      <c r="E562" s="218"/>
      <c r="F562" s="219" t="s">
        <v>3706</v>
      </c>
      <c r="G562" s="218" t="s">
        <v>255</v>
      </c>
      <c r="H562" s="218" t="s">
        <v>309</v>
      </c>
      <c r="I562" s="223">
        <v>43830</v>
      </c>
      <c r="J562" s="218" t="s">
        <v>3039</v>
      </c>
      <c r="K562" s="218" t="s">
        <v>3040</v>
      </c>
      <c r="L562" s="218" t="s">
        <v>2704</v>
      </c>
      <c r="M562" s="218" t="s">
        <v>3707</v>
      </c>
      <c r="N562" s="218">
        <v>0.13</v>
      </c>
      <c r="O562" s="218" t="s">
        <v>292</v>
      </c>
      <c r="P562" s="218">
        <v>0.17</v>
      </c>
      <c r="Q562" s="218" t="s">
        <v>385</v>
      </c>
      <c r="R562" s="218" t="s">
        <v>1772</v>
      </c>
      <c r="S562" s="218" t="s">
        <v>396</v>
      </c>
      <c r="T562" s="218" t="s">
        <v>487</v>
      </c>
      <c r="U562" s="218" t="s">
        <v>2591</v>
      </c>
      <c r="V562" s="218" t="s">
        <v>381</v>
      </c>
      <c r="W562" s="218" t="s">
        <v>295</v>
      </c>
      <c r="X562" s="218" t="s">
        <v>379</v>
      </c>
      <c r="Y562" s="218">
        <v>0.15</v>
      </c>
      <c r="Z562" s="218">
        <f t="shared" si="10"/>
        <v>0.17</v>
      </c>
    </row>
    <row r="563" spans="1:26">
      <c r="A563" s="218" t="s">
        <v>2592</v>
      </c>
      <c r="B563" s="218"/>
      <c r="C563" s="218"/>
      <c r="D563" s="218"/>
      <c r="E563" s="218"/>
      <c r="F563" s="219" t="s">
        <v>3708</v>
      </c>
      <c r="G563" s="218" t="s">
        <v>255</v>
      </c>
      <c r="H563" s="218" t="s">
        <v>309</v>
      </c>
      <c r="I563" s="223">
        <v>43830</v>
      </c>
      <c r="J563" s="218" t="s">
        <v>3039</v>
      </c>
      <c r="K563" s="218" t="s">
        <v>3040</v>
      </c>
      <c r="L563" s="218" t="s">
        <v>2704</v>
      </c>
      <c r="M563" s="218" t="s">
        <v>3709</v>
      </c>
      <c r="N563" s="218">
        <v>0.05</v>
      </c>
      <c r="O563" s="218" t="s">
        <v>292</v>
      </c>
      <c r="P563" s="218">
        <v>0.06</v>
      </c>
      <c r="Q563" s="218" t="s">
        <v>385</v>
      </c>
      <c r="R563" s="218" t="s">
        <v>1772</v>
      </c>
      <c r="S563" s="218" t="s">
        <v>396</v>
      </c>
      <c r="T563" s="218" t="s">
        <v>628</v>
      </c>
      <c r="U563" s="218" t="s">
        <v>2591</v>
      </c>
      <c r="V563" s="218" t="s">
        <v>381</v>
      </c>
      <c r="W563" s="218" t="s">
        <v>295</v>
      </c>
      <c r="X563" s="218" t="s">
        <v>379</v>
      </c>
      <c r="Y563" s="218">
        <v>0.06</v>
      </c>
      <c r="Z563" s="218">
        <f t="shared" si="10"/>
        <v>0.06</v>
      </c>
    </row>
    <row r="564" spans="1:26">
      <c r="A564" s="218" t="s">
        <v>2592</v>
      </c>
      <c r="B564" s="218"/>
      <c r="C564" s="218"/>
      <c r="D564" s="218"/>
      <c r="E564" s="218"/>
      <c r="F564" s="219" t="s">
        <v>3710</v>
      </c>
      <c r="G564" s="218" t="s">
        <v>255</v>
      </c>
      <c r="H564" s="218" t="s">
        <v>309</v>
      </c>
      <c r="I564" s="223">
        <v>43830</v>
      </c>
      <c r="J564" s="218" t="s">
        <v>3039</v>
      </c>
      <c r="K564" s="218" t="s">
        <v>3040</v>
      </c>
      <c r="L564" s="218" t="s">
        <v>2704</v>
      </c>
      <c r="M564" s="218" t="s">
        <v>3711</v>
      </c>
      <c r="N564" s="218">
        <v>0.18</v>
      </c>
      <c r="O564" s="218" t="s">
        <v>292</v>
      </c>
      <c r="P564" s="218">
        <v>0.23</v>
      </c>
      <c r="Q564" s="218" t="s">
        <v>385</v>
      </c>
      <c r="R564" s="218" t="s">
        <v>1772</v>
      </c>
      <c r="S564" s="218" t="s">
        <v>396</v>
      </c>
      <c r="T564" s="218" t="s">
        <v>489</v>
      </c>
      <c r="U564" s="218" t="s">
        <v>2591</v>
      </c>
      <c r="V564" s="218" t="s">
        <v>381</v>
      </c>
      <c r="W564" s="218" t="s">
        <v>295</v>
      </c>
      <c r="X564" s="218" t="s">
        <v>379</v>
      </c>
      <c r="Y564" s="218">
        <v>0.21</v>
      </c>
      <c r="Z564" s="218">
        <f t="shared" si="10"/>
        <v>0.23</v>
      </c>
    </row>
    <row r="565" spans="1:26">
      <c r="A565" s="218" t="s">
        <v>2592</v>
      </c>
      <c r="B565" s="218"/>
      <c r="C565" s="218"/>
      <c r="D565" s="218"/>
      <c r="E565" s="218"/>
      <c r="F565" s="219" t="s">
        <v>3712</v>
      </c>
      <c r="G565" s="218" t="s">
        <v>255</v>
      </c>
      <c r="H565" s="218" t="s">
        <v>309</v>
      </c>
      <c r="I565" s="223">
        <v>43830</v>
      </c>
      <c r="J565" s="218" t="s">
        <v>3039</v>
      </c>
      <c r="K565" s="218" t="s">
        <v>3040</v>
      </c>
      <c r="L565" s="218" t="s">
        <v>2704</v>
      </c>
      <c r="M565" s="218" t="s">
        <v>3713</v>
      </c>
      <c r="N565" s="218">
        <v>0.05</v>
      </c>
      <c r="O565" s="218" t="s">
        <v>292</v>
      </c>
      <c r="P565" s="218">
        <v>0.06</v>
      </c>
      <c r="Q565" s="218" t="s">
        <v>385</v>
      </c>
      <c r="R565" s="218" t="s">
        <v>1772</v>
      </c>
      <c r="S565" s="218" t="s">
        <v>396</v>
      </c>
      <c r="T565" s="218" t="s">
        <v>915</v>
      </c>
      <c r="U565" s="218" t="s">
        <v>2591</v>
      </c>
      <c r="V565" s="218" t="s">
        <v>381</v>
      </c>
      <c r="W565" s="218" t="s">
        <v>295</v>
      </c>
      <c r="X565" s="218" t="s">
        <v>379</v>
      </c>
      <c r="Y565" s="218">
        <v>0.06</v>
      </c>
      <c r="Z565" s="218">
        <f t="shared" ref="Z565:Z619" si="11">P565</f>
        <v>0.06</v>
      </c>
    </row>
    <row r="566" spans="1:26">
      <c r="A566" s="218" t="s">
        <v>2592</v>
      </c>
      <c r="B566" s="218"/>
      <c r="C566" s="218"/>
      <c r="D566" s="218"/>
      <c r="E566" s="218"/>
      <c r="F566" s="219" t="s">
        <v>3714</v>
      </c>
      <c r="G566" s="218" t="s">
        <v>255</v>
      </c>
      <c r="H566" s="218" t="s">
        <v>309</v>
      </c>
      <c r="I566" s="223">
        <v>43830</v>
      </c>
      <c r="J566" s="218" t="s">
        <v>3043</v>
      </c>
      <c r="K566" s="218" t="s">
        <v>3040</v>
      </c>
      <c r="L566" s="218" t="s">
        <v>2704</v>
      </c>
      <c r="M566" s="218" t="s">
        <v>3715</v>
      </c>
      <c r="N566" s="218">
        <v>0.12</v>
      </c>
      <c r="O566" s="218" t="s">
        <v>292</v>
      </c>
      <c r="P566" s="218">
        <v>0.16</v>
      </c>
      <c r="Q566" s="218" t="s">
        <v>405</v>
      </c>
      <c r="R566" s="218" t="s">
        <v>1780</v>
      </c>
      <c r="S566" s="218" t="s">
        <v>396</v>
      </c>
      <c r="T566" s="218" t="s">
        <v>501</v>
      </c>
      <c r="U566" s="218" t="s">
        <v>2591</v>
      </c>
      <c r="V566" s="218" t="s">
        <v>381</v>
      </c>
      <c r="W566" s="218" t="s">
        <v>295</v>
      </c>
      <c r="X566" s="218" t="s">
        <v>379</v>
      </c>
      <c r="Y566" s="218">
        <v>0.14000000000000001</v>
      </c>
      <c r="Z566" s="218">
        <f t="shared" si="11"/>
        <v>0.16</v>
      </c>
    </row>
    <row r="567" spans="1:26">
      <c r="A567" s="218" t="s">
        <v>2592</v>
      </c>
      <c r="B567" s="218"/>
      <c r="C567" s="218"/>
      <c r="D567" s="218"/>
      <c r="E567" s="218"/>
      <c r="F567" s="219" t="s">
        <v>3716</v>
      </c>
      <c r="G567" s="218" t="s">
        <v>255</v>
      </c>
      <c r="H567" s="218" t="s">
        <v>309</v>
      </c>
      <c r="I567" s="223">
        <v>43830</v>
      </c>
      <c r="J567" s="218" t="s">
        <v>3043</v>
      </c>
      <c r="K567" s="218" t="s">
        <v>3040</v>
      </c>
      <c r="L567" s="218" t="s">
        <v>2704</v>
      </c>
      <c r="M567" s="218" t="s">
        <v>3717</v>
      </c>
      <c r="N567" s="218">
        <v>0.06</v>
      </c>
      <c r="O567" s="218" t="s">
        <v>292</v>
      </c>
      <c r="P567" s="218">
        <v>0.08</v>
      </c>
      <c r="Q567" s="218" t="s">
        <v>405</v>
      </c>
      <c r="R567" s="218" t="s">
        <v>1780</v>
      </c>
      <c r="S567" s="218" t="s">
        <v>396</v>
      </c>
      <c r="T567" s="218" t="s">
        <v>501</v>
      </c>
      <c r="U567" s="218" t="s">
        <v>2591</v>
      </c>
      <c r="V567" s="218" t="s">
        <v>381</v>
      </c>
      <c r="W567" s="218" t="s">
        <v>295</v>
      </c>
      <c r="X567" s="218" t="s">
        <v>379</v>
      </c>
      <c r="Y567" s="218">
        <v>7.0000000000000007E-2</v>
      </c>
      <c r="Z567" s="218">
        <f t="shared" si="11"/>
        <v>0.08</v>
      </c>
    </row>
    <row r="568" spans="1:26">
      <c r="A568" s="218" t="s">
        <v>2592</v>
      </c>
      <c r="B568" s="218"/>
      <c r="C568" s="218"/>
      <c r="D568" s="218"/>
      <c r="E568" s="218"/>
      <c r="F568" s="219" t="s">
        <v>3718</v>
      </c>
      <c r="G568" s="218" t="s">
        <v>255</v>
      </c>
      <c r="H568" s="218" t="s">
        <v>309</v>
      </c>
      <c r="I568" s="223">
        <v>43830</v>
      </c>
      <c r="J568" s="218" t="s">
        <v>3043</v>
      </c>
      <c r="K568" s="218" t="s">
        <v>3040</v>
      </c>
      <c r="L568" s="218" t="s">
        <v>2704</v>
      </c>
      <c r="M568" s="218" t="s">
        <v>3719</v>
      </c>
      <c r="N568" s="218">
        <v>0.02</v>
      </c>
      <c r="O568" s="218" t="s">
        <v>292</v>
      </c>
      <c r="P568" s="218">
        <v>0.03</v>
      </c>
      <c r="Q568" s="218" t="s">
        <v>405</v>
      </c>
      <c r="R568" s="218" t="s">
        <v>1780</v>
      </c>
      <c r="S568" s="218" t="s">
        <v>396</v>
      </c>
      <c r="T568" s="218" t="s">
        <v>501</v>
      </c>
      <c r="U568" s="218" t="s">
        <v>2591</v>
      </c>
      <c r="V568" s="218" t="s">
        <v>381</v>
      </c>
      <c r="W568" s="218" t="s">
        <v>295</v>
      </c>
      <c r="X568" s="218" t="s">
        <v>379</v>
      </c>
      <c r="Y568" s="218">
        <v>0.02</v>
      </c>
      <c r="Z568" s="218">
        <f t="shared" si="11"/>
        <v>0.03</v>
      </c>
    </row>
    <row r="569" spans="1:26">
      <c r="A569" s="218" t="s">
        <v>2592</v>
      </c>
      <c r="B569" s="218"/>
      <c r="C569" s="218"/>
      <c r="D569" s="218"/>
      <c r="E569" s="218"/>
      <c r="F569" s="219" t="s">
        <v>3720</v>
      </c>
      <c r="G569" s="218" t="s">
        <v>255</v>
      </c>
      <c r="H569" s="218" t="s">
        <v>309</v>
      </c>
      <c r="I569" s="223">
        <v>43830</v>
      </c>
      <c r="J569" s="218" t="s">
        <v>3721</v>
      </c>
      <c r="K569" s="218" t="s">
        <v>3722</v>
      </c>
      <c r="L569" s="218" t="s">
        <v>3723</v>
      </c>
      <c r="M569" s="218" t="s">
        <v>3724</v>
      </c>
      <c r="N569" s="218">
        <v>15.11</v>
      </c>
      <c r="O569" s="218" t="s">
        <v>292</v>
      </c>
      <c r="P569" s="218">
        <v>19.54</v>
      </c>
      <c r="Q569" s="218" t="s">
        <v>405</v>
      </c>
      <c r="R569" s="218" t="s">
        <v>1780</v>
      </c>
      <c r="S569" s="218" t="s">
        <v>396</v>
      </c>
      <c r="T569" s="218" t="s">
        <v>908</v>
      </c>
      <c r="U569" s="218" t="s">
        <v>2591</v>
      </c>
      <c r="V569" s="218" t="s">
        <v>381</v>
      </c>
      <c r="W569" s="218" t="s">
        <v>295</v>
      </c>
      <c r="X569" s="218" t="s">
        <v>379</v>
      </c>
      <c r="Y569" s="218">
        <v>17.739999999999998</v>
      </c>
      <c r="Z569" s="218">
        <f t="shared" si="11"/>
        <v>19.54</v>
      </c>
    </row>
    <row r="570" spans="1:26">
      <c r="A570" s="218" t="s">
        <v>2592</v>
      </c>
      <c r="B570" s="218"/>
      <c r="C570" s="218"/>
      <c r="D570" s="218"/>
      <c r="E570" s="218"/>
      <c r="F570" s="219" t="s">
        <v>3725</v>
      </c>
      <c r="G570" s="218" t="s">
        <v>255</v>
      </c>
      <c r="H570" s="218" t="s">
        <v>309</v>
      </c>
      <c r="I570" s="223">
        <v>43830</v>
      </c>
      <c r="J570" s="218" t="s">
        <v>3721</v>
      </c>
      <c r="K570" s="218" t="s">
        <v>3722</v>
      </c>
      <c r="L570" s="218" t="s">
        <v>3723</v>
      </c>
      <c r="M570" s="218" t="s">
        <v>3726</v>
      </c>
      <c r="N570" s="218">
        <v>57.72</v>
      </c>
      <c r="O570" s="218" t="s">
        <v>292</v>
      </c>
      <c r="P570" s="218">
        <v>74.650000000000006</v>
      </c>
      <c r="Q570" s="218" t="s">
        <v>405</v>
      </c>
      <c r="R570" s="218" t="s">
        <v>1780</v>
      </c>
      <c r="S570" s="218" t="s">
        <v>396</v>
      </c>
      <c r="T570" s="218" t="s">
        <v>487</v>
      </c>
      <c r="U570" s="218" t="s">
        <v>2591</v>
      </c>
      <c r="V570" s="218" t="s">
        <v>381</v>
      </c>
      <c r="W570" s="218" t="s">
        <v>295</v>
      </c>
      <c r="X570" s="218" t="s">
        <v>379</v>
      </c>
      <c r="Y570" s="218">
        <v>67.760000000000005</v>
      </c>
      <c r="Z570" s="218">
        <f t="shared" si="11"/>
        <v>74.650000000000006</v>
      </c>
    </row>
    <row r="571" spans="1:26">
      <c r="A571" s="218" t="s">
        <v>2592</v>
      </c>
      <c r="B571" s="218"/>
      <c r="C571" s="218"/>
      <c r="D571" s="218"/>
      <c r="E571" s="218"/>
      <c r="F571" s="219" t="s">
        <v>3727</v>
      </c>
      <c r="G571" s="218" t="s">
        <v>255</v>
      </c>
      <c r="H571" s="218" t="s">
        <v>309</v>
      </c>
      <c r="I571" s="223">
        <v>43830</v>
      </c>
      <c r="J571" s="218" t="s">
        <v>3721</v>
      </c>
      <c r="K571" s="218" t="s">
        <v>3722</v>
      </c>
      <c r="L571" s="218" t="s">
        <v>3723</v>
      </c>
      <c r="M571" s="218" t="s">
        <v>3728</v>
      </c>
      <c r="N571" s="218">
        <v>11.16</v>
      </c>
      <c r="O571" s="218" t="s">
        <v>292</v>
      </c>
      <c r="P571" s="218">
        <v>14.43</v>
      </c>
      <c r="Q571" s="218" t="s">
        <v>405</v>
      </c>
      <c r="R571" s="218" t="s">
        <v>1780</v>
      </c>
      <c r="S571" s="218" t="s">
        <v>396</v>
      </c>
      <c r="T571" s="218" t="s">
        <v>628</v>
      </c>
      <c r="U571" s="218" t="s">
        <v>2591</v>
      </c>
      <c r="V571" s="218" t="s">
        <v>381</v>
      </c>
      <c r="W571" s="218" t="s">
        <v>295</v>
      </c>
      <c r="X571" s="218" t="s">
        <v>379</v>
      </c>
      <c r="Y571" s="218">
        <v>13.1</v>
      </c>
      <c r="Z571" s="218">
        <f t="shared" si="11"/>
        <v>14.43</v>
      </c>
    </row>
    <row r="572" spans="1:26">
      <c r="A572" s="218" t="s">
        <v>2592</v>
      </c>
      <c r="B572" s="218"/>
      <c r="C572" s="218"/>
      <c r="D572" s="218"/>
      <c r="E572" s="218"/>
      <c r="F572" s="219" t="s">
        <v>3729</v>
      </c>
      <c r="G572" s="218" t="s">
        <v>255</v>
      </c>
      <c r="H572" s="218" t="s">
        <v>309</v>
      </c>
      <c r="I572" s="223">
        <v>43830</v>
      </c>
      <c r="J572" s="218" t="s">
        <v>3721</v>
      </c>
      <c r="K572" s="218" t="s">
        <v>3722</v>
      </c>
      <c r="L572" s="218" t="s">
        <v>3723</v>
      </c>
      <c r="M572" s="218" t="s">
        <v>3730</v>
      </c>
      <c r="N572" s="218">
        <v>46.37</v>
      </c>
      <c r="O572" s="218" t="s">
        <v>292</v>
      </c>
      <c r="P572" s="218">
        <v>59.97</v>
      </c>
      <c r="Q572" s="218" t="s">
        <v>405</v>
      </c>
      <c r="R572" s="218" t="s">
        <v>1780</v>
      </c>
      <c r="S572" s="218" t="s">
        <v>396</v>
      </c>
      <c r="T572" s="218" t="s">
        <v>495</v>
      </c>
      <c r="U572" s="218" t="s">
        <v>2591</v>
      </c>
      <c r="V572" s="218" t="s">
        <v>381</v>
      </c>
      <c r="W572" s="218" t="s">
        <v>295</v>
      </c>
      <c r="X572" s="218" t="s">
        <v>379</v>
      </c>
      <c r="Y572" s="218">
        <v>54.44</v>
      </c>
      <c r="Z572" s="218">
        <f t="shared" si="11"/>
        <v>59.97</v>
      </c>
    </row>
    <row r="573" spans="1:26">
      <c r="A573" s="218" t="s">
        <v>2592</v>
      </c>
      <c r="B573" s="218"/>
      <c r="C573" s="218"/>
      <c r="D573" s="218"/>
      <c r="E573" s="218"/>
      <c r="F573" s="219" t="s">
        <v>3731</v>
      </c>
      <c r="G573" s="218" t="s">
        <v>255</v>
      </c>
      <c r="H573" s="218" t="s">
        <v>309</v>
      </c>
      <c r="I573" s="223">
        <v>43830</v>
      </c>
      <c r="J573" s="218" t="s">
        <v>3721</v>
      </c>
      <c r="K573" s="218" t="s">
        <v>3722</v>
      </c>
      <c r="L573" s="218" t="s">
        <v>3723</v>
      </c>
      <c r="M573" s="218" t="s">
        <v>3732</v>
      </c>
      <c r="N573" s="218">
        <v>218.8</v>
      </c>
      <c r="O573" s="218" t="s">
        <v>292</v>
      </c>
      <c r="P573" s="218">
        <v>282.95999999999998</v>
      </c>
      <c r="Q573" s="218" t="s">
        <v>405</v>
      </c>
      <c r="R573" s="218" t="s">
        <v>1780</v>
      </c>
      <c r="S573" s="218" t="s">
        <v>396</v>
      </c>
      <c r="T573" s="218" t="s">
        <v>501</v>
      </c>
      <c r="U573" s="218" t="s">
        <v>2591</v>
      </c>
      <c r="V573" s="218" t="s">
        <v>381</v>
      </c>
      <c r="W573" s="218" t="s">
        <v>295</v>
      </c>
      <c r="X573" s="218" t="s">
        <v>379</v>
      </c>
      <c r="Y573" s="218">
        <v>256.87</v>
      </c>
      <c r="Z573" s="218">
        <f t="shared" si="11"/>
        <v>282.95999999999998</v>
      </c>
    </row>
    <row r="574" spans="1:26">
      <c r="A574" s="218" t="s">
        <v>2592</v>
      </c>
      <c r="B574" s="218"/>
      <c r="C574" s="218"/>
      <c r="D574" s="218"/>
      <c r="E574" s="218"/>
      <c r="F574" s="219" t="s">
        <v>3733</v>
      </c>
      <c r="G574" s="218" t="s">
        <v>256</v>
      </c>
      <c r="H574" s="218" t="s">
        <v>309</v>
      </c>
      <c r="I574" s="223">
        <v>43769</v>
      </c>
      <c r="J574" s="218" t="s">
        <v>3734</v>
      </c>
      <c r="K574" s="218" t="s">
        <v>3104</v>
      </c>
      <c r="L574" s="218" t="s">
        <v>2596</v>
      </c>
      <c r="M574" s="218" t="s">
        <v>3735</v>
      </c>
      <c r="N574" s="218">
        <v>58.47</v>
      </c>
      <c r="O574" s="218" t="s">
        <v>292</v>
      </c>
      <c r="P574" s="218">
        <v>71.92</v>
      </c>
      <c r="Q574" s="218" t="s">
        <v>555</v>
      </c>
      <c r="R574" s="218" t="s">
        <v>1606</v>
      </c>
      <c r="S574" s="218" t="s">
        <v>400</v>
      </c>
      <c r="T574" s="218" t="s">
        <v>466</v>
      </c>
      <c r="U574" s="218" t="s">
        <v>2591</v>
      </c>
      <c r="V574" s="218" t="s">
        <v>381</v>
      </c>
      <c r="W574" s="218" t="s">
        <v>295</v>
      </c>
      <c r="X574" s="218" t="s">
        <v>379</v>
      </c>
      <c r="Y574" s="218">
        <v>65.86</v>
      </c>
      <c r="Z574" s="218">
        <f t="shared" si="11"/>
        <v>71.92</v>
      </c>
    </row>
    <row r="575" spans="1:26">
      <c r="A575" s="218" t="s">
        <v>2592</v>
      </c>
      <c r="B575" s="218"/>
      <c r="C575" s="218"/>
      <c r="D575" s="218"/>
      <c r="E575" s="218"/>
      <c r="F575" s="219" t="s">
        <v>3736</v>
      </c>
      <c r="G575" s="218" t="s">
        <v>256</v>
      </c>
      <c r="H575" s="218" t="s">
        <v>309</v>
      </c>
      <c r="I575" s="223">
        <v>43769</v>
      </c>
      <c r="J575" s="218" t="s">
        <v>3734</v>
      </c>
      <c r="K575" s="218" t="s">
        <v>3104</v>
      </c>
      <c r="L575" s="218" t="s">
        <v>2596</v>
      </c>
      <c r="M575" s="218" t="s">
        <v>3737</v>
      </c>
      <c r="N575" s="218">
        <v>8.42</v>
      </c>
      <c r="O575" s="218" t="s">
        <v>292</v>
      </c>
      <c r="P575" s="218">
        <v>10.36</v>
      </c>
      <c r="Q575" s="218" t="s">
        <v>555</v>
      </c>
      <c r="R575" s="218" t="s">
        <v>1606</v>
      </c>
      <c r="S575" s="218" t="s">
        <v>400</v>
      </c>
      <c r="T575" s="218" t="s">
        <v>495</v>
      </c>
      <c r="U575" s="218" t="s">
        <v>2591</v>
      </c>
      <c r="V575" s="218" t="s">
        <v>381</v>
      </c>
      <c r="W575" s="218" t="s">
        <v>295</v>
      </c>
      <c r="X575" s="218" t="s">
        <v>379</v>
      </c>
      <c r="Y575" s="218">
        <v>9.48</v>
      </c>
      <c r="Z575" s="218">
        <f t="shared" si="11"/>
        <v>10.36</v>
      </c>
    </row>
    <row r="576" spans="1:26">
      <c r="A576" s="218" t="s">
        <v>2592</v>
      </c>
      <c r="B576" s="218"/>
      <c r="C576" s="218"/>
      <c r="D576" s="218"/>
      <c r="E576" s="218"/>
      <c r="F576" s="219" t="s">
        <v>3738</v>
      </c>
      <c r="G576" s="218" t="s">
        <v>256</v>
      </c>
      <c r="H576" s="218" t="s">
        <v>309</v>
      </c>
      <c r="I576" s="223">
        <v>43769</v>
      </c>
      <c r="J576" s="218" t="s">
        <v>3734</v>
      </c>
      <c r="K576" s="218" t="s">
        <v>3104</v>
      </c>
      <c r="L576" s="218" t="s">
        <v>2596</v>
      </c>
      <c r="M576" s="218" t="s">
        <v>3739</v>
      </c>
      <c r="N576" s="218">
        <v>30</v>
      </c>
      <c r="O576" s="218" t="s">
        <v>292</v>
      </c>
      <c r="P576" s="218">
        <v>36.9</v>
      </c>
      <c r="Q576" s="218" t="s">
        <v>555</v>
      </c>
      <c r="R576" s="218" t="s">
        <v>1606</v>
      </c>
      <c r="S576" s="218" t="s">
        <v>400</v>
      </c>
      <c r="T576" s="218" t="s">
        <v>497</v>
      </c>
      <c r="U576" s="218" t="s">
        <v>2591</v>
      </c>
      <c r="V576" s="218" t="s">
        <v>381</v>
      </c>
      <c r="W576" s="218" t="s">
        <v>295</v>
      </c>
      <c r="X576" s="218" t="s">
        <v>379</v>
      </c>
      <c r="Y576" s="218">
        <v>33.79</v>
      </c>
      <c r="Z576" s="218">
        <f t="shared" si="11"/>
        <v>36.9</v>
      </c>
    </row>
    <row r="577" spans="1:26">
      <c r="A577" s="218" t="s">
        <v>2592</v>
      </c>
      <c r="B577" s="218"/>
      <c r="C577" s="218"/>
      <c r="D577" s="218"/>
      <c r="E577" s="218"/>
      <c r="F577" s="219" t="s">
        <v>3740</v>
      </c>
      <c r="G577" s="218" t="s">
        <v>256</v>
      </c>
      <c r="H577" s="218" t="s">
        <v>309</v>
      </c>
      <c r="I577" s="223">
        <v>43769</v>
      </c>
      <c r="J577" s="218" t="s">
        <v>3734</v>
      </c>
      <c r="K577" s="218" t="s">
        <v>3104</v>
      </c>
      <c r="L577" s="218" t="s">
        <v>2596</v>
      </c>
      <c r="M577" s="218" t="s">
        <v>3741</v>
      </c>
      <c r="N577" s="218">
        <v>20.16</v>
      </c>
      <c r="O577" s="218" t="s">
        <v>292</v>
      </c>
      <c r="P577" s="218">
        <v>24.8</v>
      </c>
      <c r="Q577" s="218" t="s">
        <v>555</v>
      </c>
      <c r="R577" s="218" t="s">
        <v>1606</v>
      </c>
      <c r="S577" s="218" t="s">
        <v>400</v>
      </c>
      <c r="T577" s="218" t="s">
        <v>491</v>
      </c>
      <c r="U577" s="218" t="s">
        <v>2591</v>
      </c>
      <c r="V577" s="218" t="s">
        <v>381</v>
      </c>
      <c r="W577" s="218" t="s">
        <v>295</v>
      </c>
      <c r="X577" s="218" t="s">
        <v>379</v>
      </c>
      <c r="Y577" s="218">
        <v>22.71</v>
      </c>
      <c r="Z577" s="218">
        <f t="shared" si="11"/>
        <v>24.8</v>
      </c>
    </row>
    <row r="578" spans="1:26">
      <c r="A578" s="218" t="s">
        <v>2592</v>
      </c>
      <c r="B578" s="218"/>
      <c r="C578" s="218"/>
      <c r="D578" s="218"/>
      <c r="E578" s="218"/>
      <c r="F578" s="219" t="s">
        <v>3742</v>
      </c>
      <c r="G578" s="218" t="s">
        <v>256</v>
      </c>
      <c r="H578" s="218" t="s">
        <v>309</v>
      </c>
      <c r="I578" s="223">
        <v>43769</v>
      </c>
      <c r="J578" s="218" t="s">
        <v>3743</v>
      </c>
      <c r="K578" s="218" t="s">
        <v>2601</v>
      </c>
      <c r="L578" s="218" t="s">
        <v>2596</v>
      </c>
      <c r="M578" s="218" t="s">
        <v>3744</v>
      </c>
      <c r="N578" s="218">
        <v>9.02</v>
      </c>
      <c r="O578" s="218" t="s">
        <v>292</v>
      </c>
      <c r="P578" s="218">
        <v>11.1</v>
      </c>
      <c r="Q578" s="218" t="s">
        <v>555</v>
      </c>
      <c r="R578" s="218" t="s">
        <v>1606</v>
      </c>
      <c r="S578" s="218" t="s">
        <v>396</v>
      </c>
      <c r="T578" s="218" t="s">
        <v>908</v>
      </c>
      <c r="U578" s="218" t="s">
        <v>2591</v>
      </c>
      <c r="V578" s="218" t="s">
        <v>381</v>
      </c>
      <c r="W578" s="218" t="s">
        <v>295</v>
      </c>
      <c r="X578" s="218" t="s">
        <v>379</v>
      </c>
      <c r="Y578" s="218">
        <v>10.16</v>
      </c>
      <c r="Z578" s="218">
        <f t="shared" si="11"/>
        <v>11.1</v>
      </c>
    </row>
    <row r="579" spans="1:26">
      <c r="A579" s="218" t="s">
        <v>2592</v>
      </c>
      <c r="B579" s="218"/>
      <c r="C579" s="218"/>
      <c r="D579" s="218"/>
      <c r="E579" s="218"/>
      <c r="F579" s="219" t="s">
        <v>3745</v>
      </c>
      <c r="G579" s="218" t="s">
        <v>256</v>
      </c>
      <c r="H579" s="218" t="s">
        <v>309</v>
      </c>
      <c r="I579" s="223">
        <v>43769</v>
      </c>
      <c r="J579" s="218" t="s">
        <v>3743</v>
      </c>
      <c r="K579" s="218" t="s">
        <v>2601</v>
      </c>
      <c r="L579" s="218" t="s">
        <v>2596</v>
      </c>
      <c r="M579" s="218" t="s">
        <v>3746</v>
      </c>
      <c r="N579" s="218">
        <v>5.93</v>
      </c>
      <c r="O579" s="218" t="s">
        <v>292</v>
      </c>
      <c r="P579" s="218">
        <v>7.3</v>
      </c>
      <c r="Q579" s="218" t="s">
        <v>555</v>
      </c>
      <c r="R579" s="218" t="s">
        <v>1606</v>
      </c>
      <c r="S579" s="218" t="s">
        <v>396</v>
      </c>
      <c r="T579" s="218" t="s">
        <v>499</v>
      </c>
      <c r="U579" s="218" t="s">
        <v>2591</v>
      </c>
      <c r="V579" s="218" t="s">
        <v>381</v>
      </c>
      <c r="W579" s="218" t="s">
        <v>295</v>
      </c>
      <c r="X579" s="218" t="s">
        <v>379</v>
      </c>
      <c r="Y579" s="218">
        <v>6.68</v>
      </c>
      <c r="Z579" s="218">
        <f t="shared" si="11"/>
        <v>7.3</v>
      </c>
    </row>
    <row r="580" spans="1:26">
      <c r="A580" s="218" t="s">
        <v>2592</v>
      </c>
      <c r="B580" s="218"/>
      <c r="C580" s="218"/>
      <c r="D580" s="218"/>
      <c r="E580" s="218"/>
      <c r="F580" s="219" t="s">
        <v>3747</v>
      </c>
      <c r="G580" s="218" t="s">
        <v>256</v>
      </c>
      <c r="H580" s="218" t="s">
        <v>309</v>
      </c>
      <c r="I580" s="223">
        <v>43769</v>
      </c>
      <c r="J580" s="218" t="s">
        <v>3743</v>
      </c>
      <c r="K580" s="218" t="s">
        <v>2601</v>
      </c>
      <c r="L580" s="218" t="s">
        <v>2596</v>
      </c>
      <c r="M580" s="218" t="s">
        <v>3748</v>
      </c>
      <c r="N580" s="218">
        <v>88.52</v>
      </c>
      <c r="O580" s="218" t="s">
        <v>292</v>
      </c>
      <c r="P580" s="218">
        <v>108.89</v>
      </c>
      <c r="Q580" s="218" t="s">
        <v>555</v>
      </c>
      <c r="R580" s="218" t="s">
        <v>1606</v>
      </c>
      <c r="S580" s="218" t="s">
        <v>396</v>
      </c>
      <c r="T580" s="218" t="s">
        <v>468</v>
      </c>
      <c r="U580" s="218" t="s">
        <v>2591</v>
      </c>
      <c r="V580" s="218" t="s">
        <v>381</v>
      </c>
      <c r="W580" s="218" t="s">
        <v>295</v>
      </c>
      <c r="X580" s="218" t="s">
        <v>379</v>
      </c>
      <c r="Y580" s="218">
        <v>99.71</v>
      </c>
      <c r="Z580" s="218">
        <f t="shared" si="11"/>
        <v>108.89</v>
      </c>
    </row>
    <row r="581" spans="1:26">
      <c r="A581" s="218" t="s">
        <v>2592</v>
      </c>
      <c r="B581" s="218"/>
      <c r="C581" s="218"/>
      <c r="D581" s="218"/>
      <c r="E581" s="218"/>
      <c r="F581" s="219" t="s">
        <v>3749</v>
      </c>
      <c r="G581" s="218" t="s">
        <v>256</v>
      </c>
      <c r="H581" s="218" t="s">
        <v>309</v>
      </c>
      <c r="I581" s="223">
        <v>43769</v>
      </c>
      <c r="J581" s="218" t="s">
        <v>3743</v>
      </c>
      <c r="K581" s="218" t="s">
        <v>2601</v>
      </c>
      <c r="L581" s="218" t="s">
        <v>2596</v>
      </c>
      <c r="M581" s="218" t="s">
        <v>3750</v>
      </c>
      <c r="N581" s="218">
        <v>22.07</v>
      </c>
      <c r="O581" s="218" t="s">
        <v>292</v>
      </c>
      <c r="P581" s="218">
        <v>27.15</v>
      </c>
      <c r="Q581" s="218" t="s">
        <v>555</v>
      </c>
      <c r="R581" s="218" t="s">
        <v>1606</v>
      </c>
      <c r="S581" s="218" t="s">
        <v>396</v>
      </c>
      <c r="T581" s="218" t="s">
        <v>626</v>
      </c>
      <c r="U581" s="218" t="s">
        <v>2591</v>
      </c>
      <c r="V581" s="218" t="s">
        <v>381</v>
      </c>
      <c r="W581" s="218" t="s">
        <v>295</v>
      </c>
      <c r="X581" s="218" t="s">
        <v>379</v>
      </c>
      <c r="Y581" s="218">
        <v>24.86</v>
      </c>
      <c r="Z581" s="218">
        <f t="shared" si="11"/>
        <v>27.15</v>
      </c>
    </row>
    <row r="582" spans="1:26">
      <c r="A582" s="218" t="s">
        <v>2592</v>
      </c>
      <c r="B582" s="218"/>
      <c r="C582" s="218"/>
      <c r="D582" s="218"/>
      <c r="E582" s="218"/>
      <c r="F582" s="219" t="s">
        <v>3751</v>
      </c>
      <c r="G582" s="218" t="s">
        <v>256</v>
      </c>
      <c r="H582" s="218" t="s">
        <v>309</v>
      </c>
      <c r="I582" s="223">
        <v>43769</v>
      </c>
      <c r="J582" s="218" t="s">
        <v>3743</v>
      </c>
      <c r="K582" s="218" t="s">
        <v>2601</v>
      </c>
      <c r="L582" s="218" t="s">
        <v>2596</v>
      </c>
      <c r="M582" s="218" t="s">
        <v>3752</v>
      </c>
      <c r="N582" s="218">
        <v>4.43</v>
      </c>
      <c r="O582" s="218" t="s">
        <v>292</v>
      </c>
      <c r="P582" s="218">
        <v>5.45</v>
      </c>
      <c r="Q582" s="218" t="s">
        <v>555</v>
      </c>
      <c r="R582" s="218" t="s">
        <v>1606</v>
      </c>
      <c r="S582" s="218" t="s">
        <v>396</v>
      </c>
      <c r="T582" s="218" t="s">
        <v>915</v>
      </c>
      <c r="U582" s="218" t="s">
        <v>2591</v>
      </c>
      <c r="V582" s="218" t="s">
        <v>381</v>
      </c>
      <c r="W582" s="218" t="s">
        <v>295</v>
      </c>
      <c r="X582" s="218" t="s">
        <v>379</v>
      </c>
      <c r="Y582" s="218">
        <v>4.99</v>
      </c>
      <c r="Z582" s="218">
        <f t="shared" si="11"/>
        <v>5.45</v>
      </c>
    </row>
    <row r="583" spans="1:26">
      <c r="A583" s="218" t="s">
        <v>2592</v>
      </c>
      <c r="B583" s="218"/>
      <c r="C583" s="218"/>
      <c r="D583" s="218"/>
      <c r="E583" s="218"/>
      <c r="F583" s="219" t="s">
        <v>3753</v>
      </c>
      <c r="G583" s="218" t="s">
        <v>256</v>
      </c>
      <c r="H583" s="218" t="s">
        <v>309</v>
      </c>
      <c r="I583" s="223">
        <v>43769</v>
      </c>
      <c r="J583" s="218" t="s">
        <v>3743</v>
      </c>
      <c r="K583" s="218" t="s">
        <v>2601</v>
      </c>
      <c r="L583" s="218" t="s">
        <v>2596</v>
      </c>
      <c r="M583" s="218" t="s">
        <v>3754</v>
      </c>
      <c r="N583" s="218">
        <v>17.55</v>
      </c>
      <c r="O583" s="218" t="s">
        <v>292</v>
      </c>
      <c r="P583" s="218">
        <v>21.59</v>
      </c>
      <c r="Q583" s="218" t="s">
        <v>555</v>
      </c>
      <c r="R583" s="218" t="s">
        <v>1606</v>
      </c>
      <c r="S583" s="218" t="s">
        <v>396</v>
      </c>
      <c r="T583" s="218" t="s">
        <v>501</v>
      </c>
      <c r="U583" s="218" t="s">
        <v>2591</v>
      </c>
      <c r="V583" s="218" t="s">
        <v>381</v>
      </c>
      <c r="W583" s="218" t="s">
        <v>295</v>
      </c>
      <c r="X583" s="218" t="s">
        <v>379</v>
      </c>
      <c r="Y583" s="218">
        <v>19.77</v>
      </c>
      <c r="Z583" s="218">
        <f t="shared" si="11"/>
        <v>21.59</v>
      </c>
    </row>
    <row r="584" spans="1:26">
      <c r="A584" s="218" t="s">
        <v>2592</v>
      </c>
      <c r="B584" s="218"/>
      <c r="C584" s="218"/>
      <c r="D584" s="218"/>
      <c r="E584" s="218"/>
      <c r="F584" s="219" t="s">
        <v>3755</v>
      </c>
      <c r="G584" s="218" t="s">
        <v>256</v>
      </c>
      <c r="H584" s="218" t="s">
        <v>309</v>
      </c>
      <c r="I584" s="223">
        <v>43769</v>
      </c>
      <c r="J584" s="218" t="s">
        <v>3743</v>
      </c>
      <c r="K584" s="218" t="s">
        <v>2601</v>
      </c>
      <c r="L584" s="218" t="s">
        <v>2596</v>
      </c>
      <c r="M584" s="218" t="s">
        <v>3756</v>
      </c>
      <c r="N584" s="218">
        <v>6.68</v>
      </c>
      <c r="O584" s="218" t="s">
        <v>292</v>
      </c>
      <c r="P584" s="218">
        <v>8.2200000000000006</v>
      </c>
      <c r="Q584" s="218" t="s">
        <v>555</v>
      </c>
      <c r="R584" s="218" t="s">
        <v>1606</v>
      </c>
      <c r="S584" s="218" t="s">
        <v>396</v>
      </c>
      <c r="T584" s="218" t="s">
        <v>628</v>
      </c>
      <c r="U584" s="218" t="s">
        <v>2591</v>
      </c>
      <c r="V584" s="218" t="s">
        <v>381</v>
      </c>
      <c r="W584" s="218" t="s">
        <v>295</v>
      </c>
      <c r="X584" s="218" t="s">
        <v>379</v>
      </c>
      <c r="Y584" s="218">
        <v>7.52</v>
      </c>
      <c r="Z584" s="218">
        <f t="shared" si="11"/>
        <v>8.2200000000000006</v>
      </c>
    </row>
    <row r="585" spans="1:26">
      <c r="A585" s="218" t="s">
        <v>2592</v>
      </c>
      <c r="B585" s="218"/>
      <c r="C585" s="218"/>
      <c r="D585" s="218"/>
      <c r="E585" s="218"/>
      <c r="F585" s="219" t="s">
        <v>3757</v>
      </c>
      <c r="G585" s="218" t="s">
        <v>256</v>
      </c>
      <c r="H585" s="218" t="s">
        <v>309</v>
      </c>
      <c r="I585" s="223">
        <v>43769</v>
      </c>
      <c r="J585" s="218" t="s">
        <v>3743</v>
      </c>
      <c r="K585" s="218" t="s">
        <v>2601</v>
      </c>
      <c r="L585" s="218" t="s">
        <v>2596</v>
      </c>
      <c r="M585" s="218" t="s">
        <v>3758</v>
      </c>
      <c r="N585" s="218">
        <v>13.05</v>
      </c>
      <c r="O585" s="218" t="s">
        <v>292</v>
      </c>
      <c r="P585" s="218">
        <v>16.05</v>
      </c>
      <c r="Q585" s="218" t="s">
        <v>555</v>
      </c>
      <c r="R585" s="218" t="s">
        <v>1606</v>
      </c>
      <c r="S585" s="218" t="s">
        <v>396</v>
      </c>
      <c r="T585" s="218" t="s">
        <v>915</v>
      </c>
      <c r="U585" s="218" t="s">
        <v>2591</v>
      </c>
      <c r="V585" s="218" t="s">
        <v>381</v>
      </c>
      <c r="W585" s="218" t="s">
        <v>295</v>
      </c>
      <c r="X585" s="218" t="s">
        <v>379</v>
      </c>
      <c r="Y585" s="218">
        <v>14.7</v>
      </c>
      <c r="Z585" s="218">
        <f t="shared" si="11"/>
        <v>16.05</v>
      </c>
    </row>
    <row r="586" spans="1:26">
      <c r="A586" s="218" t="s">
        <v>2592</v>
      </c>
      <c r="B586" s="218"/>
      <c r="C586" s="218"/>
      <c r="D586" s="218"/>
      <c r="E586" s="218"/>
      <c r="F586" s="219" t="s">
        <v>3759</v>
      </c>
      <c r="G586" s="218" t="s">
        <v>256</v>
      </c>
      <c r="H586" s="218" t="s">
        <v>309</v>
      </c>
      <c r="I586" s="223">
        <v>43769</v>
      </c>
      <c r="J586" s="218" t="s">
        <v>3743</v>
      </c>
      <c r="K586" s="218" t="s">
        <v>2601</v>
      </c>
      <c r="L586" s="218" t="s">
        <v>2596</v>
      </c>
      <c r="M586" s="218" t="s">
        <v>3760</v>
      </c>
      <c r="N586" s="218">
        <v>49.44</v>
      </c>
      <c r="O586" s="218" t="s">
        <v>292</v>
      </c>
      <c r="P586" s="218">
        <v>60.82</v>
      </c>
      <c r="Q586" s="218" t="s">
        <v>555</v>
      </c>
      <c r="R586" s="218" t="s">
        <v>1606</v>
      </c>
      <c r="S586" s="218" t="s">
        <v>396</v>
      </c>
      <c r="T586" s="218" t="s">
        <v>397</v>
      </c>
      <c r="U586" s="218" t="s">
        <v>2591</v>
      </c>
      <c r="V586" s="218" t="s">
        <v>381</v>
      </c>
      <c r="W586" s="218" t="s">
        <v>295</v>
      </c>
      <c r="X586" s="218" t="s">
        <v>379</v>
      </c>
      <c r="Y586" s="218">
        <v>55.69</v>
      </c>
      <c r="Z586" s="218">
        <f t="shared" si="11"/>
        <v>60.82</v>
      </c>
    </row>
    <row r="587" spans="1:26">
      <c r="A587" s="218" t="s">
        <v>2592</v>
      </c>
      <c r="B587" s="218"/>
      <c r="C587" s="218"/>
      <c r="D587" s="218"/>
      <c r="E587" s="218"/>
      <c r="F587" s="219" t="s">
        <v>3761</v>
      </c>
      <c r="G587" s="218" t="s">
        <v>256</v>
      </c>
      <c r="H587" s="218" t="s">
        <v>309</v>
      </c>
      <c r="I587" s="223">
        <v>43769</v>
      </c>
      <c r="J587" s="218" t="s">
        <v>3743</v>
      </c>
      <c r="K587" s="218" t="s">
        <v>2601</v>
      </c>
      <c r="L587" s="218" t="s">
        <v>2596</v>
      </c>
      <c r="M587" s="218" t="s">
        <v>3762</v>
      </c>
      <c r="N587" s="218">
        <v>22.15</v>
      </c>
      <c r="O587" s="218" t="s">
        <v>292</v>
      </c>
      <c r="P587" s="218">
        <v>27.25</v>
      </c>
      <c r="Q587" s="218" t="s">
        <v>555</v>
      </c>
      <c r="R587" s="218" t="s">
        <v>1606</v>
      </c>
      <c r="S587" s="218" t="s">
        <v>396</v>
      </c>
      <c r="T587" s="218" t="s">
        <v>487</v>
      </c>
      <c r="U587" s="218" t="s">
        <v>2591</v>
      </c>
      <c r="V587" s="218" t="s">
        <v>381</v>
      </c>
      <c r="W587" s="218" t="s">
        <v>295</v>
      </c>
      <c r="X587" s="218" t="s">
        <v>379</v>
      </c>
      <c r="Y587" s="218">
        <v>24.95</v>
      </c>
      <c r="Z587" s="218">
        <f t="shared" si="11"/>
        <v>27.25</v>
      </c>
    </row>
    <row r="588" spans="1:26">
      <c r="A588" s="218" t="s">
        <v>2592</v>
      </c>
      <c r="B588" s="218"/>
      <c r="C588" s="218"/>
      <c r="D588" s="218"/>
      <c r="E588" s="218"/>
      <c r="F588" s="219" t="s">
        <v>3763</v>
      </c>
      <c r="G588" s="218" t="s">
        <v>256</v>
      </c>
      <c r="H588" s="218" t="s">
        <v>309</v>
      </c>
      <c r="I588" s="223">
        <v>43769</v>
      </c>
      <c r="J588" s="218" t="s">
        <v>3764</v>
      </c>
      <c r="K588" s="218" t="s">
        <v>2601</v>
      </c>
      <c r="L588" s="218" t="s">
        <v>2596</v>
      </c>
      <c r="M588" s="218" t="s">
        <v>3744</v>
      </c>
      <c r="N588" s="218">
        <v>3.3</v>
      </c>
      <c r="O588" s="218" t="s">
        <v>292</v>
      </c>
      <c r="P588" s="218">
        <v>4.0599999999999996</v>
      </c>
      <c r="Q588" s="218" t="s">
        <v>555</v>
      </c>
      <c r="R588" s="218" t="s">
        <v>1606</v>
      </c>
      <c r="S588" s="218" t="s">
        <v>396</v>
      </c>
      <c r="T588" s="218" t="s">
        <v>908</v>
      </c>
      <c r="U588" s="218" t="s">
        <v>2591</v>
      </c>
      <c r="V588" s="218" t="s">
        <v>381</v>
      </c>
      <c r="W588" s="218" t="s">
        <v>295</v>
      </c>
      <c r="X588" s="218" t="s">
        <v>379</v>
      </c>
      <c r="Y588" s="218">
        <v>3.72</v>
      </c>
      <c r="Z588" s="218">
        <f t="shared" si="11"/>
        <v>4.0599999999999996</v>
      </c>
    </row>
    <row r="589" spans="1:26">
      <c r="A589" s="218" t="s">
        <v>2592</v>
      </c>
      <c r="B589" s="218"/>
      <c r="C589" s="218"/>
      <c r="D589" s="218"/>
      <c r="E589" s="218"/>
      <c r="F589" s="219" t="s">
        <v>3765</v>
      </c>
      <c r="G589" s="218" t="s">
        <v>256</v>
      </c>
      <c r="H589" s="218" t="s">
        <v>309</v>
      </c>
      <c r="I589" s="223">
        <v>43830</v>
      </c>
      <c r="J589" s="218" t="s">
        <v>3766</v>
      </c>
      <c r="K589" s="218" t="s">
        <v>3767</v>
      </c>
      <c r="L589" s="218" t="s">
        <v>2704</v>
      </c>
      <c r="M589" s="218" t="s">
        <v>3768</v>
      </c>
      <c r="N589" s="218">
        <v>1.25</v>
      </c>
      <c r="O589" s="218" t="s">
        <v>292</v>
      </c>
      <c r="P589" s="218">
        <v>1.62</v>
      </c>
      <c r="Q589" s="218" t="s">
        <v>555</v>
      </c>
      <c r="R589" s="218" t="s">
        <v>1606</v>
      </c>
      <c r="S589" s="218" t="s">
        <v>396</v>
      </c>
      <c r="T589" s="218" t="s">
        <v>908</v>
      </c>
      <c r="U589" s="218" t="s">
        <v>2591</v>
      </c>
      <c r="V589" s="218" t="s">
        <v>381</v>
      </c>
      <c r="W589" s="218" t="s">
        <v>295</v>
      </c>
      <c r="X589" s="218" t="s">
        <v>379</v>
      </c>
      <c r="Y589" s="218">
        <v>1.47</v>
      </c>
      <c r="Z589" s="218">
        <f t="shared" si="11"/>
        <v>1.62</v>
      </c>
    </row>
    <row r="590" spans="1:26">
      <c r="A590" s="218" t="s">
        <v>2592</v>
      </c>
      <c r="B590" s="218"/>
      <c r="C590" s="218"/>
      <c r="D590" s="218"/>
      <c r="E590" s="218"/>
      <c r="F590" s="219" t="s">
        <v>3769</v>
      </c>
      <c r="G590" s="218" t="s">
        <v>256</v>
      </c>
      <c r="H590" s="218" t="s">
        <v>309</v>
      </c>
      <c r="I590" s="223">
        <v>43830</v>
      </c>
      <c r="J590" s="218" t="s">
        <v>3766</v>
      </c>
      <c r="K590" s="218" t="s">
        <v>3767</v>
      </c>
      <c r="L590" s="218" t="s">
        <v>2704</v>
      </c>
      <c r="M590" s="218" t="s">
        <v>3770</v>
      </c>
      <c r="N590" s="218">
        <v>2.92</v>
      </c>
      <c r="O590" s="218" t="s">
        <v>292</v>
      </c>
      <c r="P590" s="218">
        <v>3.78</v>
      </c>
      <c r="Q590" s="218" t="s">
        <v>555</v>
      </c>
      <c r="R590" s="218" t="s">
        <v>1606</v>
      </c>
      <c r="S590" s="218" t="s">
        <v>396</v>
      </c>
      <c r="T590" s="218" t="s">
        <v>499</v>
      </c>
      <c r="U590" s="218" t="s">
        <v>2591</v>
      </c>
      <c r="V590" s="218" t="s">
        <v>381</v>
      </c>
      <c r="W590" s="218" t="s">
        <v>295</v>
      </c>
      <c r="X590" s="218" t="s">
        <v>379</v>
      </c>
      <c r="Y590" s="218">
        <v>3.43</v>
      </c>
      <c r="Z590" s="218">
        <f t="shared" si="11"/>
        <v>3.78</v>
      </c>
    </row>
    <row r="591" spans="1:26">
      <c r="A591" s="218" t="s">
        <v>2592</v>
      </c>
      <c r="B591" s="218"/>
      <c r="C591" s="218"/>
      <c r="D591" s="218"/>
      <c r="E591" s="218"/>
      <c r="F591" s="219" t="s">
        <v>3771</v>
      </c>
      <c r="G591" s="218" t="s">
        <v>256</v>
      </c>
      <c r="H591" s="218" t="s">
        <v>309</v>
      </c>
      <c r="I591" s="223">
        <v>43830</v>
      </c>
      <c r="J591" s="218" t="s">
        <v>3766</v>
      </c>
      <c r="K591" s="218" t="s">
        <v>3767</v>
      </c>
      <c r="L591" s="218" t="s">
        <v>2704</v>
      </c>
      <c r="M591" s="218" t="s">
        <v>3772</v>
      </c>
      <c r="N591" s="218">
        <v>5.18</v>
      </c>
      <c r="O591" s="218" t="s">
        <v>292</v>
      </c>
      <c r="P591" s="218">
        <v>6.7</v>
      </c>
      <c r="Q591" s="218" t="s">
        <v>555</v>
      </c>
      <c r="R591" s="218" t="s">
        <v>1606</v>
      </c>
      <c r="S591" s="218" t="s">
        <v>396</v>
      </c>
      <c r="T591" s="218" t="s">
        <v>468</v>
      </c>
      <c r="U591" s="218" t="s">
        <v>2591</v>
      </c>
      <c r="V591" s="218" t="s">
        <v>381</v>
      </c>
      <c r="W591" s="218" t="s">
        <v>295</v>
      </c>
      <c r="X591" s="218" t="s">
        <v>379</v>
      </c>
      <c r="Y591" s="218">
        <v>6.08</v>
      </c>
      <c r="Z591" s="218">
        <f t="shared" si="11"/>
        <v>6.7</v>
      </c>
    </row>
    <row r="592" spans="1:26">
      <c r="A592" s="218" t="s">
        <v>2592</v>
      </c>
      <c r="B592" s="218"/>
      <c r="C592" s="218"/>
      <c r="D592" s="218"/>
      <c r="E592" s="218"/>
      <c r="F592" s="219" t="s">
        <v>3773</v>
      </c>
      <c r="G592" s="218" t="s">
        <v>256</v>
      </c>
      <c r="H592" s="218" t="s">
        <v>309</v>
      </c>
      <c r="I592" s="223">
        <v>43830</v>
      </c>
      <c r="J592" s="218" t="s">
        <v>3766</v>
      </c>
      <c r="K592" s="218" t="s">
        <v>3767</v>
      </c>
      <c r="L592" s="218" t="s">
        <v>2704</v>
      </c>
      <c r="M592" s="218" t="s">
        <v>3774</v>
      </c>
      <c r="N592" s="218">
        <v>2.46</v>
      </c>
      <c r="O592" s="218" t="s">
        <v>292</v>
      </c>
      <c r="P592" s="218">
        <v>3.18</v>
      </c>
      <c r="Q592" s="218" t="s">
        <v>555</v>
      </c>
      <c r="R592" s="218" t="s">
        <v>1606</v>
      </c>
      <c r="S592" s="218" t="s">
        <v>396</v>
      </c>
      <c r="T592" s="218" t="s">
        <v>626</v>
      </c>
      <c r="U592" s="218" t="s">
        <v>2591</v>
      </c>
      <c r="V592" s="218" t="s">
        <v>381</v>
      </c>
      <c r="W592" s="218" t="s">
        <v>295</v>
      </c>
      <c r="X592" s="218" t="s">
        <v>379</v>
      </c>
      <c r="Y592" s="218">
        <v>2.89</v>
      </c>
      <c r="Z592" s="218">
        <f t="shared" si="11"/>
        <v>3.18</v>
      </c>
    </row>
    <row r="593" spans="1:26">
      <c r="A593" s="218" t="s">
        <v>2592</v>
      </c>
      <c r="B593" s="218"/>
      <c r="C593" s="218"/>
      <c r="D593" s="218"/>
      <c r="E593" s="218"/>
      <c r="F593" s="219" t="s">
        <v>3775</v>
      </c>
      <c r="G593" s="218" t="s">
        <v>256</v>
      </c>
      <c r="H593" s="218" t="s">
        <v>309</v>
      </c>
      <c r="I593" s="223">
        <v>43830</v>
      </c>
      <c r="J593" s="218" t="s">
        <v>3766</v>
      </c>
      <c r="K593" s="218" t="s">
        <v>3767</v>
      </c>
      <c r="L593" s="218" t="s">
        <v>2704</v>
      </c>
      <c r="M593" s="218" t="s">
        <v>3752</v>
      </c>
      <c r="N593" s="218">
        <v>6.96</v>
      </c>
      <c r="O593" s="218" t="s">
        <v>292</v>
      </c>
      <c r="P593" s="218">
        <v>9</v>
      </c>
      <c r="Q593" s="218" t="s">
        <v>555</v>
      </c>
      <c r="R593" s="218" t="s">
        <v>1606</v>
      </c>
      <c r="S593" s="218" t="s">
        <v>396</v>
      </c>
      <c r="T593" s="218" t="s">
        <v>915</v>
      </c>
      <c r="U593" s="218" t="s">
        <v>2591</v>
      </c>
      <c r="V593" s="218" t="s">
        <v>381</v>
      </c>
      <c r="W593" s="218" t="s">
        <v>295</v>
      </c>
      <c r="X593" s="218" t="s">
        <v>379</v>
      </c>
      <c r="Y593" s="218">
        <v>8.17</v>
      </c>
      <c r="Z593" s="218">
        <f t="shared" si="11"/>
        <v>9</v>
      </c>
    </row>
    <row r="594" spans="1:26">
      <c r="A594" s="218" t="s">
        <v>2592</v>
      </c>
      <c r="B594" s="218"/>
      <c r="C594" s="218"/>
      <c r="D594" s="218"/>
      <c r="E594" s="218"/>
      <c r="F594" s="219" t="s">
        <v>3776</v>
      </c>
      <c r="G594" s="218" t="s">
        <v>256</v>
      </c>
      <c r="H594" s="218" t="s">
        <v>309</v>
      </c>
      <c r="I594" s="223">
        <v>43830</v>
      </c>
      <c r="J594" s="218" t="s">
        <v>3766</v>
      </c>
      <c r="K594" s="218" t="s">
        <v>3767</v>
      </c>
      <c r="L594" s="218" t="s">
        <v>2704</v>
      </c>
      <c r="M594" s="218" t="s">
        <v>3777</v>
      </c>
      <c r="N594" s="218">
        <v>31.68</v>
      </c>
      <c r="O594" s="218" t="s">
        <v>292</v>
      </c>
      <c r="P594" s="218">
        <v>40.96</v>
      </c>
      <c r="Q594" s="218" t="s">
        <v>555</v>
      </c>
      <c r="R594" s="218" t="s">
        <v>1606</v>
      </c>
      <c r="S594" s="218" t="s">
        <v>396</v>
      </c>
      <c r="T594" s="218" t="s">
        <v>501</v>
      </c>
      <c r="U594" s="218" t="s">
        <v>2591</v>
      </c>
      <c r="V594" s="218" t="s">
        <v>381</v>
      </c>
      <c r="W594" s="218" t="s">
        <v>295</v>
      </c>
      <c r="X594" s="218" t="s">
        <v>379</v>
      </c>
      <c r="Y594" s="218">
        <v>37.19</v>
      </c>
      <c r="Z594" s="218">
        <f t="shared" si="11"/>
        <v>40.96</v>
      </c>
    </row>
    <row r="595" spans="1:26">
      <c r="A595" s="218" t="s">
        <v>2592</v>
      </c>
      <c r="B595" s="218"/>
      <c r="C595" s="218"/>
      <c r="D595" s="218"/>
      <c r="E595" s="218"/>
      <c r="F595" s="219" t="s">
        <v>3778</v>
      </c>
      <c r="G595" s="218" t="s">
        <v>256</v>
      </c>
      <c r="H595" s="218" t="s">
        <v>309</v>
      </c>
      <c r="I595" s="223">
        <v>43830</v>
      </c>
      <c r="J595" s="218" t="s">
        <v>3766</v>
      </c>
      <c r="K595" s="218" t="s">
        <v>3767</v>
      </c>
      <c r="L595" s="218" t="s">
        <v>2704</v>
      </c>
      <c r="M595" s="218" t="s">
        <v>3779</v>
      </c>
      <c r="N595" s="218">
        <v>34.229999999999997</v>
      </c>
      <c r="O595" s="218" t="s">
        <v>292</v>
      </c>
      <c r="P595" s="218">
        <v>44.27</v>
      </c>
      <c r="Q595" s="218" t="s">
        <v>555</v>
      </c>
      <c r="R595" s="218" t="s">
        <v>1606</v>
      </c>
      <c r="S595" s="218" t="s">
        <v>396</v>
      </c>
      <c r="T595" s="218" t="s">
        <v>558</v>
      </c>
      <c r="U595" s="218" t="s">
        <v>2591</v>
      </c>
      <c r="V595" s="218" t="s">
        <v>381</v>
      </c>
      <c r="W595" s="218" t="s">
        <v>295</v>
      </c>
      <c r="X595" s="218" t="s">
        <v>379</v>
      </c>
      <c r="Y595" s="218">
        <v>40.19</v>
      </c>
      <c r="Z595" s="218">
        <f t="shared" si="11"/>
        <v>44.27</v>
      </c>
    </row>
    <row r="596" spans="1:26">
      <c r="A596" s="218" t="s">
        <v>2592</v>
      </c>
      <c r="B596" s="218"/>
      <c r="C596" s="218"/>
      <c r="D596" s="218"/>
      <c r="E596" s="218"/>
      <c r="F596" s="219" t="s">
        <v>3780</v>
      </c>
      <c r="G596" s="218" t="s">
        <v>256</v>
      </c>
      <c r="H596" s="218" t="s">
        <v>309</v>
      </c>
      <c r="I596" s="223">
        <v>43830</v>
      </c>
      <c r="J596" s="218" t="s">
        <v>3766</v>
      </c>
      <c r="K596" s="218" t="s">
        <v>3767</v>
      </c>
      <c r="L596" s="218" t="s">
        <v>2704</v>
      </c>
      <c r="M596" s="218" t="s">
        <v>3781</v>
      </c>
      <c r="N596" s="218">
        <v>9.24</v>
      </c>
      <c r="O596" s="218" t="s">
        <v>292</v>
      </c>
      <c r="P596" s="218">
        <v>11.95</v>
      </c>
      <c r="Q596" s="218" t="s">
        <v>555</v>
      </c>
      <c r="R596" s="218" t="s">
        <v>1606</v>
      </c>
      <c r="S596" s="218" t="s">
        <v>396</v>
      </c>
      <c r="T596" s="218" t="s">
        <v>487</v>
      </c>
      <c r="U596" s="218" t="s">
        <v>2591</v>
      </c>
      <c r="V596" s="218" t="s">
        <v>381</v>
      </c>
      <c r="W596" s="218" t="s">
        <v>295</v>
      </c>
      <c r="X596" s="218" t="s">
        <v>379</v>
      </c>
      <c r="Y596" s="218">
        <v>10.85</v>
      </c>
      <c r="Z596" s="218">
        <f t="shared" si="11"/>
        <v>11.95</v>
      </c>
    </row>
    <row r="597" spans="1:26">
      <c r="A597" s="218" t="s">
        <v>2592</v>
      </c>
      <c r="B597" s="218"/>
      <c r="C597" s="218"/>
      <c r="D597" s="218"/>
      <c r="E597" s="218"/>
      <c r="F597" s="219" t="s">
        <v>3782</v>
      </c>
      <c r="G597" s="218" t="s">
        <v>256</v>
      </c>
      <c r="H597" s="218" t="s">
        <v>309</v>
      </c>
      <c r="I597" s="223">
        <v>43830</v>
      </c>
      <c r="J597" s="218" t="s">
        <v>3766</v>
      </c>
      <c r="K597" s="218" t="s">
        <v>3767</v>
      </c>
      <c r="L597" s="218" t="s">
        <v>2704</v>
      </c>
      <c r="M597" s="218" t="s">
        <v>3783</v>
      </c>
      <c r="N597" s="218">
        <v>9.25</v>
      </c>
      <c r="O597" s="218" t="s">
        <v>292</v>
      </c>
      <c r="P597" s="218">
        <v>11.96</v>
      </c>
      <c r="Q597" s="218" t="s">
        <v>555</v>
      </c>
      <c r="R597" s="218" t="s">
        <v>1606</v>
      </c>
      <c r="S597" s="218" t="s">
        <v>396</v>
      </c>
      <c r="T597" s="218" t="s">
        <v>908</v>
      </c>
      <c r="U597" s="218" t="s">
        <v>2591</v>
      </c>
      <c r="V597" s="218" t="s">
        <v>381</v>
      </c>
      <c r="W597" s="218" t="s">
        <v>295</v>
      </c>
      <c r="X597" s="218" t="s">
        <v>379</v>
      </c>
      <c r="Y597" s="218">
        <v>10.86</v>
      </c>
      <c r="Z597" s="218">
        <f t="shared" si="11"/>
        <v>11.96</v>
      </c>
    </row>
    <row r="598" spans="1:26">
      <c r="A598" s="218" t="s">
        <v>2592</v>
      </c>
      <c r="B598" s="218"/>
      <c r="C598" s="218"/>
      <c r="D598" s="218"/>
      <c r="E598" s="218"/>
      <c r="F598" s="219" t="s">
        <v>3784</v>
      </c>
      <c r="G598" s="218" t="s">
        <v>256</v>
      </c>
      <c r="H598" s="218" t="s">
        <v>309</v>
      </c>
      <c r="I598" s="223">
        <v>43830</v>
      </c>
      <c r="J598" s="218" t="s">
        <v>3766</v>
      </c>
      <c r="K598" s="218" t="s">
        <v>3767</v>
      </c>
      <c r="L598" s="218" t="s">
        <v>2704</v>
      </c>
      <c r="M598" s="218" t="s">
        <v>3785</v>
      </c>
      <c r="N598" s="218">
        <v>4.92</v>
      </c>
      <c r="O598" s="218" t="s">
        <v>292</v>
      </c>
      <c r="P598" s="218">
        <v>6.36</v>
      </c>
      <c r="Q598" s="218" t="s">
        <v>555</v>
      </c>
      <c r="R598" s="218" t="s">
        <v>1606</v>
      </c>
      <c r="S598" s="218" t="s">
        <v>396</v>
      </c>
      <c r="T598" s="218" t="s">
        <v>499</v>
      </c>
      <c r="U598" s="218" t="s">
        <v>2591</v>
      </c>
      <c r="V598" s="218" t="s">
        <v>381</v>
      </c>
      <c r="W598" s="218" t="s">
        <v>295</v>
      </c>
      <c r="X598" s="218" t="s">
        <v>379</v>
      </c>
      <c r="Y598" s="218">
        <v>5.78</v>
      </c>
      <c r="Z598" s="218">
        <f t="shared" si="11"/>
        <v>6.36</v>
      </c>
    </row>
    <row r="599" spans="1:26">
      <c r="A599" s="218" t="s">
        <v>2592</v>
      </c>
      <c r="B599" s="218"/>
      <c r="C599" s="218"/>
      <c r="D599" s="218"/>
      <c r="E599" s="218"/>
      <c r="F599" s="219" t="s">
        <v>3786</v>
      </c>
      <c r="G599" s="218" t="s">
        <v>256</v>
      </c>
      <c r="H599" s="218" t="s">
        <v>309</v>
      </c>
      <c r="I599" s="223">
        <v>43830</v>
      </c>
      <c r="J599" s="218" t="s">
        <v>3766</v>
      </c>
      <c r="K599" s="218" t="s">
        <v>3767</v>
      </c>
      <c r="L599" s="218" t="s">
        <v>2704</v>
      </c>
      <c r="M599" s="218" t="s">
        <v>3787</v>
      </c>
      <c r="N599" s="218">
        <v>228.13</v>
      </c>
      <c r="O599" s="218" t="s">
        <v>292</v>
      </c>
      <c r="P599" s="218">
        <v>295.02</v>
      </c>
      <c r="Q599" s="218" t="s">
        <v>555</v>
      </c>
      <c r="R599" s="218" t="s">
        <v>1606</v>
      </c>
      <c r="S599" s="218" t="s">
        <v>396</v>
      </c>
      <c r="T599" s="218" t="s">
        <v>397</v>
      </c>
      <c r="U599" s="218" t="s">
        <v>2591</v>
      </c>
      <c r="V599" s="218" t="s">
        <v>381</v>
      </c>
      <c r="W599" s="218" t="s">
        <v>295</v>
      </c>
      <c r="X599" s="218" t="s">
        <v>379</v>
      </c>
      <c r="Y599" s="218">
        <v>267.82</v>
      </c>
      <c r="Z599" s="218">
        <f t="shared" si="11"/>
        <v>295.02</v>
      </c>
    </row>
    <row r="600" spans="1:26">
      <c r="A600" s="218" t="s">
        <v>2592</v>
      </c>
      <c r="B600" s="218"/>
      <c r="C600" s="218"/>
      <c r="D600" s="218"/>
      <c r="E600" s="218"/>
      <c r="F600" s="219" t="s">
        <v>3788</v>
      </c>
      <c r="G600" s="218" t="s">
        <v>256</v>
      </c>
      <c r="H600" s="218" t="s">
        <v>309</v>
      </c>
      <c r="I600" s="223">
        <v>43830</v>
      </c>
      <c r="J600" s="218" t="s">
        <v>3766</v>
      </c>
      <c r="K600" s="218" t="s">
        <v>3767</v>
      </c>
      <c r="L600" s="218" t="s">
        <v>2704</v>
      </c>
      <c r="M600" s="218" t="s">
        <v>3789</v>
      </c>
      <c r="N600" s="218">
        <v>6.16</v>
      </c>
      <c r="O600" s="218" t="s">
        <v>292</v>
      </c>
      <c r="P600" s="218">
        <v>7.97</v>
      </c>
      <c r="Q600" s="218" t="s">
        <v>555</v>
      </c>
      <c r="R600" s="218" t="s">
        <v>1606</v>
      </c>
      <c r="S600" s="218" t="s">
        <v>396</v>
      </c>
      <c r="T600" s="218" t="s">
        <v>468</v>
      </c>
      <c r="U600" s="218" t="s">
        <v>2591</v>
      </c>
      <c r="V600" s="218" t="s">
        <v>381</v>
      </c>
      <c r="W600" s="218" t="s">
        <v>295</v>
      </c>
      <c r="X600" s="218" t="s">
        <v>379</v>
      </c>
      <c r="Y600" s="218">
        <v>7.23</v>
      </c>
      <c r="Z600" s="218">
        <f t="shared" si="11"/>
        <v>7.97</v>
      </c>
    </row>
    <row r="601" spans="1:26">
      <c r="A601" s="218" t="s">
        <v>2592</v>
      </c>
      <c r="B601" s="218"/>
      <c r="C601" s="218"/>
      <c r="D601" s="218"/>
      <c r="E601" s="218"/>
      <c r="F601" s="219" t="s">
        <v>3790</v>
      </c>
      <c r="G601" s="218" t="s">
        <v>256</v>
      </c>
      <c r="H601" s="218" t="s">
        <v>309</v>
      </c>
      <c r="I601" s="223">
        <v>43830</v>
      </c>
      <c r="J601" s="218" t="s">
        <v>3766</v>
      </c>
      <c r="K601" s="218" t="s">
        <v>3767</v>
      </c>
      <c r="L601" s="218" t="s">
        <v>2704</v>
      </c>
      <c r="M601" s="218" t="s">
        <v>3752</v>
      </c>
      <c r="N601" s="218">
        <v>8.44</v>
      </c>
      <c r="O601" s="218" t="s">
        <v>292</v>
      </c>
      <c r="P601" s="218">
        <v>10.92</v>
      </c>
      <c r="Q601" s="218" t="s">
        <v>555</v>
      </c>
      <c r="R601" s="218" t="s">
        <v>1606</v>
      </c>
      <c r="S601" s="218" t="s">
        <v>396</v>
      </c>
      <c r="T601" s="218" t="s">
        <v>915</v>
      </c>
      <c r="U601" s="218" t="s">
        <v>2591</v>
      </c>
      <c r="V601" s="218" t="s">
        <v>381</v>
      </c>
      <c r="W601" s="218" t="s">
        <v>295</v>
      </c>
      <c r="X601" s="218" t="s">
        <v>379</v>
      </c>
      <c r="Y601" s="218">
        <v>9.91</v>
      </c>
      <c r="Z601" s="218">
        <f t="shared" si="11"/>
        <v>10.92</v>
      </c>
    </row>
    <row r="602" spans="1:26">
      <c r="A602" s="218" t="s">
        <v>2592</v>
      </c>
      <c r="B602" s="218"/>
      <c r="C602" s="218"/>
      <c r="D602" s="218"/>
      <c r="E602" s="218"/>
      <c r="F602" s="219" t="s">
        <v>3791</v>
      </c>
      <c r="G602" s="218" t="s">
        <v>256</v>
      </c>
      <c r="H602" s="218" t="s">
        <v>309</v>
      </c>
      <c r="I602" s="223">
        <v>43830</v>
      </c>
      <c r="J602" s="218" t="s">
        <v>3766</v>
      </c>
      <c r="K602" s="218" t="s">
        <v>3767</v>
      </c>
      <c r="L602" s="218" t="s">
        <v>2704</v>
      </c>
      <c r="M602" s="218" t="s">
        <v>3792</v>
      </c>
      <c r="N602" s="218">
        <v>9.4</v>
      </c>
      <c r="O602" s="218" t="s">
        <v>292</v>
      </c>
      <c r="P602" s="218">
        <v>12.15</v>
      </c>
      <c r="Q602" s="218" t="s">
        <v>555</v>
      </c>
      <c r="R602" s="218" t="s">
        <v>1606</v>
      </c>
      <c r="S602" s="218" t="s">
        <v>396</v>
      </c>
      <c r="T602" s="218" t="s">
        <v>558</v>
      </c>
      <c r="U602" s="218" t="s">
        <v>2591</v>
      </c>
      <c r="V602" s="218" t="s">
        <v>381</v>
      </c>
      <c r="W602" s="218" t="s">
        <v>295</v>
      </c>
      <c r="X602" s="218" t="s">
        <v>379</v>
      </c>
      <c r="Y602" s="218">
        <v>11.04</v>
      </c>
      <c r="Z602" s="218">
        <f t="shared" si="11"/>
        <v>12.15</v>
      </c>
    </row>
    <row r="603" spans="1:26">
      <c r="A603" s="218" t="s">
        <v>2592</v>
      </c>
      <c r="B603" s="218"/>
      <c r="C603" s="218"/>
      <c r="D603" s="218"/>
      <c r="E603" s="218"/>
      <c r="F603" s="219" t="s">
        <v>3793</v>
      </c>
      <c r="G603" s="218" t="s">
        <v>256</v>
      </c>
      <c r="H603" s="218" t="s">
        <v>309</v>
      </c>
      <c r="I603" s="223">
        <v>43830</v>
      </c>
      <c r="J603" s="218" t="s">
        <v>3794</v>
      </c>
      <c r="K603" s="218" t="s">
        <v>3795</v>
      </c>
      <c r="L603" s="218" t="s">
        <v>2704</v>
      </c>
      <c r="M603" s="218" t="s">
        <v>3789</v>
      </c>
      <c r="N603" s="218">
        <v>32.479999999999997</v>
      </c>
      <c r="O603" s="218" t="s">
        <v>292</v>
      </c>
      <c r="P603" s="218">
        <v>42</v>
      </c>
      <c r="Q603" s="218" t="s">
        <v>555</v>
      </c>
      <c r="R603" s="218" t="s">
        <v>1606</v>
      </c>
      <c r="S603" s="218" t="s">
        <v>396</v>
      </c>
      <c r="T603" s="218" t="s">
        <v>468</v>
      </c>
      <c r="U603" s="218" t="s">
        <v>2591</v>
      </c>
      <c r="V603" s="218" t="s">
        <v>381</v>
      </c>
      <c r="W603" s="218" t="s">
        <v>295</v>
      </c>
      <c r="X603" s="218" t="s">
        <v>379</v>
      </c>
      <c r="Y603" s="218">
        <v>38.130000000000003</v>
      </c>
      <c r="Z603" s="218">
        <f t="shared" si="11"/>
        <v>42</v>
      </c>
    </row>
    <row r="604" spans="1:26">
      <c r="A604" s="218" t="s">
        <v>2592</v>
      </c>
      <c r="B604" s="218"/>
      <c r="C604" s="218"/>
      <c r="D604" s="218"/>
      <c r="E604" s="218"/>
      <c r="F604" s="219" t="s">
        <v>3796</v>
      </c>
      <c r="G604" s="218" t="s">
        <v>256</v>
      </c>
      <c r="H604" s="218" t="s">
        <v>309</v>
      </c>
      <c r="I604" s="223">
        <v>43830</v>
      </c>
      <c r="J604" s="218" t="s">
        <v>3794</v>
      </c>
      <c r="K604" s="218" t="s">
        <v>3795</v>
      </c>
      <c r="L604" s="218" t="s">
        <v>2704</v>
      </c>
      <c r="M604" s="218" t="s">
        <v>3792</v>
      </c>
      <c r="N604" s="218">
        <v>1.05</v>
      </c>
      <c r="O604" s="218" t="s">
        <v>292</v>
      </c>
      <c r="P604" s="218">
        <v>1.36</v>
      </c>
      <c r="Q604" s="218" t="s">
        <v>555</v>
      </c>
      <c r="R604" s="218" t="s">
        <v>1606</v>
      </c>
      <c r="S604" s="218" t="s">
        <v>396</v>
      </c>
      <c r="T604" s="218" t="s">
        <v>558</v>
      </c>
      <c r="U604" s="218" t="s">
        <v>2591</v>
      </c>
      <c r="V604" s="218" t="s">
        <v>381</v>
      </c>
      <c r="W604" s="218" t="s">
        <v>295</v>
      </c>
      <c r="X604" s="218" t="s">
        <v>379</v>
      </c>
      <c r="Y604" s="218">
        <v>1.23</v>
      </c>
      <c r="Z604" s="218">
        <f t="shared" si="11"/>
        <v>1.36</v>
      </c>
    </row>
    <row r="605" spans="1:26">
      <c r="A605" s="218" t="s">
        <v>2592</v>
      </c>
      <c r="B605" s="218"/>
      <c r="C605" s="218"/>
      <c r="D605" s="218"/>
      <c r="E605" s="218"/>
      <c r="F605" s="219" t="s">
        <v>3797</v>
      </c>
      <c r="G605" s="218" t="s">
        <v>256</v>
      </c>
      <c r="H605" s="218" t="s">
        <v>309</v>
      </c>
      <c r="I605" s="223">
        <v>43830</v>
      </c>
      <c r="J605" s="218" t="s">
        <v>3794</v>
      </c>
      <c r="K605" s="218" t="s">
        <v>3795</v>
      </c>
      <c r="L605" s="218" t="s">
        <v>2704</v>
      </c>
      <c r="M605" s="218" t="s">
        <v>3798</v>
      </c>
      <c r="N605" s="218">
        <v>6.54</v>
      </c>
      <c r="O605" s="218" t="s">
        <v>292</v>
      </c>
      <c r="P605" s="218">
        <v>8.4600000000000009</v>
      </c>
      <c r="Q605" s="218" t="s">
        <v>555</v>
      </c>
      <c r="R605" s="218" t="s">
        <v>1606</v>
      </c>
      <c r="S605" s="218" t="s">
        <v>396</v>
      </c>
      <c r="T605" s="218" t="s">
        <v>908</v>
      </c>
      <c r="U605" s="218" t="s">
        <v>2591</v>
      </c>
      <c r="V605" s="218" t="s">
        <v>381</v>
      </c>
      <c r="W605" s="218" t="s">
        <v>295</v>
      </c>
      <c r="X605" s="218" t="s">
        <v>379</v>
      </c>
      <c r="Y605" s="218">
        <v>7.68</v>
      </c>
      <c r="Z605" s="218">
        <f t="shared" si="11"/>
        <v>8.4600000000000009</v>
      </c>
    </row>
    <row r="606" spans="1:26">
      <c r="A606" s="218" t="s">
        <v>2592</v>
      </c>
      <c r="B606" s="218"/>
      <c r="C606" s="218"/>
      <c r="D606" s="218"/>
      <c r="E606" s="218"/>
      <c r="F606" s="219" t="s">
        <v>3799</v>
      </c>
      <c r="G606" s="218" t="s">
        <v>256</v>
      </c>
      <c r="H606" s="218" t="s">
        <v>309</v>
      </c>
      <c r="I606" s="223">
        <v>43830</v>
      </c>
      <c r="J606" s="218" t="s">
        <v>3794</v>
      </c>
      <c r="K606" s="218" t="s">
        <v>3795</v>
      </c>
      <c r="L606" s="218" t="s">
        <v>2704</v>
      </c>
      <c r="M606" s="218" t="s">
        <v>3800</v>
      </c>
      <c r="N606" s="218">
        <v>5.73</v>
      </c>
      <c r="O606" s="218" t="s">
        <v>292</v>
      </c>
      <c r="P606" s="218">
        <v>7.41</v>
      </c>
      <c r="Q606" s="218" t="s">
        <v>555</v>
      </c>
      <c r="R606" s="218" t="s">
        <v>1606</v>
      </c>
      <c r="S606" s="218" t="s">
        <v>396</v>
      </c>
      <c r="T606" s="218" t="s">
        <v>489</v>
      </c>
      <c r="U606" s="218" t="s">
        <v>2591</v>
      </c>
      <c r="V606" s="218" t="s">
        <v>381</v>
      </c>
      <c r="W606" s="218" t="s">
        <v>295</v>
      </c>
      <c r="X606" s="218" t="s">
        <v>379</v>
      </c>
      <c r="Y606" s="218">
        <v>6.73</v>
      </c>
      <c r="Z606" s="218">
        <f t="shared" si="11"/>
        <v>7.41</v>
      </c>
    </row>
    <row r="607" spans="1:26">
      <c r="A607" s="218" t="s">
        <v>2592</v>
      </c>
      <c r="B607" s="218"/>
      <c r="C607" s="218"/>
      <c r="D607" s="218"/>
      <c r="E607" s="218"/>
      <c r="F607" s="219" t="s">
        <v>3801</v>
      </c>
      <c r="G607" s="218" t="s">
        <v>257</v>
      </c>
      <c r="H607" s="218" t="s">
        <v>309</v>
      </c>
      <c r="I607" s="223">
        <v>43769</v>
      </c>
      <c r="J607" s="218" t="s">
        <v>3802</v>
      </c>
      <c r="K607" s="218" t="s">
        <v>3104</v>
      </c>
      <c r="L607" s="218" t="s">
        <v>2596</v>
      </c>
      <c r="M607" s="218" t="s">
        <v>3803</v>
      </c>
      <c r="N607" s="218">
        <v>157.91</v>
      </c>
      <c r="O607" s="218" t="s">
        <v>292</v>
      </c>
      <c r="P607" s="218">
        <v>194.25</v>
      </c>
      <c r="Q607" s="218" t="s">
        <v>1031</v>
      </c>
      <c r="R607" s="218" t="s">
        <v>2101</v>
      </c>
      <c r="S607" s="218" t="s">
        <v>400</v>
      </c>
      <c r="T607" s="218" t="s">
        <v>466</v>
      </c>
      <c r="U607" s="218" t="s">
        <v>2591</v>
      </c>
      <c r="V607" s="218" t="s">
        <v>381</v>
      </c>
      <c r="W607" s="218" t="s">
        <v>295</v>
      </c>
      <c r="X607" s="218" t="s">
        <v>379</v>
      </c>
      <c r="Y607" s="218">
        <v>177.87</v>
      </c>
      <c r="Z607" s="218">
        <f t="shared" si="11"/>
        <v>194.25</v>
      </c>
    </row>
    <row r="608" spans="1:26">
      <c r="A608" s="218" t="s">
        <v>2592</v>
      </c>
      <c r="B608" s="218"/>
      <c r="C608" s="218"/>
      <c r="D608" s="218"/>
      <c r="E608" s="218"/>
      <c r="F608" s="219" t="s">
        <v>3804</v>
      </c>
      <c r="G608" s="218" t="s">
        <v>257</v>
      </c>
      <c r="H608" s="218" t="s">
        <v>309</v>
      </c>
      <c r="I608" s="223">
        <v>43769</v>
      </c>
      <c r="J608" s="218" t="s">
        <v>3802</v>
      </c>
      <c r="K608" s="218" t="s">
        <v>3104</v>
      </c>
      <c r="L608" s="218" t="s">
        <v>2596</v>
      </c>
      <c r="M608" s="218" t="s">
        <v>3805</v>
      </c>
      <c r="N608" s="218">
        <v>579.01</v>
      </c>
      <c r="O608" s="218" t="s">
        <v>292</v>
      </c>
      <c r="P608" s="218">
        <v>712.25</v>
      </c>
      <c r="Q608" s="218" t="s">
        <v>1031</v>
      </c>
      <c r="R608" s="218" t="s">
        <v>2101</v>
      </c>
      <c r="S608" s="218" t="s">
        <v>400</v>
      </c>
      <c r="T608" s="218" t="s">
        <v>466</v>
      </c>
      <c r="U608" s="218" t="s">
        <v>2591</v>
      </c>
      <c r="V608" s="218" t="s">
        <v>381</v>
      </c>
      <c r="W608" s="218" t="s">
        <v>295</v>
      </c>
      <c r="X608" s="218" t="s">
        <v>379</v>
      </c>
      <c r="Y608" s="218">
        <v>652.20000000000005</v>
      </c>
      <c r="Z608" s="218">
        <f t="shared" si="11"/>
        <v>712.25</v>
      </c>
    </row>
    <row r="609" spans="1:26">
      <c r="A609" s="218" t="s">
        <v>2592</v>
      </c>
      <c r="B609" s="218"/>
      <c r="C609" s="218"/>
      <c r="D609" s="218"/>
      <c r="E609" s="218"/>
      <c r="F609" s="219" t="s">
        <v>3806</v>
      </c>
      <c r="G609" s="218" t="s">
        <v>257</v>
      </c>
      <c r="H609" s="218" t="s">
        <v>309</v>
      </c>
      <c r="I609" s="223">
        <v>43769</v>
      </c>
      <c r="J609" s="218" t="s">
        <v>2640</v>
      </c>
      <c r="K609" s="218" t="s">
        <v>2595</v>
      </c>
      <c r="L609" s="218" t="s">
        <v>2596</v>
      </c>
      <c r="M609" s="218" t="s">
        <v>1673</v>
      </c>
      <c r="N609" s="218">
        <v>6.48</v>
      </c>
      <c r="O609" s="218" t="s">
        <v>292</v>
      </c>
      <c r="P609" s="218">
        <v>7.92</v>
      </c>
      <c r="Q609" s="218" t="s">
        <v>1050</v>
      </c>
      <c r="R609" s="218" t="s">
        <v>1674</v>
      </c>
      <c r="S609" s="218" t="s">
        <v>400</v>
      </c>
      <c r="T609" s="218" t="s">
        <v>499</v>
      </c>
      <c r="U609" s="218" t="s">
        <v>2591</v>
      </c>
      <c r="V609" s="218" t="s">
        <v>381</v>
      </c>
      <c r="W609" s="218" t="s">
        <v>295</v>
      </c>
      <c r="X609" s="218" t="s">
        <v>379</v>
      </c>
      <c r="Y609" s="218">
        <v>7.3</v>
      </c>
      <c r="Z609" s="218">
        <f t="shared" si="11"/>
        <v>7.92</v>
      </c>
    </row>
    <row r="610" spans="1:26">
      <c r="A610" s="218" t="s">
        <v>2592</v>
      </c>
      <c r="B610" s="218"/>
      <c r="C610" s="218"/>
      <c r="D610" s="218"/>
      <c r="E610" s="218"/>
      <c r="F610" s="219" t="s">
        <v>3807</v>
      </c>
      <c r="G610" s="218" t="s">
        <v>257</v>
      </c>
      <c r="H610" s="218" t="s">
        <v>309</v>
      </c>
      <c r="I610" s="223">
        <v>43769</v>
      </c>
      <c r="J610" s="218" t="s">
        <v>3808</v>
      </c>
      <c r="K610" s="218" t="s">
        <v>3104</v>
      </c>
      <c r="L610" s="218" t="s">
        <v>2596</v>
      </c>
      <c r="M610" s="218" t="s">
        <v>3809</v>
      </c>
      <c r="N610" s="218">
        <v>538.57000000000005</v>
      </c>
      <c r="O610" s="218" t="s">
        <v>292</v>
      </c>
      <c r="P610" s="218">
        <v>662.5</v>
      </c>
      <c r="Q610" s="218" t="s">
        <v>1050</v>
      </c>
      <c r="R610" s="218" t="s">
        <v>1674</v>
      </c>
      <c r="S610" s="218" t="s">
        <v>400</v>
      </c>
      <c r="T610" s="218" t="s">
        <v>626</v>
      </c>
      <c r="U610" s="218" t="s">
        <v>2591</v>
      </c>
      <c r="V610" s="218" t="s">
        <v>381</v>
      </c>
      <c r="W610" s="218" t="s">
        <v>295</v>
      </c>
      <c r="X610" s="218" t="s">
        <v>379</v>
      </c>
      <c r="Y610" s="218">
        <v>606.65</v>
      </c>
      <c r="Z610" s="218">
        <f t="shared" si="11"/>
        <v>662.5</v>
      </c>
    </row>
    <row r="611" spans="1:26">
      <c r="A611" s="218" t="s">
        <v>2592</v>
      </c>
      <c r="B611" s="218"/>
      <c r="C611" s="218"/>
      <c r="D611" s="218"/>
      <c r="E611" s="218"/>
      <c r="F611" s="219" t="s">
        <v>3810</v>
      </c>
      <c r="G611" s="218" t="s">
        <v>257</v>
      </c>
      <c r="H611" s="218" t="s">
        <v>309</v>
      </c>
      <c r="I611" s="223">
        <v>43769</v>
      </c>
      <c r="J611" s="218" t="s">
        <v>3808</v>
      </c>
      <c r="K611" s="218" t="s">
        <v>3104</v>
      </c>
      <c r="L611" s="218" t="s">
        <v>2596</v>
      </c>
      <c r="M611" s="218" t="s">
        <v>3811</v>
      </c>
      <c r="N611" s="218">
        <v>491.18</v>
      </c>
      <c r="O611" s="218" t="s">
        <v>292</v>
      </c>
      <c r="P611" s="218">
        <v>604.20000000000005</v>
      </c>
      <c r="Q611" s="218" t="s">
        <v>1050</v>
      </c>
      <c r="R611" s="218" t="s">
        <v>1674</v>
      </c>
      <c r="S611" s="218" t="s">
        <v>400</v>
      </c>
      <c r="T611" s="218" t="s">
        <v>499</v>
      </c>
      <c r="U611" s="218" t="s">
        <v>2591</v>
      </c>
      <c r="V611" s="218" t="s">
        <v>381</v>
      </c>
      <c r="W611" s="218" t="s">
        <v>295</v>
      </c>
      <c r="X611" s="218" t="s">
        <v>379</v>
      </c>
      <c r="Y611" s="218">
        <v>553.27</v>
      </c>
      <c r="Z611" s="218">
        <f t="shared" si="11"/>
        <v>604.20000000000005</v>
      </c>
    </row>
    <row r="612" spans="1:26">
      <c r="A612" s="218" t="s">
        <v>2592</v>
      </c>
      <c r="B612" s="218"/>
      <c r="C612" s="218"/>
      <c r="D612" s="218"/>
      <c r="E612" s="218"/>
      <c r="F612" s="219" t="s">
        <v>3812</v>
      </c>
      <c r="G612" s="218" t="s">
        <v>257</v>
      </c>
      <c r="H612" s="218" t="s">
        <v>309</v>
      </c>
      <c r="I612" s="223">
        <v>43769</v>
      </c>
      <c r="J612" s="218" t="s">
        <v>3808</v>
      </c>
      <c r="K612" s="218" t="s">
        <v>3104</v>
      </c>
      <c r="L612" s="218" t="s">
        <v>2596</v>
      </c>
      <c r="M612" s="218" t="s">
        <v>3813</v>
      </c>
      <c r="N612" s="218">
        <v>366.23</v>
      </c>
      <c r="O612" s="218" t="s">
        <v>292</v>
      </c>
      <c r="P612" s="218">
        <v>450.5</v>
      </c>
      <c r="Q612" s="218" t="s">
        <v>1050</v>
      </c>
      <c r="R612" s="218" t="s">
        <v>1674</v>
      </c>
      <c r="S612" s="218" t="s">
        <v>400</v>
      </c>
      <c r="T612" s="218" t="s">
        <v>469</v>
      </c>
      <c r="U612" s="218" t="s">
        <v>2591</v>
      </c>
      <c r="V612" s="218" t="s">
        <v>381</v>
      </c>
      <c r="W612" s="218" t="s">
        <v>295</v>
      </c>
      <c r="X612" s="218" t="s">
        <v>379</v>
      </c>
      <c r="Y612" s="218">
        <v>412.53</v>
      </c>
      <c r="Z612" s="218">
        <f t="shared" si="11"/>
        <v>450.5</v>
      </c>
    </row>
    <row r="613" spans="1:26">
      <c r="A613" s="218" t="s">
        <v>2592</v>
      </c>
      <c r="B613" s="218"/>
      <c r="C613" s="218"/>
      <c r="D613" s="218"/>
      <c r="E613" s="218"/>
      <c r="F613" s="219" t="s">
        <v>3814</v>
      </c>
      <c r="G613" s="218" t="s">
        <v>257</v>
      </c>
      <c r="H613" s="218" t="s">
        <v>309</v>
      </c>
      <c r="I613" s="223">
        <v>43769</v>
      </c>
      <c r="J613" s="218" t="s">
        <v>3808</v>
      </c>
      <c r="K613" s="218" t="s">
        <v>3104</v>
      </c>
      <c r="L613" s="218" t="s">
        <v>2596</v>
      </c>
      <c r="M613" s="218" t="s">
        <v>3815</v>
      </c>
      <c r="N613" s="218">
        <v>141.25</v>
      </c>
      <c r="O613" s="218" t="s">
        <v>292</v>
      </c>
      <c r="P613" s="218">
        <v>173.75</v>
      </c>
      <c r="Q613" s="218" t="s">
        <v>1050</v>
      </c>
      <c r="R613" s="218" t="s">
        <v>1674</v>
      </c>
      <c r="S613" s="218" t="s">
        <v>400</v>
      </c>
      <c r="T613" s="218" t="s">
        <v>445</v>
      </c>
      <c r="U613" s="218" t="s">
        <v>2591</v>
      </c>
      <c r="V613" s="218" t="s">
        <v>381</v>
      </c>
      <c r="W613" s="218" t="s">
        <v>295</v>
      </c>
      <c r="X613" s="218" t="s">
        <v>379</v>
      </c>
      <c r="Y613" s="218">
        <v>159.11000000000001</v>
      </c>
      <c r="Z613" s="218">
        <f t="shared" si="11"/>
        <v>173.75</v>
      </c>
    </row>
    <row r="614" spans="1:26">
      <c r="A614" s="218" t="s">
        <v>2592</v>
      </c>
      <c r="B614" s="218"/>
      <c r="C614" s="218"/>
      <c r="D614" s="218"/>
      <c r="E614" s="218"/>
      <c r="F614" s="219" t="s">
        <v>3816</v>
      </c>
      <c r="G614" s="218" t="s">
        <v>257</v>
      </c>
      <c r="H614" s="218" t="s">
        <v>309</v>
      </c>
      <c r="I614" s="223">
        <v>43769</v>
      </c>
      <c r="J614" s="218" t="s">
        <v>3109</v>
      </c>
      <c r="K614" s="218" t="s">
        <v>3104</v>
      </c>
      <c r="L614" s="218" t="s">
        <v>2596</v>
      </c>
      <c r="M614" s="218" t="s">
        <v>3817</v>
      </c>
      <c r="N614" s="218">
        <v>28.45</v>
      </c>
      <c r="O614" s="218" t="s">
        <v>292</v>
      </c>
      <c r="P614" s="218">
        <v>35</v>
      </c>
      <c r="Q614" s="218" t="s">
        <v>1050</v>
      </c>
      <c r="R614" s="218" t="s">
        <v>1674</v>
      </c>
      <c r="S614" s="218" t="s">
        <v>400</v>
      </c>
      <c r="T614" s="218" t="s">
        <v>499</v>
      </c>
      <c r="U614" s="218" t="s">
        <v>2591</v>
      </c>
      <c r="V614" s="218" t="s">
        <v>381</v>
      </c>
      <c r="W614" s="218" t="s">
        <v>295</v>
      </c>
      <c r="X614" s="218" t="s">
        <v>379</v>
      </c>
      <c r="Y614" s="218">
        <v>32.049999999999997</v>
      </c>
      <c r="Z614" s="218">
        <f t="shared" si="11"/>
        <v>35</v>
      </c>
    </row>
    <row r="615" spans="1:26">
      <c r="A615" s="218" t="s">
        <v>2592</v>
      </c>
      <c r="B615" s="218"/>
      <c r="C615" s="218"/>
      <c r="D615" s="218"/>
      <c r="E615" s="218"/>
      <c r="F615" s="219" t="s">
        <v>3818</v>
      </c>
      <c r="G615" s="218" t="s">
        <v>257</v>
      </c>
      <c r="H615" s="218" t="s">
        <v>309</v>
      </c>
      <c r="I615" s="223">
        <v>43769</v>
      </c>
      <c r="J615" s="218" t="s">
        <v>3819</v>
      </c>
      <c r="K615" s="218" t="s">
        <v>2601</v>
      </c>
      <c r="L615" s="218" t="s">
        <v>2596</v>
      </c>
      <c r="M615" s="218" t="s">
        <v>3820</v>
      </c>
      <c r="N615" s="218">
        <v>7.46</v>
      </c>
      <c r="O615" s="218" t="s">
        <v>292</v>
      </c>
      <c r="P615" s="218">
        <v>9.18</v>
      </c>
      <c r="Q615" s="218" t="s">
        <v>1050</v>
      </c>
      <c r="R615" s="218" t="s">
        <v>1674</v>
      </c>
      <c r="S615" s="218" t="s">
        <v>396</v>
      </c>
      <c r="T615" s="218" t="s">
        <v>626</v>
      </c>
      <c r="U615" s="218" t="s">
        <v>2591</v>
      </c>
      <c r="V615" s="218" t="s">
        <v>381</v>
      </c>
      <c r="W615" s="218" t="s">
        <v>295</v>
      </c>
      <c r="X615" s="218" t="s">
        <v>379</v>
      </c>
      <c r="Y615" s="218">
        <v>8.4</v>
      </c>
      <c r="Z615" s="218">
        <f t="shared" si="11"/>
        <v>9.18</v>
      </c>
    </row>
    <row r="616" spans="1:26">
      <c r="A616" s="218" t="s">
        <v>2592</v>
      </c>
      <c r="B616" s="218"/>
      <c r="C616" s="218"/>
      <c r="D616" s="218"/>
      <c r="E616" s="218"/>
      <c r="F616" s="219" t="s">
        <v>3821</v>
      </c>
      <c r="G616" s="218" t="s">
        <v>257</v>
      </c>
      <c r="H616" s="218" t="s">
        <v>309</v>
      </c>
      <c r="I616" s="223">
        <v>43769</v>
      </c>
      <c r="J616" s="218" t="s">
        <v>3822</v>
      </c>
      <c r="K616" s="218" t="s">
        <v>3104</v>
      </c>
      <c r="L616" s="218" t="s">
        <v>2596</v>
      </c>
      <c r="M616" s="218" t="s">
        <v>3823</v>
      </c>
      <c r="N616" s="218">
        <v>172.61</v>
      </c>
      <c r="O616" s="218" t="s">
        <v>292</v>
      </c>
      <c r="P616" s="218">
        <v>212.33</v>
      </c>
      <c r="Q616" s="218" t="s">
        <v>1050</v>
      </c>
      <c r="R616" s="218" t="s">
        <v>1674</v>
      </c>
      <c r="S616" s="218" t="s">
        <v>400</v>
      </c>
      <c r="T616" s="218" t="s">
        <v>469</v>
      </c>
      <c r="U616" s="218" t="s">
        <v>2591</v>
      </c>
      <c r="V616" s="218" t="s">
        <v>381</v>
      </c>
      <c r="W616" s="218" t="s">
        <v>295</v>
      </c>
      <c r="X616" s="218" t="s">
        <v>379</v>
      </c>
      <c r="Y616" s="218">
        <v>194.43</v>
      </c>
      <c r="Z616" s="218">
        <f t="shared" si="11"/>
        <v>212.33</v>
      </c>
    </row>
    <row r="617" spans="1:26">
      <c r="A617" s="218" t="s">
        <v>2592</v>
      </c>
      <c r="B617" s="218"/>
      <c r="C617" s="218"/>
      <c r="D617" s="218"/>
      <c r="E617" s="218"/>
      <c r="F617" s="219" t="s">
        <v>3824</v>
      </c>
      <c r="G617" s="218" t="s">
        <v>257</v>
      </c>
      <c r="H617" s="218" t="s">
        <v>309</v>
      </c>
      <c r="I617" s="223">
        <v>43769</v>
      </c>
      <c r="J617" s="218" t="s">
        <v>3825</v>
      </c>
      <c r="K617" s="218" t="s">
        <v>3104</v>
      </c>
      <c r="L617" s="218" t="s">
        <v>2596</v>
      </c>
      <c r="M617" s="218" t="s">
        <v>3826</v>
      </c>
      <c r="N617" s="218">
        <v>15.36</v>
      </c>
      <c r="O617" s="218" t="s">
        <v>292</v>
      </c>
      <c r="P617" s="218">
        <v>18.89</v>
      </c>
      <c r="Q617" s="218" t="s">
        <v>1050</v>
      </c>
      <c r="R617" s="218" t="s">
        <v>1674</v>
      </c>
      <c r="S617" s="218" t="s">
        <v>400</v>
      </c>
      <c r="T617" s="218" t="s">
        <v>499</v>
      </c>
      <c r="U617" s="218" t="s">
        <v>2591</v>
      </c>
      <c r="V617" s="218" t="s">
        <v>381</v>
      </c>
      <c r="W617" s="218" t="s">
        <v>295</v>
      </c>
      <c r="X617" s="218" t="s">
        <v>379</v>
      </c>
      <c r="Y617" s="218">
        <v>17.3</v>
      </c>
      <c r="Z617" s="218">
        <f t="shared" si="11"/>
        <v>18.89</v>
      </c>
    </row>
    <row r="618" spans="1:26">
      <c r="A618" s="218" t="s">
        <v>2592</v>
      </c>
      <c r="B618" s="218"/>
      <c r="C618" s="218"/>
      <c r="D618" s="218"/>
      <c r="E618" s="218"/>
      <c r="F618" s="219" t="s">
        <v>3827</v>
      </c>
      <c r="G618" s="218" t="s">
        <v>257</v>
      </c>
      <c r="H618" s="218" t="s">
        <v>309</v>
      </c>
      <c r="I618" s="223">
        <v>43769</v>
      </c>
      <c r="J618" s="218" t="s">
        <v>2991</v>
      </c>
      <c r="K618" s="218" t="s">
        <v>2601</v>
      </c>
      <c r="L618" s="218" t="s">
        <v>2596</v>
      </c>
      <c r="M618" s="218" t="s">
        <v>3828</v>
      </c>
      <c r="N618" s="218">
        <v>64.63</v>
      </c>
      <c r="O618" s="218" t="s">
        <v>292</v>
      </c>
      <c r="P618" s="218">
        <v>79.5</v>
      </c>
      <c r="Q618" s="218" t="s">
        <v>604</v>
      </c>
      <c r="R618" s="218" t="s">
        <v>1725</v>
      </c>
      <c r="S618" s="218" t="s">
        <v>396</v>
      </c>
      <c r="T618" s="218" t="s">
        <v>626</v>
      </c>
      <c r="U618" s="218" t="s">
        <v>2591</v>
      </c>
      <c r="V618" s="218" t="s">
        <v>381</v>
      </c>
      <c r="W618" s="218" t="s">
        <v>295</v>
      </c>
      <c r="X618" s="218" t="s">
        <v>379</v>
      </c>
      <c r="Y618" s="218">
        <v>72.8</v>
      </c>
      <c r="Z618" s="218">
        <f t="shared" si="11"/>
        <v>79.5</v>
      </c>
    </row>
    <row r="619" spans="1:26">
      <c r="A619" s="218" t="s">
        <v>2592</v>
      </c>
      <c r="B619" s="218"/>
      <c r="C619" s="218"/>
      <c r="D619" s="218"/>
      <c r="E619" s="218"/>
      <c r="F619" s="219" t="s">
        <v>3829</v>
      </c>
      <c r="G619" s="218" t="s">
        <v>257</v>
      </c>
      <c r="H619" s="218" t="s">
        <v>309</v>
      </c>
      <c r="I619" s="223">
        <v>43769</v>
      </c>
      <c r="J619" s="218" t="s">
        <v>2991</v>
      </c>
      <c r="K619" s="218" t="s">
        <v>2601</v>
      </c>
      <c r="L619" s="218" t="s">
        <v>2596</v>
      </c>
      <c r="M619" s="218" t="s">
        <v>3830</v>
      </c>
      <c r="N619" s="218">
        <v>64.63</v>
      </c>
      <c r="O619" s="218" t="s">
        <v>292</v>
      </c>
      <c r="P619" s="218">
        <v>79.5</v>
      </c>
      <c r="Q619" s="218" t="s">
        <v>604</v>
      </c>
      <c r="R619" s="218" t="s">
        <v>1725</v>
      </c>
      <c r="S619" s="218" t="s">
        <v>396</v>
      </c>
      <c r="T619" s="218" t="s">
        <v>626</v>
      </c>
      <c r="U619" s="218" t="s">
        <v>2591</v>
      </c>
      <c r="V619" s="218" t="s">
        <v>381</v>
      </c>
      <c r="W619" s="218" t="s">
        <v>295</v>
      </c>
      <c r="X619" s="218" t="s">
        <v>379</v>
      </c>
      <c r="Y619" s="218">
        <v>72.8</v>
      </c>
      <c r="Z619" s="218">
        <f t="shared" si="11"/>
        <v>79.5</v>
      </c>
    </row>
    <row r="620" spans="1:26">
      <c r="A620" s="218" t="s">
        <v>2592</v>
      </c>
      <c r="B620" s="218"/>
      <c r="C620" s="218"/>
      <c r="D620" s="218"/>
      <c r="E620" s="218"/>
      <c r="F620" s="219" t="s">
        <v>3831</v>
      </c>
      <c r="G620" s="218" t="s">
        <v>257</v>
      </c>
      <c r="H620" s="218" t="s">
        <v>309</v>
      </c>
      <c r="I620" s="223">
        <v>43769</v>
      </c>
      <c r="J620" s="218" t="s">
        <v>3832</v>
      </c>
      <c r="K620" s="218" t="s">
        <v>3833</v>
      </c>
      <c r="L620" s="218" t="s">
        <v>2596</v>
      </c>
      <c r="M620" s="218" t="s">
        <v>3834</v>
      </c>
      <c r="N620" s="218">
        <v>43.99</v>
      </c>
      <c r="O620" s="218" t="s">
        <v>2086</v>
      </c>
      <c r="P620" s="218">
        <v>50000</v>
      </c>
      <c r="Q620" s="218" t="s">
        <v>610</v>
      </c>
      <c r="R620" s="218" t="s">
        <v>1620</v>
      </c>
      <c r="S620" s="218" t="s">
        <v>2087</v>
      </c>
      <c r="T620" s="218" t="s">
        <v>626</v>
      </c>
      <c r="U620" s="218" t="s">
        <v>2591</v>
      </c>
      <c r="V620" s="218" t="s">
        <v>381</v>
      </c>
      <c r="W620" s="218" t="s">
        <v>295</v>
      </c>
      <c r="X620" s="218" t="s">
        <v>379</v>
      </c>
      <c r="Y620" s="218">
        <v>49.55</v>
      </c>
      <c r="Z620" s="218">
        <v>54.11</v>
      </c>
    </row>
    <row r="621" spans="1:26">
      <c r="A621" s="218" t="s">
        <v>2592</v>
      </c>
      <c r="B621" s="218"/>
      <c r="C621" s="218"/>
      <c r="D621" s="218"/>
      <c r="E621" s="218"/>
      <c r="F621" s="219" t="s">
        <v>3835</v>
      </c>
      <c r="G621" s="218" t="s">
        <v>257</v>
      </c>
      <c r="H621" s="218" t="s">
        <v>309</v>
      </c>
      <c r="I621" s="223">
        <v>43769</v>
      </c>
      <c r="J621" s="218" t="s">
        <v>2640</v>
      </c>
      <c r="K621" s="218" t="s">
        <v>2595</v>
      </c>
      <c r="L621" s="218" t="s">
        <v>2596</v>
      </c>
      <c r="M621" s="218" t="s">
        <v>1675</v>
      </c>
      <c r="N621" s="218">
        <v>54.53</v>
      </c>
      <c r="O621" s="218" t="s">
        <v>292</v>
      </c>
      <c r="P621" s="218">
        <v>66.62</v>
      </c>
      <c r="Q621" s="218" t="s">
        <v>615</v>
      </c>
      <c r="R621" s="218" t="s">
        <v>1676</v>
      </c>
      <c r="S621" s="218" t="s">
        <v>400</v>
      </c>
      <c r="T621" s="218" t="s">
        <v>499</v>
      </c>
      <c r="U621" s="218" t="s">
        <v>2591</v>
      </c>
      <c r="V621" s="218" t="s">
        <v>381</v>
      </c>
      <c r="W621" s="218" t="s">
        <v>295</v>
      </c>
      <c r="X621" s="218" t="s">
        <v>379</v>
      </c>
      <c r="Y621" s="218">
        <v>61.42</v>
      </c>
      <c r="Z621" s="218">
        <f>P621</f>
        <v>66.62</v>
      </c>
    </row>
    <row r="622" spans="1:26">
      <c r="A622" s="218" t="s">
        <v>2592</v>
      </c>
      <c r="B622" s="218"/>
      <c r="C622" s="218"/>
      <c r="D622" s="218"/>
      <c r="E622" s="218"/>
      <c r="F622" s="219" t="s">
        <v>3836</v>
      </c>
      <c r="G622" s="218" t="s">
        <v>257</v>
      </c>
      <c r="H622" s="218" t="s">
        <v>309</v>
      </c>
      <c r="I622" s="223">
        <v>43769</v>
      </c>
      <c r="J622" s="218" t="s">
        <v>3837</v>
      </c>
      <c r="K622" s="218" t="s">
        <v>3104</v>
      </c>
      <c r="L622" s="218" t="s">
        <v>2596</v>
      </c>
      <c r="M622" s="218" t="s">
        <v>3838</v>
      </c>
      <c r="N622" s="218">
        <v>140.97</v>
      </c>
      <c r="O622" s="218" t="s">
        <v>292</v>
      </c>
      <c r="P622" s="218">
        <v>173.41</v>
      </c>
      <c r="Q622" s="218" t="s">
        <v>615</v>
      </c>
      <c r="R622" s="218" t="s">
        <v>1676</v>
      </c>
      <c r="S622" s="218" t="s">
        <v>400</v>
      </c>
      <c r="T622" s="218" t="s">
        <v>445</v>
      </c>
      <c r="U622" s="218" t="s">
        <v>2591</v>
      </c>
      <c r="V622" s="218" t="s">
        <v>381</v>
      </c>
      <c r="W622" s="218" t="s">
        <v>295</v>
      </c>
      <c r="X622" s="218" t="s">
        <v>379</v>
      </c>
      <c r="Y622" s="218">
        <v>158.79</v>
      </c>
      <c r="Z622" s="218">
        <f>P622</f>
        <v>173.41</v>
      </c>
    </row>
    <row r="623" spans="1:26">
      <c r="A623" s="218" t="s">
        <v>2592</v>
      </c>
      <c r="B623" s="218"/>
      <c r="C623" s="218"/>
      <c r="D623" s="218"/>
      <c r="E623" s="218"/>
      <c r="F623" s="219" t="s">
        <v>3839</v>
      </c>
      <c r="G623" s="218" t="s">
        <v>257</v>
      </c>
      <c r="H623" s="218" t="s">
        <v>309</v>
      </c>
      <c r="I623" s="223">
        <v>43769</v>
      </c>
      <c r="J623" s="218" t="s">
        <v>3819</v>
      </c>
      <c r="K623" s="218" t="s">
        <v>2601</v>
      </c>
      <c r="L623" s="218" t="s">
        <v>2596</v>
      </c>
      <c r="M623" s="218" t="s">
        <v>3840</v>
      </c>
      <c r="N623" s="218">
        <v>140.63</v>
      </c>
      <c r="O623" s="218" t="s">
        <v>292</v>
      </c>
      <c r="P623" s="218">
        <v>172.99</v>
      </c>
      <c r="Q623" s="218" t="s">
        <v>615</v>
      </c>
      <c r="R623" s="218" t="s">
        <v>1676</v>
      </c>
      <c r="S623" s="218" t="s">
        <v>396</v>
      </c>
      <c r="T623" s="218" t="s">
        <v>626</v>
      </c>
      <c r="U623" s="218" t="s">
        <v>2591</v>
      </c>
      <c r="V623" s="218" t="s">
        <v>381</v>
      </c>
      <c r="W623" s="218" t="s">
        <v>295</v>
      </c>
      <c r="X623" s="218" t="s">
        <v>379</v>
      </c>
      <c r="Y623" s="218">
        <v>158.41</v>
      </c>
      <c r="Z623" s="218">
        <f>P623</f>
        <v>172.99</v>
      </c>
    </row>
    <row r="624" spans="1:26">
      <c r="A624" s="218" t="s">
        <v>2592</v>
      </c>
      <c r="B624" s="218"/>
      <c r="C624" s="218"/>
      <c r="D624" s="218"/>
      <c r="E624" s="218"/>
      <c r="F624" s="219" t="s">
        <v>3841</v>
      </c>
      <c r="G624" s="218" t="s">
        <v>257</v>
      </c>
      <c r="H624" s="218" t="s">
        <v>309</v>
      </c>
      <c r="I624" s="223">
        <v>43769</v>
      </c>
      <c r="J624" s="218" t="s">
        <v>3822</v>
      </c>
      <c r="K624" s="218" t="s">
        <v>3104</v>
      </c>
      <c r="L624" s="218" t="s">
        <v>2596</v>
      </c>
      <c r="M624" s="218" t="s">
        <v>3842</v>
      </c>
      <c r="N624" s="218">
        <v>116.34</v>
      </c>
      <c r="O624" s="218" t="s">
        <v>292</v>
      </c>
      <c r="P624" s="218">
        <v>143.11000000000001</v>
      </c>
      <c r="Q624" s="218" t="s">
        <v>615</v>
      </c>
      <c r="R624" s="218" t="s">
        <v>1676</v>
      </c>
      <c r="S624" s="218" t="s">
        <v>400</v>
      </c>
      <c r="T624" s="218" t="s">
        <v>469</v>
      </c>
      <c r="U624" s="218" t="s">
        <v>2591</v>
      </c>
      <c r="V624" s="218" t="s">
        <v>381</v>
      </c>
      <c r="W624" s="218" t="s">
        <v>295</v>
      </c>
      <c r="X624" s="218" t="s">
        <v>379</v>
      </c>
      <c r="Y624" s="218">
        <v>131.05000000000001</v>
      </c>
      <c r="Z624" s="218">
        <f>P624</f>
        <v>143.11000000000001</v>
      </c>
    </row>
    <row r="625" spans="1:26">
      <c r="A625" s="218" t="s">
        <v>2592</v>
      </c>
      <c r="B625" s="218"/>
      <c r="C625" s="218"/>
      <c r="D625" s="218"/>
      <c r="E625" s="218"/>
      <c r="F625" s="219" t="s">
        <v>3843</v>
      </c>
      <c r="G625" s="218" t="s">
        <v>257</v>
      </c>
      <c r="H625" s="218" t="s">
        <v>309</v>
      </c>
      <c r="I625" s="223">
        <v>43769</v>
      </c>
      <c r="J625" s="218" t="s">
        <v>3825</v>
      </c>
      <c r="K625" s="218" t="s">
        <v>3104</v>
      </c>
      <c r="L625" s="218" t="s">
        <v>2596</v>
      </c>
      <c r="M625" s="218" t="s">
        <v>3844</v>
      </c>
      <c r="N625" s="218">
        <v>77.58</v>
      </c>
      <c r="O625" s="218" t="s">
        <v>292</v>
      </c>
      <c r="P625" s="218">
        <v>95.43</v>
      </c>
      <c r="Q625" s="218" t="s">
        <v>615</v>
      </c>
      <c r="R625" s="218" t="s">
        <v>1676</v>
      </c>
      <c r="S625" s="218" t="s">
        <v>400</v>
      </c>
      <c r="T625" s="218" t="s">
        <v>499</v>
      </c>
      <c r="U625" s="218" t="s">
        <v>2591</v>
      </c>
      <c r="V625" s="218" t="s">
        <v>381</v>
      </c>
      <c r="W625" s="218" t="s">
        <v>295</v>
      </c>
      <c r="X625" s="218" t="s">
        <v>379</v>
      </c>
      <c r="Y625" s="218">
        <v>87.39</v>
      </c>
      <c r="Z625" s="218">
        <f>P625</f>
        <v>95.43</v>
      </c>
    </row>
    <row r="626" spans="1:26">
      <c r="A626" s="218" t="s">
        <v>2592</v>
      </c>
      <c r="B626" s="218"/>
      <c r="C626" s="218"/>
      <c r="D626" s="218"/>
      <c r="E626" s="218"/>
      <c r="F626" s="219" t="s">
        <v>3845</v>
      </c>
      <c r="G626" s="218" t="s">
        <v>257</v>
      </c>
      <c r="H626" s="218" t="s">
        <v>309</v>
      </c>
      <c r="I626" s="223">
        <v>43799</v>
      </c>
      <c r="J626" s="218" t="s">
        <v>3846</v>
      </c>
      <c r="K626" s="218" t="s">
        <v>3847</v>
      </c>
      <c r="L626" s="218" t="s">
        <v>3848</v>
      </c>
      <c r="M626" s="218" t="s">
        <v>3849</v>
      </c>
      <c r="N626" s="218">
        <v>143.63</v>
      </c>
      <c r="O626" s="218" t="s">
        <v>2079</v>
      </c>
      <c r="P626" s="218">
        <v>19200</v>
      </c>
      <c r="Q626" s="218" t="s">
        <v>610</v>
      </c>
      <c r="R626" s="218" t="s">
        <v>1620</v>
      </c>
      <c r="S626" s="218" t="s">
        <v>2080</v>
      </c>
      <c r="T626" s="218" t="s">
        <v>466</v>
      </c>
      <c r="U626" s="218" t="s">
        <v>2591</v>
      </c>
      <c r="V626" s="218" t="s">
        <v>381</v>
      </c>
      <c r="W626" s="218" t="s">
        <v>295</v>
      </c>
      <c r="X626" s="218" t="s">
        <v>379</v>
      </c>
      <c r="Y626" s="218">
        <v>166.62</v>
      </c>
      <c r="Z626" s="218">
        <v>185.89</v>
      </c>
    </row>
    <row r="627" spans="1:26">
      <c r="A627" s="218" t="s">
        <v>2592</v>
      </c>
      <c r="B627" s="218"/>
      <c r="C627" s="218"/>
      <c r="D627" s="218"/>
      <c r="E627" s="218"/>
      <c r="F627" s="219" t="s">
        <v>3850</v>
      </c>
      <c r="G627" s="218" t="s">
        <v>257</v>
      </c>
      <c r="H627" s="218" t="s">
        <v>309</v>
      </c>
      <c r="I627" s="223">
        <v>43799</v>
      </c>
      <c r="J627" s="218" t="s">
        <v>3846</v>
      </c>
      <c r="K627" s="218" t="s">
        <v>3847</v>
      </c>
      <c r="L627" s="218" t="s">
        <v>3848</v>
      </c>
      <c r="M627" s="218" t="s">
        <v>3851</v>
      </c>
      <c r="N627" s="218">
        <v>143.63</v>
      </c>
      <c r="O627" s="218" t="s">
        <v>2079</v>
      </c>
      <c r="P627" s="218">
        <v>19200</v>
      </c>
      <c r="Q627" s="218" t="s">
        <v>610</v>
      </c>
      <c r="R627" s="218" t="s">
        <v>1620</v>
      </c>
      <c r="S627" s="218" t="s">
        <v>2080</v>
      </c>
      <c r="T627" s="218" t="s">
        <v>468</v>
      </c>
      <c r="U627" s="218" t="s">
        <v>2591</v>
      </c>
      <c r="V627" s="218" t="s">
        <v>381</v>
      </c>
      <c r="W627" s="218" t="s">
        <v>295</v>
      </c>
      <c r="X627" s="218" t="s">
        <v>379</v>
      </c>
      <c r="Y627" s="218">
        <v>166.62</v>
      </c>
      <c r="Z627" s="218">
        <v>185.89</v>
      </c>
    </row>
    <row r="628" spans="1:26">
      <c r="A628" s="218" t="s">
        <v>2592</v>
      </c>
      <c r="B628" s="218"/>
      <c r="C628" s="218"/>
      <c r="D628" s="218"/>
      <c r="E628" s="218"/>
      <c r="F628" s="219" t="s">
        <v>3852</v>
      </c>
      <c r="G628" s="218" t="s">
        <v>257</v>
      </c>
      <c r="H628" s="218" t="s">
        <v>309</v>
      </c>
      <c r="I628" s="223">
        <v>43799</v>
      </c>
      <c r="J628" s="218" t="s">
        <v>3853</v>
      </c>
      <c r="K628" s="218" t="s">
        <v>3854</v>
      </c>
      <c r="L628" s="218" t="s">
        <v>2996</v>
      </c>
      <c r="M628" s="218" t="s">
        <v>3855</v>
      </c>
      <c r="N628" s="218">
        <v>57.95</v>
      </c>
      <c r="O628" s="218" t="s">
        <v>292</v>
      </c>
      <c r="P628" s="218">
        <v>75</v>
      </c>
      <c r="Q628" s="218" t="s">
        <v>604</v>
      </c>
      <c r="R628" s="218" t="s">
        <v>1725</v>
      </c>
      <c r="S628" s="218" t="s">
        <v>396</v>
      </c>
      <c r="T628" s="218" t="s">
        <v>468</v>
      </c>
      <c r="U628" s="218" t="s">
        <v>2591</v>
      </c>
      <c r="V628" s="218" t="s">
        <v>381</v>
      </c>
      <c r="W628" s="218" t="s">
        <v>295</v>
      </c>
      <c r="X628" s="218" t="s">
        <v>379</v>
      </c>
      <c r="Y628" s="218">
        <v>67.23</v>
      </c>
      <c r="Z628" s="218">
        <f t="shared" ref="Z628:Z635" si="12">P628</f>
        <v>75</v>
      </c>
    </row>
    <row r="629" spans="1:26">
      <c r="A629" s="218" t="s">
        <v>2592</v>
      </c>
      <c r="B629" s="218"/>
      <c r="C629" s="218"/>
      <c r="D629" s="218"/>
      <c r="E629" s="218"/>
      <c r="F629" s="219" t="s">
        <v>3856</v>
      </c>
      <c r="G629" s="218" t="s">
        <v>257</v>
      </c>
      <c r="H629" s="218" t="s">
        <v>309</v>
      </c>
      <c r="I629" s="223">
        <v>43799</v>
      </c>
      <c r="J629" s="218" t="s">
        <v>3857</v>
      </c>
      <c r="K629" s="218" t="s">
        <v>3858</v>
      </c>
      <c r="L629" s="218" t="s">
        <v>2996</v>
      </c>
      <c r="M629" s="218" t="s">
        <v>3859</v>
      </c>
      <c r="N629" s="218">
        <v>97.66</v>
      </c>
      <c r="O629" s="218" t="s">
        <v>292</v>
      </c>
      <c r="P629" s="218">
        <v>126.4</v>
      </c>
      <c r="Q629" s="218" t="s">
        <v>615</v>
      </c>
      <c r="R629" s="218" t="s">
        <v>1676</v>
      </c>
      <c r="S629" s="218" t="s">
        <v>396</v>
      </c>
      <c r="T629" s="218" t="s">
        <v>468</v>
      </c>
      <c r="U629" s="218" t="s">
        <v>2591</v>
      </c>
      <c r="V629" s="218" t="s">
        <v>381</v>
      </c>
      <c r="W629" s="218" t="s">
        <v>295</v>
      </c>
      <c r="X629" s="218" t="s">
        <v>379</v>
      </c>
      <c r="Y629" s="218">
        <v>113.29</v>
      </c>
      <c r="Z629" s="218">
        <f t="shared" si="12"/>
        <v>126.4</v>
      </c>
    </row>
    <row r="630" spans="1:26">
      <c r="A630" s="218" t="s">
        <v>2592</v>
      </c>
      <c r="B630" s="218"/>
      <c r="C630" s="218"/>
      <c r="D630" s="218"/>
      <c r="E630" s="218"/>
      <c r="F630" s="219" t="s">
        <v>3860</v>
      </c>
      <c r="G630" s="218" t="s">
        <v>257</v>
      </c>
      <c r="H630" s="218" t="s">
        <v>309</v>
      </c>
      <c r="I630" s="223">
        <v>43799</v>
      </c>
      <c r="J630" s="218" t="s">
        <v>3857</v>
      </c>
      <c r="K630" s="218" t="s">
        <v>3861</v>
      </c>
      <c r="L630" s="218" t="s">
        <v>2996</v>
      </c>
      <c r="M630" s="218" t="s">
        <v>3862</v>
      </c>
      <c r="N630" s="218">
        <v>15.45</v>
      </c>
      <c r="O630" s="218" t="s">
        <v>292</v>
      </c>
      <c r="P630" s="218">
        <v>20</v>
      </c>
      <c r="Q630" s="218" t="s">
        <v>1050</v>
      </c>
      <c r="R630" s="218" t="s">
        <v>1674</v>
      </c>
      <c r="S630" s="218" t="s">
        <v>396</v>
      </c>
      <c r="T630" s="218" t="s">
        <v>468</v>
      </c>
      <c r="U630" s="218" t="s">
        <v>2591</v>
      </c>
      <c r="V630" s="218" t="s">
        <v>381</v>
      </c>
      <c r="W630" s="218" t="s">
        <v>295</v>
      </c>
      <c r="X630" s="218" t="s">
        <v>379</v>
      </c>
      <c r="Y630" s="218">
        <v>17.920000000000002</v>
      </c>
      <c r="Z630" s="218">
        <f t="shared" si="12"/>
        <v>20</v>
      </c>
    </row>
    <row r="631" spans="1:26">
      <c r="A631" s="218" t="s">
        <v>2592</v>
      </c>
      <c r="B631" s="218"/>
      <c r="C631" s="218"/>
      <c r="D631" s="218"/>
      <c r="E631" s="218"/>
      <c r="F631" s="219" t="s">
        <v>3863</v>
      </c>
      <c r="G631" s="218" t="s">
        <v>257</v>
      </c>
      <c r="H631" s="218" t="s">
        <v>309</v>
      </c>
      <c r="I631" s="223">
        <v>43799</v>
      </c>
      <c r="J631" s="218" t="s">
        <v>3857</v>
      </c>
      <c r="K631" s="218" t="s">
        <v>3864</v>
      </c>
      <c r="L631" s="218" t="s">
        <v>2996</v>
      </c>
      <c r="M631" s="218" t="s">
        <v>3865</v>
      </c>
      <c r="N631" s="218">
        <v>3.09</v>
      </c>
      <c r="O631" s="218" t="s">
        <v>292</v>
      </c>
      <c r="P631" s="218">
        <v>4</v>
      </c>
      <c r="Q631" s="218" t="s">
        <v>604</v>
      </c>
      <c r="R631" s="218" t="s">
        <v>1725</v>
      </c>
      <c r="S631" s="218" t="s">
        <v>396</v>
      </c>
      <c r="T631" s="218" t="s">
        <v>468</v>
      </c>
      <c r="U631" s="218" t="s">
        <v>2591</v>
      </c>
      <c r="V631" s="218" t="s">
        <v>381</v>
      </c>
      <c r="W631" s="218" t="s">
        <v>295</v>
      </c>
      <c r="X631" s="218" t="s">
        <v>379</v>
      </c>
      <c r="Y631" s="218">
        <v>3.58</v>
      </c>
      <c r="Z631" s="218">
        <f t="shared" si="12"/>
        <v>4</v>
      </c>
    </row>
    <row r="632" spans="1:26">
      <c r="A632" s="218" t="s">
        <v>2592</v>
      </c>
      <c r="B632" s="218"/>
      <c r="C632" s="218"/>
      <c r="D632" s="218"/>
      <c r="E632" s="218"/>
      <c r="F632" s="219" t="s">
        <v>3866</v>
      </c>
      <c r="G632" s="218" t="s">
        <v>257</v>
      </c>
      <c r="H632" s="218" t="s">
        <v>309</v>
      </c>
      <c r="I632" s="223">
        <v>43799</v>
      </c>
      <c r="J632" s="218" t="s">
        <v>3867</v>
      </c>
      <c r="K632" s="218" t="s">
        <v>3868</v>
      </c>
      <c r="L632" s="218" t="s">
        <v>3115</v>
      </c>
      <c r="M632" s="218" t="s">
        <v>3869</v>
      </c>
      <c r="N632" s="218">
        <v>239.52</v>
      </c>
      <c r="O632" s="218" t="s">
        <v>292</v>
      </c>
      <c r="P632" s="218">
        <v>310</v>
      </c>
      <c r="Q632" s="218" t="s">
        <v>604</v>
      </c>
      <c r="R632" s="218" t="s">
        <v>1725</v>
      </c>
      <c r="S632" s="218" t="s">
        <v>400</v>
      </c>
      <c r="T632" s="218" t="s">
        <v>466</v>
      </c>
      <c r="U632" s="218" t="s">
        <v>2591</v>
      </c>
      <c r="V632" s="218" t="s">
        <v>381</v>
      </c>
      <c r="W632" s="218" t="s">
        <v>295</v>
      </c>
      <c r="X632" s="218" t="s">
        <v>3117</v>
      </c>
      <c r="Y632" s="218">
        <v>277.86</v>
      </c>
      <c r="Z632" s="218">
        <f t="shared" si="12"/>
        <v>310</v>
      </c>
    </row>
    <row r="633" spans="1:26">
      <c r="A633" s="218" t="s">
        <v>2592</v>
      </c>
      <c r="B633" s="218"/>
      <c r="C633" s="218"/>
      <c r="D633" s="218"/>
      <c r="E633" s="218"/>
      <c r="F633" s="219" t="s">
        <v>3870</v>
      </c>
      <c r="G633" s="218" t="s">
        <v>257</v>
      </c>
      <c r="H633" s="218" t="s">
        <v>309</v>
      </c>
      <c r="I633" s="223">
        <v>43799</v>
      </c>
      <c r="J633" s="218" t="s">
        <v>3871</v>
      </c>
      <c r="K633" s="218" t="s">
        <v>3872</v>
      </c>
      <c r="L633" s="218" t="s">
        <v>3115</v>
      </c>
      <c r="M633" s="218" t="s">
        <v>3873</v>
      </c>
      <c r="N633" s="218">
        <v>97.45</v>
      </c>
      <c r="O633" s="218" t="s">
        <v>292</v>
      </c>
      <c r="P633" s="218">
        <v>126.12</v>
      </c>
      <c r="Q633" s="218" t="s">
        <v>615</v>
      </c>
      <c r="R633" s="218" t="s">
        <v>1676</v>
      </c>
      <c r="S633" s="218" t="s">
        <v>400</v>
      </c>
      <c r="T633" s="218" t="s">
        <v>466</v>
      </c>
      <c r="U633" s="218" t="s">
        <v>2591</v>
      </c>
      <c r="V633" s="218" t="s">
        <v>381</v>
      </c>
      <c r="W633" s="218" t="s">
        <v>295</v>
      </c>
      <c r="X633" s="218" t="s">
        <v>379</v>
      </c>
      <c r="Y633" s="218">
        <v>113.05</v>
      </c>
      <c r="Z633" s="218">
        <f t="shared" si="12"/>
        <v>126.12</v>
      </c>
    </row>
    <row r="634" spans="1:26">
      <c r="A634" s="218" t="s">
        <v>2592</v>
      </c>
      <c r="B634" s="218"/>
      <c r="C634" s="218"/>
      <c r="D634" s="218"/>
      <c r="E634" s="218"/>
      <c r="F634" s="219" t="s">
        <v>3874</v>
      </c>
      <c r="G634" s="218" t="s">
        <v>257</v>
      </c>
      <c r="H634" s="218" t="s">
        <v>309</v>
      </c>
      <c r="I634" s="223">
        <v>43799</v>
      </c>
      <c r="J634" s="218" t="s">
        <v>3871</v>
      </c>
      <c r="K634" s="218" t="s">
        <v>3875</v>
      </c>
      <c r="L634" s="218" t="s">
        <v>3115</v>
      </c>
      <c r="M634" s="218" t="s">
        <v>3876</v>
      </c>
      <c r="N634" s="218">
        <v>38.630000000000003</v>
      </c>
      <c r="O634" s="218" t="s">
        <v>292</v>
      </c>
      <c r="P634" s="218">
        <v>50</v>
      </c>
      <c r="Q634" s="218" t="s">
        <v>1066</v>
      </c>
      <c r="R634" s="218" t="s">
        <v>1984</v>
      </c>
      <c r="S634" s="218" t="s">
        <v>400</v>
      </c>
      <c r="T634" s="218" t="s">
        <v>466</v>
      </c>
      <c r="U634" s="218" t="s">
        <v>2591</v>
      </c>
      <c r="V634" s="218" t="s">
        <v>381</v>
      </c>
      <c r="W634" s="218" t="s">
        <v>295</v>
      </c>
      <c r="X634" s="218" t="s">
        <v>379</v>
      </c>
      <c r="Y634" s="218">
        <v>44.81</v>
      </c>
      <c r="Z634" s="218">
        <f t="shared" si="12"/>
        <v>50</v>
      </c>
    </row>
    <row r="635" spans="1:26">
      <c r="A635" s="218" t="s">
        <v>2592</v>
      </c>
      <c r="B635" s="218"/>
      <c r="C635" s="218"/>
      <c r="D635" s="218"/>
      <c r="E635" s="218"/>
      <c r="F635" s="219" t="s">
        <v>3877</v>
      </c>
      <c r="G635" s="218" t="s">
        <v>257</v>
      </c>
      <c r="H635" s="218" t="s">
        <v>309</v>
      </c>
      <c r="I635" s="223">
        <v>43799</v>
      </c>
      <c r="J635" s="218" t="s">
        <v>3871</v>
      </c>
      <c r="K635" s="218" t="s">
        <v>3878</v>
      </c>
      <c r="L635" s="218" t="s">
        <v>3115</v>
      </c>
      <c r="M635" s="218" t="s">
        <v>3879</v>
      </c>
      <c r="N635" s="218">
        <v>123.63</v>
      </c>
      <c r="O635" s="218" t="s">
        <v>292</v>
      </c>
      <c r="P635" s="218">
        <v>160</v>
      </c>
      <c r="Q635" s="218" t="s">
        <v>1050</v>
      </c>
      <c r="R635" s="218" t="s">
        <v>1674</v>
      </c>
      <c r="S635" s="218" t="s">
        <v>400</v>
      </c>
      <c r="T635" s="218" t="s">
        <v>466</v>
      </c>
      <c r="U635" s="218" t="s">
        <v>2591</v>
      </c>
      <c r="V635" s="218" t="s">
        <v>381</v>
      </c>
      <c r="W635" s="218" t="s">
        <v>295</v>
      </c>
      <c r="X635" s="218" t="s">
        <v>379</v>
      </c>
      <c r="Y635" s="218">
        <v>143.41999999999999</v>
      </c>
      <c r="Z635" s="218">
        <f t="shared" si="12"/>
        <v>160</v>
      </c>
    </row>
    <row r="636" spans="1:26">
      <c r="A636" s="218" t="s">
        <v>2592</v>
      </c>
      <c r="B636" s="218"/>
      <c r="C636" s="218"/>
      <c r="D636" s="218"/>
      <c r="E636" s="218"/>
      <c r="F636" s="219" t="s">
        <v>3880</v>
      </c>
      <c r="G636" s="218" t="s">
        <v>257</v>
      </c>
      <c r="H636" s="218" t="s">
        <v>309</v>
      </c>
      <c r="I636" s="223">
        <v>43810</v>
      </c>
      <c r="J636" s="218" t="s">
        <v>3881</v>
      </c>
      <c r="K636" s="218" t="s">
        <v>2591</v>
      </c>
      <c r="L636" s="218" t="s">
        <v>3882</v>
      </c>
      <c r="M636" s="218" t="s">
        <v>3883</v>
      </c>
      <c r="N636" s="218">
        <v>740.22</v>
      </c>
      <c r="O636" s="218" t="s">
        <v>2591</v>
      </c>
      <c r="P636" s="218">
        <v>0</v>
      </c>
      <c r="Q636" s="218" t="s">
        <v>1050</v>
      </c>
      <c r="R636" s="218" t="s">
        <v>1674</v>
      </c>
      <c r="S636" s="218" t="s">
        <v>374</v>
      </c>
      <c r="T636" s="218" t="s">
        <v>445</v>
      </c>
      <c r="U636" s="218" t="s">
        <v>2591</v>
      </c>
      <c r="V636" s="218" t="s">
        <v>381</v>
      </c>
      <c r="W636" s="218" t="s">
        <v>295</v>
      </c>
      <c r="X636" s="218" t="s">
        <v>379</v>
      </c>
      <c r="Y636" s="218">
        <v>869</v>
      </c>
      <c r="Z636" s="218">
        <v>957.28</v>
      </c>
    </row>
    <row r="637" spans="1:26">
      <c r="A637" s="218" t="s">
        <v>2592</v>
      </c>
      <c r="B637" s="218"/>
      <c r="C637" s="218"/>
      <c r="D637" s="218"/>
      <c r="E637" s="218"/>
      <c r="F637" s="219" t="s">
        <v>3884</v>
      </c>
      <c r="G637" s="218" t="s">
        <v>257</v>
      </c>
      <c r="H637" s="218" t="s">
        <v>309</v>
      </c>
      <c r="I637" s="223">
        <v>43810</v>
      </c>
      <c r="J637" s="218" t="s">
        <v>3881</v>
      </c>
      <c r="K637" s="218" t="s">
        <v>2591</v>
      </c>
      <c r="L637" s="218" t="s">
        <v>3882</v>
      </c>
      <c r="M637" s="218" t="s">
        <v>3883</v>
      </c>
      <c r="N637" s="218">
        <v>0</v>
      </c>
      <c r="O637" s="218" t="s">
        <v>2591</v>
      </c>
      <c r="P637" s="218">
        <v>0</v>
      </c>
      <c r="Q637" s="218" t="s">
        <v>1050</v>
      </c>
      <c r="R637" s="218" t="s">
        <v>1674</v>
      </c>
      <c r="S637" s="218" t="s">
        <v>374</v>
      </c>
      <c r="T637" s="218" t="s">
        <v>445</v>
      </c>
      <c r="U637" s="218" t="s">
        <v>2591</v>
      </c>
      <c r="V637" s="218" t="s">
        <v>381</v>
      </c>
      <c r="W637" s="218" t="s">
        <v>295</v>
      </c>
      <c r="X637" s="218" t="s">
        <v>379</v>
      </c>
      <c r="Y637" s="218">
        <v>0</v>
      </c>
      <c r="Z637" s="218">
        <v>0</v>
      </c>
    </row>
    <row r="638" spans="1:26">
      <c r="A638" s="218" t="s">
        <v>2592</v>
      </c>
      <c r="B638" s="218"/>
      <c r="C638" s="218"/>
      <c r="D638" s="218"/>
      <c r="E638" s="218"/>
      <c r="F638" s="219" t="s">
        <v>3885</v>
      </c>
      <c r="G638" s="218" t="s">
        <v>257</v>
      </c>
      <c r="H638" s="218" t="s">
        <v>309</v>
      </c>
      <c r="I638" s="223">
        <v>43830</v>
      </c>
      <c r="J638" s="218" t="s">
        <v>3886</v>
      </c>
      <c r="K638" s="218" t="s">
        <v>3887</v>
      </c>
      <c r="L638" s="218" t="s">
        <v>3888</v>
      </c>
      <c r="M638" s="218" t="s">
        <v>3889</v>
      </c>
      <c r="N638" s="218">
        <v>11.2</v>
      </c>
      <c r="O638" s="218" t="s">
        <v>2079</v>
      </c>
      <c r="P638" s="218">
        <v>1484.8</v>
      </c>
      <c r="Q638" s="218" t="s">
        <v>604</v>
      </c>
      <c r="R638" s="218" t="s">
        <v>1725</v>
      </c>
      <c r="S638" s="218" t="s">
        <v>2080</v>
      </c>
      <c r="T638" s="218" t="s">
        <v>466</v>
      </c>
      <c r="U638" s="218" t="s">
        <v>2591</v>
      </c>
      <c r="V638" s="218" t="s">
        <v>381</v>
      </c>
      <c r="W638" s="218" t="s">
        <v>295</v>
      </c>
      <c r="X638" s="218" t="s">
        <v>379</v>
      </c>
      <c r="Y638" s="218">
        <v>13.15</v>
      </c>
      <c r="Z638" s="218">
        <v>14.48</v>
      </c>
    </row>
    <row r="639" spans="1:26">
      <c r="A639" s="218" t="s">
        <v>2592</v>
      </c>
      <c r="B639" s="218"/>
      <c r="C639" s="218"/>
      <c r="D639" s="218"/>
      <c r="E639" s="218"/>
      <c r="F639" s="219" t="s">
        <v>3890</v>
      </c>
      <c r="G639" s="218" t="s">
        <v>257</v>
      </c>
      <c r="H639" s="218" t="s">
        <v>309</v>
      </c>
      <c r="I639" s="223">
        <v>43830</v>
      </c>
      <c r="J639" s="218" t="s">
        <v>3891</v>
      </c>
      <c r="K639" s="218" t="s">
        <v>3854</v>
      </c>
      <c r="L639" s="218" t="s">
        <v>2704</v>
      </c>
      <c r="M639" s="218" t="s">
        <v>3892</v>
      </c>
      <c r="N639" s="218">
        <v>76.55</v>
      </c>
      <c r="O639" s="218" t="s">
        <v>292</v>
      </c>
      <c r="P639" s="218">
        <v>99</v>
      </c>
      <c r="Q639" s="218" t="s">
        <v>1050</v>
      </c>
      <c r="R639" s="218" t="s">
        <v>1674</v>
      </c>
      <c r="S639" s="218" t="s">
        <v>396</v>
      </c>
      <c r="T639" s="218" t="s">
        <v>445</v>
      </c>
      <c r="U639" s="218" t="s">
        <v>2591</v>
      </c>
      <c r="V639" s="218" t="s">
        <v>381</v>
      </c>
      <c r="W639" s="218" t="s">
        <v>295</v>
      </c>
      <c r="X639" s="218" t="s">
        <v>379</v>
      </c>
      <c r="Y639" s="218">
        <v>89.87</v>
      </c>
      <c r="Z639" s="218">
        <f t="shared" ref="Z639:Z676" si="13">P639</f>
        <v>99</v>
      </c>
    </row>
    <row r="640" spans="1:26">
      <c r="A640" s="218" t="s">
        <v>2592</v>
      </c>
      <c r="B640" s="218"/>
      <c r="C640" s="218"/>
      <c r="D640" s="218"/>
      <c r="E640" s="218"/>
      <c r="F640" s="219" t="s">
        <v>3893</v>
      </c>
      <c r="G640" s="218" t="s">
        <v>257</v>
      </c>
      <c r="H640" s="218" t="s">
        <v>309</v>
      </c>
      <c r="I640" s="223">
        <v>43830</v>
      </c>
      <c r="J640" s="218" t="s">
        <v>3894</v>
      </c>
      <c r="K640" s="218" t="s">
        <v>3895</v>
      </c>
      <c r="L640" s="218" t="s">
        <v>2704</v>
      </c>
      <c r="M640" s="218" t="s">
        <v>3896</v>
      </c>
      <c r="N640" s="218">
        <v>101.1</v>
      </c>
      <c r="O640" s="218" t="s">
        <v>292</v>
      </c>
      <c r="P640" s="218">
        <v>130.74</v>
      </c>
      <c r="Q640" s="218" t="s">
        <v>615</v>
      </c>
      <c r="R640" s="218" t="s">
        <v>1676</v>
      </c>
      <c r="S640" s="218" t="s">
        <v>396</v>
      </c>
      <c r="T640" s="218" t="s">
        <v>445</v>
      </c>
      <c r="U640" s="218" t="s">
        <v>2591</v>
      </c>
      <c r="V640" s="218" t="s">
        <v>381</v>
      </c>
      <c r="W640" s="218" t="s">
        <v>295</v>
      </c>
      <c r="X640" s="218" t="s">
        <v>379</v>
      </c>
      <c r="Y640" s="218">
        <v>118.69</v>
      </c>
      <c r="Z640" s="218">
        <f t="shared" si="13"/>
        <v>130.74</v>
      </c>
    </row>
    <row r="641" spans="1:26">
      <c r="A641" s="218" t="s">
        <v>2592</v>
      </c>
      <c r="B641" s="218"/>
      <c r="C641" s="218"/>
      <c r="D641" s="218"/>
      <c r="E641" s="218"/>
      <c r="F641" s="219" t="s">
        <v>3897</v>
      </c>
      <c r="G641" s="218" t="s">
        <v>257</v>
      </c>
      <c r="H641" s="218" t="s">
        <v>309</v>
      </c>
      <c r="I641" s="223">
        <v>43830</v>
      </c>
      <c r="J641" s="218" t="s">
        <v>3894</v>
      </c>
      <c r="K641" s="218" t="s">
        <v>3898</v>
      </c>
      <c r="L641" s="218" t="s">
        <v>2704</v>
      </c>
      <c r="M641" s="218" t="s">
        <v>3899</v>
      </c>
      <c r="N641" s="218">
        <v>14.18</v>
      </c>
      <c r="O641" s="218" t="s">
        <v>292</v>
      </c>
      <c r="P641" s="218">
        <v>18.34</v>
      </c>
      <c r="Q641" s="218" t="s">
        <v>1050</v>
      </c>
      <c r="R641" s="218" t="s">
        <v>1674</v>
      </c>
      <c r="S641" s="218" t="s">
        <v>396</v>
      </c>
      <c r="T641" s="218" t="s">
        <v>445</v>
      </c>
      <c r="U641" s="218" t="s">
        <v>2591</v>
      </c>
      <c r="V641" s="218" t="s">
        <v>381</v>
      </c>
      <c r="W641" s="218" t="s">
        <v>295</v>
      </c>
      <c r="X641" s="218" t="s">
        <v>379</v>
      </c>
      <c r="Y641" s="218">
        <v>16.649999999999999</v>
      </c>
      <c r="Z641" s="218">
        <f t="shared" si="13"/>
        <v>18.34</v>
      </c>
    </row>
    <row r="642" spans="1:26">
      <c r="A642" s="218" t="s">
        <v>2592</v>
      </c>
      <c r="B642" s="218"/>
      <c r="C642" s="218"/>
      <c r="D642" s="218"/>
      <c r="E642" s="218"/>
      <c r="F642" s="219" t="s">
        <v>3900</v>
      </c>
      <c r="G642" s="218" t="s">
        <v>259</v>
      </c>
      <c r="H642" s="218" t="s">
        <v>309</v>
      </c>
      <c r="I642" s="223">
        <v>43769</v>
      </c>
      <c r="J642" s="218" t="s">
        <v>3901</v>
      </c>
      <c r="K642" s="218" t="s">
        <v>2601</v>
      </c>
      <c r="L642" s="218" t="s">
        <v>2596</v>
      </c>
      <c r="M642" s="218" t="s">
        <v>3902</v>
      </c>
      <c r="N642" s="218">
        <v>548.73</v>
      </c>
      <c r="O642" s="218" t="s">
        <v>292</v>
      </c>
      <c r="P642" s="218">
        <v>675</v>
      </c>
      <c r="Q642" s="218" t="s">
        <v>595</v>
      </c>
      <c r="R642" s="218" t="s">
        <v>1679</v>
      </c>
      <c r="S642" s="218" t="s">
        <v>396</v>
      </c>
      <c r="T642" s="218" t="s">
        <v>445</v>
      </c>
      <c r="U642" s="218" t="s">
        <v>2591</v>
      </c>
      <c r="V642" s="218" t="s">
        <v>381</v>
      </c>
      <c r="W642" s="218" t="s">
        <v>295</v>
      </c>
      <c r="X642" s="218" t="s">
        <v>379</v>
      </c>
      <c r="Y642" s="218">
        <v>618.09</v>
      </c>
      <c r="Z642" s="218">
        <f t="shared" si="13"/>
        <v>675</v>
      </c>
    </row>
    <row r="643" spans="1:26">
      <c r="A643" s="218" t="s">
        <v>2592</v>
      </c>
      <c r="B643" s="218"/>
      <c r="C643" s="218"/>
      <c r="D643" s="218"/>
      <c r="E643" s="218"/>
      <c r="F643" s="219" t="s">
        <v>3903</v>
      </c>
      <c r="G643" s="218" t="s">
        <v>259</v>
      </c>
      <c r="H643" s="218" t="s">
        <v>309</v>
      </c>
      <c r="I643" s="223">
        <v>43769</v>
      </c>
      <c r="J643" s="218" t="s">
        <v>3904</v>
      </c>
      <c r="K643" s="218" t="s">
        <v>2601</v>
      </c>
      <c r="L643" s="218" t="s">
        <v>2596</v>
      </c>
      <c r="M643" s="218" t="s">
        <v>3905</v>
      </c>
      <c r="N643" s="218">
        <v>137.18</v>
      </c>
      <c r="O643" s="218" t="s">
        <v>292</v>
      </c>
      <c r="P643" s="218">
        <v>168.75</v>
      </c>
      <c r="Q643" s="218" t="s">
        <v>595</v>
      </c>
      <c r="R643" s="218" t="s">
        <v>1679</v>
      </c>
      <c r="S643" s="218" t="s">
        <v>396</v>
      </c>
      <c r="T643" s="218" t="s">
        <v>445</v>
      </c>
      <c r="U643" s="218" t="s">
        <v>2591</v>
      </c>
      <c r="V643" s="218" t="s">
        <v>381</v>
      </c>
      <c r="W643" s="218" t="s">
        <v>295</v>
      </c>
      <c r="X643" s="218" t="s">
        <v>379</v>
      </c>
      <c r="Y643" s="218">
        <v>154.52000000000001</v>
      </c>
      <c r="Z643" s="218">
        <f t="shared" si="13"/>
        <v>168.75</v>
      </c>
    </row>
    <row r="644" spans="1:26">
      <c r="A644" s="218" t="s">
        <v>2592</v>
      </c>
      <c r="B644" s="218"/>
      <c r="C644" s="218"/>
      <c r="D644" s="218"/>
      <c r="E644" s="218"/>
      <c r="F644" s="219" t="s">
        <v>3906</v>
      </c>
      <c r="G644" s="218" t="s">
        <v>259</v>
      </c>
      <c r="H644" s="218" t="s">
        <v>309</v>
      </c>
      <c r="I644" s="223">
        <v>43769</v>
      </c>
      <c r="J644" s="218" t="s">
        <v>3109</v>
      </c>
      <c r="K644" s="218" t="s">
        <v>3104</v>
      </c>
      <c r="L644" s="218" t="s">
        <v>2596</v>
      </c>
      <c r="M644" s="218" t="s">
        <v>3907</v>
      </c>
      <c r="N644" s="218">
        <v>14.88</v>
      </c>
      <c r="O644" s="218" t="s">
        <v>292</v>
      </c>
      <c r="P644" s="218">
        <v>18.3</v>
      </c>
      <c r="Q644" s="218" t="s">
        <v>1131</v>
      </c>
      <c r="R644" s="218" t="s">
        <v>2121</v>
      </c>
      <c r="S644" s="218" t="s">
        <v>400</v>
      </c>
      <c r="T644" s="218" t="s">
        <v>2591</v>
      </c>
      <c r="U644" s="218" t="s">
        <v>2591</v>
      </c>
      <c r="V644" s="218" t="s">
        <v>381</v>
      </c>
      <c r="W644" s="218" t="s">
        <v>295</v>
      </c>
      <c r="X644" s="218" t="s">
        <v>379</v>
      </c>
      <c r="Y644" s="218">
        <v>16.760000000000002</v>
      </c>
      <c r="Z644" s="218">
        <f t="shared" si="13"/>
        <v>18.3</v>
      </c>
    </row>
    <row r="645" spans="1:26">
      <c r="A645" s="218" t="s">
        <v>2592</v>
      </c>
      <c r="B645" s="218"/>
      <c r="C645" s="218"/>
      <c r="D645" s="218"/>
      <c r="E645" s="218"/>
      <c r="F645" s="219" t="s">
        <v>3908</v>
      </c>
      <c r="G645" s="218" t="s">
        <v>259</v>
      </c>
      <c r="H645" s="218" t="s">
        <v>309</v>
      </c>
      <c r="I645" s="223">
        <v>43799</v>
      </c>
      <c r="J645" s="218" t="s">
        <v>3909</v>
      </c>
      <c r="K645" s="218" t="s">
        <v>3910</v>
      </c>
      <c r="L645" s="218" t="s">
        <v>3115</v>
      </c>
      <c r="M645" s="218" t="s">
        <v>3911</v>
      </c>
      <c r="N645" s="218">
        <v>48.68</v>
      </c>
      <c r="O645" s="218" t="s">
        <v>292</v>
      </c>
      <c r="P645" s="218">
        <v>63</v>
      </c>
      <c r="Q645" s="218" t="s">
        <v>1131</v>
      </c>
      <c r="R645" s="218" t="s">
        <v>2121</v>
      </c>
      <c r="S645" s="218" t="s">
        <v>400</v>
      </c>
      <c r="T645" s="218" t="s">
        <v>2591</v>
      </c>
      <c r="U645" s="218" t="s">
        <v>2591</v>
      </c>
      <c r="V645" s="218" t="s">
        <v>381</v>
      </c>
      <c r="W645" s="218" t="s">
        <v>295</v>
      </c>
      <c r="X645" s="218" t="s">
        <v>3912</v>
      </c>
      <c r="Y645" s="218">
        <v>56.47</v>
      </c>
      <c r="Z645" s="218">
        <f t="shared" si="13"/>
        <v>63</v>
      </c>
    </row>
    <row r="646" spans="1:26">
      <c r="A646" s="218" t="s">
        <v>2592</v>
      </c>
      <c r="B646" s="218"/>
      <c r="C646" s="218"/>
      <c r="D646" s="218"/>
      <c r="E646" s="218"/>
      <c r="F646" s="219" t="s">
        <v>3913</v>
      </c>
      <c r="G646" s="218" t="s">
        <v>259</v>
      </c>
      <c r="H646" s="218" t="s">
        <v>309</v>
      </c>
      <c r="I646" s="223">
        <v>43830</v>
      </c>
      <c r="J646" s="218" t="s">
        <v>3914</v>
      </c>
      <c r="K646" s="218" t="s">
        <v>3915</v>
      </c>
      <c r="L646" s="218" t="s">
        <v>2617</v>
      </c>
      <c r="M646" s="218" t="s">
        <v>3916</v>
      </c>
      <c r="N646" s="218">
        <v>185.53</v>
      </c>
      <c r="O646" s="218" t="s">
        <v>292</v>
      </c>
      <c r="P646" s="218">
        <v>239.94</v>
      </c>
      <c r="Q646" s="218" t="s">
        <v>595</v>
      </c>
      <c r="R646" s="218" t="s">
        <v>1679</v>
      </c>
      <c r="S646" s="218" t="s">
        <v>400</v>
      </c>
      <c r="T646" s="218" t="s">
        <v>469</v>
      </c>
      <c r="U646" s="218" t="s">
        <v>2591</v>
      </c>
      <c r="V646" s="218" t="s">
        <v>381</v>
      </c>
      <c r="W646" s="218" t="s">
        <v>295</v>
      </c>
      <c r="X646" s="218" t="s">
        <v>379</v>
      </c>
      <c r="Y646" s="218">
        <v>217.81</v>
      </c>
      <c r="Z646" s="218">
        <f t="shared" si="13"/>
        <v>239.94</v>
      </c>
    </row>
    <row r="647" spans="1:26">
      <c r="A647" s="218" t="s">
        <v>2592</v>
      </c>
      <c r="B647" s="218"/>
      <c r="C647" s="218"/>
      <c r="D647" s="218"/>
      <c r="E647" s="218"/>
      <c r="F647" s="219" t="s">
        <v>3917</v>
      </c>
      <c r="G647" s="218" t="s">
        <v>259</v>
      </c>
      <c r="H647" s="218" t="s">
        <v>309</v>
      </c>
      <c r="I647" s="223">
        <v>43830</v>
      </c>
      <c r="J647" s="218" t="s">
        <v>3918</v>
      </c>
      <c r="K647" s="218" t="s">
        <v>3919</v>
      </c>
      <c r="L647" s="218" t="s">
        <v>2617</v>
      </c>
      <c r="M647" s="218" t="s">
        <v>3920</v>
      </c>
      <c r="N647" s="218">
        <v>32.71</v>
      </c>
      <c r="O647" s="218" t="s">
        <v>292</v>
      </c>
      <c r="P647" s="218">
        <v>42.3</v>
      </c>
      <c r="Q647" s="218" t="s">
        <v>595</v>
      </c>
      <c r="R647" s="218" t="s">
        <v>1679</v>
      </c>
      <c r="S647" s="218" t="s">
        <v>400</v>
      </c>
      <c r="T647" s="218" t="s">
        <v>469</v>
      </c>
      <c r="U647" s="218" t="s">
        <v>2591</v>
      </c>
      <c r="V647" s="218" t="s">
        <v>381</v>
      </c>
      <c r="W647" s="218" t="s">
        <v>295</v>
      </c>
      <c r="X647" s="218" t="s">
        <v>379</v>
      </c>
      <c r="Y647" s="218">
        <v>38.4</v>
      </c>
      <c r="Z647" s="218">
        <f t="shared" si="13"/>
        <v>42.3</v>
      </c>
    </row>
    <row r="648" spans="1:26">
      <c r="A648" s="218" t="s">
        <v>2592</v>
      </c>
      <c r="B648" s="218"/>
      <c r="C648" s="218"/>
      <c r="D648" s="218"/>
      <c r="E648" s="218"/>
      <c r="F648" s="219" t="s">
        <v>3921</v>
      </c>
      <c r="G648" s="218" t="s">
        <v>259</v>
      </c>
      <c r="H648" s="218" t="s">
        <v>309</v>
      </c>
      <c r="I648" s="223">
        <v>43830</v>
      </c>
      <c r="J648" s="218" t="s">
        <v>3922</v>
      </c>
      <c r="K648" s="218" t="s">
        <v>3923</v>
      </c>
      <c r="L648" s="218" t="s">
        <v>2617</v>
      </c>
      <c r="M648" s="218" t="s">
        <v>3924</v>
      </c>
      <c r="N648" s="218">
        <v>0.85</v>
      </c>
      <c r="O648" s="218" t="s">
        <v>292</v>
      </c>
      <c r="P648" s="218">
        <v>1.1000000000000001</v>
      </c>
      <c r="Q648" s="218" t="s">
        <v>595</v>
      </c>
      <c r="R648" s="218" t="s">
        <v>1679</v>
      </c>
      <c r="S648" s="218" t="s">
        <v>400</v>
      </c>
      <c r="T648" s="218" t="s">
        <v>469</v>
      </c>
      <c r="U648" s="218" t="s">
        <v>2591</v>
      </c>
      <c r="V648" s="218" t="s">
        <v>381</v>
      </c>
      <c r="W648" s="218" t="s">
        <v>295</v>
      </c>
      <c r="X648" s="218" t="s">
        <v>379</v>
      </c>
      <c r="Y648" s="218">
        <v>1</v>
      </c>
      <c r="Z648" s="218">
        <f t="shared" si="13"/>
        <v>1.1000000000000001</v>
      </c>
    </row>
    <row r="649" spans="1:26">
      <c r="A649" s="218" t="s">
        <v>2592</v>
      </c>
      <c r="B649" s="218"/>
      <c r="C649" s="218"/>
      <c r="D649" s="218"/>
      <c r="E649" s="218"/>
      <c r="F649" s="219" t="s">
        <v>3925</v>
      </c>
      <c r="G649" s="218" t="s">
        <v>259</v>
      </c>
      <c r="H649" s="218" t="s">
        <v>309</v>
      </c>
      <c r="I649" s="223">
        <v>43830</v>
      </c>
      <c r="J649" s="218" t="s">
        <v>3926</v>
      </c>
      <c r="K649" s="218" t="s">
        <v>3927</v>
      </c>
      <c r="L649" s="218" t="s">
        <v>2704</v>
      </c>
      <c r="M649" s="218" t="s">
        <v>3928</v>
      </c>
      <c r="N649" s="218">
        <v>347.96</v>
      </c>
      <c r="O649" s="218" t="s">
        <v>292</v>
      </c>
      <c r="P649" s="218">
        <v>450</v>
      </c>
      <c r="Q649" s="218" t="s">
        <v>595</v>
      </c>
      <c r="R649" s="218" t="s">
        <v>1679</v>
      </c>
      <c r="S649" s="218" t="s">
        <v>396</v>
      </c>
      <c r="T649" s="218" t="s">
        <v>445</v>
      </c>
      <c r="U649" s="218" t="s">
        <v>2591</v>
      </c>
      <c r="V649" s="218" t="s">
        <v>381</v>
      </c>
      <c r="W649" s="218" t="s">
        <v>295</v>
      </c>
      <c r="X649" s="218" t="s">
        <v>379</v>
      </c>
      <c r="Y649" s="218">
        <v>408.5</v>
      </c>
      <c r="Z649" s="218">
        <f t="shared" si="13"/>
        <v>450</v>
      </c>
    </row>
    <row r="650" spans="1:26">
      <c r="A650" s="218" t="s">
        <v>2592</v>
      </c>
      <c r="B650" s="218"/>
      <c r="C650" s="218"/>
      <c r="D650" s="218"/>
      <c r="E650" s="218"/>
      <c r="F650" s="219" t="s">
        <v>3929</v>
      </c>
      <c r="G650" s="218" t="s">
        <v>260</v>
      </c>
      <c r="H650" s="218" t="s">
        <v>309</v>
      </c>
      <c r="I650" s="223">
        <v>43830</v>
      </c>
      <c r="J650" s="218" t="s">
        <v>3152</v>
      </c>
      <c r="K650" s="218" t="s">
        <v>3930</v>
      </c>
      <c r="L650" s="218" t="s">
        <v>2617</v>
      </c>
      <c r="M650" s="218" t="s">
        <v>3931</v>
      </c>
      <c r="N650" s="218">
        <v>59.37</v>
      </c>
      <c r="O650" s="218" t="s">
        <v>292</v>
      </c>
      <c r="P650" s="218">
        <v>76.78</v>
      </c>
      <c r="Q650" s="218" t="s">
        <v>615</v>
      </c>
      <c r="R650" s="218" t="s">
        <v>1676</v>
      </c>
      <c r="S650" s="218" t="s">
        <v>400</v>
      </c>
      <c r="T650" s="218" t="s">
        <v>584</v>
      </c>
      <c r="U650" s="218" t="s">
        <v>2591</v>
      </c>
      <c r="V650" s="218" t="s">
        <v>381</v>
      </c>
      <c r="W650" s="218" t="s">
        <v>295</v>
      </c>
      <c r="X650" s="218" t="s">
        <v>379</v>
      </c>
      <c r="Y650" s="218">
        <v>69.7</v>
      </c>
      <c r="Z650" s="218">
        <f t="shared" si="13"/>
        <v>76.78</v>
      </c>
    </row>
    <row r="651" spans="1:26">
      <c r="A651" s="218" t="s">
        <v>2592</v>
      </c>
      <c r="B651" s="218"/>
      <c r="C651" s="218"/>
      <c r="D651" s="218"/>
      <c r="E651" s="218"/>
      <c r="F651" s="219" t="s">
        <v>3932</v>
      </c>
      <c r="G651" s="218" t="s">
        <v>260</v>
      </c>
      <c r="H651" s="218" t="s">
        <v>309</v>
      </c>
      <c r="I651" s="223">
        <v>43830</v>
      </c>
      <c r="J651" s="218" t="s">
        <v>3933</v>
      </c>
      <c r="K651" s="218" t="s">
        <v>3934</v>
      </c>
      <c r="L651" s="218" t="s">
        <v>2617</v>
      </c>
      <c r="M651" s="218" t="s">
        <v>3935</v>
      </c>
      <c r="N651" s="218">
        <v>19.329999999999998</v>
      </c>
      <c r="O651" s="218" t="s">
        <v>292</v>
      </c>
      <c r="P651" s="218">
        <v>25</v>
      </c>
      <c r="Q651" s="218" t="s">
        <v>610</v>
      </c>
      <c r="R651" s="218" t="s">
        <v>1620</v>
      </c>
      <c r="S651" s="218" t="s">
        <v>400</v>
      </c>
      <c r="T651" s="218" t="s">
        <v>497</v>
      </c>
      <c r="U651" s="218" t="s">
        <v>2591</v>
      </c>
      <c r="V651" s="218" t="s">
        <v>381</v>
      </c>
      <c r="W651" s="218" t="s">
        <v>295</v>
      </c>
      <c r="X651" s="218" t="s">
        <v>379</v>
      </c>
      <c r="Y651" s="218">
        <v>22.69</v>
      </c>
      <c r="Z651" s="218">
        <f t="shared" si="13"/>
        <v>25</v>
      </c>
    </row>
    <row r="652" spans="1:26">
      <c r="A652" s="218" t="s">
        <v>2592</v>
      </c>
      <c r="B652" s="218"/>
      <c r="C652" s="218"/>
      <c r="D652" s="218"/>
      <c r="E652" s="218"/>
      <c r="F652" s="219" t="s">
        <v>3936</v>
      </c>
      <c r="G652" s="218" t="s">
        <v>260</v>
      </c>
      <c r="H652" s="218" t="s">
        <v>309</v>
      </c>
      <c r="I652" s="223">
        <v>43830</v>
      </c>
      <c r="J652" s="218" t="s">
        <v>3933</v>
      </c>
      <c r="K652" s="218" t="s">
        <v>3854</v>
      </c>
      <c r="L652" s="218" t="s">
        <v>2617</v>
      </c>
      <c r="M652" s="218" t="s">
        <v>3937</v>
      </c>
      <c r="N652" s="218">
        <v>11.6</v>
      </c>
      <c r="O652" s="218" t="s">
        <v>292</v>
      </c>
      <c r="P652" s="218">
        <v>15</v>
      </c>
      <c r="Q652" s="218" t="s">
        <v>1050</v>
      </c>
      <c r="R652" s="218" t="s">
        <v>1674</v>
      </c>
      <c r="S652" s="218" t="s">
        <v>400</v>
      </c>
      <c r="T652" s="218" t="s">
        <v>497</v>
      </c>
      <c r="U652" s="218" t="s">
        <v>2591</v>
      </c>
      <c r="V652" s="218" t="s">
        <v>381</v>
      </c>
      <c r="W652" s="218" t="s">
        <v>295</v>
      </c>
      <c r="X652" s="218" t="s">
        <v>379</v>
      </c>
      <c r="Y652" s="218">
        <v>13.62</v>
      </c>
      <c r="Z652" s="218">
        <f t="shared" si="13"/>
        <v>15</v>
      </c>
    </row>
    <row r="653" spans="1:26">
      <c r="A653" s="218" t="s">
        <v>2592</v>
      </c>
      <c r="B653" s="218"/>
      <c r="C653" s="218"/>
      <c r="D653" s="218"/>
      <c r="E653" s="218"/>
      <c r="F653" s="219" t="s">
        <v>3938</v>
      </c>
      <c r="G653" s="218" t="s">
        <v>260</v>
      </c>
      <c r="H653" s="218" t="s">
        <v>309</v>
      </c>
      <c r="I653" s="223">
        <v>43830</v>
      </c>
      <c r="J653" s="218" t="s">
        <v>3933</v>
      </c>
      <c r="K653" s="218" t="s">
        <v>949</v>
      </c>
      <c r="L653" s="218" t="s">
        <v>2617</v>
      </c>
      <c r="M653" s="218" t="s">
        <v>3939</v>
      </c>
      <c r="N653" s="218">
        <v>6.77</v>
      </c>
      <c r="O653" s="218" t="s">
        <v>292</v>
      </c>
      <c r="P653" s="218">
        <v>8.75</v>
      </c>
      <c r="Q653" s="218" t="s">
        <v>615</v>
      </c>
      <c r="R653" s="218" t="s">
        <v>1676</v>
      </c>
      <c r="S653" s="218" t="s">
        <v>400</v>
      </c>
      <c r="T653" s="218" t="s">
        <v>497</v>
      </c>
      <c r="U653" s="218" t="s">
        <v>2591</v>
      </c>
      <c r="V653" s="218" t="s">
        <v>381</v>
      </c>
      <c r="W653" s="218" t="s">
        <v>295</v>
      </c>
      <c r="X653" s="218" t="s">
        <v>379</v>
      </c>
      <c r="Y653" s="218">
        <v>7.95</v>
      </c>
      <c r="Z653" s="218">
        <f t="shared" si="13"/>
        <v>8.75</v>
      </c>
    </row>
    <row r="654" spans="1:26">
      <c r="A654" s="218" t="s">
        <v>2592</v>
      </c>
      <c r="B654" s="218"/>
      <c r="C654" s="218"/>
      <c r="D654" s="218"/>
      <c r="E654" s="218"/>
      <c r="F654" s="219" t="s">
        <v>3940</v>
      </c>
      <c r="G654" s="218" t="s">
        <v>260</v>
      </c>
      <c r="H654" s="218" t="s">
        <v>309</v>
      </c>
      <c r="I654" s="223">
        <v>43830</v>
      </c>
      <c r="J654" s="218" t="s">
        <v>3941</v>
      </c>
      <c r="K654" s="218" t="s">
        <v>3942</v>
      </c>
      <c r="L654" s="218" t="s">
        <v>2704</v>
      </c>
      <c r="M654" s="218" t="s">
        <v>3943</v>
      </c>
      <c r="N654" s="218">
        <v>38.659999999999997</v>
      </c>
      <c r="O654" s="218" t="s">
        <v>292</v>
      </c>
      <c r="P654" s="218">
        <v>50</v>
      </c>
      <c r="Q654" s="218" t="s">
        <v>1050</v>
      </c>
      <c r="R654" s="218" t="s">
        <v>1674</v>
      </c>
      <c r="S654" s="218" t="s">
        <v>396</v>
      </c>
      <c r="T654" s="218" t="s">
        <v>445</v>
      </c>
      <c r="U654" s="218" t="s">
        <v>2591</v>
      </c>
      <c r="V654" s="218" t="s">
        <v>381</v>
      </c>
      <c r="W654" s="218" t="s">
        <v>295</v>
      </c>
      <c r="X654" s="218" t="s">
        <v>379</v>
      </c>
      <c r="Y654" s="218">
        <v>45.39</v>
      </c>
      <c r="Z654" s="218">
        <f t="shared" si="13"/>
        <v>50</v>
      </c>
    </row>
    <row r="655" spans="1:26">
      <c r="A655" s="218" t="s">
        <v>2592</v>
      </c>
      <c r="B655" s="218"/>
      <c r="C655" s="218"/>
      <c r="D655" s="218"/>
      <c r="E655" s="218"/>
      <c r="F655" s="219" t="s">
        <v>3944</v>
      </c>
      <c r="G655" s="218" t="s">
        <v>261</v>
      </c>
      <c r="H655" s="218" t="s">
        <v>309</v>
      </c>
      <c r="I655" s="223">
        <v>43769</v>
      </c>
      <c r="J655" s="218" t="s">
        <v>3945</v>
      </c>
      <c r="K655" s="218" t="s">
        <v>2595</v>
      </c>
      <c r="L655" s="218" t="s">
        <v>2596</v>
      </c>
      <c r="M655" s="218" t="s">
        <v>1678</v>
      </c>
      <c r="N655" s="218">
        <v>2.7</v>
      </c>
      <c r="O655" s="218" t="s">
        <v>292</v>
      </c>
      <c r="P655" s="218">
        <v>3.3</v>
      </c>
      <c r="Q655" s="218" t="s">
        <v>595</v>
      </c>
      <c r="R655" s="218" t="s">
        <v>1679</v>
      </c>
      <c r="S655" s="218" t="s">
        <v>400</v>
      </c>
      <c r="T655" s="218" t="s">
        <v>469</v>
      </c>
      <c r="U655" s="218" t="s">
        <v>2591</v>
      </c>
      <c r="V655" s="218" t="s">
        <v>381</v>
      </c>
      <c r="W655" s="218" t="s">
        <v>295</v>
      </c>
      <c r="X655" s="218" t="s">
        <v>379</v>
      </c>
      <c r="Y655" s="218">
        <v>3.04</v>
      </c>
      <c r="Z655" s="218">
        <f t="shared" si="13"/>
        <v>3.3</v>
      </c>
    </row>
    <row r="656" spans="1:26">
      <c r="A656" s="218" t="s">
        <v>2592</v>
      </c>
      <c r="B656" s="218"/>
      <c r="C656" s="218"/>
      <c r="D656" s="218"/>
      <c r="E656" s="218"/>
      <c r="F656" s="219" t="s">
        <v>3946</v>
      </c>
      <c r="G656" s="218" t="s">
        <v>261</v>
      </c>
      <c r="H656" s="218" t="s">
        <v>309</v>
      </c>
      <c r="I656" s="223">
        <v>43769</v>
      </c>
      <c r="J656" s="218" t="s">
        <v>3947</v>
      </c>
      <c r="K656" s="218" t="s">
        <v>2601</v>
      </c>
      <c r="L656" s="218" t="s">
        <v>2596</v>
      </c>
      <c r="M656" s="218" t="s">
        <v>3948</v>
      </c>
      <c r="N656" s="218">
        <v>2.54</v>
      </c>
      <c r="O656" s="218" t="s">
        <v>292</v>
      </c>
      <c r="P656" s="218">
        <v>3.12</v>
      </c>
      <c r="Q656" s="218" t="s">
        <v>595</v>
      </c>
      <c r="R656" s="218" t="s">
        <v>1679</v>
      </c>
      <c r="S656" s="218" t="s">
        <v>396</v>
      </c>
      <c r="T656" s="218" t="s">
        <v>445</v>
      </c>
      <c r="U656" s="218" t="s">
        <v>2591</v>
      </c>
      <c r="V656" s="218" t="s">
        <v>381</v>
      </c>
      <c r="W656" s="218" t="s">
        <v>295</v>
      </c>
      <c r="X656" s="218" t="s">
        <v>379</v>
      </c>
      <c r="Y656" s="218">
        <v>2.86</v>
      </c>
      <c r="Z656" s="218">
        <f t="shared" si="13"/>
        <v>3.12</v>
      </c>
    </row>
    <row r="657" spans="1:26">
      <c r="A657" s="218" t="s">
        <v>2592</v>
      </c>
      <c r="B657" s="218"/>
      <c r="C657" s="218"/>
      <c r="D657" s="218"/>
      <c r="E657" s="218"/>
      <c r="F657" s="219" t="s">
        <v>3949</v>
      </c>
      <c r="G657" s="218" t="s">
        <v>261</v>
      </c>
      <c r="H657" s="218" t="s">
        <v>309</v>
      </c>
      <c r="I657" s="223">
        <v>43769</v>
      </c>
      <c r="J657" s="218" t="s">
        <v>3947</v>
      </c>
      <c r="K657" s="218" t="s">
        <v>2601</v>
      </c>
      <c r="L657" s="218" t="s">
        <v>2596</v>
      </c>
      <c r="M657" s="218" t="s">
        <v>3950</v>
      </c>
      <c r="N657" s="218">
        <v>55.98</v>
      </c>
      <c r="O657" s="218" t="s">
        <v>292</v>
      </c>
      <c r="P657" s="218">
        <v>68.86</v>
      </c>
      <c r="Q657" s="218" t="s">
        <v>601</v>
      </c>
      <c r="R657" s="218" t="s">
        <v>2145</v>
      </c>
      <c r="S657" s="218" t="s">
        <v>396</v>
      </c>
      <c r="T657" s="218" t="s">
        <v>2591</v>
      </c>
      <c r="U657" s="218" t="s">
        <v>2591</v>
      </c>
      <c r="V657" s="218" t="s">
        <v>381</v>
      </c>
      <c r="W657" s="218" t="s">
        <v>295</v>
      </c>
      <c r="X657" s="218" t="s">
        <v>379</v>
      </c>
      <c r="Y657" s="218">
        <v>63.06</v>
      </c>
      <c r="Z657" s="218">
        <f t="shared" si="13"/>
        <v>68.86</v>
      </c>
    </row>
    <row r="658" spans="1:26">
      <c r="A658" s="218" t="s">
        <v>2592</v>
      </c>
      <c r="B658" s="218"/>
      <c r="C658" s="218"/>
      <c r="D658" s="218"/>
      <c r="E658" s="218"/>
      <c r="F658" s="219" t="s">
        <v>3951</v>
      </c>
      <c r="G658" s="218" t="s">
        <v>261</v>
      </c>
      <c r="H658" s="218" t="s">
        <v>309</v>
      </c>
      <c r="I658" s="223">
        <v>43799</v>
      </c>
      <c r="J658" s="218" t="s">
        <v>3952</v>
      </c>
      <c r="K658" s="218" t="s">
        <v>3953</v>
      </c>
      <c r="L658" s="218" t="s">
        <v>2996</v>
      </c>
      <c r="M658" s="218" t="s">
        <v>3954</v>
      </c>
      <c r="N658" s="218">
        <v>46.44</v>
      </c>
      <c r="O658" s="218" t="s">
        <v>292</v>
      </c>
      <c r="P658" s="218">
        <v>60.11</v>
      </c>
      <c r="Q658" s="218" t="s">
        <v>601</v>
      </c>
      <c r="R658" s="218" t="s">
        <v>2145</v>
      </c>
      <c r="S658" s="218" t="s">
        <v>396</v>
      </c>
      <c r="T658" s="218" t="s">
        <v>2591</v>
      </c>
      <c r="U658" s="218" t="s">
        <v>2591</v>
      </c>
      <c r="V658" s="218" t="s">
        <v>381</v>
      </c>
      <c r="W658" s="218" t="s">
        <v>295</v>
      </c>
      <c r="X658" s="218" t="s">
        <v>379</v>
      </c>
      <c r="Y658" s="218">
        <v>53.87</v>
      </c>
      <c r="Z658" s="218">
        <f t="shared" si="13"/>
        <v>60.11</v>
      </c>
    </row>
    <row r="659" spans="1:26">
      <c r="A659" s="218" t="s">
        <v>2592</v>
      </c>
      <c r="B659" s="218"/>
      <c r="C659" s="218"/>
      <c r="D659" s="218"/>
      <c r="E659" s="218"/>
      <c r="F659" s="219" t="s">
        <v>3955</v>
      </c>
      <c r="G659" s="218" t="s">
        <v>261</v>
      </c>
      <c r="H659" s="218" t="s">
        <v>309</v>
      </c>
      <c r="I659" s="223">
        <v>43830</v>
      </c>
      <c r="J659" s="218" t="s">
        <v>3956</v>
      </c>
      <c r="K659" s="218" t="s">
        <v>3957</v>
      </c>
      <c r="L659" s="218" t="s">
        <v>2704</v>
      </c>
      <c r="M659" s="218" t="s">
        <v>3958</v>
      </c>
      <c r="N659" s="218">
        <v>96.64</v>
      </c>
      <c r="O659" s="218" t="s">
        <v>292</v>
      </c>
      <c r="P659" s="218">
        <v>124.98</v>
      </c>
      <c r="Q659" s="218" t="s">
        <v>601</v>
      </c>
      <c r="R659" s="218" t="s">
        <v>2145</v>
      </c>
      <c r="S659" s="218" t="s">
        <v>396</v>
      </c>
      <c r="T659" s="218" t="s">
        <v>2591</v>
      </c>
      <c r="U659" s="218" t="s">
        <v>2591</v>
      </c>
      <c r="V659" s="218" t="s">
        <v>381</v>
      </c>
      <c r="W659" s="218" t="s">
        <v>295</v>
      </c>
      <c r="X659" s="218" t="s">
        <v>379</v>
      </c>
      <c r="Y659" s="218">
        <v>113.45</v>
      </c>
      <c r="Z659" s="218">
        <f t="shared" si="13"/>
        <v>124.98</v>
      </c>
    </row>
    <row r="660" spans="1:26">
      <c r="A660" s="218" t="s">
        <v>2592</v>
      </c>
      <c r="B660" s="218"/>
      <c r="C660" s="218"/>
      <c r="D660" s="218"/>
      <c r="E660" s="218"/>
      <c r="F660" s="219" t="s">
        <v>3959</v>
      </c>
      <c r="G660" s="218" t="s">
        <v>261</v>
      </c>
      <c r="H660" s="218" t="s">
        <v>309</v>
      </c>
      <c r="I660" s="223">
        <v>43830</v>
      </c>
      <c r="J660" s="218" t="s">
        <v>3960</v>
      </c>
      <c r="K660" s="218" t="s">
        <v>3957</v>
      </c>
      <c r="L660" s="218" t="s">
        <v>2704</v>
      </c>
      <c r="M660" s="218" t="s">
        <v>3961</v>
      </c>
      <c r="N660" s="218">
        <v>39.270000000000003</v>
      </c>
      <c r="O660" s="218" t="s">
        <v>292</v>
      </c>
      <c r="P660" s="218">
        <v>50.78</v>
      </c>
      <c r="Q660" s="218" t="s">
        <v>601</v>
      </c>
      <c r="R660" s="218" t="s">
        <v>2145</v>
      </c>
      <c r="S660" s="218" t="s">
        <v>396</v>
      </c>
      <c r="T660" s="218" t="s">
        <v>2591</v>
      </c>
      <c r="U660" s="218" t="s">
        <v>2591</v>
      </c>
      <c r="V660" s="218" t="s">
        <v>381</v>
      </c>
      <c r="W660" s="218" t="s">
        <v>295</v>
      </c>
      <c r="X660" s="218" t="s">
        <v>379</v>
      </c>
      <c r="Y660" s="218">
        <v>46.1</v>
      </c>
      <c r="Z660" s="218">
        <f t="shared" si="13"/>
        <v>50.78</v>
      </c>
    </row>
    <row r="661" spans="1:26">
      <c r="A661" s="218" t="s">
        <v>2592</v>
      </c>
      <c r="B661" s="218"/>
      <c r="C661" s="218"/>
      <c r="D661" s="218"/>
      <c r="E661" s="218"/>
      <c r="F661" s="219" t="s">
        <v>3962</v>
      </c>
      <c r="G661" s="218" t="s">
        <v>262</v>
      </c>
      <c r="H661" s="218" t="s">
        <v>309</v>
      </c>
      <c r="I661" s="223">
        <v>43769</v>
      </c>
      <c r="J661" s="218" t="s">
        <v>3109</v>
      </c>
      <c r="K661" s="218" t="s">
        <v>3104</v>
      </c>
      <c r="L661" s="218" t="s">
        <v>2596</v>
      </c>
      <c r="M661" s="218" t="s">
        <v>3963</v>
      </c>
      <c r="N661" s="218">
        <v>13.41</v>
      </c>
      <c r="O661" s="218" t="s">
        <v>292</v>
      </c>
      <c r="P661" s="218">
        <v>16.5</v>
      </c>
      <c r="Q661" s="218" t="s">
        <v>444</v>
      </c>
      <c r="R661" s="218" t="s">
        <v>2154</v>
      </c>
      <c r="S661" s="218" t="s">
        <v>400</v>
      </c>
      <c r="T661" s="218" t="s">
        <v>2591</v>
      </c>
      <c r="U661" s="218" t="s">
        <v>2591</v>
      </c>
      <c r="V661" s="218" t="s">
        <v>381</v>
      </c>
      <c r="W661" s="218" t="s">
        <v>295</v>
      </c>
      <c r="X661" s="218" t="s">
        <v>379</v>
      </c>
      <c r="Y661" s="218">
        <v>15.11</v>
      </c>
      <c r="Z661" s="218">
        <f t="shared" si="13"/>
        <v>16.5</v>
      </c>
    </row>
    <row r="662" spans="1:26">
      <c r="A662" s="218" t="s">
        <v>2592</v>
      </c>
      <c r="B662" s="218"/>
      <c r="C662" s="218"/>
      <c r="D662" s="218"/>
      <c r="E662" s="218"/>
      <c r="F662" s="219" t="s">
        <v>3964</v>
      </c>
      <c r="G662" s="218" t="s">
        <v>262</v>
      </c>
      <c r="H662" s="218" t="s">
        <v>309</v>
      </c>
      <c r="I662" s="223">
        <v>43769</v>
      </c>
      <c r="J662" s="218" t="s">
        <v>3965</v>
      </c>
      <c r="K662" s="218" t="s">
        <v>3104</v>
      </c>
      <c r="L662" s="218" t="s">
        <v>2596</v>
      </c>
      <c r="M662" s="218" t="s">
        <v>3966</v>
      </c>
      <c r="N662" s="218">
        <v>156.08000000000001</v>
      </c>
      <c r="O662" s="218" t="s">
        <v>292</v>
      </c>
      <c r="P662" s="218">
        <v>192</v>
      </c>
      <c r="Q662" s="218" t="s">
        <v>1084</v>
      </c>
      <c r="R662" s="218" t="s">
        <v>2161</v>
      </c>
      <c r="S662" s="218" t="s">
        <v>400</v>
      </c>
      <c r="T662" s="218" t="s">
        <v>2591</v>
      </c>
      <c r="U662" s="218" t="s">
        <v>2591</v>
      </c>
      <c r="V662" s="218" t="s">
        <v>381</v>
      </c>
      <c r="W662" s="218" t="s">
        <v>295</v>
      </c>
      <c r="X662" s="218" t="s">
        <v>379</v>
      </c>
      <c r="Y662" s="218">
        <v>175.81</v>
      </c>
      <c r="Z662" s="218">
        <f t="shared" si="13"/>
        <v>192</v>
      </c>
    </row>
    <row r="663" spans="1:26">
      <c r="A663" s="218" t="s">
        <v>2592</v>
      </c>
      <c r="B663" s="218"/>
      <c r="C663" s="218"/>
      <c r="D663" s="218"/>
      <c r="E663" s="218"/>
      <c r="F663" s="219" t="s">
        <v>3967</v>
      </c>
      <c r="G663" s="218" t="s">
        <v>262</v>
      </c>
      <c r="H663" s="218" t="s">
        <v>309</v>
      </c>
      <c r="I663" s="223">
        <v>43799</v>
      </c>
      <c r="J663" s="218" t="s">
        <v>3968</v>
      </c>
      <c r="K663" s="218" t="s">
        <v>3969</v>
      </c>
      <c r="L663" s="218" t="s">
        <v>2996</v>
      </c>
      <c r="M663" s="218" t="s">
        <v>3970</v>
      </c>
      <c r="N663" s="218">
        <v>88.55</v>
      </c>
      <c r="O663" s="218" t="s">
        <v>292</v>
      </c>
      <c r="P663" s="218">
        <v>114.6</v>
      </c>
      <c r="Q663" s="218" t="s">
        <v>3971</v>
      </c>
      <c r="R663" s="218" t="s">
        <v>3972</v>
      </c>
      <c r="S663" s="218" t="s">
        <v>396</v>
      </c>
      <c r="T663" s="218" t="s">
        <v>2591</v>
      </c>
      <c r="U663" s="218" t="s">
        <v>2591</v>
      </c>
      <c r="V663" s="218" t="s">
        <v>381</v>
      </c>
      <c r="W663" s="218" t="s">
        <v>295</v>
      </c>
      <c r="X663" s="218" t="s">
        <v>379</v>
      </c>
      <c r="Y663" s="218">
        <v>102.73</v>
      </c>
      <c r="Z663" s="218">
        <f t="shared" si="13"/>
        <v>114.6</v>
      </c>
    </row>
    <row r="664" spans="1:26">
      <c r="A664" s="218" t="s">
        <v>2592</v>
      </c>
      <c r="B664" s="218"/>
      <c r="C664" s="218"/>
      <c r="D664" s="218"/>
      <c r="E664" s="218"/>
      <c r="F664" s="219" t="s">
        <v>3973</v>
      </c>
      <c r="G664" s="218" t="s">
        <v>262</v>
      </c>
      <c r="H664" s="218" t="s">
        <v>309</v>
      </c>
      <c r="I664" s="223">
        <v>43830</v>
      </c>
      <c r="J664" s="218" t="s">
        <v>3974</v>
      </c>
      <c r="K664" s="218" t="s">
        <v>3975</v>
      </c>
      <c r="L664" s="218" t="s">
        <v>2704</v>
      </c>
      <c r="M664" s="218" t="s">
        <v>1456</v>
      </c>
      <c r="N664" s="218">
        <v>11.6</v>
      </c>
      <c r="O664" s="218" t="s">
        <v>292</v>
      </c>
      <c r="P664" s="218">
        <v>15</v>
      </c>
      <c r="Q664" s="218" t="s">
        <v>604</v>
      </c>
      <c r="R664" s="218" t="s">
        <v>1725</v>
      </c>
      <c r="S664" s="218" t="s">
        <v>396</v>
      </c>
      <c r="T664" s="218" t="s">
        <v>397</v>
      </c>
      <c r="U664" s="218" t="s">
        <v>2591</v>
      </c>
      <c r="V664" s="218" t="s">
        <v>381</v>
      </c>
      <c r="W664" s="218" t="s">
        <v>295</v>
      </c>
      <c r="X664" s="218" t="s">
        <v>379</v>
      </c>
      <c r="Y664" s="218">
        <v>13.62</v>
      </c>
      <c r="Z664" s="218">
        <f t="shared" si="13"/>
        <v>15</v>
      </c>
    </row>
    <row r="665" spans="1:26">
      <c r="A665" s="218" t="s">
        <v>2592</v>
      </c>
      <c r="B665" s="218"/>
      <c r="C665" s="218"/>
      <c r="D665" s="218"/>
      <c r="E665" s="218"/>
      <c r="F665" s="219" t="s">
        <v>3976</v>
      </c>
      <c r="G665" s="218" t="s">
        <v>264</v>
      </c>
      <c r="H665" s="218" t="s">
        <v>309</v>
      </c>
      <c r="I665" s="223">
        <v>43769</v>
      </c>
      <c r="J665" s="218" t="s">
        <v>3808</v>
      </c>
      <c r="K665" s="218" t="s">
        <v>3104</v>
      </c>
      <c r="L665" s="218" t="s">
        <v>2596</v>
      </c>
      <c r="M665" s="218" t="s">
        <v>3977</v>
      </c>
      <c r="N665" s="218">
        <v>91.46</v>
      </c>
      <c r="O665" s="218" t="s">
        <v>292</v>
      </c>
      <c r="P665" s="218">
        <v>112.5</v>
      </c>
      <c r="Q665" s="218" t="s">
        <v>1050</v>
      </c>
      <c r="R665" s="218" t="s">
        <v>1674</v>
      </c>
      <c r="S665" s="218" t="s">
        <v>400</v>
      </c>
      <c r="T665" s="218" t="s">
        <v>626</v>
      </c>
      <c r="U665" s="218" t="s">
        <v>2591</v>
      </c>
      <c r="V665" s="218" t="s">
        <v>381</v>
      </c>
      <c r="W665" s="218" t="s">
        <v>295</v>
      </c>
      <c r="X665" s="218" t="s">
        <v>379</v>
      </c>
      <c r="Y665" s="218">
        <v>103.02</v>
      </c>
      <c r="Z665" s="218">
        <f t="shared" si="13"/>
        <v>112.5</v>
      </c>
    </row>
    <row r="666" spans="1:26">
      <c r="A666" s="218" t="s">
        <v>2592</v>
      </c>
      <c r="B666" s="218"/>
      <c r="C666" s="218"/>
      <c r="D666" s="218"/>
      <c r="E666" s="218"/>
      <c r="F666" s="219" t="s">
        <v>3978</v>
      </c>
      <c r="G666" s="218" t="s">
        <v>264</v>
      </c>
      <c r="H666" s="218" t="s">
        <v>309</v>
      </c>
      <c r="I666" s="223">
        <v>43769</v>
      </c>
      <c r="J666" s="218" t="s">
        <v>3808</v>
      </c>
      <c r="K666" s="218" t="s">
        <v>3104</v>
      </c>
      <c r="L666" s="218" t="s">
        <v>2596</v>
      </c>
      <c r="M666" s="218" t="s">
        <v>3979</v>
      </c>
      <c r="N666" s="218">
        <v>83.41</v>
      </c>
      <c r="O666" s="218" t="s">
        <v>292</v>
      </c>
      <c r="P666" s="218">
        <v>102.6</v>
      </c>
      <c r="Q666" s="218" t="s">
        <v>1050</v>
      </c>
      <c r="R666" s="218" t="s">
        <v>1674</v>
      </c>
      <c r="S666" s="218" t="s">
        <v>400</v>
      </c>
      <c r="T666" s="218" t="s">
        <v>499</v>
      </c>
      <c r="U666" s="218" t="s">
        <v>2591</v>
      </c>
      <c r="V666" s="218" t="s">
        <v>381</v>
      </c>
      <c r="W666" s="218" t="s">
        <v>295</v>
      </c>
      <c r="X666" s="218" t="s">
        <v>379</v>
      </c>
      <c r="Y666" s="218">
        <v>93.95</v>
      </c>
      <c r="Z666" s="218">
        <f t="shared" si="13"/>
        <v>102.6</v>
      </c>
    </row>
    <row r="667" spans="1:26">
      <c r="A667" s="218" t="s">
        <v>2592</v>
      </c>
      <c r="B667" s="218"/>
      <c r="C667" s="218"/>
      <c r="D667" s="218"/>
      <c r="E667" s="218"/>
      <c r="F667" s="219" t="s">
        <v>3980</v>
      </c>
      <c r="G667" s="218" t="s">
        <v>264</v>
      </c>
      <c r="H667" s="218" t="s">
        <v>309</v>
      </c>
      <c r="I667" s="223">
        <v>43769</v>
      </c>
      <c r="J667" s="218" t="s">
        <v>3808</v>
      </c>
      <c r="K667" s="218" t="s">
        <v>3104</v>
      </c>
      <c r="L667" s="218" t="s">
        <v>2596</v>
      </c>
      <c r="M667" s="218" t="s">
        <v>3981</v>
      </c>
      <c r="N667" s="218">
        <v>265.55</v>
      </c>
      <c r="O667" s="218" t="s">
        <v>292</v>
      </c>
      <c r="P667" s="218">
        <v>326.64999999999998</v>
      </c>
      <c r="Q667" s="218" t="s">
        <v>1050</v>
      </c>
      <c r="R667" s="218" t="s">
        <v>1674</v>
      </c>
      <c r="S667" s="218" t="s">
        <v>400</v>
      </c>
      <c r="T667" s="218" t="s">
        <v>445</v>
      </c>
      <c r="U667" s="218" t="s">
        <v>2591</v>
      </c>
      <c r="V667" s="218" t="s">
        <v>381</v>
      </c>
      <c r="W667" s="218" t="s">
        <v>295</v>
      </c>
      <c r="X667" s="218" t="s">
        <v>379</v>
      </c>
      <c r="Y667" s="218">
        <v>299.12</v>
      </c>
      <c r="Z667" s="218">
        <f t="shared" si="13"/>
        <v>326.64999999999998</v>
      </c>
    </row>
    <row r="668" spans="1:26">
      <c r="A668" s="218" t="s">
        <v>2592</v>
      </c>
      <c r="B668" s="218"/>
      <c r="C668" s="218"/>
      <c r="D668" s="218"/>
      <c r="E668" s="218"/>
      <c r="F668" s="219" t="s">
        <v>3982</v>
      </c>
      <c r="G668" s="218" t="s">
        <v>264</v>
      </c>
      <c r="H668" s="218" t="s">
        <v>309</v>
      </c>
      <c r="I668" s="223">
        <v>43769</v>
      </c>
      <c r="J668" s="218" t="s">
        <v>3825</v>
      </c>
      <c r="K668" s="218" t="s">
        <v>3104</v>
      </c>
      <c r="L668" s="218" t="s">
        <v>2596</v>
      </c>
      <c r="M668" s="218" t="s">
        <v>3826</v>
      </c>
      <c r="N668" s="218">
        <v>38.39</v>
      </c>
      <c r="O668" s="218" t="s">
        <v>292</v>
      </c>
      <c r="P668" s="218">
        <v>47.22</v>
      </c>
      <c r="Q668" s="218" t="s">
        <v>1050</v>
      </c>
      <c r="R668" s="218" t="s">
        <v>1674</v>
      </c>
      <c r="S668" s="218" t="s">
        <v>400</v>
      </c>
      <c r="T668" s="218" t="s">
        <v>499</v>
      </c>
      <c r="U668" s="218" t="s">
        <v>2591</v>
      </c>
      <c r="V668" s="218" t="s">
        <v>381</v>
      </c>
      <c r="W668" s="218" t="s">
        <v>295</v>
      </c>
      <c r="X668" s="218" t="s">
        <v>379</v>
      </c>
      <c r="Y668" s="218">
        <v>43.24</v>
      </c>
      <c r="Z668" s="218">
        <f t="shared" si="13"/>
        <v>47.22</v>
      </c>
    </row>
    <row r="669" spans="1:26">
      <c r="A669" s="218" t="s">
        <v>2592</v>
      </c>
      <c r="B669" s="218"/>
      <c r="C669" s="218"/>
      <c r="D669" s="218"/>
      <c r="E669" s="218"/>
      <c r="F669" s="219" t="s">
        <v>3983</v>
      </c>
      <c r="G669" s="218" t="s">
        <v>264</v>
      </c>
      <c r="H669" s="218" t="s">
        <v>309</v>
      </c>
      <c r="I669" s="223">
        <v>43769</v>
      </c>
      <c r="J669" s="218" t="s">
        <v>3837</v>
      </c>
      <c r="K669" s="218" t="s">
        <v>3104</v>
      </c>
      <c r="L669" s="218" t="s">
        <v>2596</v>
      </c>
      <c r="M669" s="218" t="s">
        <v>3984</v>
      </c>
      <c r="N669" s="218">
        <v>135.9</v>
      </c>
      <c r="O669" s="218" t="s">
        <v>292</v>
      </c>
      <c r="P669" s="218">
        <v>167.17</v>
      </c>
      <c r="Q669" s="218" t="s">
        <v>610</v>
      </c>
      <c r="R669" s="218" t="s">
        <v>1620</v>
      </c>
      <c r="S669" s="218" t="s">
        <v>400</v>
      </c>
      <c r="T669" s="218" t="s">
        <v>445</v>
      </c>
      <c r="U669" s="218" t="s">
        <v>2591</v>
      </c>
      <c r="V669" s="218" t="s">
        <v>381</v>
      </c>
      <c r="W669" s="218" t="s">
        <v>295</v>
      </c>
      <c r="X669" s="218" t="s">
        <v>379</v>
      </c>
      <c r="Y669" s="218">
        <v>153.08000000000001</v>
      </c>
      <c r="Z669" s="218">
        <f t="shared" si="13"/>
        <v>167.17</v>
      </c>
    </row>
    <row r="670" spans="1:26">
      <c r="A670" s="218" t="s">
        <v>2592</v>
      </c>
      <c r="B670" s="218"/>
      <c r="C670" s="218"/>
      <c r="D670" s="218"/>
      <c r="E670" s="218"/>
      <c r="F670" s="219" t="s">
        <v>3985</v>
      </c>
      <c r="G670" s="218" t="s">
        <v>264</v>
      </c>
      <c r="H670" s="218" t="s">
        <v>309</v>
      </c>
      <c r="I670" s="223">
        <v>43769</v>
      </c>
      <c r="J670" s="218" t="s">
        <v>3825</v>
      </c>
      <c r="K670" s="218" t="s">
        <v>3104</v>
      </c>
      <c r="L670" s="218" t="s">
        <v>2596</v>
      </c>
      <c r="M670" s="218" t="s">
        <v>3844</v>
      </c>
      <c r="N670" s="218">
        <v>133.78</v>
      </c>
      <c r="O670" s="218" t="s">
        <v>292</v>
      </c>
      <c r="P670" s="218">
        <v>164.56</v>
      </c>
      <c r="Q670" s="218" t="s">
        <v>615</v>
      </c>
      <c r="R670" s="218" t="s">
        <v>1676</v>
      </c>
      <c r="S670" s="218" t="s">
        <v>400</v>
      </c>
      <c r="T670" s="218" t="s">
        <v>499</v>
      </c>
      <c r="U670" s="218" t="s">
        <v>2591</v>
      </c>
      <c r="V670" s="218" t="s">
        <v>381</v>
      </c>
      <c r="W670" s="218" t="s">
        <v>295</v>
      </c>
      <c r="X670" s="218" t="s">
        <v>379</v>
      </c>
      <c r="Y670" s="218">
        <v>150.69</v>
      </c>
      <c r="Z670" s="218">
        <f t="shared" si="13"/>
        <v>164.56</v>
      </c>
    </row>
    <row r="671" spans="1:26">
      <c r="A671" s="218" t="s">
        <v>2592</v>
      </c>
      <c r="B671" s="218"/>
      <c r="C671" s="218"/>
      <c r="D671" s="218"/>
      <c r="E671" s="218"/>
      <c r="F671" s="219" t="s">
        <v>3986</v>
      </c>
      <c r="G671" s="218" t="s">
        <v>264</v>
      </c>
      <c r="H671" s="218" t="s">
        <v>309</v>
      </c>
      <c r="I671" s="223">
        <v>43769</v>
      </c>
      <c r="J671" s="218" t="s">
        <v>2669</v>
      </c>
      <c r="K671" s="218" t="s">
        <v>2595</v>
      </c>
      <c r="L671" s="218" t="s">
        <v>2596</v>
      </c>
      <c r="M671" s="218" t="s">
        <v>1683</v>
      </c>
      <c r="N671" s="218">
        <v>345.34</v>
      </c>
      <c r="O671" s="218" t="s">
        <v>292</v>
      </c>
      <c r="P671" s="218">
        <v>420</v>
      </c>
      <c r="Q671" s="218" t="s">
        <v>1034</v>
      </c>
      <c r="R671" s="218" t="s">
        <v>1572</v>
      </c>
      <c r="S671" s="218" t="s">
        <v>396</v>
      </c>
      <c r="T671" s="218" t="s">
        <v>2591</v>
      </c>
      <c r="U671" s="218" t="s">
        <v>2591</v>
      </c>
      <c r="V671" s="218" t="s">
        <v>381</v>
      </c>
      <c r="W671" s="218" t="s">
        <v>295</v>
      </c>
      <c r="X671" s="218" t="s">
        <v>379</v>
      </c>
      <c r="Y671" s="218">
        <v>388.99</v>
      </c>
      <c r="Z671" s="218">
        <f t="shared" si="13"/>
        <v>420</v>
      </c>
    </row>
    <row r="672" spans="1:26">
      <c r="A672" s="218" t="s">
        <v>2592</v>
      </c>
      <c r="B672" s="218"/>
      <c r="C672" s="218"/>
      <c r="D672" s="218"/>
      <c r="E672" s="218"/>
      <c r="F672" s="219" t="s">
        <v>3987</v>
      </c>
      <c r="G672" s="218" t="s">
        <v>264</v>
      </c>
      <c r="H672" s="218" t="s">
        <v>309</v>
      </c>
      <c r="I672" s="223">
        <v>43769</v>
      </c>
      <c r="J672" s="218" t="s">
        <v>3837</v>
      </c>
      <c r="K672" s="218" t="s">
        <v>3104</v>
      </c>
      <c r="L672" s="218" t="s">
        <v>2596</v>
      </c>
      <c r="M672" s="218" t="s">
        <v>3988</v>
      </c>
      <c r="N672" s="218">
        <v>107.88</v>
      </c>
      <c r="O672" s="218" t="s">
        <v>292</v>
      </c>
      <c r="P672" s="218">
        <v>132.69999999999999</v>
      </c>
      <c r="Q672" s="218" t="s">
        <v>3989</v>
      </c>
      <c r="R672" s="218" t="s">
        <v>3990</v>
      </c>
      <c r="S672" s="218" t="s">
        <v>400</v>
      </c>
      <c r="T672" s="218" t="s">
        <v>2591</v>
      </c>
      <c r="U672" s="218" t="s">
        <v>2591</v>
      </c>
      <c r="V672" s="218" t="s">
        <v>381</v>
      </c>
      <c r="W672" s="218" t="s">
        <v>295</v>
      </c>
      <c r="X672" s="218" t="s">
        <v>379</v>
      </c>
      <c r="Y672" s="218">
        <v>121.52</v>
      </c>
      <c r="Z672" s="218">
        <f t="shared" si="13"/>
        <v>132.69999999999999</v>
      </c>
    </row>
    <row r="673" spans="1:26">
      <c r="A673" s="218" t="s">
        <v>2592</v>
      </c>
      <c r="B673" s="218"/>
      <c r="C673" s="218"/>
      <c r="D673" s="218"/>
      <c r="E673" s="218"/>
      <c r="F673" s="219" t="s">
        <v>3991</v>
      </c>
      <c r="G673" s="218" t="s">
        <v>264</v>
      </c>
      <c r="H673" s="218" t="s">
        <v>309</v>
      </c>
      <c r="I673" s="223">
        <v>43830</v>
      </c>
      <c r="J673" s="218" t="s">
        <v>3152</v>
      </c>
      <c r="K673" s="218" t="s">
        <v>3930</v>
      </c>
      <c r="L673" s="218" t="s">
        <v>2617</v>
      </c>
      <c r="M673" s="218" t="s">
        <v>3992</v>
      </c>
      <c r="N673" s="218">
        <v>28.38</v>
      </c>
      <c r="O673" s="218" t="s">
        <v>292</v>
      </c>
      <c r="P673" s="218">
        <v>36.700000000000003</v>
      </c>
      <c r="Q673" s="218" t="s">
        <v>615</v>
      </c>
      <c r="R673" s="218" t="s">
        <v>1676</v>
      </c>
      <c r="S673" s="218" t="s">
        <v>400</v>
      </c>
      <c r="T673" s="218" t="s">
        <v>584</v>
      </c>
      <c r="U673" s="218" t="s">
        <v>2591</v>
      </c>
      <c r="V673" s="218" t="s">
        <v>381</v>
      </c>
      <c r="W673" s="218" t="s">
        <v>295</v>
      </c>
      <c r="X673" s="218" t="s">
        <v>379</v>
      </c>
      <c r="Y673" s="218">
        <v>33.32</v>
      </c>
      <c r="Z673" s="218">
        <f t="shared" si="13"/>
        <v>36.700000000000003</v>
      </c>
    </row>
    <row r="674" spans="1:26">
      <c r="A674" s="218" t="s">
        <v>2592</v>
      </c>
      <c r="B674" s="218"/>
      <c r="C674" s="218"/>
      <c r="D674" s="218"/>
      <c r="E674" s="218"/>
      <c r="F674" s="219" t="s">
        <v>3993</v>
      </c>
      <c r="G674" s="218" t="s">
        <v>264</v>
      </c>
      <c r="H674" s="218" t="s">
        <v>309</v>
      </c>
      <c r="I674" s="223">
        <v>43830</v>
      </c>
      <c r="J674" s="218" t="s">
        <v>3974</v>
      </c>
      <c r="K674" s="218" t="s">
        <v>3012</v>
      </c>
      <c r="L674" s="218" t="s">
        <v>2704</v>
      </c>
      <c r="M674" s="218" t="s">
        <v>3994</v>
      </c>
      <c r="N674" s="218">
        <v>104.39</v>
      </c>
      <c r="O674" s="218" t="s">
        <v>292</v>
      </c>
      <c r="P674" s="218">
        <v>135</v>
      </c>
      <c r="Q674" s="218" t="s">
        <v>615</v>
      </c>
      <c r="R674" s="218" t="s">
        <v>1676</v>
      </c>
      <c r="S674" s="218" t="s">
        <v>396</v>
      </c>
      <c r="T674" s="218" t="s">
        <v>397</v>
      </c>
      <c r="U674" s="218" t="s">
        <v>2591</v>
      </c>
      <c r="V674" s="218" t="s">
        <v>381</v>
      </c>
      <c r="W674" s="218" t="s">
        <v>295</v>
      </c>
      <c r="X674" s="218" t="s">
        <v>379</v>
      </c>
      <c r="Y674" s="218">
        <v>122.55</v>
      </c>
      <c r="Z674" s="218">
        <f t="shared" si="13"/>
        <v>135</v>
      </c>
    </row>
    <row r="675" spans="1:26">
      <c r="A675" s="218" t="s">
        <v>2592</v>
      </c>
      <c r="B675" s="218"/>
      <c r="C675" s="218"/>
      <c r="D675" s="218"/>
      <c r="E675" s="218"/>
      <c r="F675" s="219" t="s">
        <v>3995</v>
      </c>
      <c r="G675" s="218" t="s">
        <v>264</v>
      </c>
      <c r="H675" s="218" t="s">
        <v>309</v>
      </c>
      <c r="I675" s="223">
        <v>43830</v>
      </c>
      <c r="J675" s="218" t="s">
        <v>3974</v>
      </c>
      <c r="K675" s="218" t="s">
        <v>3996</v>
      </c>
      <c r="L675" s="218" t="s">
        <v>2704</v>
      </c>
      <c r="M675" s="218" t="s">
        <v>3997</v>
      </c>
      <c r="N675" s="218">
        <v>77.33</v>
      </c>
      <c r="O675" s="218" t="s">
        <v>292</v>
      </c>
      <c r="P675" s="218">
        <v>100</v>
      </c>
      <c r="Q675" s="218" t="s">
        <v>615</v>
      </c>
      <c r="R675" s="218" t="s">
        <v>1676</v>
      </c>
      <c r="S675" s="218" t="s">
        <v>396</v>
      </c>
      <c r="T675" s="218" t="s">
        <v>397</v>
      </c>
      <c r="U675" s="218" t="s">
        <v>2591</v>
      </c>
      <c r="V675" s="218" t="s">
        <v>381</v>
      </c>
      <c r="W675" s="218" t="s">
        <v>295</v>
      </c>
      <c r="X675" s="218" t="s">
        <v>379</v>
      </c>
      <c r="Y675" s="218">
        <v>90.78</v>
      </c>
      <c r="Z675" s="218">
        <f t="shared" si="13"/>
        <v>100</v>
      </c>
    </row>
    <row r="676" spans="1:26">
      <c r="A676" s="218" t="s">
        <v>2592</v>
      </c>
      <c r="B676" s="218"/>
      <c r="C676" s="218"/>
      <c r="D676" s="218"/>
      <c r="E676" s="218"/>
      <c r="F676" s="219" t="s">
        <v>3998</v>
      </c>
      <c r="G676" s="218" t="s">
        <v>266</v>
      </c>
      <c r="H676" s="218" t="s">
        <v>309</v>
      </c>
      <c r="I676" s="223">
        <v>43769</v>
      </c>
      <c r="J676" s="218" t="s">
        <v>3999</v>
      </c>
      <c r="K676" s="218" t="s">
        <v>3104</v>
      </c>
      <c r="L676" s="218" t="s">
        <v>2596</v>
      </c>
      <c r="M676" s="218" t="s">
        <v>4000</v>
      </c>
      <c r="N676" s="218">
        <v>65.03</v>
      </c>
      <c r="O676" s="218" t="s">
        <v>292</v>
      </c>
      <c r="P676" s="218">
        <v>80</v>
      </c>
      <c r="Q676" s="218" t="s">
        <v>1194</v>
      </c>
      <c r="R676" s="218" t="s">
        <v>4001</v>
      </c>
      <c r="S676" s="218" t="s">
        <v>400</v>
      </c>
      <c r="T676" s="218" t="s">
        <v>2591</v>
      </c>
      <c r="U676" s="218" t="s">
        <v>2591</v>
      </c>
      <c r="V676" s="218" t="s">
        <v>381</v>
      </c>
      <c r="W676" s="218" t="s">
        <v>295</v>
      </c>
      <c r="X676" s="218" t="s">
        <v>379</v>
      </c>
      <c r="Y676" s="218">
        <v>73.25</v>
      </c>
      <c r="Z676" s="218">
        <f t="shared" si="13"/>
        <v>80</v>
      </c>
    </row>
    <row r="677" spans="1:26">
      <c r="A677" s="218" t="s">
        <v>2592</v>
      </c>
      <c r="B677" s="218"/>
      <c r="C677" s="218"/>
      <c r="D677" s="218"/>
      <c r="E677" s="218"/>
      <c r="F677" s="219" t="s">
        <v>4002</v>
      </c>
      <c r="G677" s="218" t="s">
        <v>266</v>
      </c>
      <c r="H677" s="218" t="s">
        <v>309</v>
      </c>
      <c r="I677" s="223">
        <v>43799</v>
      </c>
      <c r="J677" s="218" t="s">
        <v>4003</v>
      </c>
      <c r="K677" s="218" t="s">
        <v>4004</v>
      </c>
      <c r="L677" s="218" t="s">
        <v>3848</v>
      </c>
      <c r="M677" s="218" t="s">
        <v>4005</v>
      </c>
      <c r="N677" s="218">
        <v>121.48</v>
      </c>
      <c r="O677" s="218" t="s">
        <v>2079</v>
      </c>
      <c r="P677" s="218">
        <v>16239.2</v>
      </c>
      <c r="Q677" s="218" t="s">
        <v>2282</v>
      </c>
      <c r="R677" s="218" t="s">
        <v>2283</v>
      </c>
      <c r="S677" s="218" t="s">
        <v>2080</v>
      </c>
      <c r="T677" s="218" t="s">
        <v>2591</v>
      </c>
      <c r="U677" s="218" t="s">
        <v>2591</v>
      </c>
      <c r="V677" s="218" t="s">
        <v>381</v>
      </c>
      <c r="W677" s="218" t="s">
        <v>295</v>
      </c>
      <c r="X677" s="218" t="s">
        <v>379</v>
      </c>
      <c r="Y677" s="218">
        <v>140.93</v>
      </c>
      <c r="Z677" s="218">
        <v>157.22</v>
      </c>
    </row>
    <row r="678" spans="1:26">
      <c r="A678" s="218" t="s">
        <v>2592</v>
      </c>
      <c r="B678" s="218"/>
      <c r="C678" s="218"/>
      <c r="D678" s="218"/>
      <c r="E678" s="218"/>
      <c r="F678" s="219" t="s">
        <v>4006</v>
      </c>
      <c r="G678" s="218" t="s">
        <v>267</v>
      </c>
      <c r="H678" s="218" t="s">
        <v>309</v>
      </c>
      <c r="I678" s="223">
        <v>43769</v>
      </c>
      <c r="J678" s="218" t="s">
        <v>4007</v>
      </c>
      <c r="K678" s="218" t="s">
        <v>3104</v>
      </c>
      <c r="L678" s="218" t="s">
        <v>2596</v>
      </c>
      <c r="M678" s="218" t="s">
        <v>4008</v>
      </c>
      <c r="N678" s="218">
        <v>40.65</v>
      </c>
      <c r="O678" s="218" t="s">
        <v>292</v>
      </c>
      <c r="P678" s="218">
        <v>50</v>
      </c>
      <c r="Q678" s="218" t="s">
        <v>640</v>
      </c>
      <c r="R678" s="218" t="s">
        <v>1580</v>
      </c>
      <c r="S678" s="218" t="s">
        <v>400</v>
      </c>
      <c r="T678" s="218" t="s">
        <v>2591</v>
      </c>
      <c r="U678" s="218" t="s">
        <v>2591</v>
      </c>
      <c r="V678" s="218" t="s">
        <v>381</v>
      </c>
      <c r="W678" s="218" t="s">
        <v>295</v>
      </c>
      <c r="X678" s="218" t="s">
        <v>379</v>
      </c>
      <c r="Y678" s="218">
        <v>45.79</v>
      </c>
      <c r="Z678" s="218">
        <f t="shared" ref="Z678:Z714" si="14">P678</f>
        <v>50</v>
      </c>
    </row>
    <row r="679" spans="1:26">
      <c r="A679" s="218" t="s">
        <v>2592</v>
      </c>
      <c r="B679" s="218"/>
      <c r="C679" s="218"/>
      <c r="D679" s="218"/>
      <c r="E679" s="218"/>
      <c r="F679" s="219" t="s">
        <v>4009</v>
      </c>
      <c r="G679" s="218" t="s">
        <v>267</v>
      </c>
      <c r="H679" s="218" t="s">
        <v>309</v>
      </c>
      <c r="I679" s="223">
        <v>43799</v>
      </c>
      <c r="J679" s="218" t="s">
        <v>4010</v>
      </c>
      <c r="K679" s="218" t="s">
        <v>4011</v>
      </c>
      <c r="L679" s="218" t="s">
        <v>3115</v>
      </c>
      <c r="M679" s="218" t="s">
        <v>4012</v>
      </c>
      <c r="N679" s="218">
        <v>38.630000000000003</v>
      </c>
      <c r="O679" s="218" t="s">
        <v>292</v>
      </c>
      <c r="P679" s="218">
        <v>50</v>
      </c>
      <c r="Q679" s="218" t="s">
        <v>640</v>
      </c>
      <c r="R679" s="218" t="s">
        <v>1580</v>
      </c>
      <c r="S679" s="218" t="s">
        <v>400</v>
      </c>
      <c r="T679" s="218" t="s">
        <v>2591</v>
      </c>
      <c r="U679" s="218" t="s">
        <v>2591</v>
      </c>
      <c r="V679" s="218" t="s">
        <v>381</v>
      </c>
      <c r="W679" s="218" t="s">
        <v>295</v>
      </c>
      <c r="X679" s="218" t="s">
        <v>3117</v>
      </c>
      <c r="Y679" s="218">
        <v>44.81</v>
      </c>
      <c r="Z679" s="218">
        <f t="shared" si="14"/>
        <v>50</v>
      </c>
    </row>
    <row r="680" spans="1:26">
      <c r="A680" s="218" t="s">
        <v>2592</v>
      </c>
      <c r="B680" s="218"/>
      <c r="C680" s="218"/>
      <c r="D680" s="218"/>
      <c r="E680" s="218"/>
      <c r="F680" s="219" t="s">
        <v>4013</v>
      </c>
      <c r="G680" s="218" t="s">
        <v>267</v>
      </c>
      <c r="H680" s="218" t="s">
        <v>309</v>
      </c>
      <c r="I680" s="223">
        <v>43830</v>
      </c>
      <c r="J680" s="218" t="s">
        <v>4014</v>
      </c>
      <c r="K680" s="218" t="s">
        <v>4015</v>
      </c>
      <c r="L680" s="218" t="s">
        <v>2617</v>
      </c>
      <c r="M680" s="218" t="s">
        <v>4016</v>
      </c>
      <c r="N680" s="218">
        <v>48.71</v>
      </c>
      <c r="O680" s="218" t="s">
        <v>292</v>
      </c>
      <c r="P680" s="218">
        <v>63</v>
      </c>
      <c r="Q680" s="218" t="s">
        <v>640</v>
      </c>
      <c r="R680" s="218" t="s">
        <v>1580</v>
      </c>
      <c r="S680" s="218" t="s">
        <v>400</v>
      </c>
      <c r="T680" s="218" t="s">
        <v>2591</v>
      </c>
      <c r="U680" s="218" t="s">
        <v>2591</v>
      </c>
      <c r="V680" s="218" t="s">
        <v>381</v>
      </c>
      <c r="W680" s="218" t="s">
        <v>295</v>
      </c>
      <c r="X680" s="218" t="s">
        <v>379</v>
      </c>
      <c r="Y680" s="218">
        <v>57.18</v>
      </c>
      <c r="Z680" s="218">
        <f t="shared" si="14"/>
        <v>63</v>
      </c>
    </row>
    <row r="681" spans="1:26">
      <c r="A681" s="218" t="s">
        <v>2592</v>
      </c>
      <c r="B681" s="218"/>
      <c r="C681" s="218"/>
      <c r="D681" s="218"/>
      <c r="E681" s="218"/>
      <c r="F681" s="219" t="s">
        <v>4017</v>
      </c>
      <c r="G681" s="218" t="s">
        <v>267</v>
      </c>
      <c r="H681" s="218" t="s">
        <v>309</v>
      </c>
      <c r="I681" s="223">
        <v>43830</v>
      </c>
      <c r="J681" s="218" t="s">
        <v>4018</v>
      </c>
      <c r="K681" s="218" t="s">
        <v>4011</v>
      </c>
      <c r="L681" s="218" t="s">
        <v>2617</v>
      </c>
      <c r="M681" s="218" t="s">
        <v>4019</v>
      </c>
      <c r="N681" s="218">
        <v>38.659999999999997</v>
      </c>
      <c r="O681" s="218" t="s">
        <v>292</v>
      </c>
      <c r="P681" s="218">
        <v>50</v>
      </c>
      <c r="Q681" s="218" t="s">
        <v>640</v>
      </c>
      <c r="R681" s="218" t="s">
        <v>1580</v>
      </c>
      <c r="S681" s="218" t="s">
        <v>400</v>
      </c>
      <c r="T681" s="218" t="s">
        <v>2591</v>
      </c>
      <c r="U681" s="218" t="s">
        <v>2591</v>
      </c>
      <c r="V681" s="218" t="s">
        <v>381</v>
      </c>
      <c r="W681" s="218" t="s">
        <v>295</v>
      </c>
      <c r="X681" s="218" t="s">
        <v>379</v>
      </c>
      <c r="Y681" s="218">
        <v>45.39</v>
      </c>
      <c r="Z681" s="218">
        <f t="shared" si="14"/>
        <v>50</v>
      </c>
    </row>
    <row r="682" spans="1:26">
      <c r="A682" s="218" t="s">
        <v>2592</v>
      </c>
      <c r="B682" s="218"/>
      <c r="C682" s="218"/>
      <c r="D682" s="218"/>
      <c r="E682" s="218"/>
      <c r="F682" s="219" t="s">
        <v>4020</v>
      </c>
      <c r="G682" s="218" t="s">
        <v>267</v>
      </c>
      <c r="H682" s="218" t="s">
        <v>309</v>
      </c>
      <c r="I682" s="223">
        <v>43830</v>
      </c>
      <c r="J682" s="218" t="s">
        <v>4021</v>
      </c>
      <c r="K682" s="218" t="s">
        <v>4022</v>
      </c>
      <c r="L682" s="218" t="s">
        <v>2617</v>
      </c>
      <c r="M682" s="218" t="s">
        <v>4023</v>
      </c>
      <c r="N682" s="218">
        <v>57.99</v>
      </c>
      <c r="O682" s="218" t="s">
        <v>292</v>
      </c>
      <c r="P682" s="218">
        <v>75</v>
      </c>
      <c r="Q682" s="218" t="s">
        <v>718</v>
      </c>
      <c r="R682" s="218" t="s">
        <v>1691</v>
      </c>
      <c r="S682" s="218" t="s">
        <v>400</v>
      </c>
      <c r="T682" s="218" t="s">
        <v>2591</v>
      </c>
      <c r="U682" s="218" t="s">
        <v>2591</v>
      </c>
      <c r="V682" s="218" t="s">
        <v>381</v>
      </c>
      <c r="W682" s="218" t="s">
        <v>295</v>
      </c>
      <c r="X682" s="218" t="s">
        <v>379</v>
      </c>
      <c r="Y682" s="218">
        <v>68.08</v>
      </c>
      <c r="Z682" s="218">
        <f t="shared" si="14"/>
        <v>75</v>
      </c>
    </row>
    <row r="683" spans="1:26">
      <c r="A683" s="218" t="s">
        <v>2592</v>
      </c>
      <c r="B683" s="218"/>
      <c r="C683" s="218"/>
      <c r="D683" s="218"/>
      <c r="E683" s="218"/>
      <c r="F683" s="219" t="s">
        <v>4024</v>
      </c>
      <c r="G683" s="218" t="s">
        <v>267</v>
      </c>
      <c r="H683" s="218" t="s">
        <v>309</v>
      </c>
      <c r="I683" s="223">
        <v>43830</v>
      </c>
      <c r="J683" s="218" t="s">
        <v>4025</v>
      </c>
      <c r="K683" s="218" t="s">
        <v>4026</v>
      </c>
      <c r="L683" s="218" t="s">
        <v>2617</v>
      </c>
      <c r="M683" s="218" t="s">
        <v>4027</v>
      </c>
      <c r="N683" s="218">
        <v>57.99</v>
      </c>
      <c r="O683" s="218" t="s">
        <v>292</v>
      </c>
      <c r="P683" s="218">
        <v>75</v>
      </c>
      <c r="Q683" s="218" t="s">
        <v>718</v>
      </c>
      <c r="R683" s="218" t="s">
        <v>1691</v>
      </c>
      <c r="S683" s="218" t="s">
        <v>400</v>
      </c>
      <c r="T683" s="218" t="s">
        <v>2591</v>
      </c>
      <c r="U683" s="218" t="s">
        <v>2591</v>
      </c>
      <c r="V683" s="218" t="s">
        <v>381</v>
      </c>
      <c r="W683" s="218" t="s">
        <v>295</v>
      </c>
      <c r="X683" s="218" t="s">
        <v>379</v>
      </c>
      <c r="Y683" s="218">
        <v>68.08</v>
      </c>
      <c r="Z683" s="218">
        <f t="shared" si="14"/>
        <v>75</v>
      </c>
    </row>
    <row r="684" spans="1:26">
      <c r="A684" s="218" t="s">
        <v>2592</v>
      </c>
      <c r="B684" s="218"/>
      <c r="C684" s="218"/>
      <c r="D684" s="218"/>
      <c r="E684" s="218"/>
      <c r="F684" s="219" t="s">
        <v>4028</v>
      </c>
      <c r="G684" s="218" t="s">
        <v>268</v>
      </c>
      <c r="H684" s="218" t="s">
        <v>309</v>
      </c>
      <c r="I684" s="223">
        <v>43769</v>
      </c>
      <c r="J684" s="218" t="s">
        <v>4029</v>
      </c>
      <c r="K684" s="218" t="s">
        <v>3104</v>
      </c>
      <c r="L684" s="218" t="s">
        <v>2596</v>
      </c>
      <c r="M684" s="218" t="s">
        <v>4030</v>
      </c>
      <c r="N684" s="218">
        <v>219.49</v>
      </c>
      <c r="O684" s="218" t="s">
        <v>292</v>
      </c>
      <c r="P684" s="218">
        <v>270</v>
      </c>
      <c r="Q684" s="218" t="s">
        <v>649</v>
      </c>
      <c r="R684" s="218" t="s">
        <v>2213</v>
      </c>
      <c r="S684" s="218" t="s">
        <v>400</v>
      </c>
      <c r="T684" s="218" t="s">
        <v>2591</v>
      </c>
      <c r="U684" s="218" t="s">
        <v>2591</v>
      </c>
      <c r="V684" s="218" t="s">
        <v>381</v>
      </c>
      <c r="W684" s="218" t="s">
        <v>295</v>
      </c>
      <c r="X684" s="218" t="s">
        <v>379</v>
      </c>
      <c r="Y684" s="218">
        <v>247.24</v>
      </c>
      <c r="Z684" s="218">
        <f t="shared" si="14"/>
        <v>270</v>
      </c>
    </row>
    <row r="685" spans="1:26">
      <c r="A685" s="218" t="s">
        <v>2592</v>
      </c>
      <c r="B685" s="218"/>
      <c r="C685" s="218"/>
      <c r="D685" s="218"/>
      <c r="E685" s="218"/>
      <c r="F685" s="219" t="s">
        <v>4031</v>
      </c>
      <c r="G685" s="218" t="s">
        <v>268</v>
      </c>
      <c r="H685" s="218" t="s">
        <v>309</v>
      </c>
      <c r="I685" s="223">
        <v>43799</v>
      </c>
      <c r="J685" s="218" t="s">
        <v>4032</v>
      </c>
      <c r="K685" s="218" t="s">
        <v>4033</v>
      </c>
      <c r="L685" s="218" t="s">
        <v>2996</v>
      </c>
      <c r="M685" s="218" t="s">
        <v>2212</v>
      </c>
      <c r="N685" s="218">
        <v>-185.44</v>
      </c>
      <c r="O685" s="218" t="s">
        <v>292</v>
      </c>
      <c r="P685" s="218">
        <v>-240</v>
      </c>
      <c r="Q685" s="218" t="s">
        <v>649</v>
      </c>
      <c r="R685" s="218" t="s">
        <v>2213</v>
      </c>
      <c r="S685" s="218" t="s">
        <v>396</v>
      </c>
      <c r="T685" s="218" t="s">
        <v>2591</v>
      </c>
      <c r="U685" s="218" t="s">
        <v>2591</v>
      </c>
      <c r="V685" s="218" t="s">
        <v>381</v>
      </c>
      <c r="W685" s="218" t="s">
        <v>295</v>
      </c>
      <c r="X685" s="218" t="s">
        <v>379</v>
      </c>
      <c r="Y685" s="218">
        <v>-215.13</v>
      </c>
      <c r="Z685" s="218">
        <f t="shared" si="14"/>
        <v>-240</v>
      </c>
    </row>
    <row r="686" spans="1:26">
      <c r="A686" s="218" t="s">
        <v>2592</v>
      </c>
      <c r="B686" s="218"/>
      <c r="C686" s="218"/>
      <c r="D686" s="218"/>
      <c r="E686" s="218"/>
      <c r="F686" s="219" t="s">
        <v>4034</v>
      </c>
      <c r="G686" s="218" t="s">
        <v>269</v>
      </c>
      <c r="H686" s="218" t="s">
        <v>309</v>
      </c>
      <c r="I686" s="223">
        <v>43769</v>
      </c>
      <c r="J686" s="218" t="s">
        <v>4035</v>
      </c>
      <c r="K686" s="218" t="s">
        <v>2601</v>
      </c>
      <c r="L686" s="218" t="s">
        <v>2596</v>
      </c>
      <c r="M686" s="218" t="s">
        <v>4036</v>
      </c>
      <c r="N686" s="218">
        <v>9.76</v>
      </c>
      <c r="O686" s="218" t="s">
        <v>292</v>
      </c>
      <c r="P686" s="218">
        <v>12</v>
      </c>
      <c r="Q686" s="218" t="s">
        <v>640</v>
      </c>
      <c r="R686" s="218" t="s">
        <v>1580</v>
      </c>
      <c r="S686" s="218" t="s">
        <v>396</v>
      </c>
      <c r="T686" s="218" t="s">
        <v>2591</v>
      </c>
      <c r="U686" s="218" t="s">
        <v>2591</v>
      </c>
      <c r="V686" s="218" t="s">
        <v>381</v>
      </c>
      <c r="W686" s="218" t="s">
        <v>295</v>
      </c>
      <c r="X686" s="218" t="s">
        <v>379</v>
      </c>
      <c r="Y686" s="218">
        <v>10.99</v>
      </c>
      <c r="Z686" s="218">
        <f t="shared" si="14"/>
        <v>12</v>
      </c>
    </row>
    <row r="687" spans="1:26">
      <c r="A687" s="218" t="s">
        <v>2592</v>
      </c>
      <c r="B687" s="218"/>
      <c r="C687" s="218"/>
      <c r="D687" s="218"/>
      <c r="E687" s="218"/>
      <c r="F687" s="219" t="s">
        <v>4037</v>
      </c>
      <c r="G687" s="218" t="s">
        <v>269</v>
      </c>
      <c r="H687" s="218" t="s">
        <v>309</v>
      </c>
      <c r="I687" s="223">
        <v>43769</v>
      </c>
      <c r="J687" s="218" t="s">
        <v>4038</v>
      </c>
      <c r="K687" s="218" t="s">
        <v>2601</v>
      </c>
      <c r="L687" s="218" t="s">
        <v>2596</v>
      </c>
      <c r="M687" s="218" t="s">
        <v>4039</v>
      </c>
      <c r="N687" s="218">
        <v>58.53</v>
      </c>
      <c r="O687" s="218" t="s">
        <v>292</v>
      </c>
      <c r="P687" s="218">
        <v>72</v>
      </c>
      <c r="Q687" s="218" t="s">
        <v>640</v>
      </c>
      <c r="R687" s="218" t="s">
        <v>1580</v>
      </c>
      <c r="S687" s="218" t="s">
        <v>396</v>
      </c>
      <c r="T687" s="218" t="s">
        <v>2591</v>
      </c>
      <c r="U687" s="218" t="s">
        <v>2591</v>
      </c>
      <c r="V687" s="218" t="s">
        <v>381</v>
      </c>
      <c r="W687" s="218" t="s">
        <v>295</v>
      </c>
      <c r="X687" s="218" t="s">
        <v>379</v>
      </c>
      <c r="Y687" s="218">
        <v>65.930000000000007</v>
      </c>
      <c r="Z687" s="218">
        <f t="shared" si="14"/>
        <v>72</v>
      </c>
    </row>
    <row r="688" spans="1:26">
      <c r="A688" s="218" t="s">
        <v>2592</v>
      </c>
      <c r="B688" s="218"/>
      <c r="C688" s="218"/>
      <c r="D688" s="218"/>
      <c r="E688" s="218"/>
      <c r="F688" s="219" t="s">
        <v>4040</v>
      </c>
      <c r="G688" s="218" t="s">
        <v>269</v>
      </c>
      <c r="H688" s="218" t="s">
        <v>309</v>
      </c>
      <c r="I688" s="223">
        <v>43769</v>
      </c>
      <c r="J688" s="218" t="s">
        <v>4041</v>
      </c>
      <c r="K688" s="218" t="s">
        <v>2601</v>
      </c>
      <c r="L688" s="218" t="s">
        <v>2596</v>
      </c>
      <c r="M688" s="218" t="s">
        <v>4042</v>
      </c>
      <c r="N688" s="218">
        <v>32.520000000000003</v>
      </c>
      <c r="O688" s="218" t="s">
        <v>292</v>
      </c>
      <c r="P688" s="218">
        <v>40</v>
      </c>
      <c r="Q688" s="218" t="s">
        <v>2207</v>
      </c>
      <c r="R688" s="218" t="s">
        <v>2208</v>
      </c>
      <c r="S688" s="218" t="s">
        <v>396</v>
      </c>
      <c r="T688" s="218" t="s">
        <v>2591</v>
      </c>
      <c r="U688" s="218" t="s">
        <v>2591</v>
      </c>
      <c r="V688" s="218" t="s">
        <v>381</v>
      </c>
      <c r="W688" s="218" t="s">
        <v>295</v>
      </c>
      <c r="X688" s="218" t="s">
        <v>379</v>
      </c>
      <c r="Y688" s="218">
        <v>36.630000000000003</v>
      </c>
      <c r="Z688" s="218">
        <f t="shared" si="14"/>
        <v>40</v>
      </c>
    </row>
    <row r="689" spans="1:26">
      <c r="A689" s="218" t="s">
        <v>2592</v>
      </c>
      <c r="B689" s="218"/>
      <c r="C689" s="218"/>
      <c r="D689" s="218"/>
      <c r="E689" s="218"/>
      <c r="F689" s="219" t="s">
        <v>4043</v>
      </c>
      <c r="G689" s="218" t="s">
        <v>269</v>
      </c>
      <c r="H689" s="218" t="s">
        <v>309</v>
      </c>
      <c r="I689" s="223">
        <v>43769</v>
      </c>
      <c r="J689" s="218" t="s">
        <v>2991</v>
      </c>
      <c r="K689" s="218" t="s">
        <v>2601</v>
      </c>
      <c r="L689" s="218" t="s">
        <v>2596</v>
      </c>
      <c r="M689" s="218" t="s">
        <v>4044</v>
      </c>
      <c r="N689" s="218">
        <v>9.35</v>
      </c>
      <c r="O689" s="218" t="s">
        <v>292</v>
      </c>
      <c r="P689" s="218">
        <v>11.5</v>
      </c>
      <c r="Q689" s="218" t="s">
        <v>653</v>
      </c>
      <c r="R689" s="218" t="s">
        <v>2228</v>
      </c>
      <c r="S689" s="218" t="s">
        <v>396</v>
      </c>
      <c r="T689" s="218" t="s">
        <v>2591</v>
      </c>
      <c r="U689" s="218" t="s">
        <v>2591</v>
      </c>
      <c r="V689" s="218" t="s">
        <v>381</v>
      </c>
      <c r="W689" s="218" t="s">
        <v>295</v>
      </c>
      <c r="X689" s="218" t="s">
        <v>379</v>
      </c>
      <c r="Y689" s="218">
        <v>10.53</v>
      </c>
      <c r="Z689" s="218">
        <f t="shared" si="14"/>
        <v>11.5</v>
      </c>
    </row>
    <row r="690" spans="1:26">
      <c r="A690" s="218" t="s">
        <v>2592</v>
      </c>
      <c r="B690" s="218"/>
      <c r="C690" s="218"/>
      <c r="D690" s="218"/>
      <c r="E690" s="218"/>
      <c r="F690" s="219" t="s">
        <v>4045</v>
      </c>
      <c r="G690" s="218" t="s">
        <v>269</v>
      </c>
      <c r="H690" s="218" t="s">
        <v>309</v>
      </c>
      <c r="I690" s="223">
        <v>43769</v>
      </c>
      <c r="J690" s="218" t="s">
        <v>2985</v>
      </c>
      <c r="K690" s="218" t="s">
        <v>2601</v>
      </c>
      <c r="L690" s="218" t="s">
        <v>2596</v>
      </c>
      <c r="M690" s="218" t="s">
        <v>4046</v>
      </c>
      <c r="N690" s="218">
        <v>4.3899999999999997</v>
      </c>
      <c r="O690" s="218" t="s">
        <v>292</v>
      </c>
      <c r="P690" s="218">
        <v>5.4</v>
      </c>
      <c r="Q690" s="218" t="s">
        <v>4047</v>
      </c>
      <c r="R690" s="218" t="s">
        <v>4048</v>
      </c>
      <c r="S690" s="218" t="s">
        <v>396</v>
      </c>
      <c r="T690" s="218" t="s">
        <v>2591</v>
      </c>
      <c r="U690" s="218" t="s">
        <v>2591</v>
      </c>
      <c r="V690" s="218" t="s">
        <v>381</v>
      </c>
      <c r="W690" s="218" t="s">
        <v>295</v>
      </c>
      <c r="X690" s="218" t="s">
        <v>379</v>
      </c>
      <c r="Y690" s="218">
        <v>4.9400000000000004</v>
      </c>
      <c r="Z690" s="218">
        <f t="shared" si="14"/>
        <v>5.4</v>
      </c>
    </row>
    <row r="691" spans="1:26">
      <c r="A691" s="218" t="s">
        <v>2592</v>
      </c>
      <c r="B691" s="218"/>
      <c r="C691" s="218"/>
      <c r="D691" s="218"/>
      <c r="E691" s="218"/>
      <c r="F691" s="219" t="s">
        <v>4049</v>
      </c>
      <c r="G691" s="218" t="s">
        <v>269</v>
      </c>
      <c r="H691" s="218" t="s">
        <v>309</v>
      </c>
      <c r="I691" s="223">
        <v>43769</v>
      </c>
      <c r="J691" s="218" t="s">
        <v>2991</v>
      </c>
      <c r="K691" s="218" t="s">
        <v>2601</v>
      </c>
      <c r="L691" s="218" t="s">
        <v>2596</v>
      </c>
      <c r="M691" s="218" t="s">
        <v>4050</v>
      </c>
      <c r="N691" s="218">
        <v>2.0299999999999998</v>
      </c>
      <c r="O691" s="218" t="s">
        <v>292</v>
      </c>
      <c r="P691" s="218">
        <v>2.5</v>
      </c>
      <c r="Q691" s="218" t="s">
        <v>4047</v>
      </c>
      <c r="R691" s="218" t="s">
        <v>4048</v>
      </c>
      <c r="S691" s="218" t="s">
        <v>396</v>
      </c>
      <c r="T691" s="218" t="s">
        <v>2591</v>
      </c>
      <c r="U691" s="218" t="s">
        <v>2591</v>
      </c>
      <c r="V691" s="218" t="s">
        <v>381</v>
      </c>
      <c r="W691" s="218" t="s">
        <v>295</v>
      </c>
      <c r="X691" s="218" t="s">
        <v>379</v>
      </c>
      <c r="Y691" s="218">
        <v>2.29</v>
      </c>
      <c r="Z691" s="218">
        <f t="shared" si="14"/>
        <v>2.5</v>
      </c>
    </row>
    <row r="692" spans="1:26">
      <c r="A692" s="218" t="s">
        <v>2592</v>
      </c>
      <c r="B692" s="218"/>
      <c r="C692" s="218"/>
      <c r="D692" s="218"/>
      <c r="E692" s="218"/>
      <c r="F692" s="219" t="s">
        <v>4051</v>
      </c>
      <c r="G692" s="218" t="s">
        <v>269</v>
      </c>
      <c r="H692" s="218" t="s">
        <v>309</v>
      </c>
      <c r="I692" s="223">
        <v>43769</v>
      </c>
      <c r="J692" s="218" t="s">
        <v>4052</v>
      </c>
      <c r="K692" s="218" t="s">
        <v>2601</v>
      </c>
      <c r="L692" s="218" t="s">
        <v>2596</v>
      </c>
      <c r="M692" s="218" t="s">
        <v>4053</v>
      </c>
      <c r="N692" s="218">
        <v>108.87</v>
      </c>
      <c r="O692" s="218" t="s">
        <v>292</v>
      </c>
      <c r="P692" s="218">
        <v>133.91999999999999</v>
      </c>
      <c r="Q692" s="218" t="s">
        <v>1131</v>
      </c>
      <c r="R692" s="218" t="s">
        <v>2121</v>
      </c>
      <c r="S692" s="218" t="s">
        <v>396</v>
      </c>
      <c r="T692" s="218" t="s">
        <v>2591</v>
      </c>
      <c r="U692" s="218" t="s">
        <v>2591</v>
      </c>
      <c r="V692" s="218" t="s">
        <v>381</v>
      </c>
      <c r="W692" s="218" t="s">
        <v>295</v>
      </c>
      <c r="X692" s="218" t="s">
        <v>379</v>
      </c>
      <c r="Y692" s="218">
        <v>122.63</v>
      </c>
      <c r="Z692" s="218">
        <f t="shared" si="14"/>
        <v>133.91999999999999</v>
      </c>
    </row>
    <row r="693" spans="1:26">
      <c r="A693" s="218" t="s">
        <v>2592</v>
      </c>
      <c r="B693" s="218"/>
      <c r="C693" s="218"/>
      <c r="D693" s="218"/>
      <c r="E693" s="218"/>
      <c r="F693" s="219" t="s">
        <v>4054</v>
      </c>
      <c r="G693" s="218" t="s">
        <v>269</v>
      </c>
      <c r="H693" s="218" t="s">
        <v>309</v>
      </c>
      <c r="I693" s="223">
        <v>43799</v>
      </c>
      <c r="J693" s="218" t="s">
        <v>3060</v>
      </c>
      <c r="K693" s="218" t="s">
        <v>3000</v>
      </c>
      <c r="L693" s="218" t="s">
        <v>2996</v>
      </c>
      <c r="M693" s="218" t="s">
        <v>4055</v>
      </c>
      <c r="N693" s="218">
        <v>19.63</v>
      </c>
      <c r="O693" s="218" t="s">
        <v>292</v>
      </c>
      <c r="P693" s="218">
        <v>25.4</v>
      </c>
      <c r="Q693" s="218" t="s">
        <v>640</v>
      </c>
      <c r="R693" s="218" t="s">
        <v>1580</v>
      </c>
      <c r="S693" s="218" t="s">
        <v>396</v>
      </c>
      <c r="T693" s="218" t="s">
        <v>2591</v>
      </c>
      <c r="U693" s="218" t="s">
        <v>2591</v>
      </c>
      <c r="V693" s="218" t="s">
        <v>381</v>
      </c>
      <c r="W693" s="218" t="s">
        <v>295</v>
      </c>
      <c r="X693" s="218" t="s">
        <v>379</v>
      </c>
      <c r="Y693" s="218">
        <v>22.77</v>
      </c>
      <c r="Z693" s="218">
        <f t="shared" si="14"/>
        <v>25.4</v>
      </c>
    </row>
    <row r="694" spans="1:26">
      <c r="A694" s="218" t="s">
        <v>2592</v>
      </c>
      <c r="B694" s="218"/>
      <c r="C694" s="218"/>
      <c r="D694" s="218"/>
      <c r="E694" s="218"/>
      <c r="F694" s="219" t="s">
        <v>4056</v>
      </c>
      <c r="G694" s="218" t="s">
        <v>269</v>
      </c>
      <c r="H694" s="218" t="s">
        <v>309</v>
      </c>
      <c r="I694" s="223">
        <v>43799</v>
      </c>
      <c r="J694" s="218" t="s">
        <v>3065</v>
      </c>
      <c r="K694" s="218" t="s">
        <v>3004</v>
      </c>
      <c r="L694" s="218" t="s">
        <v>2996</v>
      </c>
      <c r="M694" s="218" t="s">
        <v>4057</v>
      </c>
      <c r="N694" s="218">
        <v>24.8</v>
      </c>
      <c r="O694" s="218" t="s">
        <v>292</v>
      </c>
      <c r="P694" s="218">
        <v>32.1</v>
      </c>
      <c r="Q694" s="218" t="s">
        <v>640</v>
      </c>
      <c r="R694" s="218" t="s">
        <v>1580</v>
      </c>
      <c r="S694" s="218" t="s">
        <v>396</v>
      </c>
      <c r="T694" s="218" t="s">
        <v>2591</v>
      </c>
      <c r="U694" s="218" t="s">
        <v>2591</v>
      </c>
      <c r="V694" s="218" t="s">
        <v>381</v>
      </c>
      <c r="W694" s="218" t="s">
        <v>295</v>
      </c>
      <c r="X694" s="218" t="s">
        <v>379</v>
      </c>
      <c r="Y694" s="218">
        <v>28.77</v>
      </c>
      <c r="Z694" s="218">
        <f t="shared" si="14"/>
        <v>32.1</v>
      </c>
    </row>
    <row r="695" spans="1:26">
      <c r="A695" s="218" t="s">
        <v>2592</v>
      </c>
      <c r="B695" s="218"/>
      <c r="C695" s="218"/>
      <c r="D695" s="218"/>
      <c r="E695" s="218"/>
      <c r="F695" s="219" t="s">
        <v>4058</v>
      </c>
      <c r="G695" s="218" t="s">
        <v>269</v>
      </c>
      <c r="H695" s="218" t="s">
        <v>309</v>
      </c>
      <c r="I695" s="223">
        <v>43799</v>
      </c>
      <c r="J695" s="218" t="s">
        <v>4059</v>
      </c>
      <c r="K695" s="218" t="s">
        <v>4060</v>
      </c>
      <c r="L695" s="218" t="s">
        <v>2996</v>
      </c>
      <c r="M695" s="218" t="s">
        <v>4061</v>
      </c>
      <c r="N695" s="218">
        <v>55.63</v>
      </c>
      <c r="O695" s="218" t="s">
        <v>292</v>
      </c>
      <c r="P695" s="218">
        <v>72</v>
      </c>
      <c r="Q695" s="218" t="s">
        <v>640</v>
      </c>
      <c r="R695" s="218" t="s">
        <v>1580</v>
      </c>
      <c r="S695" s="218" t="s">
        <v>396</v>
      </c>
      <c r="T695" s="218" t="s">
        <v>2591</v>
      </c>
      <c r="U695" s="218" t="s">
        <v>2591</v>
      </c>
      <c r="V695" s="218" t="s">
        <v>381</v>
      </c>
      <c r="W695" s="218" t="s">
        <v>295</v>
      </c>
      <c r="X695" s="218" t="s">
        <v>379</v>
      </c>
      <c r="Y695" s="218">
        <v>64.540000000000006</v>
      </c>
      <c r="Z695" s="218">
        <f t="shared" si="14"/>
        <v>72</v>
      </c>
    </row>
    <row r="696" spans="1:26">
      <c r="A696" s="218" t="s">
        <v>2592</v>
      </c>
      <c r="B696" s="218"/>
      <c r="C696" s="218"/>
      <c r="D696" s="218"/>
      <c r="E696" s="218"/>
      <c r="F696" s="219" t="s">
        <v>4062</v>
      </c>
      <c r="G696" s="218" t="s">
        <v>269</v>
      </c>
      <c r="H696" s="218" t="s">
        <v>309</v>
      </c>
      <c r="I696" s="223">
        <v>43799</v>
      </c>
      <c r="J696" s="218" t="s">
        <v>4063</v>
      </c>
      <c r="K696" s="218" t="s">
        <v>4064</v>
      </c>
      <c r="L696" s="218" t="s">
        <v>2996</v>
      </c>
      <c r="M696" s="218" t="s">
        <v>4065</v>
      </c>
      <c r="N696" s="218">
        <v>4.67</v>
      </c>
      <c r="O696" s="218" t="s">
        <v>292</v>
      </c>
      <c r="P696" s="218">
        <v>6.05</v>
      </c>
      <c r="Q696" s="218" t="s">
        <v>651</v>
      </c>
      <c r="R696" s="218" t="s">
        <v>2226</v>
      </c>
      <c r="S696" s="218" t="s">
        <v>396</v>
      </c>
      <c r="T696" s="218" t="s">
        <v>2591</v>
      </c>
      <c r="U696" s="218" t="s">
        <v>2591</v>
      </c>
      <c r="V696" s="218" t="s">
        <v>381</v>
      </c>
      <c r="W696" s="218" t="s">
        <v>295</v>
      </c>
      <c r="X696" s="218" t="s">
        <v>379</v>
      </c>
      <c r="Y696" s="218">
        <v>5.42</v>
      </c>
      <c r="Z696" s="218">
        <f t="shared" si="14"/>
        <v>6.05</v>
      </c>
    </row>
    <row r="697" spans="1:26">
      <c r="A697" s="218" t="s">
        <v>2592</v>
      </c>
      <c r="B697" s="218"/>
      <c r="C697" s="218"/>
      <c r="D697" s="218"/>
      <c r="E697" s="218"/>
      <c r="F697" s="219" t="s">
        <v>4066</v>
      </c>
      <c r="G697" s="218" t="s">
        <v>269</v>
      </c>
      <c r="H697" s="218" t="s">
        <v>309</v>
      </c>
      <c r="I697" s="223">
        <v>43830</v>
      </c>
      <c r="J697" s="218" t="s">
        <v>4067</v>
      </c>
      <c r="K697" s="218" t="s">
        <v>3000</v>
      </c>
      <c r="L697" s="218" t="s">
        <v>2704</v>
      </c>
      <c r="M697" s="218" t="s">
        <v>4068</v>
      </c>
      <c r="N697" s="218">
        <v>9.82</v>
      </c>
      <c r="O697" s="218" t="s">
        <v>292</v>
      </c>
      <c r="P697" s="218">
        <v>12.7</v>
      </c>
      <c r="Q697" s="218" t="s">
        <v>640</v>
      </c>
      <c r="R697" s="218" t="s">
        <v>1580</v>
      </c>
      <c r="S697" s="218" t="s">
        <v>396</v>
      </c>
      <c r="T697" s="218" t="s">
        <v>2591</v>
      </c>
      <c r="U697" s="218" t="s">
        <v>2591</v>
      </c>
      <c r="V697" s="218" t="s">
        <v>381</v>
      </c>
      <c r="W697" s="218" t="s">
        <v>295</v>
      </c>
      <c r="X697" s="218" t="s">
        <v>379</v>
      </c>
      <c r="Y697" s="218">
        <v>11.53</v>
      </c>
      <c r="Z697" s="218">
        <f t="shared" si="14"/>
        <v>12.7</v>
      </c>
    </row>
    <row r="698" spans="1:26">
      <c r="A698" s="218" t="s">
        <v>2592</v>
      </c>
      <c r="B698" s="218"/>
      <c r="C698" s="218"/>
      <c r="D698" s="218"/>
      <c r="E698" s="218"/>
      <c r="F698" s="219" t="s">
        <v>4069</v>
      </c>
      <c r="G698" s="218" t="s">
        <v>269</v>
      </c>
      <c r="H698" s="218" t="s">
        <v>309</v>
      </c>
      <c r="I698" s="223">
        <v>43830</v>
      </c>
      <c r="J698" s="218" t="s">
        <v>4070</v>
      </c>
      <c r="K698" s="218" t="s">
        <v>3004</v>
      </c>
      <c r="L698" s="218" t="s">
        <v>2704</v>
      </c>
      <c r="M698" s="218" t="s">
        <v>4071</v>
      </c>
      <c r="N698" s="218">
        <v>12.57</v>
      </c>
      <c r="O698" s="218" t="s">
        <v>292</v>
      </c>
      <c r="P698" s="218">
        <v>16.25</v>
      </c>
      <c r="Q698" s="218" t="s">
        <v>640</v>
      </c>
      <c r="R698" s="218" t="s">
        <v>1580</v>
      </c>
      <c r="S698" s="218" t="s">
        <v>396</v>
      </c>
      <c r="T698" s="218" t="s">
        <v>2591</v>
      </c>
      <c r="U698" s="218" t="s">
        <v>2591</v>
      </c>
      <c r="V698" s="218" t="s">
        <v>381</v>
      </c>
      <c r="W698" s="218" t="s">
        <v>295</v>
      </c>
      <c r="X698" s="218" t="s">
        <v>379</v>
      </c>
      <c r="Y698" s="218">
        <v>14.76</v>
      </c>
      <c r="Z698" s="218">
        <f t="shared" si="14"/>
        <v>16.25</v>
      </c>
    </row>
    <row r="699" spans="1:26">
      <c r="A699" s="218" t="s">
        <v>2592</v>
      </c>
      <c r="B699" s="218"/>
      <c r="C699" s="218"/>
      <c r="D699" s="218"/>
      <c r="E699" s="218"/>
      <c r="F699" s="219" t="s">
        <v>4072</v>
      </c>
      <c r="G699" s="218" t="s">
        <v>269</v>
      </c>
      <c r="H699" s="218" t="s">
        <v>309</v>
      </c>
      <c r="I699" s="223">
        <v>43830</v>
      </c>
      <c r="J699" s="218" t="s">
        <v>4073</v>
      </c>
      <c r="K699" s="218" t="s">
        <v>4074</v>
      </c>
      <c r="L699" s="218" t="s">
        <v>2704</v>
      </c>
      <c r="M699" s="218" t="s">
        <v>4075</v>
      </c>
      <c r="N699" s="218">
        <v>27.84</v>
      </c>
      <c r="O699" s="218" t="s">
        <v>292</v>
      </c>
      <c r="P699" s="218">
        <v>36</v>
      </c>
      <c r="Q699" s="218" t="s">
        <v>2282</v>
      </c>
      <c r="R699" s="218" t="s">
        <v>2283</v>
      </c>
      <c r="S699" s="218" t="s">
        <v>396</v>
      </c>
      <c r="T699" s="218" t="s">
        <v>2591</v>
      </c>
      <c r="U699" s="218" t="s">
        <v>2591</v>
      </c>
      <c r="V699" s="218" t="s">
        <v>381</v>
      </c>
      <c r="W699" s="218" t="s">
        <v>295</v>
      </c>
      <c r="X699" s="218" t="s">
        <v>379</v>
      </c>
      <c r="Y699" s="218">
        <v>32.68</v>
      </c>
      <c r="Z699" s="218">
        <f t="shared" si="14"/>
        <v>36</v>
      </c>
    </row>
    <row r="700" spans="1:26">
      <c r="A700" s="218" t="s">
        <v>2592</v>
      </c>
      <c r="B700" s="218"/>
      <c r="C700" s="218"/>
      <c r="D700" s="218"/>
      <c r="E700" s="218"/>
      <c r="F700" s="219" t="s">
        <v>4076</v>
      </c>
      <c r="G700" s="218" t="s">
        <v>269</v>
      </c>
      <c r="H700" s="218" t="s">
        <v>309</v>
      </c>
      <c r="I700" s="223">
        <v>43830</v>
      </c>
      <c r="J700" s="218" t="s">
        <v>4077</v>
      </c>
      <c r="K700" s="218" t="s">
        <v>4060</v>
      </c>
      <c r="L700" s="218" t="s">
        <v>2704</v>
      </c>
      <c r="M700" s="218" t="s">
        <v>4078</v>
      </c>
      <c r="N700" s="218">
        <v>55.67</v>
      </c>
      <c r="O700" s="218" t="s">
        <v>292</v>
      </c>
      <c r="P700" s="218">
        <v>72</v>
      </c>
      <c r="Q700" s="218" t="s">
        <v>640</v>
      </c>
      <c r="R700" s="218" t="s">
        <v>1580</v>
      </c>
      <c r="S700" s="218" t="s">
        <v>396</v>
      </c>
      <c r="T700" s="218" t="s">
        <v>2591</v>
      </c>
      <c r="U700" s="218" t="s">
        <v>2591</v>
      </c>
      <c r="V700" s="218" t="s">
        <v>381</v>
      </c>
      <c r="W700" s="218" t="s">
        <v>295</v>
      </c>
      <c r="X700" s="218" t="s">
        <v>379</v>
      </c>
      <c r="Y700" s="218">
        <v>65.36</v>
      </c>
      <c r="Z700" s="218">
        <f t="shared" si="14"/>
        <v>72</v>
      </c>
    </row>
    <row r="701" spans="1:26">
      <c r="A701" s="218" t="s">
        <v>2592</v>
      </c>
      <c r="B701" s="218"/>
      <c r="C701" s="218"/>
      <c r="D701" s="218"/>
      <c r="E701" s="218"/>
      <c r="F701" s="219" t="s">
        <v>4079</v>
      </c>
      <c r="G701" s="218" t="s">
        <v>269</v>
      </c>
      <c r="H701" s="218" t="s">
        <v>309</v>
      </c>
      <c r="I701" s="223">
        <v>43830</v>
      </c>
      <c r="J701" s="218" t="s">
        <v>4080</v>
      </c>
      <c r="K701" s="218" t="s">
        <v>4081</v>
      </c>
      <c r="L701" s="218" t="s">
        <v>2704</v>
      </c>
      <c r="M701" s="218" t="s">
        <v>4082</v>
      </c>
      <c r="N701" s="218">
        <v>6.5</v>
      </c>
      <c r="O701" s="218" t="s">
        <v>292</v>
      </c>
      <c r="P701" s="218">
        <v>8.4</v>
      </c>
      <c r="Q701" s="218" t="s">
        <v>1131</v>
      </c>
      <c r="R701" s="218" t="s">
        <v>2121</v>
      </c>
      <c r="S701" s="218" t="s">
        <v>396</v>
      </c>
      <c r="T701" s="218" t="s">
        <v>2591</v>
      </c>
      <c r="U701" s="218" t="s">
        <v>2591</v>
      </c>
      <c r="V701" s="218" t="s">
        <v>381</v>
      </c>
      <c r="W701" s="218" t="s">
        <v>295</v>
      </c>
      <c r="X701" s="218" t="s">
        <v>379</v>
      </c>
      <c r="Y701" s="218">
        <v>7.63</v>
      </c>
      <c r="Z701" s="218">
        <f t="shared" si="14"/>
        <v>8.4</v>
      </c>
    </row>
    <row r="702" spans="1:26">
      <c r="A702" s="218" t="s">
        <v>2592</v>
      </c>
      <c r="B702" s="218"/>
      <c r="C702" s="218"/>
      <c r="D702" s="218"/>
      <c r="E702" s="218"/>
      <c r="F702" s="219" t="s">
        <v>4083</v>
      </c>
      <c r="G702" s="218" t="s">
        <v>269</v>
      </c>
      <c r="H702" s="218" t="s">
        <v>309</v>
      </c>
      <c r="I702" s="223">
        <v>43830</v>
      </c>
      <c r="J702" s="218" t="s">
        <v>3039</v>
      </c>
      <c r="K702" s="218" t="s">
        <v>3000</v>
      </c>
      <c r="L702" s="218" t="s">
        <v>2704</v>
      </c>
      <c r="M702" s="218" t="s">
        <v>4084</v>
      </c>
      <c r="N702" s="218">
        <v>2.0099999999999998</v>
      </c>
      <c r="O702" s="218" t="s">
        <v>292</v>
      </c>
      <c r="P702" s="218">
        <v>2.6</v>
      </c>
      <c r="Q702" s="218" t="s">
        <v>2207</v>
      </c>
      <c r="R702" s="218" t="s">
        <v>2208</v>
      </c>
      <c r="S702" s="218" t="s">
        <v>396</v>
      </c>
      <c r="T702" s="218" t="s">
        <v>2591</v>
      </c>
      <c r="U702" s="218" t="s">
        <v>2591</v>
      </c>
      <c r="V702" s="218" t="s">
        <v>381</v>
      </c>
      <c r="W702" s="218" t="s">
        <v>295</v>
      </c>
      <c r="X702" s="218" t="s">
        <v>379</v>
      </c>
      <c r="Y702" s="218">
        <v>2.36</v>
      </c>
      <c r="Z702" s="218">
        <f t="shared" si="14"/>
        <v>2.6</v>
      </c>
    </row>
    <row r="703" spans="1:26">
      <c r="A703" s="218" t="s">
        <v>2592</v>
      </c>
      <c r="B703" s="218"/>
      <c r="C703" s="218"/>
      <c r="D703" s="218"/>
      <c r="E703" s="218"/>
      <c r="F703" s="219" t="s">
        <v>4085</v>
      </c>
      <c r="G703" s="218" t="s">
        <v>269</v>
      </c>
      <c r="H703" s="218" t="s">
        <v>309</v>
      </c>
      <c r="I703" s="223">
        <v>43830</v>
      </c>
      <c r="J703" s="218" t="s">
        <v>3043</v>
      </c>
      <c r="K703" s="218" t="s">
        <v>4081</v>
      </c>
      <c r="L703" s="218" t="s">
        <v>2704</v>
      </c>
      <c r="M703" s="218" t="s">
        <v>4086</v>
      </c>
      <c r="N703" s="218">
        <v>2.3199999999999998</v>
      </c>
      <c r="O703" s="218" t="s">
        <v>292</v>
      </c>
      <c r="P703" s="218">
        <v>3</v>
      </c>
      <c r="Q703" s="218" t="s">
        <v>1131</v>
      </c>
      <c r="R703" s="218" t="s">
        <v>2121</v>
      </c>
      <c r="S703" s="218" t="s">
        <v>396</v>
      </c>
      <c r="T703" s="218" t="s">
        <v>2591</v>
      </c>
      <c r="U703" s="218" t="s">
        <v>2591</v>
      </c>
      <c r="V703" s="218" t="s">
        <v>381</v>
      </c>
      <c r="W703" s="218" t="s">
        <v>295</v>
      </c>
      <c r="X703" s="218" t="s">
        <v>379</v>
      </c>
      <c r="Y703" s="218">
        <v>2.72</v>
      </c>
      <c r="Z703" s="218">
        <f t="shared" si="14"/>
        <v>3</v>
      </c>
    </row>
    <row r="704" spans="1:26">
      <c r="A704" s="218" t="s">
        <v>2592</v>
      </c>
      <c r="B704" s="218"/>
      <c r="C704" s="218"/>
      <c r="D704" s="218"/>
      <c r="E704" s="218"/>
      <c r="F704" s="219" t="s">
        <v>4087</v>
      </c>
      <c r="G704" s="218" t="s">
        <v>269</v>
      </c>
      <c r="H704" s="218" t="s">
        <v>309</v>
      </c>
      <c r="I704" s="223">
        <v>43830</v>
      </c>
      <c r="J704" s="218" t="s">
        <v>3043</v>
      </c>
      <c r="K704" s="218" t="s">
        <v>4088</v>
      </c>
      <c r="L704" s="218" t="s">
        <v>2704</v>
      </c>
      <c r="M704" s="218" t="s">
        <v>4089</v>
      </c>
      <c r="N704" s="218">
        <v>8.51</v>
      </c>
      <c r="O704" s="218" t="s">
        <v>292</v>
      </c>
      <c r="P704" s="218">
        <v>11</v>
      </c>
      <c r="Q704" s="218" t="s">
        <v>653</v>
      </c>
      <c r="R704" s="218" t="s">
        <v>2228</v>
      </c>
      <c r="S704" s="218" t="s">
        <v>396</v>
      </c>
      <c r="T704" s="218" t="s">
        <v>2591</v>
      </c>
      <c r="U704" s="218" t="s">
        <v>2591</v>
      </c>
      <c r="V704" s="218" t="s">
        <v>381</v>
      </c>
      <c r="W704" s="218" t="s">
        <v>295</v>
      </c>
      <c r="X704" s="218" t="s">
        <v>379</v>
      </c>
      <c r="Y704" s="218">
        <v>9.99</v>
      </c>
      <c r="Z704" s="218">
        <f t="shared" si="14"/>
        <v>11</v>
      </c>
    </row>
    <row r="705" spans="1:26">
      <c r="A705" s="218" t="s">
        <v>2592</v>
      </c>
      <c r="B705" s="218"/>
      <c r="C705" s="218"/>
      <c r="D705" s="218"/>
      <c r="E705" s="218"/>
      <c r="F705" s="219" t="s">
        <v>4090</v>
      </c>
      <c r="G705" s="218" t="s">
        <v>269</v>
      </c>
      <c r="H705" s="218" t="s">
        <v>309</v>
      </c>
      <c r="I705" s="223">
        <v>43830</v>
      </c>
      <c r="J705" s="218" t="s">
        <v>3043</v>
      </c>
      <c r="K705" s="218" t="s">
        <v>4064</v>
      </c>
      <c r="L705" s="218" t="s">
        <v>2704</v>
      </c>
      <c r="M705" s="218" t="s">
        <v>4065</v>
      </c>
      <c r="N705" s="218">
        <v>2.57</v>
      </c>
      <c r="O705" s="218" t="s">
        <v>292</v>
      </c>
      <c r="P705" s="218">
        <v>3.32</v>
      </c>
      <c r="Q705" s="218" t="s">
        <v>653</v>
      </c>
      <c r="R705" s="218" t="s">
        <v>2228</v>
      </c>
      <c r="S705" s="218" t="s">
        <v>396</v>
      </c>
      <c r="T705" s="218" t="s">
        <v>2591</v>
      </c>
      <c r="U705" s="218" t="s">
        <v>2591</v>
      </c>
      <c r="V705" s="218" t="s">
        <v>381</v>
      </c>
      <c r="W705" s="218" t="s">
        <v>295</v>
      </c>
      <c r="X705" s="218" t="s">
        <v>379</v>
      </c>
      <c r="Y705" s="218">
        <v>3.02</v>
      </c>
      <c r="Z705" s="218">
        <f t="shared" si="14"/>
        <v>3.32</v>
      </c>
    </row>
    <row r="706" spans="1:26">
      <c r="A706" s="218" t="s">
        <v>2592</v>
      </c>
      <c r="B706" s="218"/>
      <c r="C706" s="218"/>
      <c r="D706" s="218"/>
      <c r="E706" s="218"/>
      <c r="F706" s="219" t="s">
        <v>4091</v>
      </c>
      <c r="G706" s="218" t="s">
        <v>270</v>
      </c>
      <c r="H706" s="218" t="s">
        <v>309</v>
      </c>
      <c r="I706" s="223">
        <v>43769</v>
      </c>
      <c r="J706" s="218" t="s">
        <v>4092</v>
      </c>
      <c r="K706" s="218" t="s">
        <v>2601</v>
      </c>
      <c r="L706" s="218" t="s">
        <v>2596</v>
      </c>
      <c r="M706" s="218" t="s">
        <v>4093</v>
      </c>
      <c r="N706" s="218">
        <v>103.65</v>
      </c>
      <c r="O706" s="218" t="s">
        <v>292</v>
      </c>
      <c r="P706" s="218">
        <v>127.5</v>
      </c>
      <c r="Q706" s="218" t="s">
        <v>595</v>
      </c>
      <c r="R706" s="218" t="s">
        <v>1679</v>
      </c>
      <c r="S706" s="218" t="s">
        <v>396</v>
      </c>
      <c r="T706" s="218" t="s">
        <v>445</v>
      </c>
      <c r="U706" s="218" t="s">
        <v>2591</v>
      </c>
      <c r="V706" s="218" t="s">
        <v>381</v>
      </c>
      <c r="W706" s="218" t="s">
        <v>295</v>
      </c>
      <c r="X706" s="218" t="s">
        <v>379</v>
      </c>
      <c r="Y706" s="218">
        <v>116.75</v>
      </c>
      <c r="Z706" s="218">
        <f t="shared" si="14"/>
        <v>127.5</v>
      </c>
    </row>
    <row r="707" spans="1:26">
      <c r="A707" s="218" t="s">
        <v>2592</v>
      </c>
      <c r="B707" s="218"/>
      <c r="C707" s="218"/>
      <c r="D707" s="218"/>
      <c r="E707" s="218"/>
      <c r="F707" s="219" t="s">
        <v>4094</v>
      </c>
      <c r="G707" s="218" t="s">
        <v>270</v>
      </c>
      <c r="H707" s="218" t="s">
        <v>309</v>
      </c>
      <c r="I707" s="223">
        <v>43799</v>
      </c>
      <c r="J707" s="218" t="s">
        <v>4095</v>
      </c>
      <c r="K707" s="218" t="s">
        <v>4096</v>
      </c>
      <c r="L707" s="218" t="s">
        <v>3115</v>
      </c>
      <c r="M707" s="218" t="s">
        <v>4097</v>
      </c>
      <c r="N707" s="218">
        <v>15.45</v>
      </c>
      <c r="O707" s="218" t="s">
        <v>292</v>
      </c>
      <c r="P707" s="218">
        <v>20</v>
      </c>
      <c r="Q707" s="218" t="s">
        <v>1072</v>
      </c>
      <c r="R707" s="218" t="s">
        <v>2116</v>
      </c>
      <c r="S707" s="218" t="s">
        <v>400</v>
      </c>
      <c r="T707" s="218" t="s">
        <v>2591</v>
      </c>
      <c r="U707" s="218" t="s">
        <v>2591</v>
      </c>
      <c r="V707" s="218" t="s">
        <v>381</v>
      </c>
      <c r="W707" s="218" t="s">
        <v>295</v>
      </c>
      <c r="X707" s="218" t="s">
        <v>3117</v>
      </c>
      <c r="Y707" s="218">
        <v>17.920000000000002</v>
      </c>
      <c r="Z707" s="218">
        <f t="shared" si="14"/>
        <v>20</v>
      </c>
    </row>
    <row r="708" spans="1:26">
      <c r="A708" s="218" t="s">
        <v>2592</v>
      </c>
      <c r="B708" s="218"/>
      <c r="C708" s="218"/>
      <c r="D708" s="218"/>
      <c r="E708" s="218"/>
      <c r="F708" s="219" t="s">
        <v>4098</v>
      </c>
      <c r="G708" s="218" t="s">
        <v>270</v>
      </c>
      <c r="H708" s="218" t="s">
        <v>309</v>
      </c>
      <c r="I708" s="223">
        <v>43830</v>
      </c>
      <c r="J708" s="218" t="s">
        <v>4099</v>
      </c>
      <c r="K708" s="218" t="s">
        <v>4096</v>
      </c>
      <c r="L708" s="218" t="s">
        <v>2617</v>
      </c>
      <c r="M708" s="218" t="s">
        <v>4100</v>
      </c>
      <c r="N708" s="218">
        <v>32.86</v>
      </c>
      <c r="O708" s="218" t="s">
        <v>292</v>
      </c>
      <c r="P708" s="218">
        <v>42.5</v>
      </c>
      <c r="Q708" s="218" t="s">
        <v>595</v>
      </c>
      <c r="R708" s="218" t="s">
        <v>1679</v>
      </c>
      <c r="S708" s="218" t="s">
        <v>400</v>
      </c>
      <c r="T708" s="218" t="s">
        <v>440</v>
      </c>
      <c r="U708" s="218" t="s">
        <v>2591</v>
      </c>
      <c r="V708" s="218" t="s">
        <v>381</v>
      </c>
      <c r="W708" s="218" t="s">
        <v>295</v>
      </c>
      <c r="X708" s="218" t="s">
        <v>379</v>
      </c>
      <c r="Y708" s="218">
        <v>38.58</v>
      </c>
      <c r="Z708" s="218">
        <f t="shared" si="14"/>
        <v>42.5</v>
      </c>
    </row>
    <row r="709" spans="1:26">
      <c r="A709" s="218" t="s">
        <v>2592</v>
      </c>
      <c r="B709" s="218"/>
      <c r="C709" s="218"/>
      <c r="D709" s="218"/>
      <c r="E709" s="218"/>
      <c r="F709" s="219" t="s">
        <v>4101</v>
      </c>
      <c r="G709" s="218" t="s">
        <v>270</v>
      </c>
      <c r="H709" s="218" t="s">
        <v>309</v>
      </c>
      <c r="I709" s="223">
        <v>43830</v>
      </c>
      <c r="J709" s="218" t="s">
        <v>4102</v>
      </c>
      <c r="K709" s="218" t="s">
        <v>4096</v>
      </c>
      <c r="L709" s="218" t="s">
        <v>2617</v>
      </c>
      <c r="M709" s="218" t="s">
        <v>4103</v>
      </c>
      <c r="N709" s="218">
        <v>32.86</v>
      </c>
      <c r="O709" s="218" t="s">
        <v>292</v>
      </c>
      <c r="P709" s="218">
        <v>42.5</v>
      </c>
      <c r="Q709" s="218" t="s">
        <v>595</v>
      </c>
      <c r="R709" s="218" t="s">
        <v>1679</v>
      </c>
      <c r="S709" s="218" t="s">
        <v>400</v>
      </c>
      <c r="T709" s="218" t="s">
        <v>440</v>
      </c>
      <c r="U709" s="218" t="s">
        <v>2591</v>
      </c>
      <c r="V709" s="218" t="s">
        <v>381</v>
      </c>
      <c r="W709" s="218" t="s">
        <v>295</v>
      </c>
      <c r="X709" s="218" t="s">
        <v>379</v>
      </c>
      <c r="Y709" s="218">
        <v>38.58</v>
      </c>
      <c r="Z709" s="218">
        <f t="shared" si="14"/>
        <v>42.5</v>
      </c>
    </row>
    <row r="710" spans="1:26">
      <c r="A710" s="218" t="s">
        <v>2592</v>
      </c>
      <c r="B710" s="218"/>
      <c r="C710" s="218"/>
      <c r="D710" s="218"/>
      <c r="E710" s="218"/>
      <c r="F710" s="219" t="s">
        <v>4104</v>
      </c>
      <c r="G710" s="218" t="s">
        <v>271</v>
      </c>
      <c r="H710" s="218" t="s">
        <v>309</v>
      </c>
      <c r="I710" s="223">
        <v>43769</v>
      </c>
      <c r="J710" s="218" t="s">
        <v>4105</v>
      </c>
      <c r="K710" s="218" t="s">
        <v>2601</v>
      </c>
      <c r="L710" s="218" t="s">
        <v>2596</v>
      </c>
      <c r="M710" s="218" t="s">
        <v>4106</v>
      </c>
      <c r="N710" s="218">
        <v>112.93</v>
      </c>
      <c r="O710" s="218" t="s">
        <v>292</v>
      </c>
      <c r="P710" s="218">
        <v>138.91999999999999</v>
      </c>
      <c r="Q710" s="218" t="s">
        <v>637</v>
      </c>
      <c r="R710" s="218" t="s">
        <v>2255</v>
      </c>
      <c r="S710" s="218" t="s">
        <v>396</v>
      </c>
      <c r="T710" s="218" t="s">
        <v>2591</v>
      </c>
      <c r="U710" s="218" t="s">
        <v>2591</v>
      </c>
      <c r="V710" s="218" t="s">
        <v>381</v>
      </c>
      <c r="W710" s="218" t="s">
        <v>295</v>
      </c>
      <c r="X710" s="218" t="s">
        <v>379</v>
      </c>
      <c r="Y710" s="218">
        <v>127.21</v>
      </c>
      <c r="Z710" s="218">
        <f t="shared" si="14"/>
        <v>138.91999999999999</v>
      </c>
    </row>
    <row r="711" spans="1:26">
      <c r="A711" s="218" t="s">
        <v>2592</v>
      </c>
      <c r="B711" s="218"/>
      <c r="C711" s="218"/>
      <c r="D711" s="218"/>
      <c r="E711" s="218"/>
      <c r="F711" s="219" t="s">
        <v>4107</v>
      </c>
      <c r="G711" s="218" t="s">
        <v>271</v>
      </c>
      <c r="H711" s="218" t="s">
        <v>309</v>
      </c>
      <c r="I711" s="223">
        <v>43769</v>
      </c>
      <c r="J711" s="218" t="s">
        <v>4108</v>
      </c>
      <c r="K711" s="218" t="s">
        <v>2601</v>
      </c>
      <c r="L711" s="218" t="s">
        <v>2596</v>
      </c>
      <c r="M711" s="218" t="s">
        <v>4109</v>
      </c>
      <c r="N711" s="218">
        <v>65.2</v>
      </c>
      <c r="O711" s="218" t="s">
        <v>292</v>
      </c>
      <c r="P711" s="218">
        <v>80.2</v>
      </c>
      <c r="Q711" s="218" t="s">
        <v>637</v>
      </c>
      <c r="R711" s="218" t="s">
        <v>2255</v>
      </c>
      <c r="S711" s="218" t="s">
        <v>396</v>
      </c>
      <c r="T711" s="218" t="s">
        <v>2591</v>
      </c>
      <c r="U711" s="218" t="s">
        <v>2591</v>
      </c>
      <c r="V711" s="218" t="s">
        <v>381</v>
      </c>
      <c r="W711" s="218" t="s">
        <v>295</v>
      </c>
      <c r="X711" s="218" t="s">
        <v>379</v>
      </c>
      <c r="Y711" s="218">
        <v>73.44</v>
      </c>
      <c r="Z711" s="218">
        <f t="shared" si="14"/>
        <v>80.2</v>
      </c>
    </row>
    <row r="712" spans="1:26">
      <c r="A712" s="218" t="s">
        <v>2592</v>
      </c>
      <c r="B712" s="218"/>
      <c r="C712" s="218"/>
      <c r="D712" s="218"/>
      <c r="E712" s="218"/>
      <c r="F712" s="219" t="s">
        <v>4110</v>
      </c>
      <c r="G712" s="218" t="s">
        <v>271</v>
      </c>
      <c r="H712" s="218" t="s">
        <v>309</v>
      </c>
      <c r="I712" s="223">
        <v>43769</v>
      </c>
      <c r="J712" s="218" t="s">
        <v>2991</v>
      </c>
      <c r="K712" s="218" t="s">
        <v>2601</v>
      </c>
      <c r="L712" s="218" t="s">
        <v>2596</v>
      </c>
      <c r="M712" s="218" t="s">
        <v>4111</v>
      </c>
      <c r="N712" s="218">
        <v>17.48</v>
      </c>
      <c r="O712" s="218" t="s">
        <v>292</v>
      </c>
      <c r="P712" s="218">
        <v>21.5</v>
      </c>
      <c r="Q712" s="218" t="s">
        <v>637</v>
      </c>
      <c r="R712" s="218" t="s">
        <v>2255</v>
      </c>
      <c r="S712" s="218" t="s">
        <v>396</v>
      </c>
      <c r="T712" s="218" t="s">
        <v>2591</v>
      </c>
      <c r="U712" s="218" t="s">
        <v>2591</v>
      </c>
      <c r="V712" s="218" t="s">
        <v>381</v>
      </c>
      <c r="W712" s="218" t="s">
        <v>295</v>
      </c>
      <c r="X712" s="218" t="s">
        <v>379</v>
      </c>
      <c r="Y712" s="218">
        <v>19.690000000000001</v>
      </c>
      <c r="Z712" s="218">
        <f t="shared" si="14"/>
        <v>21.5</v>
      </c>
    </row>
    <row r="713" spans="1:26">
      <c r="A713" s="218" t="s">
        <v>2592</v>
      </c>
      <c r="B713" s="218"/>
      <c r="C713" s="218"/>
      <c r="D713" s="218"/>
      <c r="E713" s="218"/>
      <c r="F713" s="219" t="s">
        <v>4112</v>
      </c>
      <c r="G713" s="218" t="s">
        <v>271</v>
      </c>
      <c r="H713" s="218" t="s">
        <v>309</v>
      </c>
      <c r="I713" s="223">
        <v>43799</v>
      </c>
      <c r="J713" s="218" t="s">
        <v>4063</v>
      </c>
      <c r="K713" s="218" t="s">
        <v>4113</v>
      </c>
      <c r="L713" s="218" t="s">
        <v>2996</v>
      </c>
      <c r="M713" s="218" t="s">
        <v>4114</v>
      </c>
      <c r="N713" s="218">
        <v>7.73</v>
      </c>
      <c r="O713" s="218" t="s">
        <v>292</v>
      </c>
      <c r="P713" s="218">
        <v>10</v>
      </c>
      <c r="Q713" s="218" t="s">
        <v>637</v>
      </c>
      <c r="R713" s="218" t="s">
        <v>2255</v>
      </c>
      <c r="S713" s="218" t="s">
        <v>396</v>
      </c>
      <c r="T713" s="218" t="s">
        <v>2591</v>
      </c>
      <c r="U713" s="218" t="s">
        <v>2591</v>
      </c>
      <c r="V713" s="218" t="s">
        <v>381</v>
      </c>
      <c r="W713" s="218" t="s">
        <v>295</v>
      </c>
      <c r="X713" s="218" t="s">
        <v>379</v>
      </c>
      <c r="Y713" s="218">
        <v>8.9700000000000006</v>
      </c>
      <c r="Z713" s="218">
        <f t="shared" si="14"/>
        <v>10</v>
      </c>
    </row>
    <row r="714" spans="1:26">
      <c r="A714" s="218" t="s">
        <v>2592</v>
      </c>
      <c r="B714" s="218"/>
      <c r="C714" s="218"/>
      <c r="D714" s="218"/>
      <c r="E714" s="218"/>
      <c r="F714" s="219" t="s">
        <v>4115</v>
      </c>
      <c r="G714" s="218" t="s">
        <v>271</v>
      </c>
      <c r="H714" s="218" t="s">
        <v>309</v>
      </c>
      <c r="I714" s="223">
        <v>43799</v>
      </c>
      <c r="J714" s="218" t="s">
        <v>4063</v>
      </c>
      <c r="K714" s="218" t="s">
        <v>4116</v>
      </c>
      <c r="L714" s="218" t="s">
        <v>2996</v>
      </c>
      <c r="M714" s="218" t="s">
        <v>4117</v>
      </c>
      <c r="N714" s="218">
        <v>12.36</v>
      </c>
      <c r="O714" s="218" t="s">
        <v>292</v>
      </c>
      <c r="P714" s="218">
        <v>16</v>
      </c>
      <c r="Q714" s="218" t="s">
        <v>637</v>
      </c>
      <c r="R714" s="218" t="s">
        <v>2255</v>
      </c>
      <c r="S714" s="218" t="s">
        <v>396</v>
      </c>
      <c r="T714" s="218" t="s">
        <v>2591</v>
      </c>
      <c r="U714" s="218" t="s">
        <v>2591</v>
      </c>
      <c r="V714" s="218" t="s">
        <v>381</v>
      </c>
      <c r="W714" s="218" t="s">
        <v>295</v>
      </c>
      <c r="X714" s="218" t="s">
        <v>379</v>
      </c>
      <c r="Y714" s="218">
        <v>14.34</v>
      </c>
      <c r="Z714" s="218">
        <f t="shared" si="14"/>
        <v>16</v>
      </c>
    </row>
    <row r="715" spans="1:26">
      <c r="A715" s="218" t="s">
        <v>2592</v>
      </c>
      <c r="B715" s="218"/>
      <c r="C715" s="218"/>
      <c r="D715" s="218"/>
      <c r="E715" s="218"/>
      <c r="F715" s="219" t="s">
        <v>4118</v>
      </c>
      <c r="G715" s="218" t="s">
        <v>271</v>
      </c>
      <c r="H715" s="218" t="s">
        <v>309</v>
      </c>
      <c r="I715" s="223">
        <v>43810</v>
      </c>
      <c r="J715" s="218" t="s">
        <v>4119</v>
      </c>
      <c r="K715" s="218" t="s">
        <v>2591</v>
      </c>
      <c r="L715" s="218" t="s">
        <v>4120</v>
      </c>
      <c r="M715" s="218" t="s">
        <v>4121</v>
      </c>
      <c r="N715" s="218">
        <v>300</v>
      </c>
      <c r="O715" s="218" t="s">
        <v>2591</v>
      </c>
      <c r="P715" s="218">
        <v>0</v>
      </c>
      <c r="Q715" s="218" t="s">
        <v>776</v>
      </c>
      <c r="R715" s="218" t="s">
        <v>4122</v>
      </c>
      <c r="S715" s="218" t="s">
        <v>374</v>
      </c>
      <c r="T715" s="218" t="s">
        <v>2591</v>
      </c>
      <c r="U715" s="218" t="s">
        <v>2591</v>
      </c>
      <c r="V715" s="218" t="s">
        <v>381</v>
      </c>
      <c r="W715" s="218" t="s">
        <v>295</v>
      </c>
      <c r="X715" s="218" t="s">
        <v>379</v>
      </c>
      <c r="Y715" s="218">
        <v>352.19</v>
      </c>
      <c r="Z715" s="218">
        <v>387.97</v>
      </c>
    </row>
    <row r="716" spans="1:26">
      <c r="A716" s="218" t="s">
        <v>2592</v>
      </c>
      <c r="B716" s="218"/>
      <c r="C716" s="218"/>
      <c r="D716" s="218"/>
      <c r="E716" s="218"/>
      <c r="F716" s="219" t="s">
        <v>4123</v>
      </c>
      <c r="G716" s="218" t="s">
        <v>271</v>
      </c>
      <c r="H716" s="218" t="s">
        <v>309</v>
      </c>
      <c r="I716" s="223">
        <v>43810</v>
      </c>
      <c r="J716" s="218" t="s">
        <v>4119</v>
      </c>
      <c r="K716" s="218" t="s">
        <v>2591</v>
      </c>
      <c r="L716" s="218" t="s">
        <v>4120</v>
      </c>
      <c r="M716" s="218" t="s">
        <v>4121</v>
      </c>
      <c r="N716" s="218">
        <v>0</v>
      </c>
      <c r="O716" s="218" t="s">
        <v>2591</v>
      </c>
      <c r="P716" s="218">
        <v>0</v>
      </c>
      <c r="Q716" s="218" t="s">
        <v>776</v>
      </c>
      <c r="R716" s="218" t="s">
        <v>4122</v>
      </c>
      <c r="S716" s="218" t="s">
        <v>374</v>
      </c>
      <c r="T716" s="218" t="s">
        <v>2591</v>
      </c>
      <c r="U716" s="218" t="s">
        <v>2591</v>
      </c>
      <c r="V716" s="218" t="s">
        <v>381</v>
      </c>
      <c r="W716" s="218" t="s">
        <v>295</v>
      </c>
      <c r="X716" s="218" t="s">
        <v>379</v>
      </c>
      <c r="Y716" s="218">
        <v>0</v>
      </c>
      <c r="Z716" s="218">
        <v>0</v>
      </c>
    </row>
    <row r="717" spans="1:26">
      <c r="A717" s="218" t="s">
        <v>2592</v>
      </c>
      <c r="B717" s="218"/>
      <c r="C717" s="218"/>
      <c r="D717" s="218"/>
      <c r="E717" s="218"/>
      <c r="F717" s="219" t="s">
        <v>4124</v>
      </c>
      <c r="G717" s="218" t="s">
        <v>271</v>
      </c>
      <c r="H717" s="218" t="s">
        <v>309</v>
      </c>
      <c r="I717" s="223">
        <v>43830</v>
      </c>
      <c r="J717" s="218" t="s">
        <v>4080</v>
      </c>
      <c r="K717" s="218" t="s">
        <v>4125</v>
      </c>
      <c r="L717" s="218" t="s">
        <v>2704</v>
      </c>
      <c r="M717" s="218" t="s">
        <v>4126</v>
      </c>
      <c r="N717" s="218">
        <v>30.54</v>
      </c>
      <c r="O717" s="218" t="s">
        <v>292</v>
      </c>
      <c r="P717" s="218">
        <v>39.5</v>
      </c>
      <c r="Q717" s="218" t="s">
        <v>637</v>
      </c>
      <c r="R717" s="218" t="s">
        <v>2255</v>
      </c>
      <c r="S717" s="218" t="s">
        <v>396</v>
      </c>
      <c r="T717" s="218" t="s">
        <v>2591</v>
      </c>
      <c r="U717" s="218" t="s">
        <v>2591</v>
      </c>
      <c r="V717" s="218" t="s">
        <v>381</v>
      </c>
      <c r="W717" s="218" t="s">
        <v>295</v>
      </c>
      <c r="X717" s="218" t="s">
        <v>379</v>
      </c>
      <c r="Y717" s="218">
        <v>35.85</v>
      </c>
      <c r="Z717" s="218">
        <f t="shared" ref="Z717:Z729" si="15">P717</f>
        <v>39.5</v>
      </c>
    </row>
    <row r="718" spans="1:26">
      <c r="A718" s="218" t="s">
        <v>2592</v>
      </c>
      <c r="B718" s="218"/>
      <c r="C718" s="218"/>
      <c r="D718" s="218"/>
      <c r="E718" s="218"/>
      <c r="F718" s="219" t="s">
        <v>4127</v>
      </c>
      <c r="G718" s="218" t="s">
        <v>271</v>
      </c>
      <c r="H718" s="218" t="s">
        <v>309</v>
      </c>
      <c r="I718" s="223">
        <v>43830</v>
      </c>
      <c r="J718" s="218" t="s">
        <v>4080</v>
      </c>
      <c r="K718" s="218" t="s">
        <v>4125</v>
      </c>
      <c r="L718" s="218" t="s">
        <v>2704</v>
      </c>
      <c r="M718" s="218" t="s">
        <v>4128</v>
      </c>
      <c r="N718" s="218">
        <v>12.37</v>
      </c>
      <c r="O718" s="218" t="s">
        <v>292</v>
      </c>
      <c r="P718" s="218">
        <v>16</v>
      </c>
      <c r="Q718" s="218" t="s">
        <v>637</v>
      </c>
      <c r="R718" s="218" t="s">
        <v>2255</v>
      </c>
      <c r="S718" s="218" t="s">
        <v>396</v>
      </c>
      <c r="T718" s="218" t="s">
        <v>2591</v>
      </c>
      <c r="U718" s="218" t="s">
        <v>2591</v>
      </c>
      <c r="V718" s="218" t="s">
        <v>381</v>
      </c>
      <c r="W718" s="218" t="s">
        <v>295</v>
      </c>
      <c r="X718" s="218" t="s">
        <v>379</v>
      </c>
      <c r="Y718" s="218">
        <v>14.52</v>
      </c>
      <c r="Z718" s="218">
        <f t="shared" si="15"/>
        <v>16</v>
      </c>
    </row>
    <row r="719" spans="1:26">
      <c r="A719" s="218" t="s">
        <v>2592</v>
      </c>
      <c r="B719" s="218"/>
      <c r="C719" s="218"/>
      <c r="D719" s="218"/>
      <c r="E719" s="218"/>
      <c r="F719" s="219" t="s">
        <v>4129</v>
      </c>
      <c r="G719" s="218" t="s">
        <v>271</v>
      </c>
      <c r="H719" s="218" t="s">
        <v>309</v>
      </c>
      <c r="I719" s="223">
        <v>43830</v>
      </c>
      <c r="J719" s="218" t="s">
        <v>4080</v>
      </c>
      <c r="K719" s="218" t="s">
        <v>4113</v>
      </c>
      <c r="L719" s="218" t="s">
        <v>2704</v>
      </c>
      <c r="M719" s="218" t="s">
        <v>4130</v>
      </c>
      <c r="N719" s="218">
        <v>7.73</v>
      </c>
      <c r="O719" s="218" t="s">
        <v>292</v>
      </c>
      <c r="P719" s="218">
        <v>10</v>
      </c>
      <c r="Q719" s="218" t="s">
        <v>637</v>
      </c>
      <c r="R719" s="218" t="s">
        <v>2255</v>
      </c>
      <c r="S719" s="218" t="s">
        <v>396</v>
      </c>
      <c r="T719" s="218" t="s">
        <v>2591</v>
      </c>
      <c r="U719" s="218" t="s">
        <v>2591</v>
      </c>
      <c r="V719" s="218" t="s">
        <v>381</v>
      </c>
      <c r="W719" s="218" t="s">
        <v>295</v>
      </c>
      <c r="X719" s="218" t="s">
        <v>379</v>
      </c>
      <c r="Y719" s="218">
        <v>9.07</v>
      </c>
      <c r="Z719" s="218">
        <f t="shared" si="15"/>
        <v>10</v>
      </c>
    </row>
    <row r="720" spans="1:26">
      <c r="A720" s="218" t="s">
        <v>2592</v>
      </c>
      <c r="B720" s="218"/>
      <c r="C720" s="218"/>
      <c r="D720" s="218"/>
      <c r="E720" s="218"/>
      <c r="F720" s="219" t="s">
        <v>4131</v>
      </c>
      <c r="G720" s="218" t="s">
        <v>271</v>
      </c>
      <c r="H720" s="218" t="s">
        <v>309</v>
      </c>
      <c r="I720" s="223">
        <v>43830</v>
      </c>
      <c r="J720" s="218" t="s">
        <v>4080</v>
      </c>
      <c r="K720" s="218" t="s">
        <v>4088</v>
      </c>
      <c r="L720" s="218" t="s">
        <v>2704</v>
      </c>
      <c r="M720" s="218" t="s">
        <v>4132</v>
      </c>
      <c r="N720" s="218">
        <v>13.92</v>
      </c>
      <c r="O720" s="218" t="s">
        <v>292</v>
      </c>
      <c r="P720" s="218">
        <v>18</v>
      </c>
      <c r="Q720" s="218" t="s">
        <v>653</v>
      </c>
      <c r="R720" s="218" t="s">
        <v>2228</v>
      </c>
      <c r="S720" s="218" t="s">
        <v>396</v>
      </c>
      <c r="T720" s="218" t="s">
        <v>2591</v>
      </c>
      <c r="U720" s="218" t="s">
        <v>2591</v>
      </c>
      <c r="V720" s="218" t="s">
        <v>381</v>
      </c>
      <c r="W720" s="218" t="s">
        <v>295</v>
      </c>
      <c r="X720" s="218" t="s">
        <v>379</v>
      </c>
      <c r="Y720" s="218">
        <v>16.34</v>
      </c>
      <c r="Z720" s="218">
        <f t="shared" si="15"/>
        <v>18</v>
      </c>
    </row>
    <row r="721" spans="1:26">
      <c r="A721" s="218" t="s">
        <v>2592</v>
      </c>
      <c r="B721" s="218"/>
      <c r="C721" s="218"/>
      <c r="D721" s="218"/>
      <c r="E721" s="218"/>
      <c r="F721" s="219" t="s">
        <v>4133</v>
      </c>
      <c r="G721" s="218" t="s">
        <v>271</v>
      </c>
      <c r="H721" s="218" t="s">
        <v>309</v>
      </c>
      <c r="I721" s="223">
        <v>43830</v>
      </c>
      <c r="J721" s="218" t="s">
        <v>3043</v>
      </c>
      <c r="K721" s="218" t="s">
        <v>4113</v>
      </c>
      <c r="L721" s="218" t="s">
        <v>2704</v>
      </c>
      <c r="M721" s="218" t="s">
        <v>4134</v>
      </c>
      <c r="N721" s="218">
        <v>7.73</v>
      </c>
      <c r="O721" s="218" t="s">
        <v>292</v>
      </c>
      <c r="P721" s="218">
        <v>10</v>
      </c>
      <c r="Q721" s="218" t="s">
        <v>637</v>
      </c>
      <c r="R721" s="218" t="s">
        <v>2255</v>
      </c>
      <c r="S721" s="218" t="s">
        <v>396</v>
      </c>
      <c r="T721" s="218" t="s">
        <v>2591</v>
      </c>
      <c r="U721" s="218" t="s">
        <v>2591</v>
      </c>
      <c r="V721" s="218" t="s">
        <v>381</v>
      </c>
      <c r="W721" s="218" t="s">
        <v>295</v>
      </c>
      <c r="X721" s="218" t="s">
        <v>379</v>
      </c>
      <c r="Y721" s="218">
        <v>9.07</v>
      </c>
      <c r="Z721" s="218">
        <f t="shared" si="15"/>
        <v>10</v>
      </c>
    </row>
    <row r="722" spans="1:26">
      <c r="A722" s="218" t="s">
        <v>2592</v>
      </c>
      <c r="B722" s="218"/>
      <c r="C722" s="218"/>
      <c r="D722" s="218"/>
      <c r="E722" s="218"/>
      <c r="F722" s="219" t="s">
        <v>4135</v>
      </c>
      <c r="G722" s="218" t="s">
        <v>271</v>
      </c>
      <c r="H722" s="218" t="s">
        <v>309</v>
      </c>
      <c r="I722" s="223">
        <v>43830</v>
      </c>
      <c r="J722" s="218" t="s">
        <v>3043</v>
      </c>
      <c r="K722" s="218" t="s">
        <v>4113</v>
      </c>
      <c r="L722" s="218" t="s">
        <v>2704</v>
      </c>
      <c r="M722" s="218" t="s">
        <v>4134</v>
      </c>
      <c r="N722" s="218">
        <v>7.73</v>
      </c>
      <c r="O722" s="218" t="s">
        <v>292</v>
      </c>
      <c r="P722" s="218">
        <v>10</v>
      </c>
      <c r="Q722" s="218" t="s">
        <v>637</v>
      </c>
      <c r="R722" s="218" t="s">
        <v>2255</v>
      </c>
      <c r="S722" s="218" t="s">
        <v>396</v>
      </c>
      <c r="T722" s="218" t="s">
        <v>2591</v>
      </c>
      <c r="U722" s="218" t="s">
        <v>2591</v>
      </c>
      <c r="V722" s="218" t="s">
        <v>381</v>
      </c>
      <c r="W722" s="218" t="s">
        <v>295</v>
      </c>
      <c r="X722" s="218" t="s">
        <v>379</v>
      </c>
      <c r="Y722" s="218">
        <v>9.07</v>
      </c>
      <c r="Z722" s="218">
        <f t="shared" si="15"/>
        <v>10</v>
      </c>
    </row>
    <row r="723" spans="1:26">
      <c r="A723" s="218" t="s">
        <v>2592</v>
      </c>
      <c r="B723" s="218"/>
      <c r="C723" s="218"/>
      <c r="D723" s="218"/>
      <c r="E723" s="218"/>
      <c r="F723" s="219" t="s">
        <v>4136</v>
      </c>
      <c r="G723" s="218" t="s">
        <v>272</v>
      </c>
      <c r="H723" s="218" t="s">
        <v>309</v>
      </c>
      <c r="I723" s="223">
        <v>43769</v>
      </c>
      <c r="J723" s="218" t="s">
        <v>4137</v>
      </c>
      <c r="K723" s="218" t="s">
        <v>3104</v>
      </c>
      <c r="L723" s="218" t="s">
        <v>2596</v>
      </c>
      <c r="M723" s="218" t="s">
        <v>4138</v>
      </c>
      <c r="N723" s="218">
        <v>48.78</v>
      </c>
      <c r="O723" s="218" t="s">
        <v>292</v>
      </c>
      <c r="P723" s="218">
        <v>60</v>
      </c>
      <c r="Q723" s="218" t="s">
        <v>1207</v>
      </c>
      <c r="R723" s="218" t="s">
        <v>2286</v>
      </c>
      <c r="S723" s="218" t="s">
        <v>400</v>
      </c>
      <c r="T723" s="218" t="s">
        <v>2591</v>
      </c>
      <c r="U723" s="218" t="s">
        <v>2591</v>
      </c>
      <c r="V723" s="218" t="s">
        <v>381</v>
      </c>
      <c r="W723" s="218" t="s">
        <v>295</v>
      </c>
      <c r="X723" s="218" t="s">
        <v>379</v>
      </c>
      <c r="Y723" s="218">
        <v>54.95</v>
      </c>
      <c r="Z723" s="218">
        <f t="shared" si="15"/>
        <v>60</v>
      </c>
    </row>
    <row r="724" spans="1:26">
      <c r="A724" s="218" t="s">
        <v>2592</v>
      </c>
      <c r="B724" s="218"/>
      <c r="C724" s="218"/>
      <c r="D724" s="218"/>
      <c r="E724" s="218"/>
      <c r="F724" s="219" t="s">
        <v>4139</v>
      </c>
      <c r="G724" s="218" t="s">
        <v>272</v>
      </c>
      <c r="H724" s="218" t="s">
        <v>309</v>
      </c>
      <c r="I724" s="223">
        <v>43769</v>
      </c>
      <c r="J724" s="218" t="s">
        <v>4137</v>
      </c>
      <c r="K724" s="218" t="s">
        <v>3104</v>
      </c>
      <c r="L724" s="218" t="s">
        <v>2596</v>
      </c>
      <c r="M724" s="218" t="s">
        <v>4140</v>
      </c>
      <c r="N724" s="218">
        <v>40.65</v>
      </c>
      <c r="O724" s="218" t="s">
        <v>292</v>
      </c>
      <c r="P724" s="218">
        <v>50</v>
      </c>
      <c r="Q724" s="218" t="s">
        <v>1207</v>
      </c>
      <c r="R724" s="218" t="s">
        <v>2286</v>
      </c>
      <c r="S724" s="218" t="s">
        <v>400</v>
      </c>
      <c r="T724" s="218" t="s">
        <v>2591</v>
      </c>
      <c r="U724" s="218" t="s">
        <v>2591</v>
      </c>
      <c r="V724" s="218" t="s">
        <v>381</v>
      </c>
      <c r="W724" s="218" t="s">
        <v>295</v>
      </c>
      <c r="X724" s="218" t="s">
        <v>379</v>
      </c>
      <c r="Y724" s="218">
        <v>45.79</v>
      </c>
      <c r="Z724" s="218">
        <f t="shared" si="15"/>
        <v>50</v>
      </c>
    </row>
    <row r="725" spans="1:26">
      <c r="A725" s="218" t="s">
        <v>2592</v>
      </c>
      <c r="B725" s="218"/>
      <c r="C725" s="218"/>
      <c r="D725" s="218"/>
      <c r="E725" s="218"/>
      <c r="F725" s="219" t="s">
        <v>4141</v>
      </c>
      <c r="G725" s="218" t="s">
        <v>272</v>
      </c>
      <c r="H725" s="218" t="s">
        <v>309</v>
      </c>
      <c r="I725" s="223">
        <v>43769</v>
      </c>
      <c r="J725" s="218" t="s">
        <v>4137</v>
      </c>
      <c r="K725" s="218" t="s">
        <v>3104</v>
      </c>
      <c r="L725" s="218" t="s">
        <v>2596</v>
      </c>
      <c r="M725" s="218" t="s">
        <v>4142</v>
      </c>
      <c r="N725" s="218">
        <v>24.39</v>
      </c>
      <c r="O725" s="218" t="s">
        <v>292</v>
      </c>
      <c r="P725" s="218">
        <v>30</v>
      </c>
      <c r="Q725" s="218" t="s">
        <v>1207</v>
      </c>
      <c r="R725" s="218" t="s">
        <v>2286</v>
      </c>
      <c r="S725" s="218" t="s">
        <v>400</v>
      </c>
      <c r="T725" s="218" t="s">
        <v>2591</v>
      </c>
      <c r="U725" s="218" t="s">
        <v>2591</v>
      </c>
      <c r="V725" s="218" t="s">
        <v>381</v>
      </c>
      <c r="W725" s="218" t="s">
        <v>295</v>
      </c>
      <c r="X725" s="218" t="s">
        <v>379</v>
      </c>
      <c r="Y725" s="218">
        <v>27.47</v>
      </c>
      <c r="Z725" s="218">
        <f t="shared" si="15"/>
        <v>30</v>
      </c>
    </row>
    <row r="726" spans="1:26">
      <c r="A726" s="218" t="s">
        <v>2592</v>
      </c>
      <c r="B726" s="218"/>
      <c r="C726" s="218"/>
      <c r="D726" s="218"/>
      <c r="E726" s="218"/>
      <c r="F726" s="219" t="s">
        <v>4143</v>
      </c>
      <c r="G726" s="218" t="s">
        <v>272</v>
      </c>
      <c r="H726" s="218" t="s">
        <v>309</v>
      </c>
      <c r="I726" s="223">
        <v>43769</v>
      </c>
      <c r="J726" s="218" t="s">
        <v>4137</v>
      </c>
      <c r="K726" s="218" t="s">
        <v>3104</v>
      </c>
      <c r="L726" s="218" t="s">
        <v>2596</v>
      </c>
      <c r="M726" s="218" t="s">
        <v>4144</v>
      </c>
      <c r="N726" s="218">
        <v>6.84</v>
      </c>
      <c r="O726" s="218" t="s">
        <v>292</v>
      </c>
      <c r="P726" s="218">
        <v>8.42</v>
      </c>
      <c r="Q726" s="218" t="s">
        <v>1207</v>
      </c>
      <c r="R726" s="218" t="s">
        <v>2286</v>
      </c>
      <c r="S726" s="218" t="s">
        <v>400</v>
      </c>
      <c r="T726" s="218" t="s">
        <v>2591</v>
      </c>
      <c r="U726" s="218" t="s">
        <v>2591</v>
      </c>
      <c r="V726" s="218" t="s">
        <v>381</v>
      </c>
      <c r="W726" s="218" t="s">
        <v>295</v>
      </c>
      <c r="X726" s="218" t="s">
        <v>379</v>
      </c>
      <c r="Y726" s="218">
        <v>7.7</v>
      </c>
      <c r="Z726" s="218">
        <f t="shared" si="15"/>
        <v>8.42</v>
      </c>
    </row>
    <row r="727" spans="1:26">
      <c r="A727" s="218" t="s">
        <v>2592</v>
      </c>
      <c r="B727" s="218"/>
      <c r="C727" s="218"/>
      <c r="D727" s="218"/>
      <c r="E727" s="218"/>
      <c r="F727" s="219" t="s">
        <v>4145</v>
      </c>
      <c r="G727" s="218" t="s">
        <v>272</v>
      </c>
      <c r="H727" s="218" t="s">
        <v>309</v>
      </c>
      <c r="I727" s="223">
        <v>43769</v>
      </c>
      <c r="J727" s="218" t="s">
        <v>4137</v>
      </c>
      <c r="K727" s="218" t="s">
        <v>3104</v>
      </c>
      <c r="L727" s="218" t="s">
        <v>2596</v>
      </c>
      <c r="M727" s="218" t="s">
        <v>4146</v>
      </c>
      <c r="N727" s="218">
        <v>25.27</v>
      </c>
      <c r="O727" s="218" t="s">
        <v>292</v>
      </c>
      <c r="P727" s="218">
        <v>31.08</v>
      </c>
      <c r="Q727" s="218" t="s">
        <v>1207</v>
      </c>
      <c r="R727" s="218" t="s">
        <v>2286</v>
      </c>
      <c r="S727" s="218" t="s">
        <v>400</v>
      </c>
      <c r="T727" s="218" t="s">
        <v>2591</v>
      </c>
      <c r="U727" s="218" t="s">
        <v>2591</v>
      </c>
      <c r="V727" s="218" t="s">
        <v>381</v>
      </c>
      <c r="W727" s="218" t="s">
        <v>295</v>
      </c>
      <c r="X727" s="218" t="s">
        <v>379</v>
      </c>
      <c r="Y727" s="218">
        <v>28.46</v>
      </c>
      <c r="Z727" s="218">
        <f t="shared" si="15"/>
        <v>31.08</v>
      </c>
    </row>
    <row r="728" spans="1:26">
      <c r="A728" s="218" t="s">
        <v>2592</v>
      </c>
      <c r="B728" s="218"/>
      <c r="C728" s="218"/>
      <c r="D728" s="218"/>
      <c r="E728" s="218"/>
      <c r="F728" s="219" t="s">
        <v>4147</v>
      </c>
      <c r="G728" s="218" t="s">
        <v>272</v>
      </c>
      <c r="H728" s="218" t="s">
        <v>309</v>
      </c>
      <c r="I728" s="223">
        <v>43769</v>
      </c>
      <c r="J728" s="218" t="s">
        <v>4137</v>
      </c>
      <c r="K728" s="218" t="s">
        <v>3104</v>
      </c>
      <c r="L728" s="218" t="s">
        <v>2596</v>
      </c>
      <c r="M728" s="218" t="s">
        <v>4148</v>
      </c>
      <c r="N728" s="218">
        <v>3.8</v>
      </c>
      <c r="O728" s="218" t="s">
        <v>292</v>
      </c>
      <c r="P728" s="218">
        <v>4.68</v>
      </c>
      <c r="Q728" s="218" t="s">
        <v>1207</v>
      </c>
      <c r="R728" s="218" t="s">
        <v>2286</v>
      </c>
      <c r="S728" s="218" t="s">
        <v>400</v>
      </c>
      <c r="T728" s="218" t="s">
        <v>2591</v>
      </c>
      <c r="U728" s="218" t="s">
        <v>2591</v>
      </c>
      <c r="V728" s="218" t="s">
        <v>381</v>
      </c>
      <c r="W728" s="218" t="s">
        <v>295</v>
      </c>
      <c r="X728" s="218" t="s">
        <v>379</v>
      </c>
      <c r="Y728" s="218">
        <v>4.28</v>
      </c>
      <c r="Z728" s="218">
        <f t="shared" si="15"/>
        <v>4.68</v>
      </c>
    </row>
    <row r="729" spans="1:26">
      <c r="A729" s="218" t="s">
        <v>2592</v>
      </c>
      <c r="B729" s="218"/>
      <c r="C729" s="218"/>
      <c r="D729" s="218"/>
      <c r="E729" s="218"/>
      <c r="F729" s="219" t="s">
        <v>4149</v>
      </c>
      <c r="G729" s="218" t="s">
        <v>272</v>
      </c>
      <c r="H729" s="218" t="s">
        <v>309</v>
      </c>
      <c r="I729" s="223">
        <v>43769</v>
      </c>
      <c r="J729" s="218" t="s">
        <v>4150</v>
      </c>
      <c r="K729" s="218" t="s">
        <v>2601</v>
      </c>
      <c r="L729" s="218" t="s">
        <v>2596</v>
      </c>
      <c r="M729" s="218" t="s">
        <v>4151</v>
      </c>
      <c r="N729" s="218">
        <v>40.65</v>
      </c>
      <c r="O729" s="218" t="s">
        <v>292</v>
      </c>
      <c r="P729" s="218">
        <v>50</v>
      </c>
      <c r="Q729" s="218" t="s">
        <v>683</v>
      </c>
      <c r="R729" s="218" t="s">
        <v>2296</v>
      </c>
      <c r="S729" s="218" t="s">
        <v>396</v>
      </c>
      <c r="T729" s="218" t="s">
        <v>2591</v>
      </c>
      <c r="U729" s="218" t="s">
        <v>2591</v>
      </c>
      <c r="V729" s="218" t="s">
        <v>381</v>
      </c>
      <c r="W729" s="218" t="s">
        <v>295</v>
      </c>
      <c r="X729" s="218" t="s">
        <v>379</v>
      </c>
      <c r="Y729" s="218">
        <v>45.79</v>
      </c>
      <c r="Z729" s="218">
        <f t="shared" si="15"/>
        <v>50</v>
      </c>
    </row>
    <row r="730" spans="1:26">
      <c r="A730" s="218" t="s">
        <v>2592</v>
      </c>
      <c r="B730" s="218"/>
      <c r="C730" s="218"/>
      <c r="D730" s="218"/>
      <c r="E730" s="218"/>
      <c r="F730" s="219" t="s">
        <v>4152</v>
      </c>
      <c r="G730" s="218" t="s">
        <v>273</v>
      </c>
      <c r="H730" s="218" t="s">
        <v>309</v>
      </c>
      <c r="I730" s="223">
        <v>43769</v>
      </c>
      <c r="J730" s="218" t="s">
        <v>4153</v>
      </c>
      <c r="K730" s="218" t="s">
        <v>4154</v>
      </c>
      <c r="L730" s="218" t="s">
        <v>2596</v>
      </c>
      <c r="M730" s="218" t="s">
        <v>949</v>
      </c>
      <c r="N730" s="218">
        <v>4.0999999999999996</v>
      </c>
      <c r="O730" s="218" t="s">
        <v>2591</v>
      </c>
      <c r="P730" s="218">
        <v>0</v>
      </c>
      <c r="Q730" s="218" t="s">
        <v>380</v>
      </c>
      <c r="R730" s="218" t="s">
        <v>1693</v>
      </c>
      <c r="S730" s="218" t="s">
        <v>374</v>
      </c>
      <c r="T730" s="218" t="s">
        <v>2591</v>
      </c>
      <c r="U730" s="218" t="s">
        <v>2591</v>
      </c>
      <c r="V730" s="218" t="s">
        <v>381</v>
      </c>
      <c r="W730" s="218" t="s">
        <v>295</v>
      </c>
      <c r="X730" s="218" t="s">
        <v>379</v>
      </c>
      <c r="Y730" s="218">
        <v>4.62</v>
      </c>
      <c r="Z730" s="218">
        <v>5.04</v>
      </c>
    </row>
    <row r="731" spans="1:26">
      <c r="A731" s="218" t="s">
        <v>2592</v>
      </c>
      <c r="B731" s="218"/>
      <c r="C731" s="218"/>
      <c r="D731" s="218"/>
      <c r="E731" s="218"/>
      <c r="F731" s="219" t="s">
        <v>4155</v>
      </c>
      <c r="G731" s="218" t="s">
        <v>273</v>
      </c>
      <c r="H731" s="218" t="s">
        <v>309</v>
      </c>
      <c r="I731" s="223">
        <v>43769</v>
      </c>
      <c r="J731" s="218" t="s">
        <v>4153</v>
      </c>
      <c r="K731" s="218" t="s">
        <v>4154</v>
      </c>
      <c r="L731" s="218" t="s">
        <v>2596</v>
      </c>
      <c r="M731" s="218" t="s">
        <v>2326</v>
      </c>
      <c r="N731" s="218">
        <v>4.0999999999999996</v>
      </c>
      <c r="O731" s="218" t="s">
        <v>2591</v>
      </c>
      <c r="P731" s="218">
        <v>0</v>
      </c>
      <c r="Q731" s="218" t="s">
        <v>380</v>
      </c>
      <c r="R731" s="218" t="s">
        <v>1693</v>
      </c>
      <c r="S731" s="218" t="s">
        <v>374</v>
      </c>
      <c r="T731" s="218" t="s">
        <v>2591</v>
      </c>
      <c r="U731" s="218" t="s">
        <v>2591</v>
      </c>
      <c r="V731" s="218" t="s">
        <v>381</v>
      </c>
      <c r="W731" s="218" t="s">
        <v>295</v>
      </c>
      <c r="X731" s="218" t="s">
        <v>379</v>
      </c>
      <c r="Y731" s="218">
        <v>4.62</v>
      </c>
      <c r="Z731" s="218">
        <v>5.04</v>
      </c>
    </row>
    <row r="732" spans="1:26">
      <c r="A732" s="218" t="s">
        <v>2592</v>
      </c>
      <c r="B732" s="218"/>
      <c r="C732" s="218"/>
      <c r="D732" s="218"/>
      <c r="E732" s="218"/>
      <c r="F732" s="219" t="s">
        <v>4156</v>
      </c>
      <c r="G732" s="218" t="s">
        <v>273</v>
      </c>
      <c r="H732" s="218" t="s">
        <v>309</v>
      </c>
      <c r="I732" s="223">
        <v>43769</v>
      </c>
      <c r="J732" s="218" t="s">
        <v>4153</v>
      </c>
      <c r="K732" s="218" t="s">
        <v>4154</v>
      </c>
      <c r="L732" s="218" t="s">
        <v>2596</v>
      </c>
      <c r="M732" s="218" t="s">
        <v>950</v>
      </c>
      <c r="N732" s="218">
        <v>4.0999999999999996</v>
      </c>
      <c r="O732" s="218" t="s">
        <v>2591</v>
      </c>
      <c r="P732" s="218">
        <v>0</v>
      </c>
      <c r="Q732" s="218" t="s">
        <v>380</v>
      </c>
      <c r="R732" s="218" t="s">
        <v>1693</v>
      </c>
      <c r="S732" s="218" t="s">
        <v>374</v>
      </c>
      <c r="T732" s="218" t="s">
        <v>2591</v>
      </c>
      <c r="U732" s="218" t="s">
        <v>2591</v>
      </c>
      <c r="V732" s="218" t="s">
        <v>381</v>
      </c>
      <c r="W732" s="218" t="s">
        <v>295</v>
      </c>
      <c r="X732" s="218" t="s">
        <v>379</v>
      </c>
      <c r="Y732" s="218">
        <v>4.62</v>
      </c>
      <c r="Z732" s="218">
        <v>5.04</v>
      </c>
    </row>
    <row r="733" spans="1:26">
      <c r="A733" s="218" t="s">
        <v>2592</v>
      </c>
      <c r="B733" s="218"/>
      <c r="C733" s="218"/>
      <c r="D733" s="218"/>
      <c r="E733" s="218"/>
      <c r="F733" s="219" t="s">
        <v>4157</v>
      </c>
      <c r="G733" s="218" t="s">
        <v>273</v>
      </c>
      <c r="H733" s="218" t="s">
        <v>309</v>
      </c>
      <c r="I733" s="223">
        <v>43769</v>
      </c>
      <c r="J733" s="218" t="s">
        <v>4158</v>
      </c>
      <c r="K733" s="218" t="s">
        <v>2601</v>
      </c>
      <c r="L733" s="218" t="s">
        <v>2596</v>
      </c>
      <c r="M733" s="218" t="s">
        <v>4159</v>
      </c>
      <c r="N733" s="218">
        <v>32.520000000000003</v>
      </c>
      <c r="O733" s="218" t="s">
        <v>292</v>
      </c>
      <c r="P733" s="218">
        <v>40</v>
      </c>
      <c r="Q733" s="218" t="s">
        <v>380</v>
      </c>
      <c r="R733" s="218" t="s">
        <v>1693</v>
      </c>
      <c r="S733" s="218" t="s">
        <v>396</v>
      </c>
      <c r="T733" s="218" t="s">
        <v>2591</v>
      </c>
      <c r="U733" s="218" t="s">
        <v>2591</v>
      </c>
      <c r="V733" s="218" t="s">
        <v>381</v>
      </c>
      <c r="W733" s="218" t="s">
        <v>295</v>
      </c>
      <c r="X733" s="218" t="s">
        <v>379</v>
      </c>
      <c r="Y733" s="218">
        <v>36.630000000000003</v>
      </c>
      <c r="Z733" s="218">
        <f t="shared" ref="Z733:Z765" si="16">P733</f>
        <v>40</v>
      </c>
    </row>
    <row r="734" spans="1:26">
      <c r="A734" s="218" t="s">
        <v>2592</v>
      </c>
      <c r="B734" s="218"/>
      <c r="C734" s="218"/>
      <c r="D734" s="218"/>
      <c r="E734" s="218"/>
      <c r="F734" s="219" t="s">
        <v>4160</v>
      </c>
      <c r="G734" s="218" t="s">
        <v>273</v>
      </c>
      <c r="H734" s="218" t="s">
        <v>309</v>
      </c>
      <c r="I734" s="223">
        <v>43769</v>
      </c>
      <c r="J734" s="218" t="s">
        <v>4158</v>
      </c>
      <c r="K734" s="218" t="s">
        <v>2601</v>
      </c>
      <c r="L734" s="218" t="s">
        <v>2596</v>
      </c>
      <c r="M734" s="218" t="s">
        <v>1264</v>
      </c>
      <c r="N734" s="218">
        <v>4.72</v>
      </c>
      <c r="O734" s="218" t="s">
        <v>292</v>
      </c>
      <c r="P734" s="218">
        <v>5.8</v>
      </c>
      <c r="Q734" s="218" t="s">
        <v>380</v>
      </c>
      <c r="R734" s="218" t="s">
        <v>1693</v>
      </c>
      <c r="S734" s="218" t="s">
        <v>396</v>
      </c>
      <c r="T734" s="218" t="s">
        <v>2591</v>
      </c>
      <c r="U734" s="218" t="s">
        <v>2591</v>
      </c>
      <c r="V734" s="218" t="s">
        <v>381</v>
      </c>
      <c r="W734" s="218" t="s">
        <v>295</v>
      </c>
      <c r="X734" s="218" t="s">
        <v>379</v>
      </c>
      <c r="Y734" s="218">
        <v>5.32</v>
      </c>
      <c r="Z734" s="218">
        <f t="shared" si="16"/>
        <v>5.8</v>
      </c>
    </row>
    <row r="735" spans="1:26">
      <c r="A735" s="218" t="s">
        <v>2592</v>
      </c>
      <c r="B735" s="218"/>
      <c r="C735" s="218"/>
      <c r="D735" s="218"/>
      <c r="E735" s="218"/>
      <c r="F735" s="219" t="s">
        <v>4161</v>
      </c>
      <c r="G735" s="218" t="s">
        <v>273</v>
      </c>
      <c r="H735" s="218" t="s">
        <v>309</v>
      </c>
      <c r="I735" s="223">
        <v>43769</v>
      </c>
      <c r="J735" s="218" t="s">
        <v>4158</v>
      </c>
      <c r="K735" s="218" t="s">
        <v>2601</v>
      </c>
      <c r="L735" s="218" t="s">
        <v>2596</v>
      </c>
      <c r="M735" s="218" t="s">
        <v>4162</v>
      </c>
      <c r="N735" s="218">
        <v>248.14</v>
      </c>
      <c r="O735" s="218" t="s">
        <v>292</v>
      </c>
      <c r="P735" s="218">
        <v>305.24</v>
      </c>
      <c r="Q735" s="218" t="s">
        <v>380</v>
      </c>
      <c r="R735" s="218" t="s">
        <v>1693</v>
      </c>
      <c r="S735" s="218" t="s">
        <v>396</v>
      </c>
      <c r="T735" s="218" t="s">
        <v>2591</v>
      </c>
      <c r="U735" s="218" t="s">
        <v>2591</v>
      </c>
      <c r="V735" s="218" t="s">
        <v>381</v>
      </c>
      <c r="W735" s="218" t="s">
        <v>295</v>
      </c>
      <c r="X735" s="218" t="s">
        <v>379</v>
      </c>
      <c r="Y735" s="218">
        <v>279.51</v>
      </c>
      <c r="Z735" s="218">
        <f t="shared" si="16"/>
        <v>305.24</v>
      </c>
    </row>
    <row r="736" spans="1:26">
      <c r="A736" s="218" t="s">
        <v>2592</v>
      </c>
      <c r="B736" s="218"/>
      <c r="C736" s="218"/>
      <c r="D736" s="218"/>
      <c r="E736" s="218"/>
      <c r="F736" s="219" t="s">
        <v>4163</v>
      </c>
      <c r="G736" s="218" t="s">
        <v>273</v>
      </c>
      <c r="H736" s="218" t="s">
        <v>309</v>
      </c>
      <c r="I736" s="223">
        <v>43769</v>
      </c>
      <c r="J736" s="218" t="s">
        <v>4158</v>
      </c>
      <c r="K736" s="218" t="s">
        <v>2601</v>
      </c>
      <c r="L736" s="218" t="s">
        <v>2596</v>
      </c>
      <c r="M736" s="218" t="s">
        <v>4162</v>
      </c>
      <c r="N736" s="218">
        <v>225.04</v>
      </c>
      <c r="O736" s="218" t="s">
        <v>292</v>
      </c>
      <c r="P736" s="218">
        <v>276.82</v>
      </c>
      <c r="Q736" s="218" t="s">
        <v>380</v>
      </c>
      <c r="R736" s="218" t="s">
        <v>1693</v>
      </c>
      <c r="S736" s="218" t="s">
        <v>396</v>
      </c>
      <c r="T736" s="218" t="s">
        <v>2591</v>
      </c>
      <c r="U736" s="218" t="s">
        <v>2591</v>
      </c>
      <c r="V736" s="218" t="s">
        <v>381</v>
      </c>
      <c r="W736" s="218" t="s">
        <v>295</v>
      </c>
      <c r="X736" s="218" t="s">
        <v>379</v>
      </c>
      <c r="Y736" s="218">
        <v>253.49</v>
      </c>
      <c r="Z736" s="218">
        <f t="shared" si="16"/>
        <v>276.82</v>
      </c>
    </row>
    <row r="737" spans="1:26">
      <c r="A737" s="218" t="s">
        <v>2592</v>
      </c>
      <c r="B737" s="218"/>
      <c r="C737" s="218"/>
      <c r="D737" s="218"/>
      <c r="E737" s="218"/>
      <c r="F737" s="219" t="s">
        <v>4164</v>
      </c>
      <c r="G737" s="218" t="s">
        <v>273</v>
      </c>
      <c r="H737" s="218" t="s">
        <v>309</v>
      </c>
      <c r="I737" s="223">
        <v>43769</v>
      </c>
      <c r="J737" s="218" t="s">
        <v>4158</v>
      </c>
      <c r="K737" s="218" t="s">
        <v>2601</v>
      </c>
      <c r="L737" s="218" t="s">
        <v>2596</v>
      </c>
      <c r="M737" s="218" t="s">
        <v>4165</v>
      </c>
      <c r="N737" s="218">
        <v>1.85</v>
      </c>
      <c r="O737" s="218" t="s">
        <v>292</v>
      </c>
      <c r="P737" s="218">
        <v>2.27</v>
      </c>
      <c r="Q737" s="218" t="s">
        <v>380</v>
      </c>
      <c r="R737" s="218" t="s">
        <v>1693</v>
      </c>
      <c r="S737" s="218" t="s">
        <v>396</v>
      </c>
      <c r="T737" s="218" t="s">
        <v>2591</v>
      </c>
      <c r="U737" s="218" t="s">
        <v>2591</v>
      </c>
      <c r="V737" s="218" t="s">
        <v>381</v>
      </c>
      <c r="W737" s="218" t="s">
        <v>295</v>
      </c>
      <c r="X737" s="218" t="s">
        <v>379</v>
      </c>
      <c r="Y737" s="218">
        <v>2.08</v>
      </c>
      <c r="Z737" s="218">
        <f t="shared" si="16"/>
        <v>2.27</v>
      </c>
    </row>
    <row r="738" spans="1:26">
      <c r="A738" s="218" t="s">
        <v>2592</v>
      </c>
      <c r="B738" s="218"/>
      <c r="C738" s="218"/>
      <c r="D738" s="218"/>
      <c r="E738" s="218"/>
      <c r="F738" s="219" t="s">
        <v>4166</v>
      </c>
      <c r="G738" s="218" t="s">
        <v>273</v>
      </c>
      <c r="H738" s="218" t="s">
        <v>309</v>
      </c>
      <c r="I738" s="223">
        <v>43769</v>
      </c>
      <c r="J738" s="218" t="s">
        <v>4158</v>
      </c>
      <c r="K738" s="218" t="s">
        <v>2601</v>
      </c>
      <c r="L738" s="218" t="s">
        <v>2596</v>
      </c>
      <c r="M738" s="218" t="s">
        <v>4167</v>
      </c>
      <c r="N738" s="218">
        <v>1.96</v>
      </c>
      <c r="O738" s="218" t="s">
        <v>292</v>
      </c>
      <c r="P738" s="218">
        <v>2.41</v>
      </c>
      <c r="Q738" s="218" t="s">
        <v>380</v>
      </c>
      <c r="R738" s="218" t="s">
        <v>1693</v>
      </c>
      <c r="S738" s="218" t="s">
        <v>396</v>
      </c>
      <c r="T738" s="218" t="s">
        <v>2591</v>
      </c>
      <c r="U738" s="218" t="s">
        <v>2591</v>
      </c>
      <c r="V738" s="218" t="s">
        <v>381</v>
      </c>
      <c r="W738" s="218" t="s">
        <v>295</v>
      </c>
      <c r="X738" s="218" t="s">
        <v>379</v>
      </c>
      <c r="Y738" s="218">
        <v>2.21</v>
      </c>
      <c r="Z738" s="218">
        <f t="shared" si="16"/>
        <v>2.41</v>
      </c>
    </row>
    <row r="739" spans="1:26">
      <c r="A739" s="218" t="s">
        <v>2592</v>
      </c>
      <c r="B739" s="218"/>
      <c r="C739" s="218"/>
      <c r="D739" s="218"/>
      <c r="E739" s="218"/>
      <c r="F739" s="219" t="s">
        <v>4168</v>
      </c>
      <c r="G739" s="218" t="s">
        <v>273</v>
      </c>
      <c r="H739" s="218" t="s">
        <v>309</v>
      </c>
      <c r="I739" s="223">
        <v>43769</v>
      </c>
      <c r="J739" s="218" t="s">
        <v>4158</v>
      </c>
      <c r="K739" s="218" t="s">
        <v>2601</v>
      </c>
      <c r="L739" s="218" t="s">
        <v>2596</v>
      </c>
      <c r="M739" s="218" t="s">
        <v>4165</v>
      </c>
      <c r="N739" s="218">
        <v>16.23</v>
      </c>
      <c r="O739" s="218" t="s">
        <v>292</v>
      </c>
      <c r="P739" s="218">
        <v>19.97</v>
      </c>
      <c r="Q739" s="218" t="s">
        <v>380</v>
      </c>
      <c r="R739" s="218" t="s">
        <v>1693</v>
      </c>
      <c r="S739" s="218" t="s">
        <v>396</v>
      </c>
      <c r="T739" s="218" t="s">
        <v>2591</v>
      </c>
      <c r="U739" s="218" t="s">
        <v>2591</v>
      </c>
      <c r="V739" s="218" t="s">
        <v>381</v>
      </c>
      <c r="W739" s="218" t="s">
        <v>295</v>
      </c>
      <c r="X739" s="218" t="s">
        <v>379</v>
      </c>
      <c r="Y739" s="218">
        <v>18.28</v>
      </c>
      <c r="Z739" s="218">
        <f t="shared" si="16"/>
        <v>19.97</v>
      </c>
    </row>
    <row r="740" spans="1:26">
      <c r="A740" s="218" t="s">
        <v>2592</v>
      </c>
      <c r="B740" s="218"/>
      <c r="C740" s="218"/>
      <c r="D740" s="218"/>
      <c r="E740" s="218"/>
      <c r="F740" s="219" t="s">
        <v>4169</v>
      </c>
      <c r="G740" s="218" t="s">
        <v>273</v>
      </c>
      <c r="H740" s="218" t="s">
        <v>309</v>
      </c>
      <c r="I740" s="223">
        <v>43769</v>
      </c>
      <c r="J740" s="218" t="s">
        <v>4158</v>
      </c>
      <c r="K740" s="218" t="s">
        <v>2601</v>
      </c>
      <c r="L740" s="218" t="s">
        <v>2596</v>
      </c>
      <c r="M740" s="218" t="s">
        <v>4165</v>
      </c>
      <c r="N740" s="218">
        <v>1.9</v>
      </c>
      <c r="O740" s="218" t="s">
        <v>292</v>
      </c>
      <c r="P740" s="218">
        <v>2.34</v>
      </c>
      <c r="Q740" s="218" t="s">
        <v>380</v>
      </c>
      <c r="R740" s="218" t="s">
        <v>1693</v>
      </c>
      <c r="S740" s="218" t="s">
        <v>396</v>
      </c>
      <c r="T740" s="218" t="s">
        <v>2591</v>
      </c>
      <c r="U740" s="218" t="s">
        <v>2591</v>
      </c>
      <c r="V740" s="218" t="s">
        <v>381</v>
      </c>
      <c r="W740" s="218" t="s">
        <v>295</v>
      </c>
      <c r="X740" s="218" t="s">
        <v>379</v>
      </c>
      <c r="Y740" s="218">
        <v>2.14</v>
      </c>
      <c r="Z740" s="218">
        <f t="shared" si="16"/>
        <v>2.34</v>
      </c>
    </row>
    <row r="741" spans="1:26">
      <c r="A741" s="218" t="s">
        <v>2592</v>
      </c>
      <c r="B741" s="218"/>
      <c r="C741" s="218"/>
      <c r="D741" s="218"/>
      <c r="E741" s="218"/>
      <c r="F741" s="219" t="s">
        <v>4170</v>
      </c>
      <c r="G741" s="218" t="s">
        <v>273</v>
      </c>
      <c r="H741" s="218" t="s">
        <v>309</v>
      </c>
      <c r="I741" s="223">
        <v>43769</v>
      </c>
      <c r="J741" s="218" t="s">
        <v>4158</v>
      </c>
      <c r="K741" s="218" t="s">
        <v>2601</v>
      </c>
      <c r="L741" s="218" t="s">
        <v>2596</v>
      </c>
      <c r="M741" s="218" t="s">
        <v>4167</v>
      </c>
      <c r="N741" s="218">
        <v>2.06</v>
      </c>
      <c r="O741" s="218" t="s">
        <v>292</v>
      </c>
      <c r="P741" s="218">
        <v>2.5299999999999998</v>
      </c>
      <c r="Q741" s="218" t="s">
        <v>380</v>
      </c>
      <c r="R741" s="218" t="s">
        <v>1693</v>
      </c>
      <c r="S741" s="218" t="s">
        <v>396</v>
      </c>
      <c r="T741" s="218" t="s">
        <v>2591</v>
      </c>
      <c r="U741" s="218" t="s">
        <v>2591</v>
      </c>
      <c r="V741" s="218" t="s">
        <v>381</v>
      </c>
      <c r="W741" s="218" t="s">
        <v>295</v>
      </c>
      <c r="X741" s="218" t="s">
        <v>379</v>
      </c>
      <c r="Y741" s="218">
        <v>2.3199999999999998</v>
      </c>
      <c r="Z741" s="218">
        <f t="shared" si="16"/>
        <v>2.5299999999999998</v>
      </c>
    </row>
    <row r="742" spans="1:26">
      <c r="A742" s="218" t="s">
        <v>2592</v>
      </c>
      <c r="B742" s="218"/>
      <c r="C742" s="218"/>
      <c r="D742" s="218"/>
      <c r="E742" s="218"/>
      <c r="F742" s="219" t="s">
        <v>4171</v>
      </c>
      <c r="G742" s="218" t="s">
        <v>273</v>
      </c>
      <c r="H742" s="218" t="s">
        <v>309</v>
      </c>
      <c r="I742" s="223">
        <v>43769</v>
      </c>
      <c r="J742" s="218" t="s">
        <v>4158</v>
      </c>
      <c r="K742" s="218" t="s">
        <v>2601</v>
      </c>
      <c r="L742" s="218" t="s">
        <v>2596</v>
      </c>
      <c r="M742" s="218" t="s">
        <v>4167</v>
      </c>
      <c r="N742" s="218">
        <v>0.47</v>
      </c>
      <c r="O742" s="218" t="s">
        <v>292</v>
      </c>
      <c r="P742" s="218">
        <v>0.57999999999999996</v>
      </c>
      <c r="Q742" s="218" t="s">
        <v>380</v>
      </c>
      <c r="R742" s="218" t="s">
        <v>1693</v>
      </c>
      <c r="S742" s="218" t="s">
        <v>396</v>
      </c>
      <c r="T742" s="218" t="s">
        <v>2591</v>
      </c>
      <c r="U742" s="218" t="s">
        <v>2591</v>
      </c>
      <c r="V742" s="218" t="s">
        <v>381</v>
      </c>
      <c r="W742" s="218" t="s">
        <v>295</v>
      </c>
      <c r="X742" s="218" t="s">
        <v>379</v>
      </c>
      <c r="Y742" s="218">
        <v>0.53</v>
      </c>
      <c r="Z742" s="218">
        <f t="shared" si="16"/>
        <v>0.57999999999999996</v>
      </c>
    </row>
    <row r="743" spans="1:26">
      <c r="A743" s="218" t="s">
        <v>2592</v>
      </c>
      <c r="B743" s="218"/>
      <c r="C743" s="218"/>
      <c r="D743" s="218"/>
      <c r="E743" s="218"/>
      <c r="F743" s="219" t="s">
        <v>4172</v>
      </c>
      <c r="G743" s="218" t="s">
        <v>273</v>
      </c>
      <c r="H743" s="218" t="s">
        <v>309</v>
      </c>
      <c r="I743" s="223">
        <v>43769</v>
      </c>
      <c r="J743" s="218" t="s">
        <v>4158</v>
      </c>
      <c r="K743" s="218" t="s">
        <v>2601</v>
      </c>
      <c r="L743" s="218" t="s">
        <v>2596</v>
      </c>
      <c r="M743" s="218" t="s">
        <v>4167</v>
      </c>
      <c r="N743" s="218">
        <v>0.76</v>
      </c>
      <c r="O743" s="218" t="s">
        <v>292</v>
      </c>
      <c r="P743" s="218">
        <v>0.93</v>
      </c>
      <c r="Q743" s="218" t="s">
        <v>380</v>
      </c>
      <c r="R743" s="218" t="s">
        <v>1693</v>
      </c>
      <c r="S743" s="218" t="s">
        <v>396</v>
      </c>
      <c r="T743" s="218" t="s">
        <v>2591</v>
      </c>
      <c r="U743" s="218" t="s">
        <v>2591</v>
      </c>
      <c r="V743" s="218" t="s">
        <v>381</v>
      </c>
      <c r="W743" s="218" t="s">
        <v>295</v>
      </c>
      <c r="X743" s="218" t="s">
        <v>379</v>
      </c>
      <c r="Y743" s="218">
        <v>0.86</v>
      </c>
      <c r="Z743" s="218">
        <f t="shared" si="16"/>
        <v>0.93</v>
      </c>
    </row>
    <row r="744" spans="1:26">
      <c r="A744" s="218" t="s">
        <v>2592</v>
      </c>
      <c r="B744" s="218"/>
      <c r="C744" s="218"/>
      <c r="D744" s="218"/>
      <c r="E744" s="218"/>
      <c r="F744" s="219" t="s">
        <v>4173</v>
      </c>
      <c r="G744" s="218" t="s">
        <v>273</v>
      </c>
      <c r="H744" s="218" t="s">
        <v>309</v>
      </c>
      <c r="I744" s="223">
        <v>43769</v>
      </c>
      <c r="J744" s="218" t="s">
        <v>4158</v>
      </c>
      <c r="K744" s="218" t="s">
        <v>2601</v>
      </c>
      <c r="L744" s="218" t="s">
        <v>2596</v>
      </c>
      <c r="M744" s="218" t="s">
        <v>4174</v>
      </c>
      <c r="N744" s="218">
        <v>14.23</v>
      </c>
      <c r="O744" s="218" t="s">
        <v>292</v>
      </c>
      <c r="P744" s="218">
        <v>17.510000000000002</v>
      </c>
      <c r="Q744" s="218" t="s">
        <v>380</v>
      </c>
      <c r="R744" s="218" t="s">
        <v>1693</v>
      </c>
      <c r="S744" s="218" t="s">
        <v>396</v>
      </c>
      <c r="T744" s="218" t="s">
        <v>2591</v>
      </c>
      <c r="U744" s="218" t="s">
        <v>2591</v>
      </c>
      <c r="V744" s="218" t="s">
        <v>381</v>
      </c>
      <c r="W744" s="218" t="s">
        <v>295</v>
      </c>
      <c r="X744" s="218" t="s">
        <v>379</v>
      </c>
      <c r="Y744" s="218">
        <v>16.03</v>
      </c>
      <c r="Z744" s="218">
        <f t="shared" si="16"/>
        <v>17.510000000000002</v>
      </c>
    </row>
    <row r="745" spans="1:26">
      <c r="A745" s="218" t="s">
        <v>2592</v>
      </c>
      <c r="B745" s="218"/>
      <c r="C745" s="218"/>
      <c r="D745" s="218"/>
      <c r="E745" s="218"/>
      <c r="F745" s="219" t="s">
        <v>4175</v>
      </c>
      <c r="G745" s="218" t="s">
        <v>273</v>
      </c>
      <c r="H745" s="218" t="s">
        <v>309</v>
      </c>
      <c r="I745" s="223">
        <v>43769</v>
      </c>
      <c r="J745" s="218" t="s">
        <v>4158</v>
      </c>
      <c r="K745" s="218" t="s">
        <v>2601</v>
      </c>
      <c r="L745" s="218" t="s">
        <v>2596</v>
      </c>
      <c r="M745" s="218" t="s">
        <v>4167</v>
      </c>
      <c r="N745" s="218">
        <v>2.11</v>
      </c>
      <c r="O745" s="218" t="s">
        <v>292</v>
      </c>
      <c r="P745" s="218">
        <v>2.6</v>
      </c>
      <c r="Q745" s="218" t="s">
        <v>380</v>
      </c>
      <c r="R745" s="218" t="s">
        <v>1693</v>
      </c>
      <c r="S745" s="218" t="s">
        <v>396</v>
      </c>
      <c r="T745" s="218" t="s">
        <v>2591</v>
      </c>
      <c r="U745" s="218" t="s">
        <v>2591</v>
      </c>
      <c r="V745" s="218" t="s">
        <v>381</v>
      </c>
      <c r="W745" s="218" t="s">
        <v>295</v>
      </c>
      <c r="X745" s="218" t="s">
        <v>379</v>
      </c>
      <c r="Y745" s="218">
        <v>2.38</v>
      </c>
      <c r="Z745" s="218">
        <f t="shared" si="16"/>
        <v>2.6</v>
      </c>
    </row>
    <row r="746" spans="1:26">
      <c r="A746" s="218" t="s">
        <v>2592</v>
      </c>
      <c r="B746" s="218"/>
      <c r="C746" s="218"/>
      <c r="D746" s="218"/>
      <c r="E746" s="218"/>
      <c r="F746" s="219" t="s">
        <v>4176</v>
      </c>
      <c r="G746" s="218" t="s">
        <v>273</v>
      </c>
      <c r="H746" s="218" t="s">
        <v>309</v>
      </c>
      <c r="I746" s="223">
        <v>43769</v>
      </c>
      <c r="J746" s="218" t="s">
        <v>4158</v>
      </c>
      <c r="K746" s="218" t="s">
        <v>2601</v>
      </c>
      <c r="L746" s="218" t="s">
        <v>2596</v>
      </c>
      <c r="M746" s="218" t="s">
        <v>4167</v>
      </c>
      <c r="N746" s="218">
        <v>1.93</v>
      </c>
      <c r="O746" s="218" t="s">
        <v>292</v>
      </c>
      <c r="P746" s="218">
        <v>2.38</v>
      </c>
      <c r="Q746" s="218" t="s">
        <v>380</v>
      </c>
      <c r="R746" s="218" t="s">
        <v>1693</v>
      </c>
      <c r="S746" s="218" t="s">
        <v>396</v>
      </c>
      <c r="T746" s="218" t="s">
        <v>2591</v>
      </c>
      <c r="U746" s="218" t="s">
        <v>2591</v>
      </c>
      <c r="V746" s="218" t="s">
        <v>381</v>
      </c>
      <c r="W746" s="218" t="s">
        <v>295</v>
      </c>
      <c r="X746" s="218" t="s">
        <v>379</v>
      </c>
      <c r="Y746" s="218">
        <v>2.17</v>
      </c>
      <c r="Z746" s="218">
        <f t="shared" si="16"/>
        <v>2.38</v>
      </c>
    </row>
    <row r="747" spans="1:26">
      <c r="A747" s="218" t="s">
        <v>2592</v>
      </c>
      <c r="B747" s="218"/>
      <c r="C747" s="218"/>
      <c r="D747" s="218"/>
      <c r="E747" s="218"/>
      <c r="F747" s="219" t="s">
        <v>4177</v>
      </c>
      <c r="G747" s="218" t="s">
        <v>273</v>
      </c>
      <c r="H747" s="218" t="s">
        <v>309</v>
      </c>
      <c r="I747" s="223">
        <v>43769</v>
      </c>
      <c r="J747" s="218" t="s">
        <v>4158</v>
      </c>
      <c r="K747" s="218" t="s">
        <v>2601</v>
      </c>
      <c r="L747" s="218" t="s">
        <v>2596</v>
      </c>
      <c r="M747" s="218" t="s">
        <v>4165</v>
      </c>
      <c r="N747" s="218">
        <v>1.95</v>
      </c>
      <c r="O747" s="218" t="s">
        <v>292</v>
      </c>
      <c r="P747" s="218">
        <v>2.4</v>
      </c>
      <c r="Q747" s="218" t="s">
        <v>380</v>
      </c>
      <c r="R747" s="218" t="s">
        <v>1693</v>
      </c>
      <c r="S747" s="218" t="s">
        <v>396</v>
      </c>
      <c r="T747" s="218" t="s">
        <v>2591</v>
      </c>
      <c r="U747" s="218" t="s">
        <v>2591</v>
      </c>
      <c r="V747" s="218" t="s">
        <v>381</v>
      </c>
      <c r="W747" s="218" t="s">
        <v>295</v>
      </c>
      <c r="X747" s="218" t="s">
        <v>379</v>
      </c>
      <c r="Y747" s="218">
        <v>2.2000000000000002</v>
      </c>
      <c r="Z747" s="218">
        <f t="shared" si="16"/>
        <v>2.4</v>
      </c>
    </row>
    <row r="748" spans="1:26">
      <c r="A748" s="218" t="s">
        <v>2592</v>
      </c>
      <c r="B748" s="218"/>
      <c r="C748" s="218"/>
      <c r="D748" s="218"/>
      <c r="E748" s="218"/>
      <c r="F748" s="219" t="s">
        <v>4178</v>
      </c>
      <c r="G748" s="218" t="s">
        <v>273</v>
      </c>
      <c r="H748" s="218" t="s">
        <v>309</v>
      </c>
      <c r="I748" s="223">
        <v>43769</v>
      </c>
      <c r="J748" s="218" t="s">
        <v>4158</v>
      </c>
      <c r="K748" s="218" t="s">
        <v>2601</v>
      </c>
      <c r="L748" s="218" t="s">
        <v>2596</v>
      </c>
      <c r="M748" s="218" t="s">
        <v>4167</v>
      </c>
      <c r="N748" s="218">
        <v>0.2</v>
      </c>
      <c r="O748" s="218" t="s">
        <v>292</v>
      </c>
      <c r="P748" s="218">
        <v>0.24</v>
      </c>
      <c r="Q748" s="218" t="s">
        <v>380</v>
      </c>
      <c r="R748" s="218" t="s">
        <v>1693</v>
      </c>
      <c r="S748" s="218" t="s">
        <v>396</v>
      </c>
      <c r="T748" s="218" t="s">
        <v>2591</v>
      </c>
      <c r="U748" s="218" t="s">
        <v>2591</v>
      </c>
      <c r="V748" s="218" t="s">
        <v>381</v>
      </c>
      <c r="W748" s="218" t="s">
        <v>295</v>
      </c>
      <c r="X748" s="218" t="s">
        <v>379</v>
      </c>
      <c r="Y748" s="218">
        <v>0.23</v>
      </c>
      <c r="Z748" s="218">
        <f t="shared" si="16"/>
        <v>0.24</v>
      </c>
    </row>
    <row r="749" spans="1:26">
      <c r="A749" s="218" t="s">
        <v>2592</v>
      </c>
      <c r="B749" s="218"/>
      <c r="C749" s="218"/>
      <c r="D749" s="218"/>
      <c r="E749" s="218"/>
      <c r="F749" s="219" t="s">
        <v>4179</v>
      </c>
      <c r="G749" s="218" t="s">
        <v>273</v>
      </c>
      <c r="H749" s="218" t="s">
        <v>309</v>
      </c>
      <c r="I749" s="223">
        <v>43799</v>
      </c>
      <c r="J749" s="218" t="s">
        <v>4180</v>
      </c>
      <c r="K749" s="218" t="s">
        <v>4181</v>
      </c>
      <c r="L749" s="218" t="s">
        <v>2996</v>
      </c>
      <c r="M749" s="218" t="s">
        <v>4182</v>
      </c>
      <c r="N749" s="218">
        <v>16.600000000000001</v>
      </c>
      <c r="O749" s="218" t="s">
        <v>292</v>
      </c>
      <c r="P749" s="218">
        <v>21.49</v>
      </c>
      <c r="Q749" s="218" t="s">
        <v>380</v>
      </c>
      <c r="R749" s="218" t="s">
        <v>1693</v>
      </c>
      <c r="S749" s="218" t="s">
        <v>396</v>
      </c>
      <c r="T749" s="218" t="s">
        <v>2591</v>
      </c>
      <c r="U749" s="218" t="s">
        <v>2591</v>
      </c>
      <c r="V749" s="218" t="s">
        <v>381</v>
      </c>
      <c r="W749" s="218" t="s">
        <v>295</v>
      </c>
      <c r="X749" s="218" t="s">
        <v>379</v>
      </c>
      <c r="Y749" s="218">
        <v>19.260000000000002</v>
      </c>
      <c r="Z749" s="218">
        <f t="shared" si="16"/>
        <v>21.49</v>
      </c>
    </row>
    <row r="750" spans="1:26">
      <c r="A750" s="218" t="s">
        <v>2592</v>
      </c>
      <c r="B750" s="218"/>
      <c r="C750" s="218"/>
      <c r="D750" s="218"/>
      <c r="E750" s="218"/>
      <c r="F750" s="219" t="s">
        <v>4183</v>
      </c>
      <c r="G750" s="218" t="s">
        <v>273</v>
      </c>
      <c r="H750" s="218" t="s">
        <v>309</v>
      </c>
      <c r="I750" s="223">
        <v>43799</v>
      </c>
      <c r="J750" s="218" t="s">
        <v>4180</v>
      </c>
      <c r="K750" s="218" t="s">
        <v>4181</v>
      </c>
      <c r="L750" s="218" t="s">
        <v>2996</v>
      </c>
      <c r="M750" s="218" t="s">
        <v>4184</v>
      </c>
      <c r="N750" s="218">
        <v>0.28000000000000003</v>
      </c>
      <c r="O750" s="218" t="s">
        <v>292</v>
      </c>
      <c r="P750" s="218">
        <v>0.36</v>
      </c>
      <c r="Q750" s="218" t="s">
        <v>380</v>
      </c>
      <c r="R750" s="218" t="s">
        <v>1693</v>
      </c>
      <c r="S750" s="218" t="s">
        <v>396</v>
      </c>
      <c r="T750" s="218" t="s">
        <v>2591</v>
      </c>
      <c r="U750" s="218" t="s">
        <v>2591</v>
      </c>
      <c r="V750" s="218" t="s">
        <v>381</v>
      </c>
      <c r="W750" s="218" t="s">
        <v>295</v>
      </c>
      <c r="X750" s="218" t="s">
        <v>379</v>
      </c>
      <c r="Y750" s="218">
        <v>0.32</v>
      </c>
      <c r="Z750" s="218">
        <f t="shared" si="16"/>
        <v>0.36</v>
      </c>
    </row>
    <row r="751" spans="1:26">
      <c r="A751" s="218" t="s">
        <v>2592</v>
      </c>
      <c r="B751" s="218"/>
      <c r="C751" s="218"/>
      <c r="D751" s="218"/>
      <c r="E751" s="218"/>
      <c r="F751" s="219" t="s">
        <v>4185</v>
      </c>
      <c r="G751" s="218" t="s">
        <v>273</v>
      </c>
      <c r="H751" s="218" t="s">
        <v>309</v>
      </c>
      <c r="I751" s="223">
        <v>43799</v>
      </c>
      <c r="J751" s="218" t="s">
        <v>4180</v>
      </c>
      <c r="K751" s="218" t="s">
        <v>4181</v>
      </c>
      <c r="L751" s="218" t="s">
        <v>2996</v>
      </c>
      <c r="M751" s="218" t="s">
        <v>4182</v>
      </c>
      <c r="N751" s="218">
        <v>17.940000000000001</v>
      </c>
      <c r="O751" s="218" t="s">
        <v>292</v>
      </c>
      <c r="P751" s="218">
        <v>23.22</v>
      </c>
      <c r="Q751" s="218" t="s">
        <v>380</v>
      </c>
      <c r="R751" s="218" t="s">
        <v>1693</v>
      </c>
      <c r="S751" s="218" t="s">
        <v>396</v>
      </c>
      <c r="T751" s="218" t="s">
        <v>2591</v>
      </c>
      <c r="U751" s="218" t="s">
        <v>2591</v>
      </c>
      <c r="V751" s="218" t="s">
        <v>381</v>
      </c>
      <c r="W751" s="218" t="s">
        <v>295</v>
      </c>
      <c r="X751" s="218" t="s">
        <v>379</v>
      </c>
      <c r="Y751" s="218">
        <v>20.81</v>
      </c>
      <c r="Z751" s="218">
        <f t="shared" si="16"/>
        <v>23.22</v>
      </c>
    </row>
    <row r="752" spans="1:26">
      <c r="A752" s="218" t="s">
        <v>2592</v>
      </c>
      <c r="B752" s="218"/>
      <c r="C752" s="218"/>
      <c r="D752" s="218"/>
      <c r="E752" s="218"/>
      <c r="F752" s="219" t="s">
        <v>4186</v>
      </c>
      <c r="G752" s="218" t="s">
        <v>273</v>
      </c>
      <c r="H752" s="218" t="s">
        <v>309</v>
      </c>
      <c r="I752" s="223">
        <v>43799</v>
      </c>
      <c r="J752" s="218" t="s">
        <v>4180</v>
      </c>
      <c r="K752" s="218" t="s">
        <v>4181</v>
      </c>
      <c r="L752" s="218" t="s">
        <v>2996</v>
      </c>
      <c r="M752" s="218" t="s">
        <v>4184</v>
      </c>
      <c r="N752" s="218">
        <v>0.41</v>
      </c>
      <c r="O752" s="218" t="s">
        <v>292</v>
      </c>
      <c r="P752" s="218">
        <v>0.53</v>
      </c>
      <c r="Q752" s="218" t="s">
        <v>380</v>
      </c>
      <c r="R752" s="218" t="s">
        <v>1693</v>
      </c>
      <c r="S752" s="218" t="s">
        <v>396</v>
      </c>
      <c r="T752" s="218" t="s">
        <v>2591</v>
      </c>
      <c r="U752" s="218" t="s">
        <v>2591</v>
      </c>
      <c r="V752" s="218" t="s">
        <v>381</v>
      </c>
      <c r="W752" s="218" t="s">
        <v>295</v>
      </c>
      <c r="X752" s="218" t="s">
        <v>379</v>
      </c>
      <c r="Y752" s="218">
        <v>0.48</v>
      </c>
      <c r="Z752" s="218">
        <f t="shared" si="16"/>
        <v>0.53</v>
      </c>
    </row>
    <row r="753" spans="1:26">
      <c r="A753" s="218" t="s">
        <v>2592</v>
      </c>
      <c r="B753" s="218"/>
      <c r="C753" s="218"/>
      <c r="D753" s="218"/>
      <c r="E753" s="218"/>
      <c r="F753" s="219" t="s">
        <v>4187</v>
      </c>
      <c r="G753" s="218" t="s">
        <v>273</v>
      </c>
      <c r="H753" s="218" t="s">
        <v>309</v>
      </c>
      <c r="I753" s="223">
        <v>43799</v>
      </c>
      <c r="J753" s="218" t="s">
        <v>4180</v>
      </c>
      <c r="K753" s="218" t="s">
        <v>4181</v>
      </c>
      <c r="L753" s="218" t="s">
        <v>2996</v>
      </c>
      <c r="M753" s="218" t="s">
        <v>4188</v>
      </c>
      <c r="N753" s="218">
        <v>0.71</v>
      </c>
      <c r="O753" s="218" t="s">
        <v>292</v>
      </c>
      <c r="P753" s="218">
        <v>0.92</v>
      </c>
      <c r="Q753" s="218" t="s">
        <v>380</v>
      </c>
      <c r="R753" s="218" t="s">
        <v>1693</v>
      </c>
      <c r="S753" s="218" t="s">
        <v>396</v>
      </c>
      <c r="T753" s="218" t="s">
        <v>2591</v>
      </c>
      <c r="U753" s="218" t="s">
        <v>2591</v>
      </c>
      <c r="V753" s="218" t="s">
        <v>381</v>
      </c>
      <c r="W753" s="218" t="s">
        <v>295</v>
      </c>
      <c r="X753" s="218" t="s">
        <v>379</v>
      </c>
      <c r="Y753" s="218">
        <v>0.82</v>
      </c>
      <c r="Z753" s="218">
        <f t="shared" si="16"/>
        <v>0.92</v>
      </c>
    </row>
    <row r="754" spans="1:26">
      <c r="A754" s="218" t="s">
        <v>2592</v>
      </c>
      <c r="B754" s="218"/>
      <c r="C754" s="218"/>
      <c r="D754" s="218"/>
      <c r="E754" s="218"/>
      <c r="F754" s="219" t="s">
        <v>4189</v>
      </c>
      <c r="G754" s="218" t="s">
        <v>273</v>
      </c>
      <c r="H754" s="218" t="s">
        <v>309</v>
      </c>
      <c r="I754" s="223">
        <v>43799</v>
      </c>
      <c r="J754" s="218" t="s">
        <v>4180</v>
      </c>
      <c r="K754" s="218" t="s">
        <v>4181</v>
      </c>
      <c r="L754" s="218" t="s">
        <v>2996</v>
      </c>
      <c r="M754" s="218" t="s">
        <v>4182</v>
      </c>
      <c r="N754" s="218">
        <v>17.940000000000001</v>
      </c>
      <c r="O754" s="218" t="s">
        <v>292</v>
      </c>
      <c r="P754" s="218">
        <v>23.22</v>
      </c>
      <c r="Q754" s="218" t="s">
        <v>380</v>
      </c>
      <c r="R754" s="218" t="s">
        <v>1693</v>
      </c>
      <c r="S754" s="218" t="s">
        <v>396</v>
      </c>
      <c r="T754" s="218" t="s">
        <v>2591</v>
      </c>
      <c r="U754" s="218" t="s">
        <v>2591</v>
      </c>
      <c r="V754" s="218" t="s">
        <v>381</v>
      </c>
      <c r="W754" s="218" t="s">
        <v>295</v>
      </c>
      <c r="X754" s="218" t="s">
        <v>379</v>
      </c>
      <c r="Y754" s="218">
        <v>20.81</v>
      </c>
      <c r="Z754" s="218">
        <f t="shared" si="16"/>
        <v>23.22</v>
      </c>
    </row>
    <row r="755" spans="1:26">
      <c r="A755" s="218" t="s">
        <v>2592</v>
      </c>
      <c r="B755" s="218"/>
      <c r="C755" s="218"/>
      <c r="D755" s="218"/>
      <c r="E755" s="218"/>
      <c r="F755" s="219" t="s">
        <v>4190</v>
      </c>
      <c r="G755" s="218" t="s">
        <v>273</v>
      </c>
      <c r="H755" s="218" t="s">
        <v>309</v>
      </c>
      <c r="I755" s="223">
        <v>43799</v>
      </c>
      <c r="J755" s="218" t="s">
        <v>4180</v>
      </c>
      <c r="K755" s="218" t="s">
        <v>4181</v>
      </c>
      <c r="L755" s="218" t="s">
        <v>2996</v>
      </c>
      <c r="M755" s="218" t="s">
        <v>4184</v>
      </c>
      <c r="N755" s="218">
        <v>0.18</v>
      </c>
      <c r="O755" s="218" t="s">
        <v>292</v>
      </c>
      <c r="P755" s="218">
        <v>0.23</v>
      </c>
      <c r="Q755" s="218" t="s">
        <v>380</v>
      </c>
      <c r="R755" s="218" t="s">
        <v>1693</v>
      </c>
      <c r="S755" s="218" t="s">
        <v>396</v>
      </c>
      <c r="T755" s="218" t="s">
        <v>2591</v>
      </c>
      <c r="U755" s="218" t="s">
        <v>2591</v>
      </c>
      <c r="V755" s="218" t="s">
        <v>381</v>
      </c>
      <c r="W755" s="218" t="s">
        <v>295</v>
      </c>
      <c r="X755" s="218" t="s">
        <v>379</v>
      </c>
      <c r="Y755" s="218">
        <v>0.21</v>
      </c>
      <c r="Z755" s="218">
        <f t="shared" si="16"/>
        <v>0.23</v>
      </c>
    </row>
    <row r="756" spans="1:26">
      <c r="A756" s="218" t="s">
        <v>2592</v>
      </c>
      <c r="B756" s="218"/>
      <c r="C756" s="218"/>
      <c r="D756" s="218"/>
      <c r="E756" s="218"/>
      <c r="F756" s="219" t="s">
        <v>4191</v>
      </c>
      <c r="G756" s="218" t="s">
        <v>273</v>
      </c>
      <c r="H756" s="218" t="s">
        <v>309</v>
      </c>
      <c r="I756" s="223">
        <v>43799</v>
      </c>
      <c r="J756" s="218" t="s">
        <v>4180</v>
      </c>
      <c r="K756" s="218" t="s">
        <v>4181</v>
      </c>
      <c r="L756" s="218" t="s">
        <v>2996</v>
      </c>
      <c r="M756" s="218" t="s">
        <v>4192</v>
      </c>
      <c r="N756" s="218">
        <v>0.4</v>
      </c>
      <c r="O756" s="218" t="s">
        <v>292</v>
      </c>
      <c r="P756" s="218">
        <v>0.52</v>
      </c>
      <c r="Q756" s="218" t="s">
        <v>380</v>
      </c>
      <c r="R756" s="218" t="s">
        <v>1693</v>
      </c>
      <c r="S756" s="218" t="s">
        <v>396</v>
      </c>
      <c r="T756" s="218" t="s">
        <v>2591</v>
      </c>
      <c r="U756" s="218" t="s">
        <v>2591</v>
      </c>
      <c r="V756" s="218" t="s">
        <v>381</v>
      </c>
      <c r="W756" s="218" t="s">
        <v>295</v>
      </c>
      <c r="X756" s="218" t="s">
        <v>379</v>
      </c>
      <c r="Y756" s="218">
        <v>0.46</v>
      </c>
      <c r="Z756" s="218">
        <f t="shared" si="16"/>
        <v>0.52</v>
      </c>
    </row>
    <row r="757" spans="1:26">
      <c r="A757" s="218" t="s">
        <v>2592</v>
      </c>
      <c r="B757" s="218"/>
      <c r="C757" s="218"/>
      <c r="D757" s="218"/>
      <c r="E757" s="218"/>
      <c r="F757" s="219" t="s">
        <v>4193</v>
      </c>
      <c r="G757" s="218" t="s">
        <v>273</v>
      </c>
      <c r="H757" s="218" t="s">
        <v>309</v>
      </c>
      <c r="I757" s="223">
        <v>43799</v>
      </c>
      <c r="J757" s="218" t="s">
        <v>4180</v>
      </c>
      <c r="K757" s="218" t="s">
        <v>4181</v>
      </c>
      <c r="L757" s="218" t="s">
        <v>2996</v>
      </c>
      <c r="M757" s="218" t="s">
        <v>1264</v>
      </c>
      <c r="N757" s="218">
        <v>4.4800000000000004</v>
      </c>
      <c r="O757" s="218" t="s">
        <v>292</v>
      </c>
      <c r="P757" s="218">
        <v>5.8</v>
      </c>
      <c r="Q757" s="218" t="s">
        <v>380</v>
      </c>
      <c r="R757" s="218" t="s">
        <v>1693</v>
      </c>
      <c r="S757" s="218" t="s">
        <v>396</v>
      </c>
      <c r="T757" s="218" t="s">
        <v>2591</v>
      </c>
      <c r="U757" s="218" t="s">
        <v>2591</v>
      </c>
      <c r="V757" s="218" t="s">
        <v>381</v>
      </c>
      <c r="W757" s="218" t="s">
        <v>295</v>
      </c>
      <c r="X757" s="218" t="s">
        <v>379</v>
      </c>
      <c r="Y757" s="218">
        <v>5.2</v>
      </c>
      <c r="Z757" s="218">
        <f t="shared" si="16"/>
        <v>5.8</v>
      </c>
    </row>
    <row r="758" spans="1:26">
      <c r="A758" s="218" t="s">
        <v>2592</v>
      </c>
      <c r="B758" s="218"/>
      <c r="C758" s="218"/>
      <c r="D758" s="218"/>
      <c r="E758" s="218"/>
      <c r="F758" s="219" t="s">
        <v>4194</v>
      </c>
      <c r="G758" s="218" t="s">
        <v>273</v>
      </c>
      <c r="H758" s="218" t="s">
        <v>309</v>
      </c>
      <c r="I758" s="223">
        <v>43799</v>
      </c>
      <c r="J758" s="218" t="s">
        <v>4180</v>
      </c>
      <c r="K758" s="218" t="s">
        <v>4181</v>
      </c>
      <c r="L758" s="218" t="s">
        <v>2996</v>
      </c>
      <c r="M758" s="218" t="s">
        <v>4195</v>
      </c>
      <c r="N758" s="218">
        <v>0.11</v>
      </c>
      <c r="O758" s="218" t="s">
        <v>292</v>
      </c>
      <c r="P758" s="218">
        <v>0.14000000000000001</v>
      </c>
      <c r="Q758" s="218" t="s">
        <v>380</v>
      </c>
      <c r="R758" s="218" t="s">
        <v>1693</v>
      </c>
      <c r="S758" s="218" t="s">
        <v>396</v>
      </c>
      <c r="T758" s="218" t="s">
        <v>2591</v>
      </c>
      <c r="U758" s="218" t="s">
        <v>2591</v>
      </c>
      <c r="V758" s="218" t="s">
        <v>381</v>
      </c>
      <c r="W758" s="218" t="s">
        <v>295</v>
      </c>
      <c r="X758" s="218" t="s">
        <v>379</v>
      </c>
      <c r="Y758" s="218">
        <v>0.13</v>
      </c>
      <c r="Z758" s="218">
        <f t="shared" si="16"/>
        <v>0.14000000000000001</v>
      </c>
    </row>
    <row r="759" spans="1:26">
      <c r="A759" s="218" t="s">
        <v>2592</v>
      </c>
      <c r="B759" s="218"/>
      <c r="C759" s="218"/>
      <c r="D759" s="218"/>
      <c r="E759" s="218"/>
      <c r="F759" s="219" t="s">
        <v>4196</v>
      </c>
      <c r="G759" s="218" t="s">
        <v>273</v>
      </c>
      <c r="H759" s="218" t="s">
        <v>309</v>
      </c>
      <c r="I759" s="223">
        <v>43799</v>
      </c>
      <c r="J759" s="218" t="s">
        <v>4180</v>
      </c>
      <c r="K759" s="218" t="s">
        <v>4181</v>
      </c>
      <c r="L759" s="218" t="s">
        <v>2996</v>
      </c>
      <c r="M759" s="218" t="s">
        <v>4192</v>
      </c>
      <c r="N759" s="218">
        <v>1.83</v>
      </c>
      <c r="O759" s="218" t="s">
        <v>292</v>
      </c>
      <c r="P759" s="218">
        <v>2.37</v>
      </c>
      <c r="Q759" s="218" t="s">
        <v>380</v>
      </c>
      <c r="R759" s="218" t="s">
        <v>1693</v>
      </c>
      <c r="S759" s="218" t="s">
        <v>396</v>
      </c>
      <c r="T759" s="218" t="s">
        <v>2591</v>
      </c>
      <c r="U759" s="218" t="s">
        <v>2591</v>
      </c>
      <c r="V759" s="218" t="s">
        <v>381</v>
      </c>
      <c r="W759" s="218" t="s">
        <v>295</v>
      </c>
      <c r="X759" s="218" t="s">
        <v>379</v>
      </c>
      <c r="Y759" s="218">
        <v>2.12</v>
      </c>
      <c r="Z759" s="218">
        <f t="shared" si="16"/>
        <v>2.37</v>
      </c>
    </row>
    <row r="760" spans="1:26">
      <c r="A760" s="218" t="s">
        <v>2592</v>
      </c>
      <c r="B760" s="218"/>
      <c r="C760" s="218"/>
      <c r="D760" s="218"/>
      <c r="E760" s="218"/>
      <c r="F760" s="219" t="s">
        <v>4197</v>
      </c>
      <c r="G760" s="218" t="s">
        <v>273</v>
      </c>
      <c r="H760" s="218" t="s">
        <v>309</v>
      </c>
      <c r="I760" s="223">
        <v>43799</v>
      </c>
      <c r="J760" s="218" t="s">
        <v>4180</v>
      </c>
      <c r="K760" s="218" t="s">
        <v>4181</v>
      </c>
      <c r="L760" s="218" t="s">
        <v>2996</v>
      </c>
      <c r="M760" s="218" t="s">
        <v>4192</v>
      </c>
      <c r="N760" s="218">
        <v>23.57</v>
      </c>
      <c r="O760" s="218" t="s">
        <v>292</v>
      </c>
      <c r="P760" s="218">
        <v>30.5</v>
      </c>
      <c r="Q760" s="218" t="s">
        <v>380</v>
      </c>
      <c r="R760" s="218" t="s">
        <v>1693</v>
      </c>
      <c r="S760" s="218" t="s">
        <v>396</v>
      </c>
      <c r="T760" s="218" t="s">
        <v>2591</v>
      </c>
      <c r="U760" s="218" t="s">
        <v>2591</v>
      </c>
      <c r="V760" s="218" t="s">
        <v>381</v>
      </c>
      <c r="W760" s="218" t="s">
        <v>295</v>
      </c>
      <c r="X760" s="218" t="s">
        <v>379</v>
      </c>
      <c r="Y760" s="218">
        <v>27.34</v>
      </c>
      <c r="Z760" s="218">
        <f t="shared" si="16"/>
        <v>30.5</v>
      </c>
    </row>
    <row r="761" spans="1:26">
      <c r="A761" s="218" t="s">
        <v>2592</v>
      </c>
      <c r="B761" s="218"/>
      <c r="C761" s="218"/>
      <c r="D761" s="218"/>
      <c r="E761" s="218"/>
      <c r="F761" s="219" t="s">
        <v>4198</v>
      </c>
      <c r="G761" s="218" t="s">
        <v>273</v>
      </c>
      <c r="H761" s="218" t="s">
        <v>309</v>
      </c>
      <c r="I761" s="223">
        <v>43799</v>
      </c>
      <c r="J761" s="218" t="s">
        <v>4180</v>
      </c>
      <c r="K761" s="218" t="s">
        <v>4181</v>
      </c>
      <c r="L761" s="218" t="s">
        <v>2996</v>
      </c>
      <c r="M761" s="218" t="s">
        <v>4192</v>
      </c>
      <c r="N761" s="218">
        <v>0.45</v>
      </c>
      <c r="O761" s="218" t="s">
        <v>292</v>
      </c>
      <c r="P761" s="218">
        <v>0.57999999999999996</v>
      </c>
      <c r="Q761" s="218" t="s">
        <v>380</v>
      </c>
      <c r="R761" s="218" t="s">
        <v>1693</v>
      </c>
      <c r="S761" s="218" t="s">
        <v>396</v>
      </c>
      <c r="T761" s="218" t="s">
        <v>2591</v>
      </c>
      <c r="U761" s="218" t="s">
        <v>2591</v>
      </c>
      <c r="V761" s="218" t="s">
        <v>381</v>
      </c>
      <c r="W761" s="218" t="s">
        <v>295</v>
      </c>
      <c r="X761" s="218" t="s">
        <v>379</v>
      </c>
      <c r="Y761" s="218">
        <v>0.52</v>
      </c>
      <c r="Z761" s="218">
        <f t="shared" si="16"/>
        <v>0.57999999999999996</v>
      </c>
    </row>
    <row r="762" spans="1:26">
      <c r="A762" s="218" t="s">
        <v>2592</v>
      </c>
      <c r="B762" s="218"/>
      <c r="C762" s="218"/>
      <c r="D762" s="218"/>
      <c r="E762" s="218"/>
      <c r="F762" s="219" t="s">
        <v>4199</v>
      </c>
      <c r="G762" s="218" t="s">
        <v>273</v>
      </c>
      <c r="H762" s="218" t="s">
        <v>309</v>
      </c>
      <c r="I762" s="223">
        <v>43799</v>
      </c>
      <c r="J762" s="218" t="s">
        <v>4180</v>
      </c>
      <c r="K762" s="218" t="s">
        <v>4181</v>
      </c>
      <c r="L762" s="218" t="s">
        <v>2996</v>
      </c>
      <c r="M762" s="218" t="s">
        <v>1252</v>
      </c>
      <c r="N762" s="218">
        <v>2.06</v>
      </c>
      <c r="O762" s="218" t="s">
        <v>292</v>
      </c>
      <c r="P762" s="218">
        <v>2.66</v>
      </c>
      <c r="Q762" s="218" t="s">
        <v>380</v>
      </c>
      <c r="R762" s="218" t="s">
        <v>1693</v>
      </c>
      <c r="S762" s="218" t="s">
        <v>396</v>
      </c>
      <c r="T762" s="218" t="s">
        <v>2591</v>
      </c>
      <c r="U762" s="218" t="s">
        <v>2591</v>
      </c>
      <c r="V762" s="218" t="s">
        <v>381</v>
      </c>
      <c r="W762" s="218" t="s">
        <v>295</v>
      </c>
      <c r="X762" s="218" t="s">
        <v>379</v>
      </c>
      <c r="Y762" s="218">
        <v>2.39</v>
      </c>
      <c r="Z762" s="218">
        <f t="shared" si="16"/>
        <v>2.66</v>
      </c>
    </row>
    <row r="763" spans="1:26">
      <c r="A763" s="218" t="s">
        <v>2592</v>
      </c>
      <c r="B763" s="218"/>
      <c r="C763" s="218"/>
      <c r="D763" s="218"/>
      <c r="E763" s="218"/>
      <c r="F763" s="219" t="s">
        <v>4200</v>
      </c>
      <c r="G763" s="218" t="s">
        <v>273</v>
      </c>
      <c r="H763" s="218" t="s">
        <v>309</v>
      </c>
      <c r="I763" s="223">
        <v>43799</v>
      </c>
      <c r="J763" s="218" t="s">
        <v>4180</v>
      </c>
      <c r="K763" s="218" t="s">
        <v>4181</v>
      </c>
      <c r="L763" s="218" t="s">
        <v>2996</v>
      </c>
      <c r="M763" s="218" t="s">
        <v>1252</v>
      </c>
      <c r="N763" s="218">
        <v>1.84</v>
      </c>
      <c r="O763" s="218" t="s">
        <v>292</v>
      </c>
      <c r="P763" s="218">
        <v>2.38</v>
      </c>
      <c r="Q763" s="218" t="s">
        <v>380</v>
      </c>
      <c r="R763" s="218" t="s">
        <v>1693</v>
      </c>
      <c r="S763" s="218" t="s">
        <v>396</v>
      </c>
      <c r="T763" s="218" t="s">
        <v>2591</v>
      </c>
      <c r="U763" s="218" t="s">
        <v>2591</v>
      </c>
      <c r="V763" s="218" t="s">
        <v>381</v>
      </c>
      <c r="W763" s="218" t="s">
        <v>295</v>
      </c>
      <c r="X763" s="218" t="s">
        <v>379</v>
      </c>
      <c r="Y763" s="218">
        <v>2.13</v>
      </c>
      <c r="Z763" s="218">
        <f t="shared" si="16"/>
        <v>2.38</v>
      </c>
    </row>
    <row r="764" spans="1:26">
      <c r="A764" s="218" t="s">
        <v>2592</v>
      </c>
      <c r="B764" s="218"/>
      <c r="C764" s="218"/>
      <c r="D764" s="218"/>
      <c r="E764" s="218"/>
      <c r="F764" s="219" t="s">
        <v>4201</v>
      </c>
      <c r="G764" s="218" t="s">
        <v>273</v>
      </c>
      <c r="H764" s="218" t="s">
        <v>309</v>
      </c>
      <c r="I764" s="223">
        <v>43799</v>
      </c>
      <c r="J764" s="218" t="s">
        <v>4180</v>
      </c>
      <c r="K764" s="218" t="s">
        <v>4181</v>
      </c>
      <c r="L764" s="218" t="s">
        <v>2996</v>
      </c>
      <c r="M764" s="218" t="s">
        <v>1252</v>
      </c>
      <c r="N764" s="218">
        <v>14.98</v>
      </c>
      <c r="O764" s="218" t="s">
        <v>292</v>
      </c>
      <c r="P764" s="218">
        <v>19.39</v>
      </c>
      <c r="Q764" s="218" t="s">
        <v>380</v>
      </c>
      <c r="R764" s="218" t="s">
        <v>1693</v>
      </c>
      <c r="S764" s="218" t="s">
        <v>396</v>
      </c>
      <c r="T764" s="218" t="s">
        <v>2591</v>
      </c>
      <c r="U764" s="218" t="s">
        <v>2591</v>
      </c>
      <c r="V764" s="218" t="s">
        <v>381</v>
      </c>
      <c r="W764" s="218" t="s">
        <v>295</v>
      </c>
      <c r="X764" s="218" t="s">
        <v>379</v>
      </c>
      <c r="Y764" s="218">
        <v>17.38</v>
      </c>
      <c r="Z764" s="218">
        <f t="shared" si="16"/>
        <v>19.39</v>
      </c>
    </row>
    <row r="765" spans="1:26">
      <c r="A765" s="218" t="s">
        <v>2592</v>
      </c>
      <c r="B765" s="218"/>
      <c r="C765" s="218"/>
      <c r="D765" s="218"/>
      <c r="E765" s="218"/>
      <c r="F765" s="219" t="s">
        <v>4202</v>
      </c>
      <c r="G765" s="218" t="s">
        <v>273</v>
      </c>
      <c r="H765" s="218" t="s">
        <v>309</v>
      </c>
      <c r="I765" s="223">
        <v>43799</v>
      </c>
      <c r="J765" s="218" t="s">
        <v>4180</v>
      </c>
      <c r="K765" s="218" t="s">
        <v>4181</v>
      </c>
      <c r="L765" s="218" t="s">
        <v>2996</v>
      </c>
      <c r="M765" s="218" t="s">
        <v>4203</v>
      </c>
      <c r="N765" s="218">
        <v>1.74</v>
      </c>
      <c r="O765" s="218" t="s">
        <v>292</v>
      </c>
      <c r="P765" s="218">
        <v>2.25</v>
      </c>
      <c r="Q765" s="218" t="s">
        <v>380</v>
      </c>
      <c r="R765" s="218" t="s">
        <v>1693</v>
      </c>
      <c r="S765" s="218" t="s">
        <v>396</v>
      </c>
      <c r="T765" s="218" t="s">
        <v>2591</v>
      </c>
      <c r="U765" s="218" t="s">
        <v>2591</v>
      </c>
      <c r="V765" s="218" t="s">
        <v>381</v>
      </c>
      <c r="W765" s="218" t="s">
        <v>295</v>
      </c>
      <c r="X765" s="218" t="s">
        <v>379</v>
      </c>
      <c r="Y765" s="218">
        <v>2.02</v>
      </c>
      <c r="Z765" s="218">
        <f t="shared" si="16"/>
        <v>2.25</v>
      </c>
    </row>
    <row r="766" spans="1:26">
      <c r="A766" s="218" t="s">
        <v>2592</v>
      </c>
      <c r="B766" s="218"/>
      <c r="C766" s="218"/>
      <c r="D766" s="218"/>
      <c r="E766" s="218"/>
      <c r="F766" s="219" t="s">
        <v>4204</v>
      </c>
      <c r="G766" s="218" t="s">
        <v>273</v>
      </c>
      <c r="H766" s="218" t="s">
        <v>309</v>
      </c>
      <c r="I766" s="223">
        <v>43799</v>
      </c>
      <c r="J766" s="218" t="s">
        <v>2591</v>
      </c>
      <c r="K766" s="218" t="s">
        <v>4205</v>
      </c>
      <c r="L766" s="218" t="s">
        <v>4206</v>
      </c>
      <c r="M766" s="218" t="s">
        <v>4207</v>
      </c>
      <c r="N766" s="218">
        <v>3.2</v>
      </c>
      <c r="O766" s="218" t="s">
        <v>2591</v>
      </c>
      <c r="P766" s="218">
        <v>0</v>
      </c>
      <c r="Q766" s="218" t="s">
        <v>380</v>
      </c>
      <c r="R766" s="218" t="s">
        <v>1693</v>
      </c>
      <c r="S766" s="218" t="s">
        <v>374</v>
      </c>
      <c r="T766" s="218" t="s">
        <v>2591</v>
      </c>
      <c r="U766" s="218" t="s">
        <v>2591</v>
      </c>
      <c r="V766" s="218" t="s">
        <v>381</v>
      </c>
      <c r="W766" s="218" t="s">
        <v>295</v>
      </c>
      <c r="X766" s="218" t="s">
        <v>379</v>
      </c>
      <c r="Y766" s="218">
        <v>3.71</v>
      </c>
      <c r="Z766" s="218">
        <v>4.1399999999999997</v>
      </c>
    </row>
    <row r="767" spans="1:26">
      <c r="A767" s="218" t="s">
        <v>2592</v>
      </c>
      <c r="B767" s="218"/>
      <c r="C767" s="218"/>
      <c r="D767" s="218"/>
      <c r="E767" s="218"/>
      <c r="F767" s="219" t="s">
        <v>4208</v>
      </c>
      <c r="G767" s="218" t="s">
        <v>273</v>
      </c>
      <c r="H767" s="218" t="s">
        <v>309</v>
      </c>
      <c r="I767" s="223">
        <v>43799</v>
      </c>
      <c r="J767" s="218" t="s">
        <v>2591</v>
      </c>
      <c r="K767" s="218" t="s">
        <v>4205</v>
      </c>
      <c r="L767" s="218" t="s">
        <v>4206</v>
      </c>
      <c r="M767" s="218" t="s">
        <v>949</v>
      </c>
      <c r="N767" s="218">
        <v>3.2</v>
      </c>
      <c r="O767" s="218" t="s">
        <v>2591</v>
      </c>
      <c r="P767" s="218">
        <v>0</v>
      </c>
      <c r="Q767" s="218" t="s">
        <v>380</v>
      </c>
      <c r="R767" s="218" t="s">
        <v>1693</v>
      </c>
      <c r="S767" s="218" t="s">
        <v>374</v>
      </c>
      <c r="T767" s="218" t="s">
        <v>2591</v>
      </c>
      <c r="U767" s="218" t="s">
        <v>2591</v>
      </c>
      <c r="V767" s="218" t="s">
        <v>381</v>
      </c>
      <c r="W767" s="218" t="s">
        <v>295</v>
      </c>
      <c r="X767" s="218" t="s">
        <v>379</v>
      </c>
      <c r="Y767" s="218">
        <v>3.71</v>
      </c>
      <c r="Z767" s="218">
        <v>4.1399999999999997</v>
      </c>
    </row>
    <row r="768" spans="1:26">
      <c r="A768" s="218" t="s">
        <v>2592</v>
      </c>
      <c r="B768" s="218"/>
      <c r="C768" s="218"/>
      <c r="D768" s="218"/>
      <c r="E768" s="218"/>
      <c r="F768" s="219" t="s">
        <v>4209</v>
      </c>
      <c r="G768" s="218" t="s">
        <v>273</v>
      </c>
      <c r="H768" s="218" t="s">
        <v>309</v>
      </c>
      <c r="I768" s="223">
        <v>43799</v>
      </c>
      <c r="J768" s="218" t="s">
        <v>2591</v>
      </c>
      <c r="K768" s="218" t="s">
        <v>4205</v>
      </c>
      <c r="L768" s="218" t="s">
        <v>4206</v>
      </c>
      <c r="M768" s="218" t="s">
        <v>950</v>
      </c>
      <c r="N768" s="218">
        <v>3.2</v>
      </c>
      <c r="O768" s="218" t="s">
        <v>2591</v>
      </c>
      <c r="P768" s="218">
        <v>0</v>
      </c>
      <c r="Q768" s="218" t="s">
        <v>380</v>
      </c>
      <c r="R768" s="218" t="s">
        <v>1693</v>
      </c>
      <c r="S768" s="218" t="s">
        <v>374</v>
      </c>
      <c r="T768" s="218" t="s">
        <v>2591</v>
      </c>
      <c r="U768" s="218" t="s">
        <v>2591</v>
      </c>
      <c r="V768" s="218" t="s">
        <v>381</v>
      </c>
      <c r="W768" s="218" t="s">
        <v>295</v>
      </c>
      <c r="X768" s="218" t="s">
        <v>379</v>
      </c>
      <c r="Y768" s="218">
        <v>3.71</v>
      </c>
      <c r="Z768" s="218">
        <v>4.1399999999999997</v>
      </c>
    </row>
    <row r="769" spans="1:26">
      <c r="A769" s="218" t="s">
        <v>2592</v>
      </c>
      <c r="B769" s="218"/>
      <c r="C769" s="218"/>
      <c r="D769" s="218"/>
      <c r="E769" s="218"/>
      <c r="F769" s="219" t="s">
        <v>4210</v>
      </c>
      <c r="G769" s="218" t="s">
        <v>273</v>
      </c>
      <c r="H769" s="218" t="s">
        <v>309</v>
      </c>
      <c r="I769" s="223">
        <v>43830</v>
      </c>
      <c r="J769" s="218" t="s">
        <v>4211</v>
      </c>
      <c r="K769" s="218" t="s">
        <v>4181</v>
      </c>
      <c r="L769" s="218" t="s">
        <v>2704</v>
      </c>
      <c r="M769" s="218" t="s">
        <v>4192</v>
      </c>
      <c r="N769" s="218">
        <v>0.4</v>
      </c>
      <c r="O769" s="218" t="s">
        <v>292</v>
      </c>
      <c r="P769" s="218">
        <v>0.52</v>
      </c>
      <c r="Q769" s="218" t="s">
        <v>380</v>
      </c>
      <c r="R769" s="218" t="s">
        <v>1693</v>
      </c>
      <c r="S769" s="218" t="s">
        <v>396</v>
      </c>
      <c r="T769" s="218" t="s">
        <v>2591</v>
      </c>
      <c r="U769" s="218" t="s">
        <v>2591</v>
      </c>
      <c r="V769" s="218" t="s">
        <v>381</v>
      </c>
      <c r="W769" s="218" t="s">
        <v>295</v>
      </c>
      <c r="X769" s="218" t="s">
        <v>379</v>
      </c>
      <c r="Y769" s="218">
        <v>0.47</v>
      </c>
      <c r="Z769" s="218">
        <f t="shared" ref="Z769:Z832" si="17">P769</f>
        <v>0.52</v>
      </c>
    </row>
    <row r="770" spans="1:26">
      <c r="A770" s="218" t="s">
        <v>2592</v>
      </c>
      <c r="B770" s="218"/>
      <c r="C770" s="218"/>
      <c r="D770" s="218"/>
      <c r="E770" s="218"/>
      <c r="F770" s="219" t="s">
        <v>4212</v>
      </c>
      <c r="G770" s="218" t="s">
        <v>273</v>
      </c>
      <c r="H770" s="218" t="s">
        <v>309</v>
      </c>
      <c r="I770" s="223">
        <v>43830</v>
      </c>
      <c r="J770" s="218" t="s">
        <v>4211</v>
      </c>
      <c r="K770" s="218" t="s">
        <v>4181</v>
      </c>
      <c r="L770" s="218" t="s">
        <v>2704</v>
      </c>
      <c r="M770" s="218" t="s">
        <v>1264</v>
      </c>
      <c r="N770" s="218">
        <v>4.4800000000000004</v>
      </c>
      <c r="O770" s="218" t="s">
        <v>292</v>
      </c>
      <c r="P770" s="218">
        <v>5.8</v>
      </c>
      <c r="Q770" s="218" t="s">
        <v>380</v>
      </c>
      <c r="R770" s="218" t="s">
        <v>1693</v>
      </c>
      <c r="S770" s="218" t="s">
        <v>396</v>
      </c>
      <c r="T770" s="218" t="s">
        <v>2591</v>
      </c>
      <c r="U770" s="218" t="s">
        <v>2591</v>
      </c>
      <c r="V770" s="218" t="s">
        <v>381</v>
      </c>
      <c r="W770" s="218" t="s">
        <v>295</v>
      </c>
      <c r="X770" s="218" t="s">
        <v>379</v>
      </c>
      <c r="Y770" s="218">
        <v>5.26</v>
      </c>
      <c r="Z770" s="218">
        <f t="shared" si="17"/>
        <v>5.8</v>
      </c>
    </row>
    <row r="771" spans="1:26">
      <c r="A771" s="218" t="s">
        <v>2592</v>
      </c>
      <c r="B771" s="218"/>
      <c r="C771" s="218"/>
      <c r="D771" s="218"/>
      <c r="E771" s="218"/>
      <c r="F771" s="219" t="s">
        <v>4213</v>
      </c>
      <c r="G771" s="218" t="s">
        <v>273</v>
      </c>
      <c r="H771" s="218" t="s">
        <v>309</v>
      </c>
      <c r="I771" s="223">
        <v>43830</v>
      </c>
      <c r="J771" s="218" t="s">
        <v>4211</v>
      </c>
      <c r="K771" s="218" t="s">
        <v>4181</v>
      </c>
      <c r="L771" s="218" t="s">
        <v>2704</v>
      </c>
      <c r="M771" s="218" t="s">
        <v>4214</v>
      </c>
      <c r="N771" s="218">
        <v>4.4800000000000004</v>
      </c>
      <c r="O771" s="218" t="s">
        <v>292</v>
      </c>
      <c r="P771" s="218">
        <v>5.8</v>
      </c>
      <c r="Q771" s="218" t="s">
        <v>380</v>
      </c>
      <c r="R771" s="218" t="s">
        <v>1693</v>
      </c>
      <c r="S771" s="218" t="s">
        <v>396</v>
      </c>
      <c r="T771" s="218" t="s">
        <v>2591</v>
      </c>
      <c r="U771" s="218" t="s">
        <v>2591</v>
      </c>
      <c r="V771" s="218" t="s">
        <v>381</v>
      </c>
      <c r="W771" s="218" t="s">
        <v>295</v>
      </c>
      <c r="X771" s="218" t="s">
        <v>379</v>
      </c>
      <c r="Y771" s="218">
        <v>5.26</v>
      </c>
      <c r="Z771" s="218">
        <f t="shared" si="17"/>
        <v>5.8</v>
      </c>
    </row>
    <row r="772" spans="1:26">
      <c r="A772" s="218" t="s">
        <v>2592</v>
      </c>
      <c r="B772" s="218"/>
      <c r="C772" s="218"/>
      <c r="D772" s="218"/>
      <c r="E772" s="218"/>
      <c r="F772" s="219" t="s">
        <v>4215</v>
      </c>
      <c r="G772" s="218" t="s">
        <v>273</v>
      </c>
      <c r="H772" s="218" t="s">
        <v>309</v>
      </c>
      <c r="I772" s="223">
        <v>43830</v>
      </c>
      <c r="J772" s="218" t="s">
        <v>4211</v>
      </c>
      <c r="K772" s="218" t="s">
        <v>4181</v>
      </c>
      <c r="L772" s="218" t="s">
        <v>2704</v>
      </c>
      <c r="M772" s="218" t="s">
        <v>1249</v>
      </c>
      <c r="N772" s="218">
        <v>0.27</v>
      </c>
      <c r="O772" s="218" t="s">
        <v>292</v>
      </c>
      <c r="P772" s="218">
        <v>0.35</v>
      </c>
      <c r="Q772" s="218" t="s">
        <v>380</v>
      </c>
      <c r="R772" s="218" t="s">
        <v>1693</v>
      </c>
      <c r="S772" s="218" t="s">
        <v>396</v>
      </c>
      <c r="T772" s="218" t="s">
        <v>2591</v>
      </c>
      <c r="U772" s="218" t="s">
        <v>2591</v>
      </c>
      <c r="V772" s="218" t="s">
        <v>381</v>
      </c>
      <c r="W772" s="218" t="s">
        <v>295</v>
      </c>
      <c r="X772" s="218" t="s">
        <v>379</v>
      </c>
      <c r="Y772" s="218">
        <v>0.32</v>
      </c>
      <c r="Z772" s="218">
        <f t="shared" si="17"/>
        <v>0.35</v>
      </c>
    </row>
    <row r="773" spans="1:26">
      <c r="A773" s="218" t="s">
        <v>2592</v>
      </c>
      <c r="B773" s="218"/>
      <c r="C773" s="218"/>
      <c r="D773" s="218"/>
      <c r="E773" s="218"/>
      <c r="F773" s="219" t="s">
        <v>4216</v>
      </c>
      <c r="G773" s="218" t="s">
        <v>273</v>
      </c>
      <c r="H773" s="218" t="s">
        <v>309</v>
      </c>
      <c r="I773" s="223">
        <v>43830</v>
      </c>
      <c r="J773" s="218" t="s">
        <v>4211</v>
      </c>
      <c r="K773" s="218" t="s">
        <v>4181</v>
      </c>
      <c r="L773" s="218" t="s">
        <v>2704</v>
      </c>
      <c r="M773" s="218" t="s">
        <v>1249</v>
      </c>
      <c r="N773" s="218">
        <v>0.18</v>
      </c>
      <c r="O773" s="218" t="s">
        <v>292</v>
      </c>
      <c r="P773" s="218">
        <v>0.23</v>
      </c>
      <c r="Q773" s="218" t="s">
        <v>380</v>
      </c>
      <c r="R773" s="218" t="s">
        <v>1693</v>
      </c>
      <c r="S773" s="218" t="s">
        <v>396</v>
      </c>
      <c r="T773" s="218" t="s">
        <v>2591</v>
      </c>
      <c r="U773" s="218" t="s">
        <v>2591</v>
      </c>
      <c r="V773" s="218" t="s">
        <v>381</v>
      </c>
      <c r="W773" s="218" t="s">
        <v>295</v>
      </c>
      <c r="X773" s="218" t="s">
        <v>379</v>
      </c>
      <c r="Y773" s="218">
        <v>0.21</v>
      </c>
      <c r="Z773" s="218">
        <f t="shared" si="17"/>
        <v>0.23</v>
      </c>
    </row>
    <row r="774" spans="1:26">
      <c r="A774" s="218" t="s">
        <v>2592</v>
      </c>
      <c r="B774" s="218"/>
      <c r="C774" s="218"/>
      <c r="D774" s="218"/>
      <c r="E774" s="218"/>
      <c r="F774" s="219" t="s">
        <v>4217</v>
      </c>
      <c r="G774" s="218" t="s">
        <v>273</v>
      </c>
      <c r="H774" s="218" t="s">
        <v>309</v>
      </c>
      <c r="I774" s="223">
        <v>43830</v>
      </c>
      <c r="J774" s="218" t="s">
        <v>4211</v>
      </c>
      <c r="K774" s="218" t="s">
        <v>4181</v>
      </c>
      <c r="L774" s="218" t="s">
        <v>2704</v>
      </c>
      <c r="M774" s="218" t="s">
        <v>1253</v>
      </c>
      <c r="N774" s="218">
        <v>8.98</v>
      </c>
      <c r="O774" s="218" t="s">
        <v>292</v>
      </c>
      <c r="P774" s="218">
        <v>11.61</v>
      </c>
      <c r="Q774" s="218" t="s">
        <v>380</v>
      </c>
      <c r="R774" s="218" t="s">
        <v>1693</v>
      </c>
      <c r="S774" s="218" t="s">
        <v>396</v>
      </c>
      <c r="T774" s="218" t="s">
        <v>2591</v>
      </c>
      <c r="U774" s="218" t="s">
        <v>2591</v>
      </c>
      <c r="V774" s="218" t="s">
        <v>381</v>
      </c>
      <c r="W774" s="218" t="s">
        <v>295</v>
      </c>
      <c r="X774" s="218" t="s">
        <v>379</v>
      </c>
      <c r="Y774" s="218">
        <v>10.54</v>
      </c>
      <c r="Z774" s="218">
        <f t="shared" si="17"/>
        <v>11.61</v>
      </c>
    </row>
    <row r="775" spans="1:26">
      <c r="A775" s="218" t="s">
        <v>2592</v>
      </c>
      <c r="B775" s="218"/>
      <c r="C775" s="218"/>
      <c r="D775" s="218"/>
      <c r="E775" s="218"/>
      <c r="F775" s="219" t="s">
        <v>4218</v>
      </c>
      <c r="G775" s="218" t="s">
        <v>273</v>
      </c>
      <c r="H775" s="218" t="s">
        <v>309</v>
      </c>
      <c r="I775" s="223">
        <v>43830</v>
      </c>
      <c r="J775" s="218" t="s">
        <v>4211</v>
      </c>
      <c r="K775" s="218" t="s">
        <v>4181</v>
      </c>
      <c r="L775" s="218" t="s">
        <v>2704</v>
      </c>
      <c r="M775" s="218" t="s">
        <v>1253</v>
      </c>
      <c r="N775" s="218">
        <v>3.32</v>
      </c>
      <c r="O775" s="218" t="s">
        <v>292</v>
      </c>
      <c r="P775" s="218">
        <v>4.29</v>
      </c>
      <c r="Q775" s="218" t="s">
        <v>380</v>
      </c>
      <c r="R775" s="218" t="s">
        <v>1693</v>
      </c>
      <c r="S775" s="218" t="s">
        <v>396</v>
      </c>
      <c r="T775" s="218" t="s">
        <v>2591</v>
      </c>
      <c r="U775" s="218" t="s">
        <v>2591</v>
      </c>
      <c r="V775" s="218" t="s">
        <v>381</v>
      </c>
      <c r="W775" s="218" t="s">
        <v>295</v>
      </c>
      <c r="X775" s="218" t="s">
        <v>379</v>
      </c>
      <c r="Y775" s="218">
        <v>3.9</v>
      </c>
      <c r="Z775" s="218">
        <f t="shared" si="17"/>
        <v>4.29</v>
      </c>
    </row>
    <row r="776" spans="1:26">
      <c r="A776" s="218" t="s">
        <v>2592</v>
      </c>
      <c r="B776" s="218"/>
      <c r="C776" s="218"/>
      <c r="D776" s="218"/>
      <c r="E776" s="218"/>
      <c r="F776" s="219" t="s">
        <v>4219</v>
      </c>
      <c r="G776" s="218" t="s">
        <v>273</v>
      </c>
      <c r="H776" s="218" t="s">
        <v>309</v>
      </c>
      <c r="I776" s="223">
        <v>43830</v>
      </c>
      <c r="J776" s="218" t="s">
        <v>4211</v>
      </c>
      <c r="K776" s="218" t="s">
        <v>4181</v>
      </c>
      <c r="L776" s="218" t="s">
        <v>2704</v>
      </c>
      <c r="M776" s="218" t="s">
        <v>1253</v>
      </c>
      <c r="N776" s="218">
        <v>8.98</v>
      </c>
      <c r="O776" s="218" t="s">
        <v>292</v>
      </c>
      <c r="P776" s="218">
        <v>11.61</v>
      </c>
      <c r="Q776" s="218" t="s">
        <v>380</v>
      </c>
      <c r="R776" s="218" t="s">
        <v>1693</v>
      </c>
      <c r="S776" s="218" t="s">
        <v>396</v>
      </c>
      <c r="T776" s="218" t="s">
        <v>2591</v>
      </c>
      <c r="U776" s="218" t="s">
        <v>2591</v>
      </c>
      <c r="V776" s="218" t="s">
        <v>381</v>
      </c>
      <c r="W776" s="218" t="s">
        <v>295</v>
      </c>
      <c r="X776" s="218" t="s">
        <v>379</v>
      </c>
      <c r="Y776" s="218">
        <v>10.54</v>
      </c>
      <c r="Z776" s="218">
        <f t="shared" si="17"/>
        <v>11.61</v>
      </c>
    </row>
    <row r="777" spans="1:26">
      <c r="A777" s="218" t="s">
        <v>2592</v>
      </c>
      <c r="B777" s="218"/>
      <c r="C777" s="218"/>
      <c r="D777" s="218"/>
      <c r="E777" s="218"/>
      <c r="F777" s="219" t="s">
        <v>4220</v>
      </c>
      <c r="G777" s="218" t="s">
        <v>273</v>
      </c>
      <c r="H777" s="218" t="s">
        <v>309</v>
      </c>
      <c r="I777" s="223">
        <v>43830</v>
      </c>
      <c r="J777" s="218" t="s">
        <v>4211</v>
      </c>
      <c r="K777" s="218" t="s">
        <v>4181</v>
      </c>
      <c r="L777" s="218" t="s">
        <v>2704</v>
      </c>
      <c r="M777" s="218" t="s">
        <v>1249</v>
      </c>
      <c r="N777" s="218">
        <v>0.12</v>
      </c>
      <c r="O777" s="218" t="s">
        <v>292</v>
      </c>
      <c r="P777" s="218">
        <v>0.15</v>
      </c>
      <c r="Q777" s="218" t="s">
        <v>380</v>
      </c>
      <c r="R777" s="218" t="s">
        <v>1693</v>
      </c>
      <c r="S777" s="218" t="s">
        <v>396</v>
      </c>
      <c r="T777" s="218" t="s">
        <v>2591</v>
      </c>
      <c r="U777" s="218" t="s">
        <v>2591</v>
      </c>
      <c r="V777" s="218" t="s">
        <v>381</v>
      </c>
      <c r="W777" s="218" t="s">
        <v>295</v>
      </c>
      <c r="X777" s="218" t="s">
        <v>379</v>
      </c>
      <c r="Y777" s="218">
        <v>0.14000000000000001</v>
      </c>
      <c r="Z777" s="218">
        <f t="shared" si="17"/>
        <v>0.15</v>
      </c>
    </row>
    <row r="778" spans="1:26">
      <c r="A778" s="218" t="s">
        <v>2592</v>
      </c>
      <c r="B778" s="218"/>
      <c r="C778" s="218"/>
      <c r="D778" s="218"/>
      <c r="E778" s="218"/>
      <c r="F778" s="219" t="s">
        <v>4221</v>
      </c>
      <c r="G778" s="218" t="s">
        <v>273</v>
      </c>
      <c r="H778" s="218" t="s">
        <v>309</v>
      </c>
      <c r="I778" s="223">
        <v>43830</v>
      </c>
      <c r="J778" s="218" t="s">
        <v>4211</v>
      </c>
      <c r="K778" s="218" t="s">
        <v>4181</v>
      </c>
      <c r="L778" s="218" t="s">
        <v>2704</v>
      </c>
      <c r="M778" s="218" t="s">
        <v>4222</v>
      </c>
      <c r="N778" s="218">
        <v>1.92</v>
      </c>
      <c r="O778" s="218" t="s">
        <v>292</v>
      </c>
      <c r="P778" s="218">
        <v>2.48</v>
      </c>
      <c r="Q778" s="218" t="s">
        <v>380</v>
      </c>
      <c r="R778" s="218" t="s">
        <v>1693</v>
      </c>
      <c r="S778" s="218" t="s">
        <v>396</v>
      </c>
      <c r="T778" s="218" t="s">
        <v>2591</v>
      </c>
      <c r="U778" s="218" t="s">
        <v>2591</v>
      </c>
      <c r="V778" s="218" t="s">
        <v>381</v>
      </c>
      <c r="W778" s="218" t="s">
        <v>295</v>
      </c>
      <c r="X778" s="218" t="s">
        <v>379</v>
      </c>
      <c r="Y778" s="218">
        <v>2.25</v>
      </c>
      <c r="Z778" s="218">
        <f t="shared" si="17"/>
        <v>2.48</v>
      </c>
    </row>
    <row r="779" spans="1:26">
      <c r="A779" s="218" t="s">
        <v>2592</v>
      </c>
      <c r="B779" s="218"/>
      <c r="C779" s="218"/>
      <c r="D779" s="218"/>
      <c r="E779" s="218"/>
      <c r="F779" s="219" t="s">
        <v>4223</v>
      </c>
      <c r="G779" s="218" t="s">
        <v>273</v>
      </c>
      <c r="H779" s="218" t="s">
        <v>309</v>
      </c>
      <c r="I779" s="223">
        <v>43830</v>
      </c>
      <c r="J779" s="218" t="s">
        <v>4211</v>
      </c>
      <c r="K779" s="218" t="s">
        <v>4181</v>
      </c>
      <c r="L779" s="218" t="s">
        <v>2704</v>
      </c>
      <c r="M779" s="218" t="s">
        <v>1249</v>
      </c>
      <c r="N779" s="218">
        <v>0.72</v>
      </c>
      <c r="O779" s="218" t="s">
        <v>292</v>
      </c>
      <c r="P779" s="218">
        <v>0.93</v>
      </c>
      <c r="Q779" s="218" t="s">
        <v>380</v>
      </c>
      <c r="R779" s="218" t="s">
        <v>1693</v>
      </c>
      <c r="S779" s="218" t="s">
        <v>396</v>
      </c>
      <c r="T779" s="218" t="s">
        <v>2591</v>
      </c>
      <c r="U779" s="218" t="s">
        <v>2591</v>
      </c>
      <c r="V779" s="218" t="s">
        <v>381</v>
      </c>
      <c r="W779" s="218" t="s">
        <v>295</v>
      </c>
      <c r="X779" s="218" t="s">
        <v>379</v>
      </c>
      <c r="Y779" s="218">
        <v>0.85</v>
      </c>
      <c r="Z779" s="218">
        <f t="shared" si="17"/>
        <v>0.93</v>
      </c>
    </row>
    <row r="780" spans="1:26">
      <c r="A780" s="218" t="s">
        <v>2592</v>
      </c>
      <c r="B780" s="218"/>
      <c r="C780" s="218"/>
      <c r="D780" s="218"/>
      <c r="E780" s="218"/>
      <c r="F780" s="219" t="s">
        <v>4224</v>
      </c>
      <c r="G780" s="218" t="s">
        <v>273</v>
      </c>
      <c r="H780" s="218" t="s">
        <v>309</v>
      </c>
      <c r="I780" s="223">
        <v>43830</v>
      </c>
      <c r="J780" s="218" t="s">
        <v>4211</v>
      </c>
      <c r="K780" s="218" t="s">
        <v>4181</v>
      </c>
      <c r="L780" s="218" t="s">
        <v>2704</v>
      </c>
      <c r="M780" s="218" t="s">
        <v>1249</v>
      </c>
      <c r="N780" s="218">
        <v>2.36</v>
      </c>
      <c r="O780" s="218" t="s">
        <v>292</v>
      </c>
      <c r="P780" s="218">
        <v>3.05</v>
      </c>
      <c r="Q780" s="218" t="s">
        <v>380</v>
      </c>
      <c r="R780" s="218" t="s">
        <v>1693</v>
      </c>
      <c r="S780" s="218" t="s">
        <v>396</v>
      </c>
      <c r="T780" s="218" t="s">
        <v>2591</v>
      </c>
      <c r="U780" s="218" t="s">
        <v>2591</v>
      </c>
      <c r="V780" s="218" t="s">
        <v>381</v>
      </c>
      <c r="W780" s="218" t="s">
        <v>295</v>
      </c>
      <c r="X780" s="218" t="s">
        <v>379</v>
      </c>
      <c r="Y780" s="218">
        <v>2.77</v>
      </c>
      <c r="Z780" s="218">
        <f t="shared" si="17"/>
        <v>3.05</v>
      </c>
    </row>
    <row r="781" spans="1:26">
      <c r="A781" s="218" t="s">
        <v>2592</v>
      </c>
      <c r="B781" s="218"/>
      <c r="C781" s="218"/>
      <c r="D781" s="218"/>
      <c r="E781" s="218"/>
      <c r="F781" s="219" t="s">
        <v>4225</v>
      </c>
      <c r="G781" s="218" t="s">
        <v>273</v>
      </c>
      <c r="H781" s="218" t="s">
        <v>309</v>
      </c>
      <c r="I781" s="223">
        <v>43830</v>
      </c>
      <c r="J781" s="218" t="s">
        <v>4211</v>
      </c>
      <c r="K781" s="218" t="s">
        <v>4181</v>
      </c>
      <c r="L781" s="218" t="s">
        <v>2704</v>
      </c>
      <c r="M781" s="218" t="s">
        <v>4222</v>
      </c>
      <c r="N781" s="218">
        <v>1.87</v>
      </c>
      <c r="O781" s="218" t="s">
        <v>292</v>
      </c>
      <c r="P781" s="218">
        <v>2.42</v>
      </c>
      <c r="Q781" s="218" t="s">
        <v>380</v>
      </c>
      <c r="R781" s="218" t="s">
        <v>1693</v>
      </c>
      <c r="S781" s="218" t="s">
        <v>396</v>
      </c>
      <c r="T781" s="218" t="s">
        <v>2591</v>
      </c>
      <c r="U781" s="218" t="s">
        <v>2591</v>
      </c>
      <c r="V781" s="218" t="s">
        <v>381</v>
      </c>
      <c r="W781" s="218" t="s">
        <v>295</v>
      </c>
      <c r="X781" s="218" t="s">
        <v>379</v>
      </c>
      <c r="Y781" s="218">
        <v>2.2000000000000002</v>
      </c>
      <c r="Z781" s="218">
        <f t="shared" si="17"/>
        <v>2.42</v>
      </c>
    </row>
    <row r="782" spans="1:26">
      <c r="A782" s="218" t="s">
        <v>2592</v>
      </c>
      <c r="B782" s="218"/>
      <c r="C782" s="218"/>
      <c r="D782" s="218"/>
      <c r="E782" s="218"/>
      <c r="F782" s="219" t="s">
        <v>4226</v>
      </c>
      <c r="G782" s="218" t="s">
        <v>273</v>
      </c>
      <c r="H782" s="218" t="s">
        <v>309</v>
      </c>
      <c r="I782" s="223">
        <v>43830</v>
      </c>
      <c r="J782" s="218" t="s">
        <v>4211</v>
      </c>
      <c r="K782" s="218" t="s">
        <v>4181</v>
      </c>
      <c r="L782" s="218" t="s">
        <v>2704</v>
      </c>
      <c r="M782" s="218" t="s">
        <v>4222</v>
      </c>
      <c r="N782" s="218">
        <v>1.93</v>
      </c>
      <c r="O782" s="218" t="s">
        <v>292</v>
      </c>
      <c r="P782" s="218">
        <v>2.4900000000000002</v>
      </c>
      <c r="Q782" s="218" t="s">
        <v>380</v>
      </c>
      <c r="R782" s="218" t="s">
        <v>1693</v>
      </c>
      <c r="S782" s="218" t="s">
        <v>396</v>
      </c>
      <c r="T782" s="218" t="s">
        <v>2591</v>
      </c>
      <c r="U782" s="218" t="s">
        <v>2591</v>
      </c>
      <c r="V782" s="218" t="s">
        <v>381</v>
      </c>
      <c r="W782" s="218" t="s">
        <v>295</v>
      </c>
      <c r="X782" s="218" t="s">
        <v>379</v>
      </c>
      <c r="Y782" s="218">
        <v>2.27</v>
      </c>
      <c r="Z782" s="218">
        <f t="shared" si="17"/>
        <v>2.4900000000000002</v>
      </c>
    </row>
    <row r="783" spans="1:26">
      <c r="A783" s="218" t="s">
        <v>2592</v>
      </c>
      <c r="B783" s="218"/>
      <c r="C783" s="218"/>
      <c r="D783" s="218"/>
      <c r="E783" s="218"/>
      <c r="F783" s="219" t="s">
        <v>4227</v>
      </c>
      <c r="G783" s="218" t="s">
        <v>273</v>
      </c>
      <c r="H783" s="218" t="s">
        <v>309</v>
      </c>
      <c r="I783" s="223">
        <v>43830</v>
      </c>
      <c r="J783" s="218" t="s">
        <v>4211</v>
      </c>
      <c r="K783" s="218" t="s">
        <v>4181</v>
      </c>
      <c r="L783" s="218" t="s">
        <v>2704</v>
      </c>
      <c r="M783" s="218" t="s">
        <v>1249</v>
      </c>
      <c r="N783" s="218">
        <v>0.45</v>
      </c>
      <c r="O783" s="218" t="s">
        <v>292</v>
      </c>
      <c r="P783" s="218">
        <v>0.57999999999999996</v>
      </c>
      <c r="Q783" s="218" t="s">
        <v>380</v>
      </c>
      <c r="R783" s="218" t="s">
        <v>1693</v>
      </c>
      <c r="S783" s="218" t="s">
        <v>396</v>
      </c>
      <c r="T783" s="218" t="s">
        <v>2591</v>
      </c>
      <c r="U783" s="218" t="s">
        <v>2591</v>
      </c>
      <c r="V783" s="218" t="s">
        <v>381</v>
      </c>
      <c r="W783" s="218" t="s">
        <v>295</v>
      </c>
      <c r="X783" s="218" t="s">
        <v>379</v>
      </c>
      <c r="Y783" s="218">
        <v>0.53</v>
      </c>
      <c r="Z783" s="218">
        <f t="shared" si="17"/>
        <v>0.57999999999999996</v>
      </c>
    </row>
    <row r="784" spans="1:26">
      <c r="A784" s="218" t="s">
        <v>2592</v>
      </c>
      <c r="B784" s="218"/>
      <c r="C784" s="218"/>
      <c r="D784" s="218"/>
      <c r="E784" s="218"/>
      <c r="F784" s="219" t="s">
        <v>4228</v>
      </c>
      <c r="G784" s="218" t="s">
        <v>273</v>
      </c>
      <c r="H784" s="218" t="s">
        <v>309</v>
      </c>
      <c r="I784" s="223">
        <v>43830</v>
      </c>
      <c r="J784" s="218" t="s">
        <v>4211</v>
      </c>
      <c r="K784" s="218" t="s">
        <v>4181</v>
      </c>
      <c r="L784" s="218" t="s">
        <v>2704</v>
      </c>
      <c r="M784" s="218" t="s">
        <v>1249</v>
      </c>
      <c r="N784" s="218">
        <v>1.44</v>
      </c>
      <c r="O784" s="218" t="s">
        <v>292</v>
      </c>
      <c r="P784" s="218">
        <v>1.86</v>
      </c>
      <c r="Q784" s="218" t="s">
        <v>380</v>
      </c>
      <c r="R784" s="218" t="s">
        <v>1693</v>
      </c>
      <c r="S784" s="218" t="s">
        <v>396</v>
      </c>
      <c r="T784" s="218" t="s">
        <v>2591</v>
      </c>
      <c r="U784" s="218" t="s">
        <v>2591</v>
      </c>
      <c r="V784" s="218" t="s">
        <v>381</v>
      </c>
      <c r="W784" s="218" t="s">
        <v>295</v>
      </c>
      <c r="X784" s="218" t="s">
        <v>379</v>
      </c>
      <c r="Y784" s="218">
        <v>1.69</v>
      </c>
      <c r="Z784" s="218">
        <f t="shared" si="17"/>
        <v>1.86</v>
      </c>
    </row>
    <row r="785" spans="1:26">
      <c r="A785" s="218" t="s">
        <v>2592</v>
      </c>
      <c r="B785" s="218"/>
      <c r="C785" s="218"/>
      <c r="D785" s="218"/>
      <c r="E785" s="218"/>
      <c r="F785" s="219" t="s">
        <v>4229</v>
      </c>
      <c r="G785" s="218" t="s">
        <v>273</v>
      </c>
      <c r="H785" s="218" t="s">
        <v>309</v>
      </c>
      <c r="I785" s="223">
        <v>43830</v>
      </c>
      <c r="J785" s="218" t="s">
        <v>4211</v>
      </c>
      <c r="K785" s="218" t="s">
        <v>4181</v>
      </c>
      <c r="L785" s="218" t="s">
        <v>2704</v>
      </c>
      <c r="M785" s="218" t="s">
        <v>4230</v>
      </c>
      <c r="N785" s="218">
        <v>172.95</v>
      </c>
      <c r="O785" s="218" t="s">
        <v>292</v>
      </c>
      <c r="P785" s="218">
        <v>223.67</v>
      </c>
      <c r="Q785" s="218" t="s">
        <v>380</v>
      </c>
      <c r="R785" s="218" t="s">
        <v>1693</v>
      </c>
      <c r="S785" s="218" t="s">
        <v>396</v>
      </c>
      <c r="T785" s="218" t="s">
        <v>2591</v>
      </c>
      <c r="U785" s="218" t="s">
        <v>2591</v>
      </c>
      <c r="V785" s="218" t="s">
        <v>381</v>
      </c>
      <c r="W785" s="218" t="s">
        <v>295</v>
      </c>
      <c r="X785" s="218" t="s">
        <v>379</v>
      </c>
      <c r="Y785" s="218">
        <v>203.04</v>
      </c>
      <c r="Z785" s="218">
        <f t="shared" si="17"/>
        <v>223.67</v>
      </c>
    </row>
    <row r="786" spans="1:26">
      <c r="A786" s="218" t="s">
        <v>2592</v>
      </c>
      <c r="B786" s="218"/>
      <c r="C786" s="218"/>
      <c r="D786" s="218"/>
      <c r="E786" s="218"/>
      <c r="F786" s="219" t="s">
        <v>4231</v>
      </c>
      <c r="G786" s="218" t="s">
        <v>273</v>
      </c>
      <c r="H786" s="218" t="s">
        <v>309</v>
      </c>
      <c r="I786" s="223">
        <v>43830</v>
      </c>
      <c r="J786" s="218" t="s">
        <v>4211</v>
      </c>
      <c r="K786" s="218" t="s">
        <v>4181</v>
      </c>
      <c r="L786" s="218" t="s">
        <v>2704</v>
      </c>
      <c r="M786" s="218" t="s">
        <v>4230</v>
      </c>
      <c r="N786" s="218">
        <v>7.73</v>
      </c>
      <c r="O786" s="218" t="s">
        <v>292</v>
      </c>
      <c r="P786" s="218">
        <v>10</v>
      </c>
      <c r="Q786" s="218" t="s">
        <v>380</v>
      </c>
      <c r="R786" s="218" t="s">
        <v>1693</v>
      </c>
      <c r="S786" s="218" t="s">
        <v>396</v>
      </c>
      <c r="T786" s="218" t="s">
        <v>2591</v>
      </c>
      <c r="U786" s="218" t="s">
        <v>2591</v>
      </c>
      <c r="V786" s="218" t="s">
        <v>381</v>
      </c>
      <c r="W786" s="218" t="s">
        <v>295</v>
      </c>
      <c r="X786" s="218" t="s">
        <v>379</v>
      </c>
      <c r="Y786" s="218">
        <v>9.07</v>
      </c>
      <c r="Z786" s="218">
        <f t="shared" si="17"/>
        <v>10</v>
      </c>
    </row>
    <row r="787" spans="1:26">
      <c r="A787" s="218" t="s">
        <v>2592</v>
      </c>
      <c r="B787" s="218"/>
      <c r="C787" s="218"/>
      <c r="D787" s="218"/>
      <c r="E787" s="218"/>
      <c r="F787" s="219" t="s">
        <v>4232</v>
      </c>
      <c r="G787" s="218" t="s">
        <v>273</v>
      </c>
      <c r="H787" s="218" t="s">
        <v>309</v>
      </c>
      <c r="I787" s="223">
        <v>43830</v>
      </c>
      <c r="J787" s="218" t="s">
        <v>4211</v>
      </c>
      <c r="K787" s="218" t="s">
        <v>4181</v>
      </c>
      <c r="L787" s="218" t="s">
        <v>2704</v>
      </c>
      <c r="M787" s="218" t="s">
        <v>1249</v>
      </c>
      <c r="N787" s="218">
        <v>0.28999999999999998</v>
      </c>
      <c r="O787" s="218" t="s">
        <v>292</v>
      </c>
      <c r="P787" s="218">
        <v>0.38</v>
      </c>
      <c r="Q787" s="218" t="s">
        <v>380</v>
      </c>
      <c r="R787" s="218" t="s">
        <v>1693</v>
      </c>
      <c r="S787" s="218" t="s">
        <v>396</v>
      </c>
      <c r="T787" s="218" t="s">
        <v>2591</v>
      </c>
      <c r="U787" s="218" t="s">
        <v>2591</v>
      </c>
      <c r="V787" s="218" t="s">
        <v>381</v>
      </c>
      <c r="W787" s="218" t="s">
        <v>295</v>
      </c>
      <c r="X787" s="218" t="s">
        <v>379</v>
      </c>
      <c r="Y787" s="218">
        <v>0.34</v>
      </c>
      <c r="Z787" s="218">
        <f t="shared" si="17"/>
        <v>0.38</v>
      </c>
    </row>
    <row r="788" spans="1:26">
      <c r="A788" s="218" t="s">
        <v>2592</v>
      </c>
      <c r="B788" s="218"/>
      <c r="C788" s="218"/>
      <c r="D788" s="218"/>
      <c r="E788" s="218"/>
      <c r="F788" s="219" t="s">
        <v>4233</v>
      </c>
      <c r="G788" s="218" t="s">
        <v>273</v>
      </c>
      <c r="H788" s="218" t="s">
        <v>309</v>
      </c>
      <c r="I788" s="223">
        <v>43830</v>
      </c>
      <c r="J788" s="218" t="s">
        <v>4211</v>
      </c>
      <c r="K788" s="218" t="s">
        <v>4181</v>
      </c>
      <c r="L788" s="218" t="s">
        <v>2704</v>
      </c>
      <c r="M788" s="218" t="s">
        <v>4222</v>
      </c>
      <c r="N788" s="218">
        <v>7.74</v>
      </c>
      <c r="O788" s="218" t="s">
        <v>292</v>
      </c>
      <c r="P788" s="218">
        <v>10.01</v>
      </c>
      <c r="Q788" s="218" t="s">
        <v>380</v>
      </c>
      <c r="R788" s="218" t="s">
        <v>1693</v>
      </c>
      <c r="S788" s="218" t="s">
        <v>396</v>
      </c>
      <c r="T788" s="218" t="s">
        <v>2591</v>
      </c>
      <c r="U788" s="218" t="s">
        <v>2591</v>
      </c>
      <c r="V788" s="218" t="s">
        <v>381</v>
      </c>
      <c r="W788" s="218" t="s">
        <v>295</v>
      </c>
      <c r="X788" s="218" t="s">
        <v>379</v>
      </c>
      <c r="Y788" s="218">
        <v>9.09</v>
      </c>
      <c r="Z788" s="218">
        <f t="shared" si="17"/>
        <v>10.01</v>
      </c>
    </row>
    <row r="789" spans="1:26">
      <c r="A789" s="218" t="s">
        <v>2592</v>
      </c>
      <c r="B789" s="218"/>
      <c r="C789" s="218"/>
      <c r="D789" s="218"/>
      <c r="E789" s="218"/>
      <c r="F789" s="219" t="s">
        <v>4234</v>
      </c>
      <c r="G789" s="218" t="s">
        <v>273</v>
      </c>
      <c r="H789" s="218" t="s">
        <v>309</v>
      </c>
      <c r="I789" s="223">
        <v>43830</v>
      </c>
      <c r="J789" s="218" t="s">
        <v>4211</v>
      </c>
      <c r="K789" s="218" t="s">
        <v>4181</v>
      </c>
      <c r="L789" s="218" t="s">
        <v>2704</v>
      </c>
      <c r="M789" s="218" t="s">
        <v>4222</v>
      </c>
      <c r="N789" s="218">
        <v>2.0499999999999998</v>
      </c>
      <c r="O789" s="218" t="s">
        <v>292</v>
      </c>
      <c r="P789" s="218">
        <v>2.65</v>
      </c>
      <c r="Q789" s="218" t="s">
        <v>380</v>
      </c>
      <c r="R789" s="218" t="s">
        <v>1693</v>
      </c>
      <c r="S789" s="218" t="s">
        <v>396</v>
      </c>
      <c r="T789" s="218" t="s">
        <v>2591</v>
      </c>
      <c r="U789" s="218" t="s">
        <v>2591</v>
      </c>
      <c r="V789" s="218" t="s">
        <v>381</v>
      </c>
      <c r="W789" s="218" t="s">
        <v>295</v>
      </c>
      <c r="X789" s="218" t="s">
        <v>379</v>
      </c>
      <c r="Y789" s="218">
        <v>2.41</v>
      </c>
      <c r="Z789" s="218">
        <f t="shared" si="17"/>
        <v>2.65</v>
      </c>
    </row>
    <row r="790" spans="1:26">
      <c r="A790" s="218" t="s">
        <v>2592</v>
      </c>
      <c r="B790" s="218"/>
      <c r="C790" s="218"/>
      <c r="D790" s="218"/>
      <c r="E790" s="218"/>
      <c r="F790" s="219" t="s">
        <v>4235</v>
      </c>
      <c r="G790" s="218" t="s">
        <v>273</v>
      </c>
      <c r="H790" s="218" t="s">
        <v>309</v>
      </c>
      <c r="I790" s="223">
        <v>43830</v>
      </c>
      <c r="J790" s="218" t="s">
        <v>4211</v>
      </c>
      <c r="K790" s="218" t="s">
        <v>4181</v>
      </c>
      <c r="L790" s="218" t="s">
        <v>2704</v>
      </c>
      <c r="M790" s="218" t="s">
        <v>4222</v>
      </c>
      <c r="N790" s="218">
        <v>1.83</v>
      </c>
      <c r="O790" s="218" t="s">
        <v>292</v>
      </c>
      <c r="P790" s="218">
        <v>2.37</v>
      </c>
      <c r="Q790" s="218" t="s">
        <v>380</v>
      </c>
      <c r="R790" s="218" t="s">
        <v>1693</v>
      </c>
      <c r="S790" s="218" t="s">
        <v>396</v>
      </c>
      <c r="T790" s="218" t="s">
        <v>2591</v>
      </c>
      <c r="U790" s="218" t="s">
        <v>2591</v>
      </c>
      <c r="V790" s="218" t="s">
        <v>381</v>
      </c>
      <c r="W790" s="218" t="s">
        <v>295</v>
      </c>
      <c r="X790" s="218" t="s">
        <v>379</v>
      </c>
      <c r="Y790" s="218">
        <v>2.15</v>
      </c>
      <c r="Z790" s="218">
        <f t="shared" si="17"/>
        <v>2.37</v>
      </c>
    </row>
    <row r="791" spans="1:26">
      <c r="A791" s="218" t="s">
        <v>2592</v>
      </c>
      <c r="B791" s="218"/>
      <c r="C791" s="218"/>
      <c r="D791" s="218"/>
      <c r="E791" s="218"/>
      <c r="F791" s="219" t="s">
        <v>4236</v>
      </c>
      <c r="G791" s="218" t="s">
        <v>273</v>
      </c>
      <c r="H791" s="218" t="s">
        <v>309</v>
      </c>
      <c r="I791" s="223">
        <v>43830</v>
      </c>
      <c r="J791" s="218" t="s">
        <v>4211</v>
      </c>
      <c r="K791" s="218" t="s">
        <v>4181</v>
      </c>
      <c r="L791" s="218" t="s">
        <v>2704</v>
      </c>
      <c r="M791" s="218" t="s">
        <v>4222</v>
      </c>
      <c r="N791" s="218">
        <v>1.84</v>
      </c>
      <c r="O791" s="218" t="s">
        <v>292</v>
      </c>
      <c r="P791" s="218">
        <v>2.38</v>
      </c>
      <c r="Q791" s="218" t="s">
        <v>380</v>
      </c>
      <c r="R791" s="218" t="s">
        <v>1693</v>
      </c>
      <c r="S791" s="218" t="s">
        <v>396</v>
      </c>
      <c r="T791" s="218" t="s">
        <v>2591</v>
      </c>
      <c r="U791" s="218" t="s">
        <v>2591</v>
      </c>
      <c r="V791" s="218" t="s">
        <v>381</v>
      </c>
      <c r="W791" s="218" t="s">
        <v>295</v>
      </c>
      <c r="X791" s="218" t="s">
        <v>379</v>
      </c>
      <c r="Y791" s="218">
        <v>2.16</v>
      </c>
      <c r="Z791" s="218">
        <f t="shared" si="17"/>
        <v>2.38</v>
      </c>
    </row>
    <row r="792" spans="1:26">
      <c r="A792" s="218" t="s">
        <v>2592</v>
      </c>
      <c r="B792" s="218"/>
      <c r="C792" s="218"/>
      <c r="D792" s="218"/>
      <c r="E792" s="218"/>
      <c r="F792" s="219" t="s">
        <v>4237</v>
      </c>
      <c r="G792" s="218" t="s">
        <v>273</v>
      </c>
      <c r="H792" s="218" t="s">
        <v>309</v>
      </c>
      <c r="I792" s="223">
        <v>43830</v>
      </c>
      <c r="J792" s="218" t="s">
        <v>4211</v>
      </c>
      <c r="K792" s="218" t="s">
        <v>4181</v>
      </c>
      <c r="L792" s="218" t="s">
        <v>2704</v>
      </c>
      <c r="M792" s="218" t="s">
        <v>4222</v>
      </c>
      <c r="N792" s="218">
        <v>2.02</v>
      </c>
      <c r="O792" s="218" t="s">
        <v>292</v>
      </c>
      <c r="P792" s="218">
        <v>2.61</v>
      </c>
      <c r="Q792" s="218" t="s">
        <v>380</v>
      </c>
      <c r="R792" s="218" t="s">
        <v>1693</v>
      </c>
      <c r="S792" s="218" t="s">
        <v>396</v>
      </c>
      <c r="T792" s="218" t="s">
        <v>2591</v>
      </c>
      <c r="U792" s="218" t="s">
        <v>2591</v>
      </c>
      <c r="V792" s="218" t="s">
        <v>381</v>
      </c>
      <c r="W792" s="218" t="s">
        <v>295</v>
      </c>
      <c r="X792" s="218" t="s">
        <v>379</v>
      </c>
      <c r="Y792" s="218">
        <v>2.37</v>
      </c>
      <c r="Z792" s="218">
        <f t="shared" si="17"/>
        <v>2.61</v>
      </c>
    </row>
    <row r="793" spans="1:26">
      <c r="A793" s="218" t="s">
        <v>2592</v>
      </c>
      <c r="B793" s="218"/>
      <c r="C793" s="218"/>
      <c r="D793" s="218"/>
      <c r="E793" s="218"/>
      <c r="F793" s="219" t="s">
        <v>4238</v>
      </c>
      <c r="G793" s="218" t="s">
        <v>273</v>
      </c>
      <c r="H793" s="218" t="s">
        <v>309</v>
      </c>
      <c r="I793" s="223">
        <v>43830</v>
      </c>
      <c r="J793" s="218" t="s">
        <v>4211</v>
      </c>
      <c r="K793" s="218" t="s">
        <v>4181</v>
      </c>
      <c r="L793" s="218" t="s">
        <v>2704</v>
      </c>
      <c r="M793" s="218" t="s">
        <v>4222</v>
      </c>
      <c r="N793" s="218">
        <v>1.88</v>
      </c>
      <c r="O793" s="218" t="s">
        <v>292</v>
      </c>
      <c r="P793" s="218">
        <v>2.4300000000000002</v>
      </c>
      <c r="Q793" s="218" t="s">
        <v>380</v>
      </c>
      <c r="R793" s="218" t="s">
        <v>1693</v>
      </c>
      <c r="S793" s="218" t="s">
        <v>396</v>
      </c>
      <c r="T793" s="218" t="s">
        <v>2591</v>
      </c>
      <c r="U793" s="218" t="s">
        <v>2591</v>
      </c>
      <c r="V793" s="218" t="s">
        <v>381</v>
      </c>
      <c r="W793" s="218" t="s">
        <v>295</v>
      </c>
      <c r="X793" s="218" t="s">
        <v>379</v>
      </c>
      <c r="Y793" s="218">
        <v>2.21</v>
      </c>
      <c r="Z793" s="218">
        <f t="shared" si="17"/>
        <v>2.4300000000000002</v>
      </c>
    </row>
    <row r="794" spans="1:26">
      <c r="A794" s="218" t="s">
        <v>2592</v>
      </c>
      <c r="B794" s="218"/>
      <c r="C794" s="218"/>
      <c r="D794" s="218"/>
      <c r="E794" s="218"/>
      <c r="F794" s="219" t="s">
        <v>4239</v>
      </c>
      <c r="G794" s="218" t="s">
        <v>273</v>
      </c>
      <c r="H794" s="218" t="s">
        <v>309</v>
      </c>
      <c r="I794" s="223">
        <v>43830</v>
      </c>
      <c r="J794" s="218" t="s">
        <v>4211</v>
      </c>
      <c r="K794" s="218" t="s">
        <v>4181</v>
      </c>
      <c r="L794" s="218" t="s">
        <v>2704</v>
      </c>
      <c r="M794" s="218" t="s">
        <v>4222</v>
      </c>
      <c r="N794" s="218">
        <v>1.86</v>
      </c>
      <c r="O794" s="218" t="s">
        <v>292</v>
      </c>
      <c r="P794" s="218">
        <v>2.4</v>
      </c>
      <c r="Q794" s="218" t="s">
        <v>380</v>
      </c>
      <c r="R794" s="218" t="s">
        <v>1693</v>
      </c>
      <c r="S794" s="218" t="s">
        <v>396</v>
      </c>
      <c r="T794" s="218" t="s">
        <v>2591</v>
      </c>
      <c r="U794" s="218" t="s">
        <v>2591</v>
      </c>
      <c r="V794" s="218" t="s">
        <v>381</v>
      </c>
      <c r="W794" s="218" t="s">
        <v>295</v>
      </c>
      <c r="X794" s="218" t="s">
        <v>379</v>
      </c>
      <c r="Y794" s="218">
        <v>2.1800000000000002</v>
      </c>
      <c r="Z794" s="218">
        <f t="shared" si="17"/>
        <v>2.4</v>
      </c>
    </row>
    <row r="795" spans="1:26">
      <c r="A795" s="218" t="s">
        <v>2592</v>
      </c>
      <c r="B795" s="218"/>
      <c r="C795" s="218"/>
      <c r="D795" s="218"/>
      <c r="E795" s="218"/>
      <c r="F795" s="219" t="s">
        <v>4240</v>
      </c>
      <c r="G795" s="218" t="s">
        <v>274</v>
      </c>
      <c r="H795" s="218" t="s">
        <v>309</v>
      </c>
      <c r="I795" s="223">
        <v>43830</v>
      </c>
      <c r="J795" s="218" t="s">
        <v>2782</v>
      </c>
      <c r="K795" s="218" t="s">
        <v>4241</v>
      </c>
      <c r="L795" s="218" t="s">
        <v>2784</v>
      </c>
      <c r="M795" s="218" t="s">
        <v>4242</v>
      </c>
      <c r="N795" s="218">
        <v>205.67</v>
      </c>
      <c r="O795" s="218" t="s">
        <v>292</v>
      </c>
      <c r="P795" s="218">
        <v>253</v>
      </c>
      <c r="Q795" s="218" t="s">
        <v>1271</v>
      </c>
      <c r="R795" s="218" t="s">
        <v>2341</v>
      </c>
      <c r="S795" s="218" t="s">
        <v>396</v>
      </c>
      <c r="T795" s="218" t="s">
        <v>2591</v>
      </c>
      <c r="U795" s="218" t="s">
        <v>737</v>
      </c>
      <c r="V795" s="218" t="s">
        <v>381</v>
      </c>
      <c r="W795" s="218" t="s">
        <v>295</v>
      </c>
      <c r="X795" s="218" t="s">
        <v>379</v>
      </c>
      <c r="Y795" s="218">
        <v>241.45</v>
      </c>
      <c r="Z795" s="218">
        <f t="shared" si="17"/>
        <v>253</v>
      </c>
    </row>
    <row r="796" spans="1:26">
      <c r="A796" s="218" t="s">
        <v>2592</v>
      </c>
      <c r="B796" s="218"/>
      <c r="C796" s="218"/>
      <c r="D796" s="218"/>
      <c r="E796" s="218"/>
      <c r="F796" s="219" t="s">
        <v>4243</v>
      </c>
      <c r="G796" s="218" t="s">
        <v>274</v>
      </c>
      <c r="H796" s="218" t="s">
        <v>309</v>
      </c>
      <c r="I796" s="223">
        <v>43830</v>
      </c>
      <c r="J796" s="218" t="s">
        <v>2782</v>
      </c>
      <c r="K796" s="218" t="s">
        <v>4244</v>
      </c>
      <c r="L796" s="218" t="s">
        <v>2784</v>
      </c>
      <c r="M796" s="218" t="s">
        <v>4245</v>
      </c>
      <c r="N796" s="218">
        <v>149.58000000000001</v>
      </c>
      <c r="O796" s="218" t="s">
        <v>292</v>
      </c>
      <c r="P796" s="218">
        <v>184</v>
      </c>
      <c r="Q796" s="218" t="s">
        <v>1271</v>
      </c>
      <c r="R796" s="218" t="s">
        <v>2341</v>
      </c>
      <c r="S796" s="218" t="s">
        <v>396</v>
      </c>
      <c r="T796" s="218" t="s">
        <v>2591</v>
      </c>
      <c r="U796" s="218" t="s">
        <v>737</v>
      </c>
      <c r="V796" s="218" t="s">
        <v>381</v>
      </c>
      <c r="W796" s="218" t="s">
        <v>295</v>
      </c>
      <c r="X796" s="218" t="s">
        <v>379</v>
      </c>
      <c r="Y796" s="218">
        <v>175.6</v>
      </c>
      <c r="Z796" s="218">
        <f t="shared" si="17"/>
        <v>184</v>
      </c>
    </row>
    <row r="797" spans="1:26">
      <c r="A797" s="218" t="s">
        <v>2592</v>
      </c>
      <c r="B797" s="218"/>
      <c r="C797" s="218"/>
      <c r="D797" s="218"/>
      <c r="E797" s="218"/>
      <c r="F797" s="219" t="s">
        <v>4246</v>
      </c>
      <c r="G797" s="218" t="s">
        <v>274</v>
      </c>
      <c r="H797" s="218" t="s">
        <v>309</v>
      </c>
      <c r="I797" s="223">
        <v>43830</v>
      </c>
      <c r="J797" s="218" t="s">
        <v>2782</v>
      </c>
      <c r="K797" s="218" t="s">
        <v>4247</v>
      </c>
      <c r="L797" s="218" t="s">
        <v>2784</v>
      </c>
      <c r="M797" s="218" t="s">
        <v>4248</v>
      </c>
      <c r="N797" s="218">
        <v>130.88</v>
      </c>
      <c r="O797" s="218" t="s">
        <v>292</v>
      </c>
      <c r="P797" s="218">
        <v>161</v>
      </c>
      <c r="Q797" s="218" t="s">
        <v>1271</v>
      </c>
      <c r="R797" s="218" t="s">
        <v>2341</v>
      </c>
      <c r="S797" s="218" t="s">
        <v>396</v>
      </c>
      <c r="T797" s="218" t="s">
        <v>2591</v>
      </c>
      <c r="U797" s="218" t="s">
        <v>737</v>
      </c>
      <c r="V797" s="218" t="s">
        <v>381</v>
      </c>
      <c r="W797" s="218" t="s">
        <v>295</v>
      </c>
      <c r="X797" s="218" t="s">
        <v>379</v>
      </c>
      <c r="Y797" s="218">
        <v>153.65</v>
      </c>
      <c r="Z797" s="218">
        <f t="shared" si="17"/>
        <v>161</v>
      </c>
    </row>
    <row r="798" spans="1:26">
      <c r="A798" s="218" t="s">
        <v>2592</v>
      </c>
      <c r="B798" s="218"/>
      <c r="C798" s="218"/>
      <c r="D798" s="218"/>
      <c r="E798" s="218"/>
      <c r="F798" s="219" t="s">
        <v>4249</v>
      </c>
      <c r="G798" s="218" t="s">
        <v>274</v>
      </c>
      <c r="H798" s="218" t="s">
        <v>309</v>
      </c>
      <c r="I798" s="223">
        <v>43830</v>
      </c>
      <c r="J798" s="218" t="s">
        <v>2782</v>
      </c>
      <c r="K798" s="218" t="s">
        <v>4250</v>
      </c>
      <c r="L798" s="218" t="s">
        <v>2784</v>
      </c>
      <c r="M798" s="218" t="s">
        <v>1368</v>
      </c>
      <c r="N798" s="218">
        <v>4.0599999999999996</v>
      </c>
      <c r="O798" s="218" t="s">
        <v>292</v>
      </c>
      <c r="P798" s="218">
        <v>5</v>
      </c>
      <c r="Q798" s="218" t="s">
        <v>4251</v>
      </c>
      <c r="R798" s="218" t="s">
        <v>4252</v>
      </c>
      <c r="S798" s="218" t="s">
        <v>396</v>
      </c>
      <c r="T798" s="218" t="s">
        <v>2591</v>
      </c>
      <c r="U798" s="218" t="s">
        <v>737</v>
      </c>
      <c r="V798" s="218" t="s">
        <v>381</v>
      </c>
      <c r="W798" s="218" t="s">
        <v>295</v>
      </c>
      <c r="X798" s="218" t="s">
        <v>379</v>
      </c>
      <c r="Y798" s="218">
        <v>4.7699999999999996</v>
      </c>
      <c r="Z798" s="218">
        <f t="shared" si="17"/>
        <v>5</v>
      </c>
    </row>
    <row r="799" spans="1:26">
      <c r="A799" s="218" t="s">
        <v>2592</v>
      </c>
      <c r="B799" s="218"/>
      <c r="C799" s="218"/>
      <c r="D799" s="218"/>
      <c r="E799" s="218"/>
      <c r="F799" s="219" t="s">
        <v>4253</v>
      </c>
      <c r="G799" s="218" t="s">
        <v>274</v>
      </c>
      <c r="H799" s="218" t="s">
        <v>309</v>
      </c>
      <c r="I799" s="223">
        <v>43830</v>
      </c>
      <c r="J799" s="218" t="s">
        <v>2782</v>
      </c>
      <c r="K799" s="218" t="s">
        <v>4250</v>
      </c>
      <c r="L799" s="218" t="s">
        <v>2784</v>
      </c>
      <c r="M799" s="218" t="s">
        <v>1306</v>
      </c>
      <c r="N799" s="218">
        <v>0.65</v>
      </c>
      <c r="O799" s="218" t="s">
        <v>292</v>
      </c>
      <c r="P799" s="218">
        <v>0.8</v>
      </c>
      <c r="Q799" s="218" t="s">
        <v>4251</v>
      </c>
      <c r="R799" s="218" t="s">
        <v>4252</v>
      </c>
      <c r="S799" s="218" t="s">
        <v>396</v>
      </c>
      <c r="T799" s="218" t="s">
        <v>2591</v>
      </c>
      <c r="U799" s="218" t="s">
        <v>737</v>
      </c>
      <c r="V799" s="218" t="s">
        <v>381</v>
      </c>
      <c r="W799" s="218" t="s">
        <v>295</v>
      </c>
      <c r="X799" s="218" t="s">
        <v>379</v>
      </c>
      <c r="Y799" s="218">
        <v>0.76</v>
      </c>
      <c r="Z799" s="218">
        <f t="shared" si="17"/>
        <v>0.8</v>
      </c>
    </row>
    <row r="800" spans="1:26">
      <c r="A800" s="218" t="s">
        <v>2592</v>
      </c>
      <c r="B800" s="218"/>
      <c r="C800" s="218"/>
      <c r="D800" s="218"/>
      <c r="E800" s="218"/>
      <c r="F800" s="219" t="s">
        <v>4254</v>
      </c>
      <c r="G800" s="218" t="s">
        <v>274</v>
      </c>
      <c r="H800" s="218" t="s">
        <v>309</v>
      </c>
      <c r="I800" s="223">
        <v>43830</v>
      </c>
      <c r="J800" s="218" t="s">
        <v>2782</v>
      </c>
      <c r="K800" s="218" t="s">
        <v>4250</v>
      </c>
      <c r="L800" s="218" t="s">
        <v>2784</v>
      </c>
      <c r="M800" s="218" t="s">
        <v>4255</v>
      </c>
      <c r="N800" s="218">
        <v>296.12</v>
      </c>
      <c r="O800" s="218" t="s">
        <v>292</v>
      </c>
      <c r="P800" s="218">
        <v>364.26</v>
      </c>
      <c r="Q800" s="218" t="s">
        <v>4251</v>
      </c>
      <c r="R800" s="218" t="s">
        <v>4252</v>
      </c>
      <c r="S800" s="218" t="s">
        <v>396</v>
      </c>
      <c r="T800" s="218" t="s">
        <v>2591</v>
      </c>
      <c r="U800" s="218" t="s">
        <v>737</v>
      </c>
      <c r="V800" s="218" t="s">
        <v>381</v>
      </c>
      <c r="W800" s="218" t="s">
        <v>295</v>
      </c>
      <c r="X800" s="218" t="s">
        <v>379</v>
      </c>
      <c r="Y800" s="218">
        <v>347.64</v>
      </c>
      <c r="Z800" s="218">
        <f t="shared" si="17"/>
        <v>364.26</v>
      </c>
    </row>
    <row r="801" spans="1:26">
      <c r="A801" s="218" t="s">
        <v>2592</v>
      </c>
      <c r="B801" s="218"/>
      <c r="C801" s="218"/>
      <c r="D801" s="218"/>
      <c r="E801" s="218"/>
      <c r="F801" s="219" t="s">
        <v>4256</v>
      </c>
      <c r="G801" s="218" t="s">
        <v>274</v>
      </c>
      <c r="H801" s="218" t="s">
        <v>309</v>
      </c>
      <c r="I801" s="223">
        <v>43830</v>
      </c>
      <c r="J801" s="218" t="s">
        <v>2782</v>
      </c>
      <c r="K801" s="218" t="s">
        <v>4250</v>
      </c>
      <c r="L801" s="218" t="s">
        <v>2784</v>
      </c>
      <c r="M801" s="218" t="s">
        <v>1306</v>
      </c>
      <c r="N801" s="218">
        <v>47.38</v>
      </c>
      <c r="O801" s="218" t="s">
        <v>292</v>
      </c>
      <c r="P801" s="218">
        <v>58.28</v>
      </c>
      <c r="Q801" s="218" t="s">
        <v>4251</v>
      </c>
      <c r="R801" s="218" t="s">
        <v>4252</v>
      </c>
      <c r="S801" s="218" t="s">
        <v>396</v>
      </c>
      <c r="T801" s="218" t="s">
        <v>2591</v>
      </c>
      <c r="U801" s="218" t="s">
        <v>737</v>
      </c>
      <c r="V801" s="218" t="s">
        <v>381</v>
      </c>
      <c r="W801" s="218" t="s">
        <v>295</v>
      </c>
      <c r="X801" s="218" t="s">
        <v>379</v>
      </c>
      <c r="Y801" s="218">
        <v>55.62</v>
      </c>
      <c r="Z801" s="218">
        <f t="shared" si="17"/>
        <v>58.28</v>
      </c>
    </row>
    <row r="802" spans="1:26">
      <c r="A802" s="218" t="s">
        <v>2592</v>
      </c>
      <c r="B802" s="218"/>
      <c r="C802" s="218"/>
      <c r="D802" s="218"/>
      <c r="E802" s="218"/>
      <c r="F802" s="219" t="s">
        <v>4257</v>
      </c>
      <c r="G802" s="218" t="s">
        <v>274</v>
      </c>
      <c r="H802" s="218" t="s">
        <v>309</v>
      </c>
      <c r="I802" s="223">
        <v>43830</v>
      </c>
      <c r="J802" s="218" t="s">
        <v>2782</v>
      </c>
      <c r="K802" s="218" t="s">
        <v>4241</v>
      </c>
      <c r="L802" s="218" t="s">
        <v>2784</v>
      </c>
      <c r="M802" s="218" t="s">
        <v>4258</v>
      </c>
      <c r="N802" s="218">
        <v>205.67</v>
      </c>
      <c r="O802" s="218" t="s">
        <v>292</v>
      </c>
      <c r="P802" s="218">
        <v>253</v>
      </c>
      <c r="Q802" s="218" t="s">
        <v>1271</v>
      </c>
      <c r="R802" s="218" t="s">
        <v>2341</v>
      </c>
      <c r="S802" s="218" t="s">
        <v>396</v>
      </c>
      <c r="T802" s="218" t="s">
        <v>2591</v>
      </c>
      <c r="U802" s="218" t="s">
        <v>737</v>
      </c>
      <c r="V802" s="218" t="s">
        <v>381</v>
      </c>
      <c r="W802" s="218" t="s">
        <v>295</v>
      </c>
      <c r="X802" s="218" t="s">
        <v>379</v>
      </c>
      <c r="Y802" s="218">
        <v>241.45</v>
      </c>
      <c r="Z802" s="218">
        <f t="shared" si="17"/>
        <v>253</v>
      </c>
    </row>
    <row r="803" spans="1:26">
      <c r="A803" s="218" t="s">
        <v>2592</v>
      </c>
      <c r="B803" s="218"/>
      <c r="C803" s="218"/>
      <c r="D803" s="218"/>
      <c r="E803" s="218"/>
      <c r="F803" s="219" t="s">
        <v>4259</v>
      </c>
      <c r="G803" s="218" t="s">
        <v>274</v>
      </c>
      <c r="H803" s="218" t="s">
        <v>309</v>
      </c>
      <c r="I803" s="223">
        <v>43830</v>
      </c>
      <c r="J803" s="218" t="s">
        <v>2782</v>
      </c>
      <c r="K803" s="218" t="s">
        <v>4244</v>
      </c>
      <c r="L803" s="218" t="s">
        <v>2784</v>
      </c>
      <c r="M803" s="218" t="s">
        <v>4260</v>
      </c>
      <c r="N803" s="218">
        <v>149.58000000000001</v>
      </c>
      <c r="O803" s="218" t="s">
        <v>292</v>
      </c>
      <c r="P803" s="218">
        <v>184</v>
      </c>
      <c r="Q803" s="218" t="s">
        <v>1271</v>
      </c>
      <c r="R803" s="218" t="s">
        <v>2341</v>
      </c>
      <c r="S803" s="218" t="s">
        <v>396</v>
      </c>
      <c r="T803" s="218" t="s">
        <v>2591</v>
      </c>
      <c r="U803" s="218" t="s">
        <v>737</v>
      </c>
      <c r="V803" s="218" t="s">
        <v>381</v>
      </c>
      <c r="W803" s="218" t="s">
        <v>295</v>
      </c>
      <c r="X803" s="218" t="s">
        <v>379</v>
      </c>
      <c r="Y803" s="218">
        <v>175.6</v>
      </c>
      <c r="Z803" s="218">
        <f t="shared" si="17"/>
        <v>184</v>
      </c>
    </row>
    <row r="804" spans="1:26">
      <c r="A804" s="218" t="s">
        <v>2592</v>
      </c>
      <c r="B804" s="218"/>
      <c r="C804" s="218"/>
      <c r="D804" s="218"/>
      <c r="E804" s="218"/>
      <c r="F804" s="219" t="s">
        <v>4261</v>
      </c>
      <c r="G804" s="218" t="s">
        <v>274</v>
      </c>
      <c r="H804" s="218" t="s">
        <v>309</v>
      </c>
      <c r="I804" s="223">
        <v>43830</v>
      </c>
      <c r="J804" s="218" t="s">
        <v>2782</v>
      </c>
      <c r="K804" s="218" t="s">
        <v>4247</v>
      </c>
      <c r="L804" s="218" t="s">
        <v>2784</v>
      </c>
      <c r="M804" s="218" t="s">
        <v>4262</v>
      </c>
      <c r="N804" s="218">
        <v>130.88</v>
      </c>
      <c r="O804" s="218" t="s">
        <v>292</v>
      </c>
      <c r="P804" s="218">
        <v>161</v>
      </c>
      <c r="Q804" s="218" t="s">
        <v>1271</v>
      </c>
      <c r="R804" s="218" t="s">
        <v>2341</v>
      </c>
      <c r="S804" s="218" t="s">
        <v>396</v>
      </c>
      <c r="T804" s="218" t="s">
        <v>2591</v>
      </c>
      <c r="U804" s="218" t="s">
        <v>737</v>
      </c>
      <c r="V804" s="218" t="s">
        <v>381</v>
      </c>
      <c r="W804" s="218" t="s">
        <v>295</v>
      </c>
      <c r="X804" s="218" t="s">
        <v>379</v>
      </c>
      <c r="Y804" s="218">
        <v>153.65</v>
      </c>
      <c r="Z804" s="218">
        <f t="shared" si="17"/>
        <v>161</v>
      </c>
    </row>
    <row r="805" spans="1:26">
      <c r="A805" s="218" t="s">
        <v>2592</v>
      </c>
      <c r="B805" s="218"/>
      <c r="C805" s="218"/>
      <c r="D805" s="218"/>
      <c r="E805" s="218"/>
      <c r="F805" s="219" t="s">
        <v>4263</v>
      </c>
      <c r="G805" s="218" t="s">
        <v>274</v>
      </c>
      <c r="H805" s="218" t="s">
        <v>309</v>
      </c>
      <c r="I805" s="223">
        <v>43830</v>
      </c>
      <c r="J805" s="218" t="s">
        <v>2782</v>
      </c>
      <c r="K805" s="218" t="s">
        <v>4250</v>
      </c>
      <c r="L805" s="218" t="s">
        <v>2784</v>
      </c>
      <c r="M805" s="218" t="s">
        <v>1368</v>
      </c>
      <c r="N805" s="218">
        <v>4.0599999999999996</v>
      </c>
      <c r="O805" s="218" t="s">
        <v>292</v>
      </c>
      <c r="P805" s="218">
        <v>5</v>
      </c>
      <c r="Q805" s="218" t="s">
        <v>4251</v>
      </c>
      <c r="R805" s="218" t="s">
        <v>4252</v>
      </c>
      <c r="S805" s="218" t="s">
        <v>396</v>
      </c>
      <c r="T805" s="218" t="s">
        <v>2591</v>
      </c>
      <c r="U805" s="218" t="s">
        <v>737</v>
      </c>
      <c r="V805" s="218" t="s">
        <v>381</v>
      </c>
      <c r="W805" s="218" t="s">
        <v>295</v>
      </c>
      <c r="X805" s="218" t="s">
        <v>379</v>
      </c>
      <c r="Y805" s="218">
        <v>4.7699999999999996</v>
      </c>
      <c r="Z805" s="218">
        <f t="shared" si="17"/>
        <v>5</v>
      </c>
    </row>
    <row r="806" spans="1:26">
      <c r="A806" s="218" t="s">
        <v>2592</v>
      </c>
      <c r="B806" s="218"/>
      <c r="C806" s="218"/>
      <c r="D806" s="218"/>
      <c r="E806" s="218"/>
      <c r="F806" s="219" t="s">
        <v>4264</v>
      </c>
      <c r="G806" s="218" t="s">
        <v>274</v>
      </c>
      <c r="H806" s="218" t="s">
        <v>309</v>
      </c>
      <c r="I806" s="223">
        <v>43830</v>
      </c>
      <c r="J806" s="218" t="s">
        <v>2782</v>
      </c>
      <c r="K806" s="218" t="s">
        <v>4250</v>
      </c>
      <c r="L806" s="218" t="s">
        <v>2784</v>
      </c>
      <c r="M806" s="218" t="s">
        <v>1306</v>
      </c>
      <c r="N806" s="218">
        <v>0.65</v>
      </c>
      <c r="O806" s="218" t="s">
        <v>292</v>
      </c>
      <c r="P806" s="218">
        <v>0.8</v>
      </c>
      <c r="Q806" s="218" t="s">
        <v>4251</v>
      </c>
      <c r="R806" s="218" t="s">
        <v>4252</v>
      </c>
      <c r="S806" s="218" t="s">
        <v>396</v>
      </c>
      <c r="T806" s="218" t="s">
        <v>2591</v>
      </c>
      <c r="U806" s="218" t="s">
        <v>737</v>
      </c>
      <c r="V806" s="218" t="s">
        <v>381</v>
      </c>
      <c r="W806" s="218" t="s">
        <v>295</v>
      </c>
      <c r="X806" s="218" t="s">
        <v>379</v>
      </c>
      <c r="Y806" s="218">
        <v>0.76</v>
      </c>
      <c r="Z806" s="218">
        <f t="shared" si="17"/>
        <v>0.8</v>
      </c>
    </row>
    <row r="807" spans="1:26">
      <c r="A807" s="218" t="s">
        <v>2592</v>
      </c>
      <c r="B807" s="218"/>
      <c r="C807" s="218"/>
      <c r="D807" s="218"/>
      <c r="E807" s="218"/>
      <c r="F807" s="219" t="s">
        <v>4265</v>
      </c>
      <c r="G807" s="218" t="s">
        <v>274</v>
      </c>
      <c r="H807" s="218" t="s">
        <v>309</v>
      </c>
      <c r="I807" s="223">
        <v>43830</v>
      </c>
      <c r="J807" s="218" t="s">
        <v>2782</v>
      </c>
      <c r="K807" s="218" t="s">
        <v>4241</v>
      </c>
      <c r="L807" s="218" t="s">
        <v>2784</v>
      </c>
      <c r="M807" s="218" t="s">
        <v>4266</v>
      </c>
      <c r="N807" s="218">
        <v>205.67</v>
      </c>
      <c r="O807" s="218" t="s">
        <v>292</v>
      </c>
      <c r="P807" s="218">
        <v>253</v>
      </c>
      <c r="Q807" s="218" t="s">
        <v>1271</v>
      </c>
      <c r="R807" s="218" t="s">
        <v>2341</v>
      </c>
      <c r="S807" s="218" t="s">
        <v>396</v>
      </c>
      <c r="T807" s="218" t="s">
        <v>2591</v>
      </c>
      <c r="U807" s="218" t="s">
        <v>737</v>
      </c>
      <c r="V807" s="218" t="s">
        <v>381</v>
      </c>
      <c r="W807" s="218" t="s">
        <v>295</v>
      </c>
      <c r="X807" s="218" t="s">
        <v>379</v>
      </c>
      <c r="Y807" s="218">
        <v>241.45</v>
      </c>
      <c r="Z807" s="218">
        <f t="shared" si="17"/>
        <v>253</v>
      </c>
    </row>
    <row r="808" spans="1:26">
      <c r="A808" s="218" t="s">
        <v>2592</v>
      </c>
      <c r="B808" s="218"/>
      <c r="C808" s="218"/>
      <c r="D808" s="218"/>
      <c r="E808" s="218"/>
      <c r="F808" s="219" t="s">
        <v>4267</v>
      </c>
      <c r="G808" s="218" t="s">
        <v>274</v>
      </c>
      <c r="H808" s="218" t="s">
        <v>309</v>
      </c>
      <c r="I808" s="223">
        <v>43830</v>
      </c>
      <c r="J808" s="218" t="s">
        <v>2782</v>
      </c>
      <c r="K808" s="218" t="s">
        <v>4244</v>
      </c>
      <c r="L808" s="218" t="s">
        <v>2784</v>
      </c>
      <c r="M808" s="218" t="s">
        <v>4268</v>
      </c>
      <c r="N808" s="218">
        <v>149.58000000000001</v>
      </c>
      <c r="O808" s="218" t="s">
        <v>292</v>
      </c>
      <c r="P808" s="218">
        <v>184</v>
      </c>
      <c r="Q808" s="218" t="s">
        <v>1271</v>
      </c>
      <c r="R808" s="218" t="s">
        <v>2341</v>
      </c>
      <c r="S808" s="218" t="s">
        <v>396</v>
      </c>
      <c r="T808" s="218" t="s">
        <v>2591</v>
      </c>
      <c r="U808" s="218" t="s">
        <v>737</v>
      </c>
      <c r="V808" s="218" t="s">
        <v>381</v>
      </c>
      <c r="W808" s="218" t="s">
        <v>295</v>
      </c>
      <c r="X808" s="218" t="s">
        <v>379</v>
      </c>
      <c r="Y808" s="218">
        <v>175.6</v>
      </c>
      <c r="Z808" s="218">
        <f t="shared" si="17"/>
        <v>184</v>
      </c>
    </row>
    <row r="809" spans="1:26">
      <c r="A809" s="218" t="s">
        <v>2592</v>
      </c>
      <c r="B809" s="218"/>
      <c r="C809" s="218"/>
      <c r="D809" s="218"/>
      <c r="E809" s="218"/>
      <c r="F809" s="219" t="s">
        <v>4269</v>
      </c>
      <c r="G809" s="218" t="s">
        <v>274</v>
      </c>
      <c r="H809" s="218" t="s">
        <v>309</v>
      </c>
      <c r="I809" s="223">
        <v>43830</v>
      </c>
      <c r="J809" s="218" t="s">
        <v>2782</v>
      </c>
      <c r="K809" s="218" t="s">
        <v>4247</v>
      </c>
      <c r="L809" s="218" t="s">
        <v>2784</v>
      </c>
      <c r="M809" s="218" t="s">
        <v>4270</v>
      </c>
      <c r="N809" s="218">
        <v>130.88</v>
      </c>
      <c r="O809" s="218" t="s">
        <v>292</v>
      </c>
      <c r="P809" s="218">
        <v>161</v>
      </c>
      <c r="Q809" s="218" t="s">
        <v>1271</v>
      </c>
      <c r="R809" s="218" t="s">
        <v>2341</v>
      </c>
      <c r="S809" s="218" t="s">
        <v>396</v>
      </c>
      <c r="T809" s="218" t="s">
        <v>2591</v>
      </c>
      <c r="U809" s="218" t="s">
        <v>737</v>
      </c>
      <c r="V809" s="218" t="s">
        <v>381</v>
      </c>
      <c r="W809" s="218" t="s">
        <v>295</v>
      </c>
      <c r="X809" s="218" t="s">
        <v>379</v>
      </c>
      <c r="Y809" s="218">
        <v>153.65</v>
      </c>
      <c r="Z809" s="218">
        <f t="shared" si="17"/>
        <v>161</v>
      </c>
    </row>
    <row r="810" spans="1:26">
      <c r="A810" s="218" t="s">
        <v>2592</v>
      </c>
      <c r="B810" s="218"/>
      <c r="C810" s="218"/>
      <c r="D810" s="218"/>
      <c r="E810" s="218"/>
      <c r="F810" s="219" t="s">
        <v>4271</v>
      </c>
      <c r="G810" s="218" t="s">
        <v>274</v>
      </c>
      <c r="H810" s="218" t="s">
        <v>309</v>
      </c>
      <c r="I810" s="223">
        <v>43830</v>
      </c>
      <c r="J810" s="218" t="s">
        <v>2782</v>
      </c>
      <c r="K810" s="218" t="s">
        <v>4250</v>
      </c>
      <c r="L810" s="218" t="s">
        <v>2784</v>
      </c>
      <c r="M810" s="218" t="s">
        <v>1368</v>
      </c>
      <c r="N810" s="218">
        <v>4.0599999999999996</v>
      </c>
      <c r="O810" s="218" t="s">
        <v>292</v>
      </c>
      <c r="P810" s="218">
        <v>5</v>
      </c>
      <c r="Q810" s="218" t="s">
        <v>4251</v>
      </c>
      <c r="R810" s="218" t="s">
        <v>4252</v>
      </c>
      <c r="S810" s="218" t="s">
        <v>396</v>
      </c>
      <c r="T810" s="218" t="s">
        <v>2591</v>
      </c>
      <c r="U810" s="218" t="s">
        <v>737</v>
      </c>
      <c r="V810" s="218" t="s">
        <v>381</v>
      </c>
      <c r="W810" s="218" t="s">
        <v>295</v>
      </c>
      <c r="X810" s="218" t="s">
        <v>379</v>
      </c>
      <c r="Y810" s="218">
        <v>4.7699999999999996</v>
      </c>
      <c r="Z810" s="218">
        <f t="shared" si="17"/>
        <v>5</v>
      </c>
    </row>
    <row r="811" spans="1:26">
      <c r="A811" s="218" t="s">
        <v>2592</v>
      </c>
      <c r="B811" s="218"/>
      <c r="C811" s="218"/>
      <c r="D811" s="218"/>
      <c r="E811" s="218"/>
      <c r="F811" s="219" t="s">
        <v>4272</v>
      </c>
      <c r="G811" s="218" t="s">
        <v>274</v>
      </c>
      <c r="H811" s="218" t="s">
        <v>309</v>
      </c>
      <c r="I811" s="223">
        <v>43830</v>
      </c>
      <c r="J811" s="218" t="s">
        <v>2782</v>
      </c>
      <c r="K811" s="218" t="s">
        <v>4250</v>
      </c>
      <c r="L811" s="218" t="s">
        <v>2784</v>
      </c>
      <c r="M811" s="218" t="s">
        <v>1306</v>
      </c>
      <c r="N811" s="218">
        <v>0.65</v>
      </c>
      <c r="O811" s="218" t="s">
        <v>292</v>
      </c>
      <c r="P811" s="218">
        <v>0.8</v>
      </c>
      <c r="Q811" s="218" t="s">
        <v>4251</v>
      </c>
      <c r="R811" s="218" t="s">
        <v>4252</v>
      </c>
      <c r="S811" s="218" t="s">
        <v>396</v>
      </c>
      <c r="T811" s="218" t="s">
        <v>2591</v>
      </c>
      <c r="U811" s="218" t="s">
        <v>737</v>
      </c>
      <c r="V811" s="218" t="s">
        <v>381</v>
      </c>
      <c r="W811" s="218" t="s">
        <v>295</v>
      </c>
      <c r="X811" s="218" t="s">
        <v>379</v>
      </c>
      <c r="Y811" s="218">
        <v>0.76</v>
      </c>
      <c r="Z811" s="218">
        <f t="shared" si="17"/>
        <v>0.8</v>
      </c>
    </row>
    <row r="812" spans="1:26">
      <c r="A812" s="218" t="s">
        <v>2592</v>
      </c>
      <c r="B812" s="218"/>
      <c r="C812" s="218"/>
      <c r="D812" s="218"/>
      <c r="E812" s="218"/>
      <c r="F812" s="219" t="s">
        <v>4273</v>
      </c>
      <c r="G812" s="218" t="s">
        <v>274</v>
      </c>
      <c r="H812" s="218" t="s">
        <v>309</v>
      </c>
      <c r="I812" s="223">
        <v>43830</v>
      </c>
      <c r="J812" s="218" t="s">
        <v>2782</v>
      </c>
      <c r="K812" s="218" t="s">
        <v>4241</v>
      </c>
      <c r="L812" s="218" t="s">
        <v>2784</v>
      </c>
      <c r="M812" s="218" t="s">
        <v>4274</v>
      </c>
      <c r="N812" s="218">
        <v>205.67</v>
      </c>
      <c r="O812" s="218" t="s">
        <v>292</v>
      </c>
      <c r="P812" s="218">
        <v>253</v>
      </c>
      <c r="Q812" s="218" t="s">
        <v>1271</v>
      </c>
      <c r="R812" s="218" t="s">
        <v>2341</v>
      </c>
      <c r="S812" s="218" t="s">
        <v>396</v>
      </c>
      <c r="T812" s="218" t="s">
        <v>2591</v>
      </c>
      <c r="U812" s="218" t="s">
        <v>737</v>
      </c>
      <c r="V812" s="218" t="s">
        <v>381</v>
      </c>
      <c r="W812" s="218" t="s">
        <v>295</v>
      </c>
      <c r="X812" s="218" t="s">
        <v>379</v>
      </c>
      <c r="Y812" s="218">
        <v>241.45</v>
      </c>
      <c r="Z812" s="218">
        <f t="shared" si="17"/>
        <v>253</v>
      </c>
    </row>
    <row r="813" spans="1:26">
      <c r="A813" s="218" t="s">
        <v>2592</v>
      </c>
      <c r="B813" s="218"/>
      <c r="C813" s="218"/>
      <c r="D813" s="218"/>
      <c r="E813" s="218"/>
      <c r="F813" s="219" t="s">
        <v>4275</v>
      </c>
      <c r="G813" s="218" t="s">
        <v>274</v>
      </c>
      <c r="H813" s="218" t="s">
        <v>309</v>
      </c>
      <c r="I813" s="223">
        <v>43830</v>
      </c>
      <c r="J813" s="218" t="s">
        <v>2782</v>
      </c>
      <c r="K813" s="218" t="s">
        <v>4244</v>
      </c>
      <c r="L813" s="218" t="s">
        <v>2784</v>
      </c>
      <c r="M813" s="218" t="s">
        <v>4276</v>
      </c>
      <c r="N813" s="218">
        <v>149.58000000000001</v>
      </c>
      <c r="O813" s="218" t="s">
        <v>292</v>
      </c>
      <c r="P813" s="218">
        <v>184</v>
      </c>
      <c r="Q813" s="218" t="s">
        <v>1271</v>
      </c>
      <c r="R813" s="218" t="s">
        <v>2341</v>
      </c>
      <c r="S813" s="218" t="s">
        <v>396</v>
      </c>
      <c r="T813" s="218" t="s">
        <v>2591</v>
      </c>
      <c r="U813" s="218" t="s">
        <v>737</v>
      </c>
      <c r="V813" s="218" t="s">
        <v>381</v>
      </c>
      <c r="W813" s="218" t="s">
        <v>295</v>
      </c>
      <c r="X813" s="218" t="s">
        <v>379</v>
      </c>
      <c r="Y813" s="218">
        <v>175.6</v>
      </c>
      <c r="Z813" s="218">
        <f t="shared" si="17"/>
        <v>184</v>
      </c>
    </row>
    <row r="814" spans="1:26">
      <c r="A814" s="218" t="s">
        <v>2592</v>
      </c>
      <c r="B814" s="218"/>
      <c r="C814" s="218"/>
      <c r="D814" s="218"/>
      <c r="E814" s="218"/>
      <c r="F814" s="219" t="s">
        <v>4277</v>
      </c>
      <c r="G814" s="218" t="s">
        <v>274</v>
      </c>
      <c r="H814" s="218" t="s">
        <v>309</v>
      </c>
      <c r="I814" s="223">
        <v>43830</v>
      </c>
      <c r="J814" s="218" t="s">
        <v>2782</v>
      </c>
      <c r="K814" s="218" t="s">
        <v>4247</v>
      </c>
      <c r="L814" s="218" t="s">
        <v>2784</v>
      </c>
      <c r="M814" s="218" t="s">
        <v>4278</v>
      </c>
      <c r="N814" s="218">
        <v>130.88</v>
      </c>
      <c r="O814" s="218" t="s">
        <v>292</v>
      </c>
      <c r="P814" s="218">
        <v>161</v>
      </c>
      <c r="Q814" s="218" t="s">
        <v>1271</v>
      </c>
      <c r="R814" s="218" t="s">
        <v>2341</v>
      </c>
      <c r="S814" s="218" t="s">
        <v>396</v>
      </c>
      <c r="T814" s="218" t="s">
        <v>2591</v>
      </c>
      <c r="U814" s="218" t="s">
        <v>737</v>
      </c>
      <c r="V814" s="218" t="s">
        <v>381</v>
      </c>
      <c r="W814" s="218" t="s">
        <v>295</v>
      </c>
      <c r="X814" s="218" t="s">
        <v>379</v>
      </c>
      <c r="Y814" s="218">
        <v>153.65</v>
      </c>
      <c r="Z814" s="218">
        <f t="shared" si="17"/>
        <v>161</v>
      </c>
    </row>
    <row r="815" spans="1:26">
      <c r="A815" s="218" t="s">
        <v>2592</v>
      </c>
      <c r="B815" s="218"/>
      <c r="C815" s="218"/>
      <c r="D815" s="218"/>
      <c r="E815" s="218"/>
      <c r="F815" s="219" t="s">
        <v>4279</v>
      </c>
      <c r="G815" s="218" t="s">
        <v>274</v>
      </c>
      <c r="H815" s="218" t="s">
        <v>309</v>
      </c>
      <c r="I815" s="223">
        <v>43830</v>
      </c>
      <c r="J815" s="218" t="s">
        <v>2782</v>
      </c>
      <c r="K815" s="218" t="s">
        <v>4250</v>
      </c>
      <c r="L815" s="218" t="s">
        <v>2784</v>
      </c>
      <c r="M815" s="218" t="s">
        <v>1368</v>
      </c>
      <c r="N815" s="218">
        <v>4.0599999999999996</v>
      </c>
      <c r="O815" s="218" t="s">
        <v>292</v>
      </c>
      <c r="P815" s="218">
        <v>5</v>
      </c>
      <c r="Q815" s="218" t="s">
        <v>4251</v>
      </c>
      <c r="R815" s="218" t="s">
        <v>4252</v>
      </c>
      <c r="S815" s="218" t="s">
        <v>396</v>
      </c>
      <c r="T815" s="218" t="s">
        <v>2591</v>
      </c>
      <c r="U815" s="218" t="s">
        <v>737</v>
      </c>
      <c r="V815" s="218" t="s">
        <v>381</v>
      </c>
      <c r="W815" s="218" t="s">
        <v>295</v>
      </c>
      <c r="X815" s="218" t="s">
        <v>379</v>
      </c>
      <c r="Y815" s="218">
        <v>4.7699999999999996</v>
      </c>
      <c r="Z815" s="218">
        <f t="shared" si="17"/>
        <v>5</v>
      </c>
    </row>
    <row r="816" spans="1:26">
      <c r="A816" s="218" t="s">
        <v>2592</v>
      </c>
      <c r="B816" s="218"/>
      <c r="C816" s="218"/>
      <c r="D816" s="218"/>
      <c r="E816" s="218"/>
      <c r="F816" s="219" t="s">
        <v>4280</v>
      </c>
      <c r="G816" s="218" t="s">
        <v>274</v>
      </c>
      <c r="H816" s="218" t="s">
        <v>309</v>
      </c>
      <c r="I816" s="223">
        <v>43830</v>
      </c>
      <c r="J816" s="218" t="s">
        <v>2782</v>
      </c>
      <c r="K816" s="218" t="s">
        <v>4250</v>
      </c>
      <c r="L816" s="218" t="s">
        <v>2784</v>
      </c>
      <c r="M816" s="218" t="s">
        <v>1306</v>
      </c>
      <c r="N816" s="218">
        <v>0.65</v>
      </c>
      <c r="O816" s="218" t="s">
        <v>292</v>
      </c>
      <c r="P816" s="218">
        <v>0.8</v>
      </c>
      <c r="Q816" s="218" t="s">
        <v>4251</v>
      </c>
      <c r="R816" s="218" t="s">
        <v>4252</v>
      </c>
      <c r="S816" s="218" t="s">
        <v>396</v>
      </c>
      <c r="T816" s="218" t="s">
        <v>2591</v>
      </c>
      <c r="U816" s="218" t="s">
        <v>737</v>
      </c>
      <c r="V816" s="218" t="s">
        <v>381</v>
      </c>
      <c r="W816" s="218" t="s">
        <v>295</v>
      </c>
      <c r="X816" s="218" t="s">
        <v>379</v>
      </c>
      <c r="Y816" s="218">
        <v>0.76</v>
      </c>
      <c r="Z816" s="218">
        <f t="shared" si="17"/>
        <v>0.8</v>
      </c>
    </row>
    <row r="817" spans="1:26">
      <c r="A817" s="218" t="s">
        <v>2592</v>
      </c>
      <c r="B817" s="218"/>
      <c r="C817" s="218"/>
      <c r="D817" s="218"/>
      <c r="E817" s="218"/>
      <c r="F817" s="219" t="s">
        <v>4281</v>
      </c>
      <c r="G817" s="218" t="s">
        <v>274</v>
      </c>
      <c r="H817" s="218" t="s">
        <v>309</v>
      </c>
      <c r="I817" s="223">
        <v>43830</v>
      </c>
      <c r="J817" s="218" t="s">
        <v>2782</v>
      </c>
      <c r="K817" s="218" t="s">
        <v>4282</v>
      </c>
      <c r="L817" s="218" t="s">
        <v>2784</v>
      </c>
      <c r="M817" s="218" t="s">
        <v>4283</v>
      </c>
      <c r="N817" s="218">
        <v>146.33000000000001</v>
      </c>
      <c r="O817" s="218" t="s">
        <v>292</v>
      </c>
      <c r="P817" s="218">
        <v>180</v>
      </c>
      <c r="Q817" s="218" t="s">
        <v>4251</v>
      </c>
      <c r="R817" s="218" t="s">
        <v>4252</v>
      </c>
      <c r="S817" s="218" t="s">
        <v>396</v>
      </c>
      <c r="T817" s="218" t="s">
        <v>2591</v>
      </c>
      <c r="U817" s="218" t="s">
        <v>737</v>
      </c>
      <c r="V817" s="218" t="s">
        <v>381</v>
      </c>
      <c r="W817" s="218" t="s">
        <v>295</v>
      </c>
      <c r="X817" s="218" t="s">
        <v>379</v>
      </c>
      <c r="Y817" s="218">
        <v>171.79</v>
      </c>
      <c r="Z817" s="218">
        <f t="shared" si="17"/>
        <v>180</v>
      </c>
    </row>
    <row r="818" spans="1:26">
      <c r="A818" s="218" t="s">
        <v>2592</v>
      </c>
      <c r="B818" s="218"/>
      <c r="C818" s="218"/>
      <c r="D818" s="218"/>
      <c r="E818" s="218"/>
      <c r="F818" s="219" t="s">
        <v>4284</v>
      </c>
      <c r="G818" s="218" t="s">
        <v>274</v>
      </c>
      <c r="H818" s="218" t="s">
        <v>309</v>
      </c>
      <c r="I818" s="223">
        <v>43830</v>
      </c>
      <c r="J818" s="218" t="s">
        <v>2782</v>
      </c>
      <c r="K818" s="218" t="s">
        <v>4285</v>
      </c>
      <c r="L818" s="218" t="s">
        <v>2784</v>
      </c>
      <c r="M818" s="218" t="s">
        <v>1420</v>
      </c>
      <c r="N818" s="218">
        <v>81.290000000000006</v>
      </c>
      <c r="O818" s="218" t="s">
        <v>292</v>
      </c>
      <c r="P818" s="218">
        <v>100</v>
      </c>
      <c r="Q818" s="218" t="s">
        <v>4251</v>
      </c>
      <c r="R818" s="218" t="s">
        <v>4252</v>
      </c>
      <c r="S818" s="218" t="s">
        <v>396</v>
      </c>
      <c r="T818" s="218" t="s">
        <v>2591</v>
      </c>
      <c r="U818" s="218" t="s">
        <v>737</v>
      </c>
      <c r="V818" s="218" t="s">
        <v>381</v>
      </c>
      <c r="W818" s="218" t="s">
        <v>295</v>
      </c>
      <c r="X818" s="218" t="s">
        <v>379</v>
      </c>
      <c r="Y818" s="218">
        <v>95.43</v>
      </c>
      <c r="Z818" s="218">
        <f t="shared" si="17"/>
        <v>100</v>
      </c>
    </row>
    <row r="819" spans="1:26">
      <c r="A819" s="218" t="s">
        <v>2592</v>
      </c>
      <c r="B819" s="218"/>
      <c r="C819" s="218"/>
      <c r="D819" s="218"/>
      <c r="E819" s="218"/>
      <c r="F819" s="219" t="s">
        <v>4286</v>
      </c>
      <c r="G819" s="218" t="s">
        <v>274</v>
      </c>
      <c r="H819" s="218" t="s">
        <v>309</v>
      </c>
      <c r="I819" s="223">
        <v>43830</v>
      </c>
      <c r="J819" s="218" t="s">
        <v>2782</v>
      </c>
      <c r="K819" s="218" t="s">
        <v>4282</v>
      </c>
      <c r="L819" s="218" t="s">
        <v>2784</v>
      </c>
      <c r="M819" s="218" t="s">
        <v>1389</v>
      </c>
      <c r="N819" s="218">
        <v>24.39</v>
      </c>
      <c r="O819" s="218" t="s">
        <v>292</v>
      </c>
      <c r="P819" s="218">
        <v>30</v>
      </c>
      <c r="Q819" s="218" t="s">
        <v>4251</v>
      </c>
      <c r="R819" s="218" t="s">
        <v>4252</v>
      </c>
      <c r="S819" s="218" t="s">
        <v>396</v>
      </c>
      <c r="T819" s="218" t="s">
        <v>2591</v>
      </c>
      <c r="U819" s="218" t="s">
        <v>737</v>
      </c>
      <c r="V819" s="218" t="s">
        <v>381</v>
      </c>
      <c r="W819" s="218" t="s">
        <v>295</v>
      </c>
      <c r="X819" s="218" t="s">
        <v>379</v>
      </c>
      <c r="Y819" s="218">
        <v>28.63</v>
      </c>
      <c r="Z819" s="218">
        <f t="shared" si="17"/>
        <v>30</v>
      </c>
    </row>
    <row r="820" spans="1:26">
      <c r="A820" s="218" t="s">
        <v>2592</v>
      </c>
      <c r="B820" s="218"/>
      <c r="C820" s="218"/>
      <c r="D820" s="218"/>
      <c r="E820" s="218"/>
      <c r="F820" s="219" t="s">
        <v>4287</v>
      </c>
      <c r="G820" s="218" t="s">
        <v>274</v>
      </c>
      <c r="H820" s="218" t="s">
        <v>309</v>
      </c>
      <c r="I820" s="223">
        <v>43830</v>
      </c>
      <c r="J820" s="218" t="s">
        <v>2782</v>
      </c>
      <c r="K820" s="218" t="s">
        <v>4288</v>
      </c>
      <c r="L820" s="218" t="s">
        <v>2784</v>
      </c>
      <c r="M820" s="218" t="s">
        <v>2391</v>
      </c>
      <c r="N820" s="218">
        <v>89.42</v>
      </c>
      <c r="O820" s="218" t="s">
        <v>292</v>
      </c>
      <c r="P820" s="218">
        <v>110</v>
      </c>
      <c r="Q820" s="218" t="s">
        <v>4251</v>
      </c>
      <c r="R820" s="218" t="s">
        <v>4252</v>
      </c>
      <c r="S820" s="218" t="s">
        <v>396</v>
      </c>
      <c r="T820" s="218" t="s">
        <v>2591</v>
      </c>
      <c r="U820" s="218" t="s">
        <v>737</v>
      </c>
      <c r="V820" s="218" t="s">
        <v>381</v>
      </c>
      <c r="W820" s="218" t="s">
        <v>295</v>
      </c>
      <c r="X820" s="218" t="s">
        <v>379</v>
      </c>
      <c r="Y820" s="218">
        <v>104.98</v>
      </c>
      <c r="Z820" s="218">
        <f t="shared" si="17"/>
        <v>110</v>
      </c>
    </row>
    <row r="821" spans="1:26">
      <c r="A821" s="218" t="s">
        <v>2592</v>
      </c>
      <c r="B821" s="218"/>
      <c r="C821" s="218"/>
      <c r="D821" s="218"/>
      <c r="E821" s="218"/>
      <c r="F821" s="219" t="s">
        <v>4289</v>
      </c>
      <c r="G821" s="218" t="s">
        <v>274</v>
      </c>
      <c r="H821" s="218" t="s">
        <v>309</v>
      </c>
      <c r="I821" s="223">
        <v>43830</v>
      </c>
      <c r="J821" s="218" t="s">
        <v>2782</v>
      </c>
      <c r="K821" s="218" t="s">
        <v>4285</v>
      </c>
      <c r="L821" s="218" t="s">
        <v>2784</v>
      </c>
      <c r="M821" s="218" t="s">
        <v>1390</v>
      </c>
      <c r="N821" s="218">
        <v>16.260000000000002</v>
      </c>
      <c r="O821" s="218" t="s">
        <v>292</v>
      </c>
      <c r="P821" s="218">
        <v>20</v>
      </c>
      <c r="Q821" s="218" t="s">
        <v>4251</v>
      </c>
      <c r="R821" s="218" t="s">
        <v>4252</v>
      </c>
      <c r="S821" s="218" t="s">
        <v>396</v>
      </c>
      <c r="T821" s="218" t="s">
        <v>2591</v>
      </c>
      <c r="U821" s="218" t="s">
        <v>737</v>
      </c>
      <c r="V821" s="218" t="s">
        <v>381</v>
      </c>
      <c r="W821" s="218" t="s">
        <v>295</v>
      </c>
      <c r="X821" s="218" t="s">
        <v>379</v>
      </c>
      <c r="Y821" s="218">
        <v>19.09</v>
      </c>
      <c r="Z821" s="218">
        <f t="shared" si="17"/>
        <v>20</v>
      </c>
    </row>
    <row r="822" spans="1:26">
      <c r="A822" s="218" t="s">
        <v>2592</v>
      </c>
      <c r="B822" s="218"/>
      <c r="C822" s="218"/>
      <c r="D822" s="218"/>
      <c r="E822" s="218"/>
      <c r="F822" s="219" t="s">
        <v>4290</v>
      </c>
      <c r="G822" s="218" t="s">
        <v>274</v>
      </c>
      <c r="H822" s="218" t="s">
        <v>309</v>
      </c>
      <c r="I822" s="223">
        <v>43830</v>
      </c>
      <c r="J822" s="218" t="s">
        <v>2782</v>
      </c>
      <c r="K822" s="218" t="s">
        <v>3008</v>
      </c>
      <c r="L822" s="218" t="s">
        <v>2784</v>
      </c>
      <c r="M822" s="218" t="s">
        <v>4291</v>
      </c>
      <c r="N822" s="218">
        <v>41.46</v>
      </c>
      <c r="O822" s="218" t="s">
        <v>292</v>
      </c>
      <c r="P822" s="218">
        <v>51</v>
      </c>
      <c r="Q822" s="218" t="s">
        <v>1271</v>
      </c>
      <c r="R822" s="218" t="s">
        <v>2341</v>
      </c>
      <c r="S822" s="218" t="s">
        <v>396</v>
      </c>
      <c r="T822" s="218" t="s">
        <v>2591</v>
      </c>
      <c r="U822" s="218" t="s">
        <v>737</v>
      </c>
      <c r="V822" s="218" t="s">
        <v>381</v>
      </c>
      <c r="W822" s="218" t="s">
        <v>295</v>
      </c>
      <c r="X822" s="218" t="s">
        <v>379</v>
      </c>
      <c r="Y822" s="218">
        <v>48.67</v>
      </c>
      <c r="Z822" s="218">
        <f t="shared" si="17"/>
        <v>51</v>
      </c>
    </row>
    <row r="823" spans="1:26">
      <c r="A823" s="218" t="s">
        <v>2592</v>
      </c>
      <c r="B823" s="218"/>
      <c r="C823" s="218"/>
      <c r="D823" s="218"/>
      <c r="E823" s="218"/>
      <c r="F823" s="219" t="s">
        <v>4292</v>
      </c>
      <c r="G823" s="218" t="s">
        <v>274</v>
      </c>
      <c r="H823" s="218" t="s">
        <v>309</v>
      </c>
      <c r="I823" s="223">
        <v>43830</v>
      </c>
      <c r="J823" s="218" t="s">
        <v>2782</v>
      </c>
      <c r="K823" s="218" t="s">
        <v>3004</v>
      </c>
      <c r="L823" s="218" t="s">
        <v>2784</v>
      </c>
      <c r="M823" s="218" t="s">
        <v>4293</v>
      </c>
      <c r="N823" s="218">
        <v>249.57</v>
      </c>
      <c r="O823" s="218" t="s">
        <v>292</v>
      </c>
      <c r="P823" s="218">
        <v>307</v>
      </c>
      <c r="Q823" s="218" t="s">
        <v>1271</v>
      </c>
      <c r="R823" s="218" t="s">
        <v>2341</v>
      </c>
      <c r="S823" s="218" t="s">
        <v>396</v>
      </c>
      <c r="T823" s="218" t="s">
        <v>2591</v>
      </c>
      <c r="U823" s="218" t="s">
        <v>737</v>
      </c>
      <c r="V823" s="218" t="s">
        <v>381</v>
      </c>
      <c r="W823" s="218" t="s">
        <v>295</v>
      </c>
      <c r="X823" s="218" t="s">
        <v>379</v>
      </c>
      <c r="Y823" s="218">
        <v>292.99</v>
      </c>
      <c r="Z823" s="218">
        <f t="shared" si="17"/>
        <v>307</v>
      </c>
    </row>
    <row r="824" spans="1:26">
      <c r="A824" s="218" t="s">
        <v>2592</v>
      </c>
      <c r="B824" s="218"/>
      <c r="C824" s="218"/>
      <c r="D824" s="218"/>
      <c r="E824" s="218"/>
      <c r="F824" s="219" t="s">
        <v>4294</v>
      </c>
      <c r="G824" s="218" t="s">
        <v>274</v>
      </c>
      <c r="H824" s="218" t="s">
        <v>309</v>
      </c>
      <c r="I824" s="223">
        <v>43830</v>
      </c>
      <c r="J824" s="218" t="s">
        <v>2782</v>
      </c>
      <c r="K824" s="218" t="s">
        <v>4295</v>
      </c>
      <c r="L824" s="218" t="s">
        <v>2784</v>
      </c>
      <c r="M824" s="218" t="s">
        <v>4296</v>
      </c>
      <c r="N824" s="218">
        <v>158.52000000000001</v>
      </c>
      <c r="O824" s="218" t="s">
        <v>292</v>
      </c>
      <c r="P824" s="218">
        <v>195</v>
      </c>
      <c r="Q824" s="218" t="s">
        <v>1271</v>
      </c>
      <c r="R824" s="218" t="s">
        <v>2341</v>
      </c>
      <c r="S824" s="218" t="s">
        <v>396</v>
      </c>
      <c r="T824" s="218" t="s">
        <v>2591</v>
      </c>
      <c r="U824" s="218" t="s">
        <v>737</v>
      </c>
      <c r="V824" s="218" t="s">
        <v>381</v>
      </c>
      <c r="W824" s="218" t="s">
        <v>295</v>
      </c>
      <c r="X824" s="218" t="s">
        <v>379</v>
      </c>
      <c r="Y824" s="218">
        <v>186.1</v>
      </c>
      <c r="Z824" s="218">
        <f t="shared" si="17"/>
        <v>195</v>
      </c>
    </row>
    <row r="825" spans="1:26">
      <c r="A825" s="218" t="s">
        <v>2592</v>
      </c>
      <c r="B825" s="218"/>
      <c r="C825" s="218"/>
      <c r="D825" s="218"/>
      <c r="E825" s="218"/>
      <c r="F825" s="219" t="s">
        <v>4297</v>
      </c>
      <c r="G825" s="218" t="s">
        <v>274</v>
      </c>
      <c r="H825" s="218" t="s">
        <v>309</v>
      </c>
      <c r="I825" s="223">
        <v>43830</v>
      </c>
      <c r="J825" s="218" t="s">
        <v>2782</v>
      </c>
      <c r="K825" s="218" t="s">
        <v>4298</v>
      </c>
      <c r="L825" s="218" t="s">
        <v>2784</v>
      </c>
      <c r="M825" s="218" t="s">
        <v>4299</v>
      </c>
      <c r="N825" s="218">
        <v>81.290000000000006</v>
      </c>
      <c r="O825" s="218" t="s">
        <v>292</v>
      </c>
      <c r="P825" s="218">
        <v>100</v>
      </c>
      <c r="Q825" s="218" t="s">
        <v>1271</v>
      </c>
      <c r="R825" s="218" t="s">
        <v>2341</v>
      </c>
      <c r="S825" s="218" t="s">
        <v>396</v>
      </c>
      <c r="T825" s="218" t="s">
        <v>2591</v>
      </c>
      <c r="U825" s="218" t="s">
        <v>737</v>
      </c>
      <c r="V825" s="218" t="s">
        <v>381</v>
      </c>
      <c r="W825" s="218" t="s">
        <v>295</v>
      </c>
      <c r="X825" s="218" t="s">
        <v>379</v>
      </c>
      <c r="Y825" s="218">
        <v>95.43</v>
      </c>
      <c r="Z825" s="218">
        <f t="shared" si="17"/>
        <v>100</v>
      </c>
    </row>
    <row r="826" spans="1:26">
      <c r="A826" s="218" t="s">
        <v>2592</v>
      </c>
      <c r="B826" s="218"/>
      <c r="C826" s="218"/>
      <c r="D826" s="218"/>
      <c r="E826" s="218"/>
      <c r="F826" s="219" t="s">
        <v>4300</v>
      </c>
      <c r="G826" s="218" t="s">
        <v>274</v>
      </c>
      <c r="H826" s="218" t="s">
        <v>309</v>
      </c>
      <c r="I826" s="223">
        <v>43830</v>
      </c>
      <c r="J826" s="218" t="s">
        <v>2782</v>
      </c>
      <c r="K826" s="218" t="s">
        <v>4301</v>
      </c>
      <c r="L826" s="218" t="s">
        <v>2784</v>
      </c>
      <c r="M826" s="218" t="s">
        <v>4299</v>
      </c>
      <c r="N826" s="218">
        <v>81.290000000000006</v>
      </c>
      <c r="O826" s="218" t="s">
        <v>292</v>
      </c>
      <c r="P826" s="218">
        <v>100</v>
      </c>
      <c r="Q826" s="218" t="s">
        <v>1271</v>
      </c>
      <c r="R826" s="218" t="s">
        <v>2341</v>
      </c>
      <c r="S826" s="218" t="s">
        <v>396</v>
      </c>
      <c r="T826" s="218" t="s">
        <v>2591</v>
      </c>
      <c r="U826" s="218" t="s">
        <v>737</v>
      </c>
      <c r="V826" s="218" t="s">
        <v>381</v>
      </c>
      <c r="W826" s="218" t="s">
        <v>295</v>
      </c>
      <c r="X826" s="218" t="s">
        <v>379</v>
      </c>
      <c r="Y826" s="218">
        <v>95.43</v>
      </c>
      <c r="Z826" s="218">
        <f t="shared" si="17"/>
        <v>100</v>
      </c>
    </row>
    <row r="827" spans="1:26">
      <c r="A827" s="218" t="s">
        <v>2592</v>
      </c>
      <c r="B827" s="218"/>
      <c r="C827" s="218"/>
      <c r="D827" s="218"/>
      <c r="E827" s="218"/>
      <c r="F827" s="219" t="s">
        <v>4302</v>
      </c>
      <c r="G827" s="218" t="s">
        <v>274</v>
      </c>
      <c r="H827" s="218" t="s">
        <v>309</v>
      </c>
      <c r="I827" s="223">
        <v>43830</v>
      </c>
      <c r="J827" s="218" t="s">
        <v>2782</v>
      </c>
      <c r="K827" s="218" t="s">
        <v>4303</v>
      </c>
      <c r="L827" s="218" t="s">
        <v>2784</v>
      </c>
      <c r="M827" s="218" t="s">
        <v>4299</v>
      </c>
      <c r="N827" s="218">
        <v>81.290000000000006</v>
      </c>
      <c r="O827" s="218" t="s">
        <v>292</v>
      </c>
      <c r="P827" s="218">
        <v>100</v>
      </c>
      <c r="Q827" s="218" t="s">
        <v>1271</v>
      </c>
      <c r="R827" s="218" t="s">
        <v>2341</v>
      </c>
      <c r="S827" s="218" t="s">
        <v>396</v>
      </c>
      <c r="T827" s="218" t="s">
        <v>2591</v>
      </c>
      <c r="U827" s="218" t="s">
        <v>737</v>
      </c>
      <c r="V827" s="218" t="s">
        <v>381</v>
      </c>
      <c r="W827" s="218" t="s">
        <v>295</v>
      </c>
      <c r="X827" s="218" t="s">
        <v>379</v>
      </c>
      <c r="Y827" s="218">
        <v>95.43</v>
      </c>
      <c r="Z827" s="218">
        <f t="shared" si="17"/>
        <v>100</v>
      </c>
    </row>
    <row r="828" spans="1:26">
      <c r="A828" s="218" t="s">
        <v>2592</v>
      </c>
      <c r="B828" s="218"/>
      <c r="C828" s="218"/>
      <c r="D828" s="218"/>
      <c r="E828" s="218"/>
      <c r="F828" s="219" t="s">
        <v>4304</v>
      </c>
      <c r="G828" s="218" t="s">
        <v>274</v>
      </c>
      <c r="H828" s="218" t="s">
        <v>309</v>
      </c>
      <c r="I828" s="223">
        <v>43830</v>
      </c>
      <c r="J828" s="218" t="s">
        <v>2782</v>
      </c>
      <c r="K828" s="218" t="s">
        <v>4305</v>
      </c>
      <c r="L828" s="218" t="s">
        <v>2784</v>
      </c>
      <c r="M828" s="218" t="s">
        <v>4306</v>
      </c>
      <c r="N828" s="218">
        <v>569.04999999999995</v>
      </c>
      <c r="O828" s="218" t="s">
        <v>292</v>
      </c>
      <c r="P828" s="218">
        <v>700</v>
      </c>
      <c r="Q828" s="218" t="s">
        <v>1271</v>
      </c>
      <c r="R828" s="218" t="s">
        <v>2341</v>
      </c>
      <c r="S828" s="218" t="s">
        <v>396</v>
      </c>
      <c r="T828" s="218" t="s">
        <v>2591</v>
      </c>
      <c r="U828" s="218" t="s">
        <v>737</v>
      </c>
      <c r="V828" s="218" t="s">
        <v>381</v>
      </c>
      <c r="W828" s="218" t="s">
        <v>295</v>
      </c>
      <c r="X828" s="218" t="s">
        <v>379</v>
      </c>
      <c r="Y828" s="218">
        <v>668.05</v>
      </c>
      <c r="Z828" s="218">
        <f t="shared" si="17"/>
        <v>700</v>
      </c>
    </row>
    <row r="829" spans="1:26">
      <c r="A829" s="218" t="s">
        <v>2592</v>
      </c>
      <c r="B829" s="218"/>
      <c r="C829" s="218"/>
      <c r="D829" s="218"/>
      <c r="E829" s="218"/>
      <c r="F829" s="219" t="s">
        <v>4307</v>
      </c>
      <c r="G829" s="218" t="s">
        <v>274</v>
      </c>
      <c r="H829" s="218" t="s">
        <v>309</v>
      </c>
      <c r="I829" s="223">
        <v>43830</v>
      </c>
      <c r="J829" s="218" t="s">
        <v>2782</v>
      </c>
      <c r="K829" s="218" t="s">
        <v>4308</v>
      </c>
      <c r="L829" s="218" t="s">
        <v>2784</v>
      </c>
      <c r="M829" s="218" t="s">
        <v>4309</v>
      </c>
      <c r="N829" s="218">
        <v>487.76</v>
      </c>
      <c r="O829" s="218" t="s">
        <v>292</v>
      </c>
      <c r="P829" s="218">
        <v>600</v>
      </c>
      <c r="Q829" s="218" t="s">
        <v>1271</v>
      </c>
      <c r="R829" s="218" t="s">
        <v>2341</v>
      </c>
      <c r="S829" s="218" t="s">
        <v>396</v>
      </c>
      <c r="T829" s="218" t="s">
        <v>2591</v>
      </c>
      <c r="U829" s="218" t="s">
        <v>737</v>
      </c>
      <c r="V829" s="218" t="s">
        <v>381</v>
      </c>
      <c r="W829" s="218" t="s">
        <v>295</v>
      </c>
      <c r="X829" s="218" t="s">
        <v>379</v>
      </c>
      <c r="Y829" s="218">
        <v>572.62</v>
      </c>
      <c r="Z829" s="218">
        <f t="shared" si="17"/>
        <v>600</v>
      </c>
    </row>
    <row r="830" spans="1:26">
      <c r="A830" s="218" t="s">
        <v>2592</v>
      </c>
      <c r="B830" s="218"/>
      <c r="C830" s="218"/>
      <c r="D830" s="218"/>
      <c r="E830" s="218"/>
      <c r="F830" s="219" t="s">
        <v>4310</v>
      </c>
      <c r="G830" s="218" t="s">
        <v>274</v>
      </c>
      <c r="H830" s="218" t="s">
        <v>309</v>
      </c>
      <c r="I830" s="223">
        <v>43830</v>
      </c>
      <c r="J830" s="218" t="s">
        <v>2782</v>
      </c>
      <c r="K830" s="218" t="s">
        <v>4311</v>
      </c>
      <c r="L830" s="218" t="s">
        <v>2784</v>
      </c>
      <c r="M830" s="218" t="s">
        <v>4312</v>
      </c>
      <c r="N830" s="218">
        <v>81.290000000000006</v>
      </c>
      <c r="O830" s="218" t="s">
        <v>292</v>
      </c>
      <c r="P830" s="218">
        <v>100</v>
      </c>
      <c r="Q830" s="218" t="s">
        <v>1271</v>
      </c>
      <c r="R830" s="218" t="s">
        <v>2341</v>
      </c>
      <c r="S830" s="218" t="s">
        <v>396</v>
      </c>
      <c r="T830" s="218" t="s">
        <v>2591</v>
      </c>
      <c r="U830" s="218" t="s">
        <v>737</v>
      </c>
      <c r="V830" s="218" t="s">
        <v>381</v>
      </c>
      <c r="W830" s="218" t="s">
        <v>295</v>
      </c>
      <c r="X830" s="218" t="s">
        <v>379</v>
      </c>
      <c r="Y830" s="218">
        <v>95.43</v>
      </c>
      <c r="Z830" s="218">
        <f t="shared" si="17"/>
        <v>100</v>
      </c>
    </row>
    <row r="831" spans="1:26">
      <c r="A831" s="218" t="s">
        <v>2592</v>
      </c>
      <c r="B831" s="218"/>
      <c r="C831" s="218"/>
      <c r="D831" s="218"/>
      <c r="E831" s="218"/>
      <c r="F831" s="219" t="s">
        <v>4313</v>
      </c>
      <c r="G831" s="218" t="s">
        <v>274</v>
      </c>
      <c r="H831" s="218" t="s">
        <v>309</v>
      </c>
      <c r="I831" s="223">
        <v>43830</v>
      </c>
      <c r="J831" s="218" t="s">
        <v>2782</v>
      </c>
      <c r="K831" s="218" t="s">
        <v>4288</v>
      </c>
      <c r="L831" s="218" t="s">
        <v>2784</v>
      </c>
      <c r="M831" s="218" t="s">
        <v>4314</v>
      </c>
      <c r="N831" s="218">
        <v>81.290000000000006</v>
      </c>
      <c r="O831" s="218" t="s">
        <v>292</v>
      </c>
      <c r="P831" s="218">
        <v>100</v>
      </c>
      <c r="Q831" s="218" t="s">
        <v>4251</v>
      </c>
      <c r="R831" s="218" t="s">
        <v>4252</v>
      </c>
      <c r="S831" s="218" t="s">
        <v>396</v>
      </c>
      <c r="T831" s="218" t="s">
        <v>2591</v>
      </c>
      <c r="U831" s="218" t="s">
        <v>737</v>
      </c>
      <c r="V831" s="218" t="s">
        <v>381</v>
      </c>
      <c r="W831" s="218" t="s">
        <v>295</v>
      </c>
      <c r="X831" s="218" t="s">
        <v>379</v>
      </c>
      <c r="Y831" s="218">
        <v>95.43</v>
      </c>
      <c r="Z831" s="218">
        <f t="shared" si="17"/>
        <v>100</v>
      </c>
    </row>
    <row r="832" spans="1:26">
      <c r="A832" s="218" t="s">
        <v>2592</v>
      </c>
      <c r="B832" s="218"/>
      <c r="C832" s="218"/>
      <c r="D832" s="218"/>
      <c r="E832" s="218"/>
      <c r="F832" s="219" t="s">
        <v>4315</v>
      </c>
      <c r="G832" s="218" t="s">
        <v>274</v>
      </c>
      <c r="H832" s="218" t="s">
        <v>309</v>
      </c>
      <c r="I832" s="223">
        <v>43830</v>
      </c>
      <c r="J832" s="218" t="s">
        <v>2782</v>
      </c>
      <c r="K832" s="218" t="s">
        <v>4285</v>
      </c>
      <c r="L832" s="218" t="s">
        <v>2784</v>
      </c>
      <c r="M832" s="218" t="s">
        <v>4316</v>
      </c>
      <c r="N832" s="218">
        <v>81.290000000000006</v>
      </c>
      <c r="O832" s="218" t="s">
        <v>292</v>
      </c>
      <c r="P832" s="218">
        <v>100</v>
      </c>
      <c r="Q832" s="218" t="s">
        <v>4251</v>
      </c>
      <c r="R832" s="218" t="s">
        <v>4252</v>
      </c>
      <c r="S832" s="218" t="s">
        <v>396</v>
      </c>
      <c r="T832" s="218" t="s">
        <v>2591</v>
      </c>
      <c r="U832" s="218" t="s">
        <v>737</v>
      </c>
      <c r="V832" s="218" t="s">
        <v>381</v>
      </c>
      <c r="W832" s="218" t="s">
        <v>295</v>
      </c>
      <c r="X832" s="218" t="s">
        <v>379</v>
      </c>
      <c r="Y832" s="218">
        <v>95.43</v>
      </c>
      <c r="Z832" s="218">
        <f t="shared" si="17"/>
        <v>100</v>
      </c>
    </row>
    <row r="833" spans="1:26">
      <c r="A833" s="218" t="s">
        <v>2592</v>
      </c>
      <c r="B833" s="218"/>
      <c r="C833" s="218"/>
      <c r="D833" s="218"/>
      <c r="E833" s="218"/>
      <c r="F833" s="219" t="s">
        <v>4317</v>
      </c>
      <c r="G833" s="218" t="s">
        <v>274</v>
      </c>
      <c r="H833" s="218" t="s">
        <v>309</v>
      </c>
      <c r="I833" s="223">
        <v>43830</v>
      </c>
      <c r="J833" s="218" t="s">
        <v>2782</v>
      </c>
      <c r="K833" s="218" t="s">
        <v>4288</v>
      </c>
      <c r="L833" s="218" t="s">
        <v>2784</v>
      </c>
      <c r="M833" s="218" t="s">
        <v>4318</v>
      </c>
      <c r="N833" s="218">
        <v>97.55</v>
      </c>
      <c r="O833" s="218" t="s">
        <v>292</v>
      </c>
      <c r="P833" s="218">
        <v>120</v>
      </c>
      <c r="Q833" s="218" t="s">
        <v>4251</v>
      </c>
      <c r="R833" s="218" t="s">
        <v>4252</v>
      </c>
      <c r="S833" s="218" t="s">
        <v>396</v>
      </c>
      <c r="T833" s="218" t="s">
        <v>2591</v>
      </c>
      <c r="U833" s="218" t="s">
        <v>737</v>
      </c>
      <c r="V833" s="218" t="s">
        <v>381</v>
      </c>
      <c r="W833" s="218" t="s">
        <v>295</v>
      </c>
      <c r="X833" s="218" t="s">
        <v>379</v>
      </c>
      <c r="Y833" s="218">
        <v>114.52</v>
      </c>
      <c r="Z833" s="218">
        <f t="shared" ref="Z833:Z896" si="18">P833</f>
        <v>120</v>
      </c>
    </row>
    <row r="834" spans="1:26">
      <c r="A834" s="218" t="s">
        <v>2592</v>
      </c>
      <c r="B834" s="218"/>
      <c r="C834" s="218"/>
      <c r="D834" s="218"/>
      <c r="E834" s="218"/>
      <c r="F834" s="219" t="s">
        <v>4319</v>
      </c>
      <c r="G834" s="218" t="s">
        <v>274</v>
      </c>
      <c r="H834" s="218" t="s">
        <v>309</v>
      </c>
      <c r="I834" s="223">
        <v>43830</v>
      </c>
      <c r="J834" s="218" t="s">
        <v>2782</v>
      </c>
      <c r="K834" s="218" t="s">
        <v>4320</v>
      </c>
      <c r="L834" s="218" t="s">
        <v>2784</v>
      </c>
      <c r="M834" s="218" t="s">
        <v>1389</v>
      </c>
      <c r="N834" s="218">
        <v>24.39</v>
      </c>
      <c r="O834" s="218" t="s">
        <v>292</v>
      </c>
      <c r="P834" s="218">
        <v>30</v>
      </c>
      <c r="Q834" s="218" t="s">
        <v>4251</v>
      </c>
      <c r="R834" s="218" t="s">
        <v>4252</v>
      </c>
      <c r="S834" s="218" t="s">
        <v>396</v>
      </c>
      <c r="T834" s="218" t="s">
        <v>2591</v>
      </c>
      <c r="U834" s="218" t="s">
        <v>737</v>
      </c>
      <c r="V834" s="218" t="s">
        <v>381</v>
      </c>
      <c r="W834" s="218" t="s">
        <v>295</v>
      </c>
      <c r="X834" s="218" t="s">
        <v>379</v>
      </c>
      <c r="Y834" s="218">
        <v>28.63</v>
      </c>
      <c r="Z834" s="218">
        <f t="shared" si="18"/>
        <v>30</v>
      </c>
    </row>
    <row r="835" spans="1:26">
      <c r="A835" s="218" t="s">
        <v>2592</v>
      </c>
      <c r="B835" s="218"/>
      <c r="C835" s="218"/>
      <c r="D835" s="218"/>
      <c r="E835" s="218"/>
      <c r="F835" s="219" t="s">
        <v>4321</v>
      </c>
      <c r="G835" s="218" t="s">
        <v>274</v>
      </c>
      <c r="H835" s="218" t="s">
        <v>309</v>
      </c>
      <c r="I835" s="223">
        <v>43830</v>
      </c>
      <c r="J835" s="218" t="s">
        <v>2782</v>
      </c>
      <c r="K835" s="218" t="s">
        <v>4285</v>
      </c>
      <c r="L835" s="218" t="s">
        <v>2784</v>
      </c>
      <c r="M835" s="218" t="s">
        <v>1390</v>
      </c>
      <c r="N835" s="218">
        <v>16.260000000000002</v>
      </c>
      <c r="O835" s="218" t="s">
        <v>292</v>
      </c>
      <c r="P835" s="218">
        <v>20</v>
      </c>
      <c r="Q835" s="218" t="s">
        <v>4251</v>
      </c>
      <c r="R835" s="218" t="s">
        <v>4252</v>
      </c>
      <c r="S835" s="218" t="s">
        <v>396</v>
      </c>
      <c r="T835" s="218" t="s">
        <v>2591</v>
      </c>
      <c r="U835" s="218" t="s">
        <v>737</v>
      </c>
      <c r="V835" s="218" t="s">
        <v>381</v>
      </c>
      <c r="W835" s="218" t="s">
        <v>295</v>
      </c>
      <c r="X835" s="218" t="s">
        <v>379</v>
      </c>
      <c r="Y835" s="218">
        <v>19.09</v>
      </c>
      <c r="Z835" s="218">
        <f t="shared" si="18"/>
        <v>20</v>
      </c>
    </row>
    <row r="836" spans="1:26">
      <c r="A836" s="218" t="s">
        <v>2592</v>
      </c>
      <c r="B836" s="218"/>
      <c r="C836" s="218"/>
      <c r="D836" s="218"/>
      <c r="E836" s="218"/>
      <c r="F836" s="219" t="s">
        <v>4322</v>
      </c>
      <c r="G836" s="218" t="s">
        <v>274</v>
      </c>
      <c r="H836" s="218" t="s">
        <v>309</v>
      </c>
      <c r="I836" s="223">
        <v>43830</v>
      </c>
      <c r="J836" s="218" t="s">
        <v>2782</v>
      </c>
      <c r="K836" s="218" t="s">
        <v>3008</v>
      </c>
      <c r="L836" s="218" t="s">
        <v>2784</v>
      </c>
      <c r="M836" s="218" t="s">
        <v>4323</v>
      </c>
      <c r="N836" s="218">
        <v>39.83</v>
      </c>
      <c r="O836" s="218" t="s">
        <v>292</v>
      </c>
      <c r="P836" s="218">
        <v>49</v>
      </c>
      <c r="Q836" s="218" t="s">
        <v>1271</v>
      </c>
      <c r="R836" s="218" t="s">
        <v>2341</v>
      </c>
      <c r="S836" s="218" t="s">
        <v>396</v>
      </c>
      <c r="T836" s="218" t="s">
        <v>2591</v>
      </c>
      <c r="U836" s="218" t="s">
        <v>737</v>
      </c>
      <c r="V836" s="218" t="s">
        <v>381</v>
      </c>
      <c r="W836" s="218" t="s">
        <v>295</v>
      </c>
      <c r="X836" s="218" t="s">
        <v>379</v>
      </c>
      <c r="Y836" s="218">
        <v>46.76</v>
      </c>
      <c r="Z836" s="218">
        <f t="shared" si="18"/>
        <v>49</v>
      </c>
    </row>
    <row r="837" spans="1:26">
      <c r="A837" s="218" t="s">
        <v>2592</v>
      </c>
      <c r="B837" s="218"/>
      <c r="C837" s="218"/>
      <c r="D837" s="218"/>
      <c r="E837" s="218"/>
      <c r="F837" s="219" t="s">
        <v>4324</v>
      </c>
      <c r="G837" s="218" t="s">
        <v>274</v>
      </c>
      <c r="H837" s="218" t="s">
        <v>309</v>
      </c>
      <c r="I837" s="223">
        <v>43830</v>
      </c>
      <c r="J837" s="218" t="s">
        <v>2782</v>
      </c>
      <c r="K837" s="218" t="s">
        <v>4295</v>
      </c>
      <c r="L837" s="218" t="s">
        <v>2784</v>
      </c>
      <c r="M837" s="218" t="s">
        <v>4325</v>
      </c>
      <c r="N837" s="218">
        <v>151.21</v>
      </c>
      <c r="O837" s="218" t="s">
        <v>292</v>
      </c>
      <c r="P837" s="218">
        <v>186</v>
      </c>
      <c r="Q837" s="218" t="s">
        <v>1271</v>
      </c>
      <c r="R837" s="218" t="s">
        <v>2341</v>
      </c>
      <c r="S837" s="218" t="s">
        <v>396</v>
      </c>
      <c r="T837" s="218" t="s">
        <v>2591</v>
      </c>
      <c r="U837" s="218" t="s">
        <v>737</v>
      </c>
      <c r="V837" s="218" t="s">
        <v>381</v>
      </c>
      <c r="W837" s="218" t="s">
        <v>295</v>
      </c>
      <c r="X837" s="218" t="s">
        <v>379</v>
      </c>
      <c r="Y837" s="218">
        <v>177.52</v>
      </c>
      <c r="Z837" s="218">
        <f t="shared" si="18"/>
        <v>186</v>
      </c>
    </row>
    <row r="838" spans="1:26">
      <c r="A838" s="218" t="s">
        <v>2592</v>
      </c>
      <c r="B838" s="218"/>
      <c r="C838" s="218"/>
      <c r="D838" s="218"/>
      <c r="E838" s="218"/>
      <c r="F838" s="219" t="s">
        <v>4326</v>
      </c>
      <c r="G838" s="218" t="s">
        <v>274</v>
      </c>
      <c r="H838" s="218" t="s">
        <v>309</v>
      </c>
      <c r="I838" s="223">
        <v>43830</v>
      </c>
      <c r="J838" s="218" t="s">
        <v>2782</v>
      </c>
      <c r="K838" s="218" t="s">
        <v>3004</v>
      </c>
      <c r="L838" s="218" t="s">
        <v>2784</v>
      </c>
      <c r="M838" s="218" t="s">
        <v>4327</v>
      </c>
      <c r="N838" s="218">
        <v>239</v>
      </c>
      <c r="O838" s="218" t="s">
        <v>292</v>
      </c>
      <c r="P838" s="218">
        <v>294</v>
      </c>
      <c r="Q838" s="218" t="s">
        <v>1271</v>
      </c>
      <c r="R838" s="218" t="s">
        <v>2341</v>
      </c>
      <c r="S838" s="218" t="s">
        <v>396</v>
      </c>
      <c r="T838" s="218" t="s">
        <v>2591</v>
      </c>
      <c r="U838" s="218" t="s">
        <v>737</v>
      </c>
      <c r="V838" s="218" t="s">
        <v>381</v>
      </c>
      <c r="W838" s="218" t="s">
        <v>295</v>
      </c>
      <c r="X838" s="218" t="s">
        <v>379</v>
      </c>
      <c r="Y838" s="218">
        <v>280.58</v>
      </c>
      <c r="Z838" s="218">
        <f t="shared" si="18"/>
        <v>294</v>
      </c>
    </row>
    <row r="839" spans="1:26">
      <c r="A839" s="218" t="s">
        <v>2592</v>
      </c>
      <c r="B839" s="218"/>
      <c r="C839" s="218"/>
      <c r="D839" s="218"/>
      <c r="E839" s="218"/>
      <c r="F839" s="219" t="s">
        <v>4328</v>
      </c>
      <c r="G839" s="218" t="s">
        <v>274</v>
      </c>
      <c r="H839" s="218" t="s">
        <v>309</v>
      </c>
      <c r="I839" s="223">
        <v>43830</v>
      </c>
      <c r="J839" s="218" t="s">
        <v>2782</v>
      </c>
      <c r="K839" s="218" t="s">
        <v>4298</v>
      </c>
      <c r="L839" s="218" t="s">
        <v>2784</v>
      </c>
      <c r="M839" s="218" t="s">
        <v>4329</v>
      </c>
      <c r="N839" s="218">
        <v>81.290000000000006</v>
      </c>
      <c r="O839" s="218" t="s">
        <v>292</v>
      </c>
      <c r="P839" s="218">
        <v>100</v>
      </c>
      <c r="Q839" s="218" t="s">
        <v>1271</v>
      </c>
      <c r="R839" s="218" t="s">
        <v>2341</v>
      </c>
      <c r="S839" s="218" t="s">
        <v>396</v>
      </c>
      <c r="T839" s="218" t="s">
        <v>2591</v>
      </c>
      <c r="U839" s="218" t="s">
        <v>737</v>
      </c>
      <c r="V839" s="218" t="s">
        <v>381</v>
      </c>
      <c r="W839" s="218" t="s">
        <v>295</v>
      </c>
      <c r="X839" s="218" t="s">
        <v>379</v>
      </c>
      <c r="Y839" s="218">
        <v>95.43</v>
      </c>
      <c r="Z839" s="218">
        <f t="shared" si="18"/>
        <v>100</v>
      </c>
    </row>
    <row r="840" spans="1:26">
      <c r="A840" s="218" t="s">
        <v>2592</v>
      </c>
      <c r="B840" s="218"/>
      <c r="C840" s="218"/>
      <c r="D840" s="218"/>
      <c r="E840" s="218"/>
      <c r="F840" s="219" t="s">
        <v>4330</v>
      </c>
      <c r="G840" s="218" t="s">
        <v>274</v>
      </c>
      <c r="H840" s="218" t="s">
        <v>309</v>
      </c>
      <c r="I840" s="223">
        <v>43830</v>
      </c>
      <c r="J840" s="218" t="s">
        <v>2782</v>
      </c>
      <c r="K840" s="218" t="s">
        <v>4301</v>
      </c>
      <c r="L840" s="218" t="s">
        <v>2784</v>
      </c>
      <c r="M840" s="218" t="s">
        <v>4329</v>
      </c>
      <c r="N840" s="218">
        <v>81.290000000000006</v>
      </c>
      <c r="O840" s="218" t="s">
        <v>292</v>
      </c>
      <c r="P840" s="218">
        <v>100</v>
      </c>
      <c r="Q840" s="218" t="s">
        <v>1271</v>
      </c>
      <c r="R840" s="218" t="s">
        <v>2341</v>
      </c>
      <c r="S840" s="218" t="s">
        <v>396</v>
      </c>
      <c r="T840" s="218" t="s">
        <v>2591</v>
      </c>
      <c r="U840" s="218" t="s">
        <v>737</v>
      </c>
      <c r="V840" s="218" t="s">
        <v>381</v>
      </c>
      <c r="W840" s="218" t="s">
        <v>295</v>
      </c>
      <c r="X840" s="218" t="s">
        <v>379</v>
      </c>
      <c r="Y840" s="218">
        <v>95.43</v>
      </c>
      <c r="Z840" s="218">
        <f t="shared" si="18"/>
        <v>100</v>
      </c>
    </row>
    <row r="841" spans="1:26">
      <c r="A841" s="218" t="s">
        <v>2592</v>
      </c>
      <c r="B841" s="218"/>
      <c r="C841" s="218"/>
      <c r="D841" s="218"/>
      <c r="E841" s="218"/>
      <c r="F841" s="219" t="s">
        <v>4331</v>
      </c>
      <c r="G841" s="218" t="s">
        <v>274</v>
      </c>
      <c r="H841" s="218" t="s">
        <v>309</v>
      </c>
      <c r="I841" s="223">
        <v>43830</v>
      </c>
      <c r="J841" s="218" t="s">
        <v>2782</v>
      </c>
      <c r="K841" s="218" t="s">
        <v>4303</v>
      </c>
      <c r="L841" s="218" t="s">
        <v>2784</v>
      </c>
      <c r="M841" s="218" t="s">
        <v>4329</v>
      </c>
      <c r="N841" s="218">
        <v>81.290000000000006</v>
      </c>
      <c r="O841" s="218" t="s">
        <v>292</v>
      </c>
      <c r="P841" s="218">
        <v>100</v>
      </c>
      <c r="Q841" s="218" t="s">
        <v>1271</v>
      </c>
      <c r="R841" s="218" t="s">
        <v>2341</v>
      </c>
      <c r="S841" s="218" t="s">
        <v>396</v>
      </c>
      <c r="T841" s="218" t="s">
        <v>2591</v>
      </c>
      <c r="U841" s="218" t="s">
        <v>737</v>
      </c>
      <c r="V841" s="218" t="s">
        <v>381</v>
      </c>
      <c r="W841" s="218" t="s">
        <v>295</v>
      </c>
      <c r="X841" s="218" t="s">
        <v>379</v>
      </c>
      <c r="Y841" s="218">
        <v>95.43</v>
      </c>
      <c r="Z841" s="218">
        <f t="shared" si="18"/>
        <v>100</v>
      </c>
    </row>
    <row r="842" spans="1:26">
      <c r="A842" s="218" t="s">
        <v>2592</v>
      </c>
      <c r="B842" s="218"/>
      <c r="C842" s="218"/>
      <c r="D842" s="218"/>
      <c r="E842" s="218"/>
      <c r="F842" s="219" t="s">
        <v>4332</v>
      </c>
      <c r="G842" s="218" t="s">
        <v>274</v>
      </c>
      <c r="H842" s="218" t="s">
        <v>309</v>
      </c>
      <c r="I842" s="223">
        <v>43830</v>
      </c>
      <c r="J842" s="218" t="s">
        <v>2782</v>
      </c>
      <c r="K842" s="218" t="s">
        <v>4305</v>
      </c>
      <c r="L842" s="218" t="s">
        <v>2784</v>
      </c>
      <c r="M842" s="218" t="s">
        <v>4333</v>
      </c>
      <c r="N842" s="218">
        <v>569.04999999999995</v>
      </c>
      <c r="O842" s="218" t="s">
        <v>292</v>
      </c>
      <c r="P842" s="218">
        <v>700</v>
      </c>
      <c r="Q842" s="218" t="s">
        <v>1271</v>
      </c>
      <c r="R842" s="218" t="s">
        <v>2341</v>
      </c>
      <c r="S842" s="218" t="s">
        <v>396</v>
      </c>
      <c r="T842" s="218" t="s">
        <v>2591</v>
      </c>
      <c r="U842" s="218" t="s">
        <v>737</v>
      </c>
      <c r="V842" s="218" t="s">
        <v>381</v>
      </c>
      <c r="W842" s="218" t="s">
        <v>295</v>
      </c>
      <c r="X842" s="218" t="s">
        <v>379</v>
      </c>
      <c r="Y842" s="218">
        <v>668.05</v>
      </c>
      <c r="Z842" s="218">
        <f t="shared" si="18"/>
        <v>700</v>
      </c>
    </row>
    <row r="843" spans="1:26">
      <c r="A843" s="218" t="s">
        <v>2592</v>
      </c>
      <c r="B843" s="218"/>
      <c r="C843" s="218"/>
      <c r="D843" s="218"/>
      <c r="E843" s="218"/>
      <c r="F843" s="219" t="s">
        <v>4334</v>
      </c>
      <c r="G843" s="218" t="s">
        <v>274</v>
      </c>
      <c r="H843" s="218" t="s">
        <v>309</v>
      </c>
      <c r="I843" s="223">
        <v>43830</v>
      </c>
      <c r="J843" s="218" t="s">
        <v>2782</v>
      </c>
      <c r="K843" s="218" t="s">
        <v>4308</v>
      </c>
      <c r="L843" s="218" t="s">
        <v>2784</v>
      </c>
      <c r="M843" s="218" t="s">
        <v>4335</v>
      </c>
      <c r="N843" s="218">
        <v>487.76</v>
      </c>
      <c r="O843" s="218" t="s">
        <v>292</v>
      </c>
      <c r="P843" s="218">
        <v>600</v>
      </c>
      <c r="Q843" s="218" t="s">
        <v>1271</v>
      </c>
      <c r="R843" s="218" t="s">
        <v>2341</v>
      </c>
      <c r="S843" s="218" t="s">
        <v>396</v>
      </c>
      <c r="T843" s="218" t="s">
        <v>2591</v>
      </c>
      <c r="U843" s="218" t="s">
        <v>737</v>
      </c>
      <c r="V843" s="218" t="s">
        <v>381</v>
      </c>
      <c r="W843" s="218" t="s">
        <v>295</v>
      </c>
      <c r="X843" s="218" t="s">
        <v>379</v>
      </c>
      <c r="Y843" s="218">
        <v>572.62</v>
      </c>
      <c r="Z843" s="218">
        <f t="shared" si="18"/>
        <v>600</v>
      </c>
    </row>
    <row r="844" spans="1:26">
      <c r="A844" s="218" t="s">
        <v>2592</v>
      </c>
      <c r="B844" s="218"/>
      <c r="C844" s="218"/>
      <c r="D844" s="218"/>
      <c r="E844" s="218"/>
      <c r="F844" s="219" t="s">
        <v>4336</v>
      </c>
      <c r="G844" s="218" t="s">
        <v>274</v>
      </c>
      <c r="H844" s="218" t="s">
        <v>309</v>
      </c>
      <c r="I844" s="223">
        <v>43830</v>
      </c>
      <c r="J844" s="218" t="s">
        <v>2782</v>
      </c>
      <c r="K844" s="218" t="s">
        <v>4311</v>
      </c>
      <c r="L844" s="218" t="s">
        <v>2784</v>
      </c>
      <c r="M844" s="218" t="s">
        <v>4337</v>
      </c>
      <c r="N844" s="218">
        <v>81.290000000000006</v>
      </c>
      <c r="O844" s="218" t="s">
        <v>292</v>
      </c>
      <c r="P844" s="218">
        <v>100</v>
      </c>
      <c r="Q844" s="218" t="s">
        <v>4251</v>
      </c>
      <c r="R844" s="218" t="s">
        <v>4252</v>
      </c>
      <c r="S844" s="218" t="s">
        <v>396</v>
      </c>
      <c r="T844" s="218" t="s">
        <v>2591</v>
      </c>
      <c r="U844" s="218" t="s">
        <v>737</v>
      </c>
      <c r="V844" s="218" t="s">
        <v>381</v>
      </c>
      <c r="W844" s="218" t="s">
        <v>295</v>
      </c>
      <c r="X844" s="218" t="s">
        <v>379</v>
      </c>
      <c r="Y844" s="218">
        <v>95.43</v>
      </c>
      <c r="Z844" s="218">
        <f t="shared" si="18"/>
        <v>100</v>
      </c>
    </row>
    <row r="845" spans="1:26">
      <c r="A845" s="218" t="s">
        <v>2592</v>
      </c>
      <c r="B845" s="218"/>
      <c r="C845" s="218"/>
      <c r="D845" s="218"/>
      <c r="E845" s="218"/>
      <c r="F845" s="219" t="s">
        <v>4338</v>
      </c>
      <c r="G845" s="218" t="s">
        <v>274</v>
      </c>
      <c r="H845" s="218" t="s">
        <v>309</v>
      </c>
      <c r="I845" s="223">
        <v>43830</v>
      </c>
      <c r="J845" s="218" t="s">
        <v>2782</v>
      </c>
      <c r="K845" s="218" t="s">
        <v>4339</v>
      </c>
      <c r="L845" s="218" t="s">
        <v>2784</v>
      </c>
      <c r="M845" s="218" t="s">
        <v>2393</v>
      </c>
      <c r="N845" s="218">
        <v>40.65</v>
      </c>
      <c r="O845" s="218" t="s">
        <v>292</v>
      </c>
      <c r="P845" s="218">
        <v>50</v>
      </c>
      <c r="Q845" s="218" t="s">
        <v>4251</v>
      </c>
      <c r="R845" s="218" t="s">
        <v>4252</v>
      </c>
      <c r="S845" s="218" t="s">
        <v>396</v>
      </c>
      <c r="T845" s="218" t="s">
        <v>2591</v>
      </c>
      <c r="U845" s="218" t="s">
        <v>737</v>
      </c>
      <c r="V845" s="218" t="s">
        <v>381</v>
      </c>
      <c r="W845" s="218" t="s">
        <v>295</v>
      </c>
      <c r="X845" s="218" t="s">
        <v>379</v>
      </c>
      <c r="Y845" s="218">
        <v>47.72</v>
      </c>
      <c r="Z845" s="218">
        <f t="shared" si="18"/>
        <v>50</v>
      </c>
    </row>
    <row r="846" spans="1:26">
      <c r="A846" s="218" t="s">
        <v>2592</v>
      </c>
      <c r="B846" s="218"/>
      <c r="C846" s="218"/>
      <c r="D846" s="218"/>
      <c r="E846" s="218"/>
      <c r="F846" s="219" t="s">
        <v>4340</v>
      </c>
      <c r="G846" s="218" t="s">
        <v>274</v>
      </c>
      <c r="H846" s="218" t="s">
        <v>309</v>
      </c>
      <c r="I846" s="223">
        <v>43830</v>
      </c>
      <c r="J846" s="218" t="s">
        <v>2782</v>
      </c>
      <c r="K846" s="218" t="s">
        <v>4288</v>
      </c>
      <c r="L846" s="218" t="s">
        <v>2784</v>
      </c>
      <c r="M846" s="218" t="s">
        <v>4341</v>
      </c>
      <c r="N846" s="218">
        <v>81.290000000000006</v>
      </c>
      <c r="O846" s="218" t="s">
        <v>292</v>
      </c>
      <c r="P846" s="218">
        <v>100</v>
      </c>
      <c r="Q846" s="218" t="s">
        <v>4251</v>
      </c>
      <c r="R846" s="218" t="s">
        <v>4252</v>
      </c>
      <c r="S846" s="218" t="s">
        <v>396</v>
      </c>
      <c r="T846" s="218" t="s">
        <v>2591</v>
      </c>
      <c r="U846" s="218" t="s">
        <v>737</v>
      </c>
      <c r="V846" s="218" t="s">
        <v>381</v>
      </c>
      <c r="W846" s="218" t="s">
        <v>295</v>
      </c>
      <c r="X846" s="218" t="s">
        <v>379</v>
      </c>
      <c r="Y846" s="218">
        <v>95.43</v>
      </c>
      <c r="Z846" s="218">
        <f t="shared" si="18"/>
        <v>100</v>
      </c>
    </row>
    <row r="847" spans="1:26">
      <c r="A847" s="218" t="s">
        <v>2592</v>
      </c>
      <c r="B847" s="218"/>
      <c r="C847" s="218"/>
      <c r="D847" s="218"/>
      <c r="E847" s="218"/>
      <c r="F847" s="219" t="s">
        <v>4342</v>
      </c>
      <c r="G847" s="218" t="s">
        <v>274</v>
      </c>
      <c r="H847" s="218" t="s">
        <v>309</v>
      </c>
      <c r="I847" s="223">
        <v>43830</v>
      </c>
      <c r="J847" s="218" t="s">
        <v>2782</v>
      </c>
      <c r="K847" s="218" t="s">
        <v>4285</v>
      </c>
      <c r="L847" s="218" t="s">
        <v>2784</v>
      </c>
      <c r="M847" s="218" t="s">
        <v>4343</v>
      </c>
      <c r="N847" s="218">
        <v>81.290000000000006</v>
      </c>
      <c r="O847" s="218" t="s">
        <v>292</v>
      </c>
      <c r="P847" s="218">
        <v>100</v>
      </c>
      <c r="Q847" s="218" t="s">
        <v>4251</v>
      </c>
      <c r="R847" s="218" t="s">
        <v>4252</v>
      </c>
      <c r="S847" s="218" t="s">
        <v>396</v>
      </c>
      <c r="T847" s="218" t="s">
        <v>2591</v>
      </c>
      <c r="U847" s="218" t="s">
        <v>737</v>
      </c>
      <c r="V847" s="218" t="s">
        <v>381</v>
      </c>
      <c r="W847" s="218" t="s">
        <v>295</v>
      </c>
      <c r="X847" s="218" t="s">
        <v>379</v>
      </c>
      <c r="Y847" s="218">
        <v>95.43</v>
      </c>
      <c r="Z847" s="218">
        <f t="shared" si="18"/>
        <v>100</v>
      </c>
    </row>
    <row r="848" spans="1:26">
      <c r="A848" s="218" t="s">
        <v>2592</v>
      </c>
      <c r="B848" s="218"/>
      <c r="C848" s="218"/>
      <c r="D848" s="218"/>
      <c r="E848" s="218"/>
      <c r="F848" s="219" t="s">
        <v>4344</v>
      </c>
      <c r="G848" s="218" t="s">
        <v>274</v>
      </c>
      <c r="H848" s="218" t="s">
        <v>309</v>
      </c>
      <c r="I848" s="223">
        <v>43830</v>
      </c>
      <c r="J848" s="218" t="s">
        <v>2782</v>
      </c>
      <c r="K848" s="218" t="s">
        <v>4285</v>
      </c>
      <c r="L848" s="218" t="s">
        <v>2784</v>
      </c>
      <c r="M848" s="218" t="s">
        <v>1390</v>
      </c>
      <c r="N848" s="218">
        <v>16.260000000000002</v>
      </c>
      <c r="O848" s="218" t="s">
        <v>292</v>
      </c>
      <c r="P848" s="218">
        <v>20</v>
      </c>
      <c r="Q848" s="218" t="s">
        <v>4251</v>
      </c>
      <c r="R848" s="218" t="s">
        <v>4252</v>
      </c>
      <c r="S848" s="218" t="s">
        <v>396</v>
      </c>
      <c r="T848" s="218" t="s">
        <v>2591</v>
      </c>
      <c r="U848" s="218" t="s">
        <v>737</v>
      </c>
      <c r="V848" s="218" t="s">
        <v>381</v>
      </c>
      <c r="W848" s="218" t="s">
        <v>295</v>
      </c>
      <c r="X848" s="218" t="s">
        <v>379</v>
      </c>
      <c r="Y848" s="218">
        <v>19.09</v>
      </c>
      <c r="Z848" s="218">
        <f t="shared" si="18"/>
        <v>20</v>
      </c>
    </row>
    <row r="849" spans="1:26">
      <c r="A849" s="218" t="s">
        <v>2592</v>
      </c>
      <c r="B849" s="218"/>
      <c r="C849" s="218"/>
      <c r="D849" s="218"/>
      <c r="E849" s="218"/>
      <c r="F849" s="219" t="s">
        <v>4345</v>
      </c>
      <c r="G849" s="218" t="s">
        <v>274</v>
      </c>
      <c r="H849" s="218" t="s">
        <v>309</v>
      </c>
      <c r="I849" s="223">
        <v>43830</v>
      </c>
      <c r="J849" s="218" t="s">
        <v>2782</v>
      </c>
      <c r="K849" s="218" t="s">
        <v>4346</v>
      </c>
      <c r="L849" s="218" t="s">
        <v>2784</v>
      </c>
      <c r="M849" s="218" t="s">
        <v>1389</v>
      </c>
      <c r="N849" s="218">
        <v>81.290000000000006</v>
      </c>
      <c r="O849" s="218" t="s">
        <v>292</v>
      </c>
      <c r="P849" s="218">
        <v>100</v>
      </c>
      <c r="Q849" s="218" t="s">
        <v>4251</v>
      </c>
      <c r="R849" s="218" t="s">
        <v>4252</v>
      </c>
      <c r="S849" s="218" t="s">
        <v>396</v>
      </c>
      <c r="T849" s="218" t="s">
        <v>2591</v>
      </c>
      <c r="U849" s="218" t="s">
        <v>737</v>
      </c>
      <c r="V849" s="218" t="s">
        <v>381</v>
      </c>
      <c r="W849" s="218" t="s">
        <v>295</v>
      </c>
      <c r="X849" s="218" t="s">
        <v>379</v>
      </c>
      <c r="Y849" s="218">
        <v>95.43</v>
      </c>
      <c r="Z849" s="218">
        <f t="shared" si="18"/>
        <v>100</v>
      </c>
    </row>
    <row r="850" spans="1:26">
      <c r="A850" s="218" t="s">
        <v>2592</v>
      </c>
      <c r="B850" s="218"/>
      <c r="C850" s="218"/>
      <c r="D850" s="218"/>
      <c r="E850" s="218"/>
      <c r="F850" s="219" t="s">
        <v>4347</v>
      </c>
      <c r="G850" s="218" t="s">
        <v>274</v>
      </c>
      <c r="H850" s="218" t="s">
        <v>309</v>
      </c>
      <c r="I850" s="223">
        <v>43830</v>
      </c>
      <c r="J850" s="218" t="s">
        <v>2782</v>
      </c>
      <c r="K850" s="218" t="s">
        <v>3008</v>
      </c>
      <c r="L850" s="218" t="s">
        <v>2784</v>
      </c>
      <c r="M850" s="218" t="s">
        <v>4348</v>
      </c>
      <c r="N850" s="218">
        <v>39.83</v>
      </c>
      <c r="O850" s="218" t="s">
        <v>292</v>
      </c>
      <c r="P850" s="218">
        <v>49</v>
      </c>
      <c r="Q850" s="218" t="s">
        <v>1271</v>
      </c>
      <c r="R850" s="218" t="s">
        <v>2341</v>
      </c>
      <c r="S850" s="218" t="s">
        <v>396</v>
      </c>
      <c r="T850" s="218" t="s">
        <v>2591</v>
      </c>
      <c r="U850" s="218" t="s">
        <v>737</v>
      </c>
      <c r="V850" s="218" t="s">
        <v>381</v>
      </c>
      <c r="W850" s="218" t="s">
        <v>295</v>
      </c>
      <c r="X850" s="218" t="s">
        <v>379</v>
      </c>
      <c r="Y850" s="218">
        <v>46.76</v>
      </c>
      <c r="Z850" s="218">
        <f t="shared" si="18"/>
        <v>49</v>
      </c>
    </row>
    <row r="851" spans="1:26">
      <c r="A851" s="218" t="s">
        <v>2592</v>
      </c>
      <c r="B851" s="218"/>
      <c r="C851" s="218"/>
      <c r="D851" s="218"/>
      <c r="E851" s="218"/>
      <c r="F851" s="219" t="s">
        <v>4349</v>
      </c>
      <c r="G851" s="218" t="s">
        <v>274</v>
      </c>
      <c r="H851" s="218" t="s">
        <v>309</v>
      </c>
      <c r="I851" s="223">
        <v>43830</v>
      </c>
      <c r="J851" s="218" t="s">
        <v>2782</v>
      </c>
      <c r="K851" s="218" t="s">
        <v>3000</v>
      </c>
      <c r="L851" s="218" t="s">
        <v>2784</v>
      </c>
      <c r="M851" s="218" t="s">
        <v>4350</v>
      </c>
      <c r="N851" s="218">
        <v>150.38999999999999</v>
      </c>
      <c r="O851" s="218" t="s">
        <v>292</v>
      </c>
      <c r="P851" s="218">
        <v>185</v>
      </c>
      <c r="Q851" s="218" t="s">
        <v>1271</v>
      </c>
      <c r="R851" s="218" t="s">
        <v>2341</v>
      </c>
      <c r="S851" s="218" t="s">
        <v>396</v>
      </c>
      <c r="T851" s="218" t="s">
        <v>2591</v>
      </c>
      <c r="U851" s="218" t="s">
        <v>737</v>
      </c>
      <c r="V851" s="218" t="s">
        <v>381</v>
      </c>
      <c r="W851" s="218" t="s">
        <v>295</v>
      </c>
      <c r="X851" s="218" t="s">
        <v>379</v>
      </c>
      <c r="Y851" s="218">
        <v>176.55</v>
      </c>
      <c r="Z851" s="218">
        <f t="shared" si="18"/>
        <v>185</v>
      </c>
    </row>
    <row r="852" spans="1:26">
      <c r="A852" s="218" t="s">
        <v>2592</v>
      </c>
      <c r="B852" s="218"/>
      <c r="C852" s="218"/>
      <c r="D852" s="218"/>
      <c r="E852" s="218"/>
      <c r="F852" s="219" t="s">
        <v>4351</v>
      </c>
      <c r="G852" s="218" t="s">
        <v>274</v>
      </c>
      <c r="H852" s="218" t="s">
        <v>309</v>
      </c>
      <c r="I852" s="223">
        <v>43830</v>
      </c>
      <c r="J852" s="218" t="s">
        <v>2782</v>
      </c>
      <c r="K852" s="218" t="s">
        <v>3004</v>
      </c>
      <c r="L852" s="218" t="s">
        <v>2784</v>
      </c>
      <c r="M852" s="218" t="s">
        <v>4352</v>
      </c>
      <c r="N852" s="218">
        <v>239</v>
      </c>
      <c r="O852" s="218" t="s">
        <v>292</v>
      </c>
      <c r="P852" s="218">
        <v>294</v>
      </c>
      <c r="Q852" s="218" t="s">
        <v>1271</v>
      </c>
      <c r="R852" s="218" t="s">
        <v>2341</v>
      </c>
      <c r="S852" s="218" t="s">
        <v>396</v>
      </c>
      <c r="T852" s="218" t="s">
        <v>2591</v>
      </c>
      <c r="U852" s="218" t="s">
        <v>737</v>
      </c>
      <c r="V852" s="218" t="s">
        <v>381</v>
      </c>
      <c r="W852" s="218" t="s">
        <v>295</v>
      </c>
      <c r="X852" s="218" t="s">
        <v>379</v>
      </c>
      <c r="Y852" s="218">
        <v>280.58</v>
      </c>
      <c r="Z852" s="218">
        <f t="shared" si="18"/>
        <v>294</v>
      </c>
    </row>
    <row r="853" spans="1:26">
      <c r="A853" s="218" t="s">
        <v>2592</v>
      </c>
      <c r="B853" s="218"/>
      <c r="C853" s="218"/>
      <c r="D853" s="218"/>
      <c r="E853" s="218"/>
      <c r="F853" s="219" t="s">
        <v>4353</v>
      </c>
      <c r="G853" s="218" t="s">
        <v>274</v>
      </c>
      <c r="H853" s="218" t="s">
        <v>309</v>
      </c>
      <c r="I853" s="223">
        <v>43830</v>
      </c>
      <c r="J853" s="218" t="s">
        <v>2782</v>
      </c>
      <c r="K853" s="218" t="s">
        <v>4288</v>
      </c>
      <c r="L853" s="218" t="s">
        <v>2784</v>
      </c>
      <c r="M853" s="218" t="s">
        <v>4354</v>
      </c>
      <c r="N853" s="218">
        <v>81.290000000000006</v>
      </c>
      <c r="O853" s="218" t="s">
        <v>292</v>
      </c>
      <c r="P853" s="218">
        <v>100</v>
      </c>
      <c r="Q853" s="218" t="s">
        <v>4251</v>
      </c>
      <c r="R853" s="218" t="s">
        <v>4252</v>
      </c>
      <c r="S853" s="218" t="s">
        <v>396</v>
      </c>
      <c r="T853" s="218" t="s">
        <v>2591</v>
      </c>
      <c r="U853" s="218" t="s">
        <v>737</v>
      </c>
      <c r="V853" s="218" t="s">
        <v>381</v>
      </c>
      <c r="W853" s="218" t="s">
        <v>295</v>
      </c>
      <c r="X853" s="218" t="s">
        <v>379</v>
      </c>
      <c r="Y853" s="218">
        <v>95.43</v>
      </c>
      <c r="Z853" s="218">
        <f t="shared" si="18"/>
        <v>100</v>
      </c>
    </row>
    <row r="854" spans="1:26">
      <c r="A854" s="218" t="s">
        <v>2592</v>
      </c>
      <c r="B854" s="218"/>
      <c r="C854" s="218"/>
      <c r="D854" s="218"/>
      <c r="E854" s="218"/>
      <c r="F854" s="219" t="s">
        <v>4355</v>
      </c>
      <c r="G854" s="218" t="s">
        <v>274</v>
      </c>
      <c r="H854" s="218" t="s">
        <v>309</v>
      </c>
      <c r="I854" s="223">
        <v>43830</v>
      </c>
      <c r="J854" s="218" t="s">
        <v>2782</v>
      </c>
      <c r="K854" s="218" t="s">
        <v>4311</v>
      </c>
      <c r="L854" s="218" t="s">
        <v>2784</v>
      </c>
      <c r="M854" s="218" t="s">
        <v>4356</v>
      </c>
      <c r="N854" s="218">
        <v>81.290000000000006</v>
      </c>
      <c r="O854" s="218" t="s">
        <v>292</v>
      </c>
      <c r="P854" s="218">
        <v>100</v>
      </c>
      <c r="Q854" s="218" t="s">
        <v>4251</v>
      </c>
      <c r="R854" s="218" t="s">
        <v>4252</v>
      </c>
      <c r="S854" s="218" t="s">
        <v>396</v>
      </c>
      <c r="T854" s="218" t="s">
        <v>2591</v>
      </c>
      <c r="U854" s="218" t="s">
        <v>737</v>
      </c>
      <c r="V854" s="218" t="s">
        <v>381</v>
      </c>
      <c r="W854" s="218" t="s">
        <v>295</v>
      </c>
      <c r="X854" s="218" t="s">
        <v>379</v>
      </c>
      <c r="Y854" s="218">
        <v>95.43</v>
      </c>
      <c r="Z854" s="218">
        <f t="shared" si="18"/>
        <v>100</v>
      </c>
    </row>
    <row r="855" spans="1:26">
      <c r="A855" s="218" t="s">
        <v>2592</v>
      </c>
      <c r="B855" s="218"/>
      <c r="C855" s="218"/>
      <c r="D855" s="218"/>
      <c r="E855" s="218"/>
      <c r="F855" s="219" t="s">
        <v>4357</v>
      </c>
      <c r="G855" s="218" t="s">
        <v>274</v>
      </c>
      <c r="H855" s="218" t="s">
        <v>309</v>
      </c>
      <c r="I855" s="223">
        <v>43830</v>
      </c>
      <c r="J855" s="218" t="s">
        <v>2782</v>
      </c>
      <c r="K855" s="218" t="s">
        <v>4288</v>
      </c>
      <c r="L855" s="218" t="s">
        <v>2784</v>
      </c>
      <c r="M855" s="218" t="s">
        <v>4358</v>
      </c>
      <c r="N855" s="218">
        <v>81.290000000000006</v>
      </c>
      <c r="O855" s="218" t="s">
        <v>292</v>
      </c>
      <c r="P855" s="218">
        <v>100</v>
      </c>
      <c r="Q855" s="218" t="s">
        <v>4251</v>
      </c>
      <c r="R855" s="218" t="s">
        <v>4252</v>
      </c>
      <c r="S855" s="218" t="s">
        <v>396</v>
      </c>
      <c r="T855" s="218" t="s">
        <v>2591</v>
      </c>
      <c r="U855" s="218" t="s">
        <v>737</v>
      </c>
      <c r="V855" s="218" t="s">
        <v>381</v>
      </c>
      <c r="W855" s="218" t="s">
        <v>295</v>
      </c>
      <c r="X855" s="218" t="s">
        <v>379</v>
      </c>
      <c r="Y855" s="218">
        <v>95.43</v>
      </c>
      <c r="Z855" s="218">
        <f t="shared" si="18"/>
        <v>100</v>
      </c>
    </row>
    <row r="856" spans="1:26">
      <c r="A856" s="218" t="s">
        <v>2592</v>
      </c>
      <c r="B856" s="218"/>
      <c r="C856" s="218"/>
      <c r="D856" s="218"/>
      <c r="E856" s="218"/>
      <c r="F856" s="219" t="s">
        <v>4359</v>
      </c>
      <c r="G856" s="218" t="s">
        <v>274</v>
      </c>
      <c r="H856" s="218" t="s">
        <v>309</v>
      </c>
      <c r="I856" s="223">
        <v>43830</v>
      </c>
      <c r="J856" s="218" t="s">
        <v>2782</v>
      </c>
      <c r="K856" s="218" t="s">
        <v>4298</v>
      </c>
      <c r="L856" s="218" t="s">
        <v>2784</v>
      </c>
      <c r="M856" s="218" t="s">
        <v>4360</v>
      </c>
      <c r="N856" s="218">
        <v>81.290000000000006</v>
      </c>
      <c r="O856" s="218" t="s">
        <v>292</v>
      </c>
      <c r="P856" s="218">
        <v>100</v>
      </c>
      <c r="Q856" s="218" t="s">
        <v>1271</v>
      </c>
      <c r="R856" s="218" t="s">
        <v>2341</v>
      </c>
      <c r="S856" s="218" t="s">
        <v>396</v>
      </c>
      <c r="T856" s="218" t="s">
        <v>2591</v>
      </c>
      <c r="U856" s="218" t="s">
        <v>737</v>
      </c>
      <c r="V856" s="218" t="s">
        <v>381</v>
      </c>
      <c r="W856" s="218" t="s">
        <v>295</v>
      </c>
      <c r="X856" s="218" t="s">
        <v>379</v>
      </c>
      <c r="Y856" s="218">
        <v>95.43</v>
      </c>
      <c r="Z856" s="218">
        <f t="shared" si="18"/>
        <v>100</v>
      </c>
    </row>
    <row r="857" spans="1:26">
      <c r="A857" s="218" t="s">
        <v>2592</v>
      </c>
      <c r="B857" s="218"/>
      <c r="C857" s="218"/>
      <c r="D857" s="218"/>
      <c r="E857" s="218"/>
      <c r="F857" s="219" t="s">
        <v>4361</v>
      </c>
      <c r="G857" s="218" t="s">
        <v>274</v>
      </c>
      <c r="H857" s="218" t="s">
        <v>309</v>
      </c>
      <c r="I857" s="223">
        <v>43830</v>
      </c>
      <c r="J857" s="218" t="s">
        <v>2782</v>
      </c>
      <c r="K857" s="218" t="s">
        <v>4301</v>
      </c>
      <c r="L857" s="218" t="s">
        <v>2784</v>
      </c>
      <c r="M857" s="218" t="s">
        <v>4360</v>
      </c>
      <c r="N857" s="218">
        <v>81.290000000000006</v>
      </c>
      <c r="O857" s="218" t="s">
        <v>292</v>
      </c>
      <c r="P857" s="218">
        <v>100</v>
      </c>
      <c r="Q857" s="218" t="s">
        <v>1271</v>
      </c>
      <c r="R857" s="218" t="s">
        <v>2341</v>
      </c>
      <c r="S857" s="218" t="s">
        <v>396</v>
      </c>
      <c r="T857" s="218" t="s">
        <v>2591</v>
      </c>
      <c r="U857" s="218" t="s">
        <v>737</v>
      </c>
      <c r="V857" s="218" t="s">
        <v>381</v>
      </c>
      <c r="W857" s="218" t="s">
        <v>295</v>
      </c>
      <c r="X857" s="218" t="s">
        <v>379</v>
      </c>
      <c r="Y857" s="218">
        <v>95.43</v>
      </c>
      <c r="Z857" s="218">
        <f t="shared" si="18"/>
        <v>100</v>
      </c>
    </row>
    <row r="858" spans="1:26">
      <c r="A858" s="218" t="s">
        <v>2592</v>
      </c>
      <c r="B858" s="218"/>
      <c r="C858" s="218"/>
      <c r="D858" s="218"/>
      <c r="E858" s="218"/>
      <c r="F858" s="219" t="s">
        <v>4362</v>
      </c>
      <c r="G858" s="218" t="s">
        <v>274</v>
      </c>
      <c r="H858" s="218" t="s">
        <v>309</v>
      </c>
      <c r="I858" s="223">
        <v>43830</v>
      </c>
      <c r="J858" s="218" t="s">
        <v>2782</v>
      </c>
      <c r="K858" s="218" t="s">
        <v>4303</v>
      </c>
      <c r="L858" s="218" t="s">
        <v>2784</v>
      </c>
      <c r="M858" s="218" t="s">
        <v>4360</v>
      </c>
      <c r="N858" s="218">
        <v>81.290000000000006</v>
      </c>
      <c r="O858" s="218" t="s">
        <v>292</v>
      </c>
      <c r="P858" s="218">
        <v>100</v>
      </c>
      <c r="Q858" s="218" t="s">
        <v>1271</v>
      </c>
      <c r="R858" s="218" t="s">
        <v>2341</v>
      </c>
      <c r="S858" s="218" t="s">
        <v>396</v>
      </c>
      <c r="T858" s="218" t="s">
        <v>2591</v>
      </c>
      <c r="U858" s="218" t="s">
        <v>737</v>
      </c>
      <c r="V858" s="218" t="s">
        <v>381</v>
      </c>
      <c r="W858" s="218" t="s">
        <v>295</v>
      </c>
      <c r="X858" s="218" t="s">
        <v>379</v>
      </c>
      <c r="Y858" s="218">
        <v>95.43</v>
      </c>
      <c r="Z858" s="218">
        <f t="shared" si="18"/>
        <v>100</v>
      </c>
    </row>
    <row r="859" spans="1:26">
      <c r="A859" s="218" t="s">
        <v>2592</v>
      </c>
      <c r="B859" s="218"/>
      <c r="C859" s="218"/>
      <c r="D859" s="218"/>
      <c r="E859" s="218"/>
      <c r="F859" s="219" t="s">
        <v>4363</v>
      </c>
      <c r="G859" s="218" t="s">
        <v>274</v>
      </c>
      <c r="H859" s="218" t="s">
        <v>309</v>
      </c>
      <c r="I859" s="223">
        <v>43830</v>
      </c>
      <c r="J859" s="218" t="s">
        <v>2782</v>
      </c>
      <c r="K859" s="218" t="s">
        <v>4305</v>
      </c>
      <c r="L859" s="218" t="s">
        <v>2784</v>
      </c>
      <c r="M859" s="218" t="s">
        <v>4364</v>
      </c>
      <c r="N859" s="218">
        <v>569.04999999999995</v>
      </c>
      <c r="O859" s="218" t="s">
        <v>292</v>
      </c>
      <c r="P859" s="218">
        <v>700</v>
      </c>
      <c r="Q859" s="218" t="s">
        <v>1271</v>
      </c>
      <c r="R859" s="218" t="s">
        <v>2341</v>
      </c>
      <c r="S859" s="218" t="s">
        <v>396</v>
      </c>
      <c r="T859" s="218" t="s">
        <v>2591</v>
      </c>
      <c r="U859" s="218" t="s">
        <v>737</v>
      </c>
      <c r="V859" s="218" t="s">
        <v>381</v>
      </c>
      <c r="W859" s="218" t="s">
        <v>295</v>
      </c>
      <c r="X859" s="218" t="s">
        <v>379</v>
      </c>
      <c r="Y859" s="218">
        <v>668.05</v>
      </c>
      <c r="Z859" s="218">
        <f t="shared" si="18"/>
        <v>700</v>
      </c>
    </row>
    <row r="860" spans="1:26">
      <c r="A860" s="218" t="s">
        <v>2592</v>
      </c>
      <c r="B860" s="218"/>
      <c r="C860" s="218"/>
      <c r="D860" s="218"/>
      <c r="E860" s="218"/>
      <c r="F860" s="219" t="s">
        <v>4365</v>
      </c>
      <c r="G860" s="218" t="s">
        <v>274</v>
      </c>
      <c r="H860" s="218" t="s">
        <v>309</v>
      </c>
      <c r="I860" s="223">
        <v>43830</v>
      </c>
      <c r="J860" s="218" t="s">
        <v>2782</v>
      </c>
      <c r="K860" s="218" t="s">
        <v>4308</v>
      </c>
      <c r="L860" s="218" t="s">
        <v>2784</v>
      </c>
      <c r="M860" s="218" t="s">
        <v>4366</v>
      </c>
      <c r="N860" s="218">
        <v>487.76</v>
      </c>
      <c r="O860" s="218" t="s">
        <v>292</v>
      </c>
      <c r="P860" s="218">
        <v>600</v>
      </c>
      <c r="Q860" s="218" t="s">
        <v>1271</v>
      </c>
      <c r="R860" s="218" t="s">
        <v>2341</v>
      </c>
      <c r="S860" s="218" t="s">
        <v>396</v>
      </c>
      <c r="T860" s="218" t="s">
        <v>2591</v>
      </c>
      <c r="U860" s="218" t="s">
        <v>737</v>
      </c>
      <c r="V860" s="218" t="s">
        <v>381</v>
      </c>
      <c r="W860" s="218" t="s">
        <v>295</v>
      </c>
      <c r="X860" s="218" t="s">
        <v>379</v>
      </c>
      <c r="Y860" s="218">
        <v>572.62</v>
      </c>
      <c r="Z860" s="218">
        <f t="shared" si="18"/>
        <v>600</v>
      </c>
    </row>
    <row r="861" spans="1:26">
      <c r="A861" s="218" t="s">
        <v>2592</v>
      </c>
      <c r="B861" s="218"/>
      <c r="C861" s="218"/>
      <c r="D861" s="218"/>
      <c r="E861" s="218"/>
      <c r="F861" s="219" t="s">
        <v>4367</v>
      </c>
      <c r="G861" s="218" t="s">
        <v>274</v>
      </c>
      <c r="H861" s="218" t="s">
        <v>309</v>
      </c>
      <c r="I861" s="223">
        <v>43830</v>
      </c>
      <c r="J861" s="218" t="s">
        <v>2782</v>
      </c>
      <c r="K861" s="218" t="s">
        <v>4285</v>
      </c>
      <c r="L861" s="218" t="s">
        <v>2784</v>
      </c>
      <c r="M861" s="218" t="s">
        <v>4368</v>
      </c>
      <c r="N861" s="218">
        <v>81.290000000000006</v>
      </c>
      <c r="O861" s="218" t="s">
        <v>292</v>
      </c>
      <c r="P861" s="218">
        <v>100</v>
      </c>
      <c r="Q861" s="218" t="s">
        <v>4251</v>
      </c>
      <c r="R861" s="218" t="s">
        <v>4252</v>
      </c>
      <c r="S861" s="218" t="s">
        <v>396</v>
      </c>
      <c r="T861" s="218" t="s">
        <v>2591</v>
      </c>
      <c r="U861" s="218" t="s">
        <v>737</v>
      </c>
      <c r="V861" s="218" t="s">
        <v>381</v>
      </c>
      <c r="W861" s="218" t="s">
        <v>295</v>
      </c>
      <c r="X861" s="218" t="s">
        <v>379</v>
      </c>
      <c r="Y861" s="218">
        <v>95.43</v>
      </c>
      <c r="Z861" s="218">
        <f t="shared" si="18"/>
        <v>100</v>
      </c>
    </row>
    <row r="862" spans="1:26">
      <c r="A862" s="218" t="s">
        <v>2592</v>
      </c>
      <c r="B862" s="218"/>
      <c r="C862" s="218"/>
      <c r="D862" s="218"/>
      <c r="E862" s="218"/>
      <c r="F862" s="219" t="s">
        <v>4369</v>
      </c>
      <c r="G862" s="218" t="s">
        <v>274</v>
      </c>
      <c r="H862" s="218" t="s">
        <v>309</v>
      </c>
      <c r="I862" s="223">
        <v>43830</v>
      </c>
      <c r="J862" s="218" t="s">
        <v>2782</v>
      </c>
      <c r="K862" s="218" t="s">
        <v>4320</v>
      </c>
      <c r="L862" s="218" t="s">
        <v>2784</v>
      </c>
      <c r="M862" s="218" t="s">
        <v>1389</v>
      </c>
      <c r="N862" s="218">
        <v>23.39</v>
      </c>
      <c r="O862" s="218" t="s">
        <v>292</v>
      </c>
      <c r="P862" s="218">
        <v>30</v>
      </c>
      <c r="Q862" s="218" t="s">
        <v>4251</v>
      </c>
      <c r="R862" s="218" t="s">
        <v>4252</v>
      </c>
      <c r="S862" s="218" t="s">
        <v>396</v>
      </c>
      <c r="T862" s="218" t="s">
        <v>2591</v>
      </c>
      <c r="U862" s="218" t="s">
        <v>737</v>
      </c>
      <c r="V862" s="218" t="s">
        <v>381</v>
      </c>
      <c r="W862" s="218" t="s">
        <v>295</v>
      </c>
      <c r="X862" s="218" t="s">
        <v>379</v>
      </c>
      <c r="Y862" s="218">
        <v>27.46</v>
      </c>
      <c r="Z862" s="218">
        <f t="shared" si="18"/>
        <v>30</v>
      </c>
    </row>
    <row r="863" spans="1:26">
      <c r="A863" s="218" t="s">
        <v>2592</v>
      </c>
      <c r="B863" s="218"/>
      <c r="C863" s="218"/>
      <c r="D863" s="218"/>
      <c r="E863" s="218"/>
      <c r="F863" s="219" t="s">
        <v>4370</v>
      </c>
      <c r="G863" s="218" t="s">
        <v>274</v>
      </c>
      <c r="H863" s="218" t="s">
        <v>309</v>
      </c>
      <c r="I863" s="223">
        <v>43830</v>
      </c>
      <c r="J863" s="218" t="s">
        <v>2782</v>
      </c>
      <c r="K863" s="218" t="s">
        <v>4339</v>
      </c>
      <c r="L863" s="218" t="s">
        <v>2784</v>
      </c>
      <c r="M863" s="218" t="s">
        <v>2393</v>
      </c>
      <c r="N863" s="218">
        <v>85.36</v>
      </c>
      <c r="O863" s="218" t="s">
        <v>292</v>
      </c>
      <c r="P863" s="218">
        <v>105</v>
      </c>
      <c r="Q863" s="218" t="s">
        <v>4251</v>
      </c>
      <c r="R863" s="218" t="s">
        <v>4252</v>
      </c>
      <c r="S863" s="218" t="s">
        <v>396</v>
      </c>
      <c r="T863" s="218" t="s">
        <v>2591</v>
      </c>
      <c r="U863" s="218" t="s">
        <v>737</v>
      </c>
      <c r="V863" s="218" t="s">
        <v>381</v>
      </c>
      <c r="W863" s="218" t="s">
        <v>295</v>
      </c>
      <c r="X863" s="218" t="s">
        <v>379</v>
      </c>
      <c r="Y863" s="218">
        <v>100.21</v>
      </c>
      <c r="Z863" s="218">
        <f t="shared" si="18"/>
        <v>105</v>
      </c>
    </row>
    <row r="864" spans="1:26">
      <c r="A864" s="218" t="s">
        <v>2592</v>
      </c>
      <c r="B864" s="218"/>
      <c r="C864" s="218"/>
      <c r="D864" s="218"/>
      <c r="E864" s="218"/>
      <c r="F864" s="219" t="s">
        <v>4371</v>
      </c>
      <c r="G864" s="218" t="s">
        <v>274</v>
      </c>
      <c r="H864" s="218" t="s">
        <v>309</v>
      </c>
      <c r="I864" s="223">
        <v>43830</v>
      </c>
      <c r="J864" s="218" t="s">
        <v>2782</v>
      </c>
      <c r="K864" s="218" t="s">
        <v>4285</v>
      </c>
      <c r="L864" s="218" t="s">
        <v>2784</v>
      </c>
      <c r="M864" s="218" t="s">
        <v>1390</v>
      </c>
      <c r="N864" s="218">
        <v>16.260000000000002</v>
      </c>
      <c r="O864" s="218" t="s">
        <v>292</v>
      </c>
      <c r="P864" s="218">
        <v>20</v>
      </c>
      <c r="Q864" s="218" t="s">
        <v>4251</v>
      </c>
      <c r="R864" s="218" t="s">
        <v>4252</v>
      </c>
      <c r="S864" s="218" t="s">
        <v>396</v>
      </c>
      <c r="T864" s="218" t="s">
        <v>2591</v>
      </c>
      <c r="U864" s="218" t="s">
        <v>737</v>
      </c>
      <c r="V864" s="218" t="s">
        <v>381</v>
      </c>
      <c r="W864" s="218" t="s">
        <v>295</v>
      </c>
      <c r="X864" s="218" t="s">
        <v>379</v>
      </c>
      <c r="Y864" s="218">
        <v>19.09</v>
      </c>
      <c r="Z864" s="218">
        <f t="shared" si="18"/>
        <v>20</v>
      </c>
    </row>
    <row r="865" spans="1:26">
      <c r="A865" s="218" t="s">
        <v>2592</v>
      </c>
      <c r="B865" s="218"/>
      <c r="C865" s="218"/>
      <c r="D865" s="218"/>
      <c r="E865" s="218"/>
      <c r="F865" s="219" t="s">
        <v>4372</v>
      </c>
      <c r="G865" s="218" t="s">
        <v>274</v>
      </c>
      <c r="H865" s="218" t="s">
        <v>309</v>
      </c>
      <c r="I865" s="223">
        <v>43830</v>
      </c>
      <c r="J865" s="218" t="s">
        <v>2782</v>
      </c>
      <c r="K865" s="218" t="s">
        <v>3008</v>
      </c>
      <c r="L865" s="218" t="s">
        <v>2784</v>
      </c>
      <c r="M865" s="218" t="s">
        <v>4373</v>
      </c>
      <c r="N865" s="218">
        <v>39.83</v>
      </c>
      <c r="O865" s="218" t="s">
        <v>292</v>
      </c>
      <c r="P865" s="218">
        <v>49</v>
      </c>
      <c r="Q865" s="218" t="s">
        <v>1271</v>
      </c>
      <c r="R865" s="218" t="s">
        <v>2341</v>
      </c>
      <c r="S865" s="218" t="s">
        <v>396</v>
      </c>
      <c r="T865" s="218" t="s">
        <v>2591</v>
      </c>
      <c r="U865" s="218" t="s">
        <v>737</v>
      </c>
      <c r="V865" s="218" t="s">
        <v>381</v>
      </c>
      <c r="W865" s="218" t="s">
        <v>295</v>
      </c>
      <c r="X865" s="218" t="s">
        <v>379</v>
      </c>
      <c r="Y865" s="218">
        <v>46.76</v>
      </c>
      <c r="Z865" s="218">
        <f t="shared" si="18"/>
        <v>49</v>
      </c>
    </row>
    <row r="866" spans="1:26">
      <c r="A866" s="218" t="s">
        <v>2592</v>
      </c>
      <c r="B866" s="218"/>
      <c r="C866" s="218"/>
      <c r="D866" s="218"/>
      <c r="E866" s="218"/>
      <c r="F866" s="219" t="s">
        <v>4374</v>
      </c>
      <c r="G866" s="218" t="s">
        <v>274</v>
      </c>
      <c r="H866" s="218" t="s">
        <v>309</v>
      </c>
      <c r="I866" s="223">
        <v>43830</v>
      </c>
      <c r="J866" s="218" t="s">
        <v>2782</v>
      </c>
      <c r="K866" s="218" t="s">
        <v>3000</v>
      </c>
      <c r="L866" s="218" t="s">
        <v>2784</v>
      </c>
      <c r="M866" s="218" t="s">
        <v>4375</v>
      </c>
      <c r="N866" s="218">
        <v>151.21</v>
      </c>
      <c r="O866" s="218" t="s">
        <v>292</v>
      </c>
      <c r="P866" s="218">
        <v>186</v>
      </c>
      <c r="Q866" s="218" t="s">
        <v>1271</v>
      </c>
      <c r="R866" s="218" t="s">
        <v>2341</v>
      </c>
      <c r="S866" s="218" t="s">
        <v>396</v>
      </c>
      <c r="T866" s="218" t="s">
        <v>2591</v>
      </c>
      <c r="U866" s="218" t="s">
        <v>737</v>
      </c>
      <c r="V866" s="218" t="s">
        <v>381</v>
      </c>
      <c r="W866" s="218" t="s">
        <v>295</v>
      </c>
      <c r="X866" s="218" t="s">
        <v>379</v>
      </c>
      <c r="Y866" s="218">
        <v>177.52</v>
      </c>
      <c r="Z866" s="218">
        <f t="shared" si="18"/>
        <v>186</v>
      </c>
    </row>
    <row r="867" spans="1:26">
      <c r="A867" s="218" t="s">
        <v>2592</v>
      </c>
      <c r="B867" s="218"/>
      <c r="C867" s="218"/>
      <c r="D867" s="218"/>
      <c r="E867" s="218"/>
      <c r="F867" s="219" t="s">
        <v>4376</v>
      </c>
      <c r="G867" s="218" t="s">
        <v>274</v>
      </c>
      <c r="H867" s="218" t="s">
        <v>309</v>
      </c>
      <c r="I867" s="223">
        <v>43830</v>
      </c>
      <c r="J867" s="218" t="s">
        <v>2782</v>
      </c>
      <c r="K867" s="218" t="s">
        <v>3004</v>
      </c>
      <c r="L867" s="218" t="s">
        <v>2784</v>
      </c>
      <c r="M867" s="218" t="s">
        <v>4377</v>
      </c>
      <c r="N867" s="218">
        <v>239</v>
      </c>
      <c r="O867" s="218" t="s">
        <v>292</v>
      </c>
      <c r="P867" s="218">
        <v>294</v>
      </c>
      <c r="Q867" s="218" t="s">
        <v>1271</v>
      </c>
      <c r="R867" s="218" t="s">
        <v>2341</v>
      </c>
      <c r="S867" s="218" t="s">
        <v>396</v>
      </c>
      <c r="T867" s="218" t="s">
        <v>2591</v>
      </c>
      <c r="U867" s="218" t="s">
        <v>737</v>
      </c>
      <c r="V867" s="218" t="s">
        <v>381</v>
      </c>
      <c r="W867" s="218" t="s">
        <v>295</v>
      </c>
      <c r="X867" s="218" t="s">
        <v>379</v>
      </c>
      <c r="Y867" s="218">
        <v>280.58</v>
      </c>
      <c r="Z867" s="218">
        <f t="shared" si="18"/>
        <v>294</v>
      </c>
    </row>
    <row r="868" spans="1:26">
      <c r="A868" s="218" t="s">
        <v>2592</v>
      </c>
      <c r="B868" s="218"/>
      <c r="C868" s="218"/>
      <c r="D868" s="218"/>
      <c r="E868" s="218"/>
      <c r="F868" s="219" t="s">
        <v>4378</v>
      </c>
      <c r="G868" s="218" t="s">
        <v>274</v>
      </c>
      <c r="H868" s="218" t="s">
        <v>309</v>
      </c>
      <c r="I868" s="223">
        <v>43830</v>
      </c>
      <c r="J868" s="218" t="s">
        <v>2782</v>
      </c>
      <c r="K868" s="218" t="s">
        <v>4298</v>
      </c>
      <c r="L868" s="218" t="s">
        <v>2784</v>
      </c>
      <c r="M868" s="218" t="s">
        <v>4360</v>
      </c>
      <c r="N868" s="218">
        <v>81.290000000000006</v>
      </c>
      <c r="O868" s="218" t="s">
        <v>292</v>
      </c>
      <c r="P868" s="218">
        <v>100</v>
      </c>
      <c r="Q868" s="218" t="s">
        <v>1271</v>
      </c>
      <c r="R868" s="218" t="s">
        <v>2341</v>
      </c>
      <c r="S868" s="218" t="s">
        <v>396</v>
      </c>
      <c r="T868" s="218" t="s">
        <v>2591</v>
      </c>
      <c r="U868" s="218" t="s">
        <v>737</v>
      </c>
      <c r="V868" s="218" t="s">
        <v>381</v>
      </c>
      <c r="W868" s="218" t="s">
        <v>295</v>
      </c>
      <c r="X868" s="218" t="s">
        <v>379</v>
      </c>
      <c r="Y868" s="218">
        <v>95.43</v>
      </c>
      <c r="Z868" s="218">
        <f t="shared" si="18"/>
        <v>100</v>
      </c>
    </row>
    <row r="869" spans="1:26">
      <c r="A869" s="218" t="s">
        <v>2592</v>
      </c>
      <c r="B869" s="218"/>
      <c r="C869" s="218"/>
      <c r="D869" s="218"/>
      <c r="E869" s="218"/>
      <c r="F869" s="219" t="s">
        <v>4379</v>
      </c>
      <c r="G869" s="218" t="s">
        <v>274</v>
      </c>
      <c r="H869" s="218" t="s">
        <v>309</v>
      </c>
      <c r="I869" s="223">
        <v>43830</v>
      </c>
      <c r="J869" s="218" t="s">
        <v>2782</v>
      </c>
      <c r="K869" s="218" t="s">
        <v>4301</v>
      </c>
      <c r="L869" s="218" t="s">
        <v>2784</v>
      </c>
      <c r="M869" s="218" t="s">
        <v>4380</v>
      </c>
      <c r="N869" s="218">
        <v>81.290000000000006</v>
      </c>
      <c r="O869" s="218" t="s">
        <v>292</v>
      </c>
      <c r="P869" s="218">
        <v>100</v>
      </c>
      <c r="Q869" s="218" t="s">
        <v>1271</v>
      </c>
      <c r="R869" s="218" t="s">
        <v>2341</v>
      </c>
      <c r="S869" s="218" t="s">
        <v>396</v>
      </c>
      <c r="T869" s="218" t="s">
        <v>2591</v>
      </c>
      <c r="U869" s="218" t="s">
        <v>737</v>
      </c>
      <c r="V869" s="218" t="s">
        <v>381</v>
      </c>
      <c r="W869" s="218" t="s">
        <v>295</v>
      </c>
      <c r="X869" s="218" t="s">
        <v>379</v>
      </c>
      <c r="Y869" s="218">
        <v>95.43</v>
      </c>
      <c r="Z869" s="218">
        <f t="shared" si="18"/>
        <v>100</v>
      </c>
    </row>
    <row r="870" spans="1:26">
      <c r="A870" s="218" t="s">
        <v>2592</v>
      </c>
      <c r="B870" s="218"/>
      <c r="C870" s="218"/>
      <c r="D870" s="218"/>
      <c r="E870" s="218"/>
      <c r="F870" s="219" t="s">
        <v>4381</v>
      </c>
      <c r="G870" s="218" t="s">
        <v>274</v>
      </c>
      <c r="H870" s="218" t="s">
        <v>309</v>
      </c>
      <c r="I870" s="223">
        <v>43830</v>
      </c>
      <c r="J870" s="218" t="s">
        <v>2782</v>
      </c>
      <c r="K870" s="218" t="s">
        <v>4303</v>
      </c>
      <c r="L870" s="218" t="s">
        <v>2784</v>
      </c>
      <c r="M870" s="218" t="s">
        <v>4380</v>
      </c>
      <c r="N870" s="218">
        <v>81.290000000000006</v>
      </c>
      <c r="O870" s="218" t="s">
        <v>292</v>
      </c>
      <c r="P870" s="218">
        <v>100</v>
      </c>
      <c r="Q870" s="218" t="s">
        <v>1271</v>
      </c>
      <c r="R870" s="218" t="s">
        <v>2341</v>
      </c>
      <c r="S870" s="218" t="s">
        <v>396</v>
      </c>
      <c r="T870" s="218" t="s">
        <v>2591</v>
      </c>
      <c r="U870" s="218" t="s">
        <v>737</v>
      </c>
      <c r="V870" s="218" t="s">
        <v>381</v>
      </c>
      <c r="W870" s="218" t="s">
        <v>295</v>
      </c>
      <c r="X870" s="218" t="s">
        <v>379</v>
      </c>
      <c r="Y870" s="218">
        <v>95.43</v>
      </c>
      <c r="Z870" s="218">
        <f t="shared" si="18"/>
        <v>100</v>
      </c>
    </row>
    <row r="871" spans="1:26">
      <c r="A871" s="218" t="s">
        <v>2592</v>
      </c>
      <c r="B871" s="218"/>
      <c r="C871" s="218"/>
      <c r="D871" s="218"/>
      <c r="E871" s="218"/>
      <c r="F871" s="219" t="s">
        <v>4382</v>
      </c>
      <c r="G871" s="218" t="s">
        <v>274</v>
      </c>
      <c r="H871" s="218" t="s">
        <v>309</v>
      </c>
      <c r="I871" s="223">
        <v>43830</v>
      </c>
      <c r="J871" s="218" t="s">
        <v>2782</v>
      </c>
      <c r="K871" s="218" t="s">
        <v>4305</v>
      </c>
      <c r="L871" s="218" t="s">
        <v>2784</v>
      </c>
      <c r="M871" s="218" t="s">
        <v>4383</v>
      </c>
      <c r="N871" s="218">
        <v>569.04999999999995</v>
      </c>
      <c r="O871" s="218" t="s">
        <v>292</v>
      </c>
      <c r="P871" s="218">
        <v>700</v>
      </c>
      <c r="Q871" s="218" t="s">
        <v>1271</v>
      </c>
      <c r="R871" s="218" t="s">
        <v>2341</v>
      </c>
      <c r="S871" s="218" t="s">
        <v>396</v>
      </c>
      <c r="T871" s="218" t="s">
        <v>2591</v>
      </c>
      <c r="U871" s="218" t="s">
        <v>737</v>
      </c>
      <c r="V871" s="218" t="s">
        <v>381</v>
      </c>
      <c r="W871" s="218" t="s">
        <v>295</v>
      </c>
      <c r="X871" s="218" t="s">
        <v>379</v>
      </c>
      <c r="Y871" s="218">
        <v>668.05</v>
      </c>
      <c r="Z871" s="218">
        <f t="shared" si="18"/>
        <v>700</v>
      </c>
    </row>
    <row r="872" spans="1:26">
      <c r="A872" s="218" t="s">
        <v>2592</v>
      </c>
      <c r="B872" s="218"/>
      <c r="C872" s="218"/>
      <c r="D872" s="218"/>
      <c r="E872" s="218"/>
      <c r="F872" s="219" t="s">
        <v>4384</v>
      </c>
      <c r="G872" s="218" t="s">
        <v>274</v>
      </c>
      <c r="H872" s="218" t="s">
        <v>309</v>
      </c>
      <c r="I872" s="223">
        <v>43830</v>
      </c>
      <c r="J872" s="218" t="s">
        <v>2782</v>
      </c>
      <c r="K872" s="218" t="s">
        <v>4308</v>
      </c>
      <c r="L872" s="218" t="s">
        <v>2784</v>
      </c>
      <c r="M872" s="218" t="s">
        <v>4385</v>
      </c>
      <c r="N872" s="218">
        <v>487.76</v>
      </c>
      <c r="O872" s="218" t="s">
        <v>292</v>
      </c>
      <c r="P872" s="218">
        <v>600</v>
      </c>
      <c r="Q872" s="218" t="s">
        <v>1271</v>
      </c>
      <c r="R872" s="218" t="s">
        <v>2341</v>
      </c>
      <c r="S872" s="218" t="s">
        <v>396</v>
      </c>
      <c r="T872" s="218" t="s">
        <v>2591</v>
      </c>
      <c r="U872" s="218" t="s">
        <v>737</v>
      </c>
      <c r="V872" s="218" t="s">
        <v>381</v>
      </c>
      <c r="W872" s="218" t="s">
        <v>295</v>
      </c>
      <c r="X872" s="218" t="s">
        <v>379</v>
      </c>
      <c r="Y872" s="218">
        <v>572.62</v>
      </c>
      <c r="Z872" s="218">
        <f t="shared" si="18"/>
        <v>600</v>
      </c>
    </row>
    <row r="873" spans="1:26">
      <c r="A873" s="218" t="s">
        <v>2592</v>
      </c>
      <c r="B873" s="218"/>
      <c r="C873" s="218"/>
      <c r="D873" s="218"/>
      <c r="E873" s="218"/>
      <c r="F873" s="219" t="s">
        <v>4386</v>
      </c>
      <c r="G873" s="218" t="s">
        <v>274</v>
      </c>
      <c r="H873" s="218" t="s">
        <v>309</v>
      </c>
      <c r="I873" s="223">
        <v>43830</v>
      </c>
      <c r="J873" s="218" t="s">
        <v>2782</v>
      </c>
      <c r="K873" s="218" t="s">
        <v>4288</v>
      </c>
      <c r="L873" s="218" t="s">
        <v>2784</v>
      </c>
      <c r="M873" s="218" t="s">
        <v>4387</v>
      </c>
      <c r="N873" s="218">
        <v>81.290000000000006</v>
      </c>
      <c r="O873" s="218" t="s">
        <v>292</v>
      </c>
      <c r="P873" s="218">
        <v>100</v>
      </c>
      <c r="Q873" s="218" t="s">
        <v>4251</v>
      </c>
      <c r="R873" s="218" t="s">
        <v>4252</v>
      </c>
      <c r="S873" s="218" t="s">
        <v>396</v>
      </c>
      <c r="T873" s="218" t="s">
        <v>2591</v>
      </c>
      <c r="U873" s="218" t="s">
        <v>737</v>
      </c>
      <c r="V873" s="218" t="s">
        <v>381</v>
      </c>
      <c r="W873" s="218" t="s">
        <v>295</v>
      </c>
      <c r="X873" s="218" t="s">
        <v>379</v>
      </c>
      <c r="Y873" s="218">
        <v>95.43</v>
      </c>
      <c r="Z873" s="218">
        <f t="shared" si="18"/>
        <v>100</v>
      </c>
    </row>
    <row r="874" spans="1:26">
      <c r="A874" s="218" t="s">
        <v>2592</v>
      </c>
      <c r="B874" s="218"/>
      <c r="C874" s="218"/>
      <c r="D874" s="218"/>
      <c r="E874" s="218"/>
      <c r="F874" s="219" t="s">
        <v>4388</v>
      </c>
      <c r="G874" s="218" t="s">
        <v>274</v>
      </c>
      <c r="H874" s="218" t="s">
        <v>309</v>
      </c>
      <c r="I874" s="223">
        <v>43830</v>
      </c>
      <c r="J874" s="218" t="s">
        <v>2610</v>
      </c>
      <c r="K874" s="218" t="s">
        <v>4389</v>
      </c>
      <c r="L874" s="218" t="s">
        <v>2612</v>
      </c>
      <c r="M874" s="218" t="s">
        <v>4390</v>
      </c>
      <c r="N874" s="218">
        <v>29.74</v>
      </c>
      <c r="O874" s="218" t="s">
        <v>292</v>
      </c>
      <c r="P874" s="218">
        <v>36.58</v>
      </c>
      <c r="Q874" s="218" t="s">
        <v>4251</v>
      </c>
      <c r="R874" s="218" t="s">
        <v>4252</v>
      </c>
      <c r="S874" s="218" t="s">
        <v>396</v>
      </c>
      <c r="T874" s="218" t="s">
        <v>2591</v>
      </c>
      <c r="U874" s="218" t="s">
        <v>743</v>
      </c>
      <c r="V874" s="218" t="s">
        <v>381</v>
      </c>
      <c r="W874" s="218" t="s">
        <v>295</v>
      </c>
      <c r="X874" s="218" t="s">
        <v>379</v>
      </c>
      <c r="Y874" s="218">
        <v>34.909999999999997</v>
      </c>
      <c r="Z874" s="218">
        <f t="shared" si="18"/>
        <v>36.58</v>
      </c>
    </row>
    <row r="875" spans="1:26">
      <c r="A875" s="218" t="s">
        <v>2592</v>
      </c>
      <c r="B875" s="218"/>
      <c r="C875" s="218"/>
      <c r="D875" s="218"/>
      <c r="E875" s="218"/>
      <c r="F875" s="219" t="s">
        <v>4391</v>
      </c>
      <c r="G875" s="218" t="s">
        <v>274</v>
      </c>
      <c r="H875" s="218" t="s">
        <v>309</v>
      </c>
      <c r="I875" s="223">
        <v>43830</v>
      </c>
      <c r="J875" s="218" t="s">
        <v>2610</v>
      </c>
      <c r="K875" s="218" t="s">
        <v>4389</v>
      </c>
      <c r="L875" s="218" t="s">
        <v>2612</v>
      </c>
      <c r="M875" s="218" t="s">
        <v>1306</v>
      </c>
      <c r="N875" s="218">
        <v>4.8099999999999996</v>
      </c>
      <c r="O875" s="218" t="s">
        <v>292</v>
      </c>
      <c r="P875" s="218">
        <v>5.92</v>
      </c>
      <c r="Q875" s="218" t="s">
        <v>4251</v>
      </c>
      <c r="R875" s="218" t="s">
        <v>4252</v>
      </c>
      <c r="S875" s="218" t="s">
        <v>396</v>
      </c>
      <c r="T875" s="218" t="s">
        <v>2591</v>
      </c>
      <c r="U875" s="218" t="s">
        <v>743</v>
      </c>
      <c r="V875" s="218" t="s">
        <v>381</v>
      </c>
      <c r="W875" s="218" t="s">
        <v>295</v>
      </c>
      <c r="X875" s="218" t="s">
        <v>379</v>
      </c>
      <c r="Y875" s="218">
        <v>5.65</v>
      </c>
      <c r="Z875" s="218">
        <f t="shared" si="18"/>
        <v>5.92</v>
      </c>
    </row>
    <row r="876" spans="1:26">
      <c r="A876" s="218" t="s">
        <v>2592</v>
      </c>
      <c r="B876" s="218"/>
      <c r="C876" s="218"/>
      <c r="D876" s="218"/>
      <c r="E876" s="218"/>
      <c r="F876" s="219" t="s">
        <v>4392</v>
      </c>
      <c r="G876" s="218" t="s">
        <v>274</v>
      </c>
      <c r="H876" s="218" t="s">
        <v>309</v>
      </c>
      <c r="I876" s="223">
        <v>43830</v>
      </c>
      <c r="J876" s="218" t="s">
        <v>2610</v>
      </c>
      <c r="K876" s="218" t="s">
        <v>4393</v>
      </c>
      <c r="L876" s="218" t="s">
        <v>2612</v>
      </c>
      <c r="M876" s="218" t="s">
        <v>4394</v>
      </c>
      <c r="N876" s="218">
        <v>40.65</v>
      </c>
      <c r="O876" s="218" t="s">
        <v>292</v>
      </c>
      <c r="P876" s="218">
        <v>50</v>
      </c>
      <c r="Q876" s="218" t="s">
        <v>4251</v>
      </c>
      <c r="R876" s="218" t="s">
        <v>4252</v>
      </c>
      <c r="S876" s="218" t="s">
        <v>396</v>
      </c>
      <c r="T876" s="218" t="s">
        <v>2591</v>
      </c>
      <c r="U876" s="218" t="s">
        <v>743</v>
      </c>
      <c r="V876" s="218" t="s">
        <v>381</v>
      </c>
      <c r="W876" s="218" t="s">
        <v>295</v>
      </c>
      <c r="X876" s="218" t="s">
        <v>379</v>
      </c>
      <c r="Y876" s="218">
        <v>47.72</v>
      </c>
      <c r="Z876" s="218">
        <f t="shared" si="18"/>
        <v>50</v>
      </c>
    </row>
    <row r="877" spans="1:26">
      <c r="A877" s="218" t="s">
        <v>2592</v>
      </c>
      <c r="B877" s="218"/>
      <c r="C877" s="218"/>
      <c r="D877" s="218"/>
      <c r="E877" s="218"/>
      <c r="F877" s="219" t="s">
        <v>4395</v>
      </c>
      <c r="G877" s="218" t="s">
        <v>274</v>
      </c>
      <c r="H877" s="218" t="s">
        <v>309</v>
      </c>
      <c r="I877" s="223">
        <v>43830</v>
      </c>
      <c r="J877" s="218" t="s">
        <v>2610</v>
      </c>
      <c r="K877" s="218" t="s">
        <v>4393</v>
      </c>
      <c r="L877" s="218" t="s">
        <v>2612</v>
      </c>
      <c r="M877" s="218" t="s">
        <v>1317</v>
      </c>
      <c r="N877" s="218">
        <v>81.290000000000006</v>
      </c>
      <c r="O877" s="218" t="s">
        <v>292</v>
      </c>
      <c r="P877" s="218">
        <v>100</v>
      </c>
      <c r="Q877" s="218" t="s">
        <v>4251</v>
      </c>
      <c r="R877" s="218" t="s">
        <v>4252</v>
      </c>
      <c r="S877" s="218" t="s">
        <v>396</v>
      </c>
      <c r="T877" s="218" t="s">
        <v>2591</v>
      </c>
      <c r="U877" s="218" t="s">
        <v>743</v>
      </c>
      <c r="V877" s="218" t="s">
        <v>381</v>
      </c>
      <c r="W877" s="218" t="s">
        <v>295</v>
      </c>
      <c r="X877" s="218" t="s">
        <v>379</v>
      </c>
      <c r="Y877" s="218">
        <v>95.43</v>
      </c>
      <c r="Z877" s="218">
        <f t="shared" si="18"/>
        <v>100</v>
      </c>
    </row>
    <row r="878" spans="1:26">
      <c r="A878" s="218" t="s">
        <v>2592</v>
      </c>
      <c r="B878" s="218"/>
      <c r="C878" s="218"/>
      <c r="D878" s="218"/>
      <c r="E878" s="218"/>
      <c r="F878" s="219" t="s">
        <v>4396</v>
      </c>
      <c r="G878" s="218" t="s">
        <v>274</v>
      </c>
      <c r="H878" s="218" t="s">
        <v>309</v>
      </c>
      <c r="I878" s="223">
        <v>43830</v>
      </c>
      <c r="J878" s="218" t="s">
        <v>2610</v>
      </c>
      <c r="K878" s="218" t="s">
        <v>2934</v>
      </c>
      <c r="L878" s="218" t="s">
        <v>2612</v>
      </c>
      <c r="M878" s="218" t="s">
        <v>4397</v>
      </c>
      <c r="N878" s="218">
        <v>323.60000000000002</v>
      </c>
      <c r="O878" s="218" t="s">
        <v>292</v>
      </c>
      <c r="P878" s="218">
        <v>397.6</v>
      </c>
      <c r="Q878" s="218" t="s">
        <v>1271</v>
      </c>
      <c r="R878" s="218" t="s">
        <v>2341</v>
      </c>
      <c r="S878" s="218" t="s">
        <v>396</v>
      </c>
      <c r="T878" s="218" t="s">
        <v>2591</v>
      </c>
      <c r="U878" s="218" t="s">
        <v>743</v>
      </c>
      <c r="V878" s="218" t="s">
        <v>381</v>
      </c>
      <c r="W878" s="218" t="s">
        <v>295</v>
      </c>
      <c r="X878" s="218" t="s">
        <v>379</v>
      </c>
      <c r="Y878" s="218">
        <v>379.9</v>
      </c>
      <c r="Z878" s="218">
        <f t="shared" si="18"/>
        <v>397.6</v>
      </c>
    </row>
    <row r="879" spans="1:26">
      <c r="A879" s="218" t="s">
        <v>2592</v>
      </c>
      <c r="B879" s="218"/>
      <c r="C879" s="218"/>
      <c r="D879" s="218"/>
      <c r="E879" s="218"/>
      <c r="F879" s="219" t="s">
        <v>4398</v>
      </c>
      <c r="G879" s="218" t="s">
        <v>274</v>
      </c>
      <c r="H879" s="218" t="s">
        <v>309</v>
      </c>
      <c r="I879" s="223">
        <v>43830</v>
      </c>
      <c r="J879" s="218" t="s">
        <v>2610</v>
      </c>
      <c r="K879" s="218" t="s">
        <v>4399</v>
      </c>
      <c r="L879" s="218" t="s">
        <v>2612</v>
      </c>
      <c r="M879" s="218" t="s">
        <v>4400</v>
      </c>
      <c r="N879" s="218">
        <v>211.01</v>
      </c>
      <c r="O879" s="218" t="s">
        <v>292</v>
      </c>
      <c r="P879" s="218">
        <v>259.57</v>
      </c>
      <c r="Q879" s="218" t="s">
        <v>1271</v>
      </c>
      <c r="R879" s="218" t="s">
        <v>2341</v>
      </c>
      <c r="S879" s="218" t="s">
        <v>396</v>
      </c>
      <c r="T879" s="218" t="s">
        <v>2591</v>
      </c>
      <c r="U879" s="218" t="s">
        <v>743</v>
      </c>
      <c r="V879" s="218" t="s">
        <v>381</v>
      </c>
      <c r="W879" s="218" t="s">
        <v>295</v>
      </c>
      <c r="X879" s="218" t="s">
        <v>379</v>
      </c>
      <c r="Y879" s="218">
        <v>247.72</v>
      </c>
      <c r="Z879" s="218">
        <f t="shared" si="18"/>
        <v>259.57</v>
      </c>
    </row>
    <row r="880" spans="1:26">
      <c r="A880" s="218" t="s">
        <v>2592</v>
      </c>
      <c r="B880" s="218"/>
      <c r="C880" s="218"/>
      <c r="D880" s="218"/>
      <c r="E880" s="218"/>
      <c r="F880" s="219" t="s">
        <v>4401</v>
      </c>
      <c r="G880" s="218" t="s">
        <v>274</v>
      </c>
      <c r="H880" s="218" t="s">
        <v>309</v>
      </c>
      <c r="I880" s="223">
        <v>43830</v>
      </c>
      <c r="J880" s="218" t="s">
        <v>2610</v>
      </c>
      <c r="K880" s="218" t="s">
        <v>4402</v>
      </c>
      <c r="L880" s="218" t="s">
        <v>2612</v>
      </c>
      <c r="M880" s="218" t="s">
        <v>4403</v>
      </c>
      <c r="N880" s="218">
        <v>100.6</v>
      </c>
      <c r="O880" s="218" t="s">
        <v>292</v>
      </c>
      <c r="P880" s="218">
        <v>123.75</v>
      </c>
      <c r="Q880" s="218" t="s">
        <v>1271</v>
      </c>
      <c r="R880" s="218" t="s">
        <v>2341</v>
      </c>
      <c r="S880" s="218" t="s">
        <v>396</v>
      </c>
      <c r="T880" s="218" t="s">
        <v>2591</v>
      </c>
      <c r="U880" s="218" t="s">
        <v>743</v>
      </c>
      <c r="V880" s="218" t="s">
        <v>381</v>
      </c>
      <c r="W880" s="218" t="s">
        <v>295</v>
      </c>
      <c r="X880" s="218" t="s">
        <v>379</v>
      </c>
      <c r="Y880" s="218">
        <v>118.1</v>
      </c>
      <c r="Z880" s="218">
        <f t="shared" si="18"/>
        <v>123.75</v>
      </c>
    </row>
    <row r="881" spans="1:26">
      <c r="A881" s="218" t="s">
        <v>2592</v>
      </c>
      <c r="B881" s="218"/>
      <c r="C881" s="218"/>
      <c r="D881" s="218"/>
      <c r="E881" s="218"/>
      <c r="F881" s="219" t="s">
        <v>4404</v>
      </c>
      <c r="G881" s="218" t="s">
        <v>274</v>
      </c>
      <c r="H881" s="218" t="s">
        <v>309</v>
      </c>
      <c r="I881" s="223">
        <v>43830</v>
      </c>
      <c r="J881" s="218" t="s">
        <v>2610</v>
      </c>
      <c r="K881" s="218" t="s">
        <v>4393</v>
      </c>
      <c r="L881" s="218" t="s">
        <v>2612</v>
      </c>
      <c r="M881" s="218" t="s">
        <v>4405</v>
      </c>
      <c r="N881" s="218">
        <v>149.41999999999999</v>
      </c>
      <c r="O881" s="218" t="s">
        <v>292</v>
      </c>
      <c r="P881" s="218">
        <v>183.8</v>
      </c>
      <c r="Q881" s="218" t="s">
        <v>1271</v>
      </c>
      <c r="R881" s="218" t="s">
        <v>2341</v>
      </c>
      <c r="S881" s="218" t="s">
        <v>396</v>
      </c>
      <c r="T881" s="218" t="s">
        <v>2591</v>
      </c>
      <c r="U881" s="218" t="s">
        <v>743</v>
      </c>
      <c r="V881" s="218" t="s">
        <v>381</v>
      </c>
      <c r="W881" s="218" t="s">
        <v>295</v>
      </c>
      <c r="X881" s="218" t="s">
        <v>379</v>
      </c>
      <c r="Y881" s="218">
        <v>175.42</v>
      </c>
      <c r="Z881" s="218">
        <f t="shared" si="18"/>
        <v>183.8</v>
      </c>
    </row>
    <row r="882" spans="1:26">
      <c r="A882" s="218" t="s">
        <v>2592</v>
      </c>
      <c r="B882" s="218"/>
      <c r="C882" s="218"/>
      <c r="D882" s="218"/>
      <c r="E882" s="218"/>
      <c r="F882" s="219" t="s">
        <v>4406</v>
      </c>
      <c r="G882" s="218" t="s">
        <v>274</v>
      </c>
      <c r="H882" s="218" t="s">
        <v>309</v>
      </c>
      <c r="I882" s="223">
        <v>43830</v>
      </c>
      <c r="J882" s="218" t="s">
        <v>2610</v>
      </c>
      <c r="K882" s="218" t="s">
        <v>4407</v>
      </c>
      <c r="L882" s="218" t="s">
        <v>2612</v>
      </c>
      <c r="M882" s="218" t="s">
        <v>4408</v>
      </c>
      <c r="N882" s="218">
        <v>11.38</v>
      </c>
      <c r="O882" s="218" t="s">
        <v>292</v>
      </c>
      <c r="P882" s="218">
        <v>14</v>
      </c>
      <c r="Q882" s="218" t="s">
        <v>1271</v>
      </c>
      <c r="R882" s="218" t="s">
        <v>2341</v>
      </c>
      <c r="S882" s="218" t="s">
        <v>396</v>
      </c>
      <c r="T882" s="218" t="s">
        <v>2591</v>
      </c>
      <c r="U882" s="218" t="s">
        <v>743</v>
      </c>
      <c r="V882" s="218" t="s">
        <v>381</v>
      </c>
      <c r="W882" s="218" t="s">
        <v>295</v>
      </c>
      <c r="X882" s="218" t="s">
        <v>379</v>
      </c>
      <c r="Y882" s="218">
        <v>13.36</v>
      </c>
      <c r="Z882" s="218">
        <f t="shared" si="18"/>
        <v>14</v>
      </c>
    </row>
    <row r="883" spans="1:26">
      <c r="A883" s="218" t="s">
        <v>2592</v>
      </c>
      <c r="B883" s="218"/>
      <c r="C883" s="218"/>
      <c r="D883" s="218"/>
      <c r="E883" s="218"/>
      <c r="F883" s="219" t="s">
        <v>4409</v>
      </c>
      <c r="G883" s="218" t="s">
        <v>274</v>
      </c>
      <c r="H883" s="218" t="s">
        <v>309</v>
      </c>
      <c r="I883" s="223">
        <v>43830</v>
      </c>
      <c r="J883" s="218" t="s">
        <v>2610</v>
      </c>
      <c r="K883" s="218" t="s">
        <v>4407</v>
      </c>
      <c r="L883" s="218" t="s">
        <v>2612</v>
      </c>
      <c r="M883" s="218" t="s">
        <v>4410</v>
      </c>
      <c r="N883" s="218">
        <v>8.1300000000000008</v>
      </c>
      <c r="O883" s="218" t="s">
        <v>292</v>
      </c>
      <c r="P883" s="218">
        <v>10</v>
      </c>
      <c r="Q883" s="218" t="s">
        <v>1271</v>
      </c>
      <c r="R883" s="218" t="s">
        <v>2341</v>
      </c>
      <c r="S883" s="218" t="s">
        <v>396</v>
      </c>
      <c r="T883" s="218" t="s">
        <v>2591</v>
      </c>
      <c r="U883" s="218" t="s">
        <v>743</v>
      </c>
      <c r="V883" s="218" t="s">
        <v>381</v>
      </c>
      <c r="W883" s="218" t="s">
        <v>295</v>
      </c>
      <c r="X883" s="218" t="s">
        <v>379</v>
      </c>
      <c r="Y883" s="218">
        <v>9.5399999999999991</v>
      </c>
      <c r="Z883" s="218">
        <f t="shared" si="18"/>
        <v>10</v>
      </c>
    </row>
    <row r="884" spans="1:26">
      <c r="A884" s="218" t="s">
        <v>2592</v>
      </c>
      <c r="B884" s="218"/>
      <c r="C884" s="218"/>
      <c r="D884" s="218"/>
      <c r="E884" s="218"/>
      <c r="F884" s="219" t="s">
        <v>4411</v>
      </c>
      <c r="G884" s="218" t="s">
        <v>274</v>
      </c>
      <c r="H884" s="218" t="s">
        <v>309</v>
      </c>
      <c r="I884" s="223">
        <v>43830</v>
      </c>
      <c r="J884" s="218" t="s">
        <v>2610</v>
      </c>
      <c r="K884" s="218" t="s">
        <v>4407</v>
      </c>
      <c r="L884" s="218" t="s">
        <v>2612</v>
      </c>
      <c r="M884" s="218" t="s">
        <v>4412</v>
      </c>
      <c r="N884" s="218">
        <v>2.44</v>
      </c>
      <c r="O884" s="218" t="s">
        <v>292</v>
      </c>
      <c r="P884" s="218">
        <v>3</v>
      </c>
      <c r="Q884" s="218" t="s">
        <v>1271</v>
      </c>
      <c r="R884" s="218" t="s">
        <v>2341</v>
      </c>
      <c r="S884" s="218" t="s">
        <v>396</v>
      </c>
      <c r="T884" s="218" t="s">
        <v>2591</v>
      </c>
      <c r="U884" s="218" t="s">
        <v>743</v>
      </c>
      <c r="V884" s="218" t="s">
        <v>381</v>
      </c>
      <c r="W884" s="218" t="s">
        <v>295</v>
      </c>
      <c r="X884" s="218" t="s">
        <v>379</v>
      </c>
      <c r="Y884" s="218">
        <v>2.86</v>
      </c>
      <c r="Z884" s="218">
        <f t="shared" si="18"/>
        <v>3</v>
      </c>
    </row>
    <row r="885" spans="1:26">
      <c r="A885" s="218" t="s">
        <v>2592</v>
      </c>
      <c r="B885" s="218"/>
      <c r="C885" s="218"/>
      <c r="D885" s="218"/>
      <c r="E885" s="218"/>
      <c r="F885" s="219" t="s">
        <v>4413</v>
      </c>
      <c r="G885" s="218" t="s">
        <v>274</v>
      </c>
      <c r="H885" s="218" t="s">
        <v>309</v>
      </c>
      <c r="I885" s="223">
        <v>43830</v>
      </c>
      <c r="J885" s="218" t="s">
        <v>2610</v>
      </c>
      <c r="K885" s="218" t="s">
        <v>4407</v>
      </c>
      <c r="L885" s="218" t="s">
        <v>2612</v>
      </c>
      <c r="M885" s="218" t="s">
        <v>4414</v>
      </c>
      <c r="N885" s="218">
        <v>3.25</v>
      </c>
      <c r="O885" s="218" t="s">
        <v>292</v>
      </c>
      <c r="P885" s="218">
        <v>4</v>
      </c>
      <c r="Q885" s="218" t="s">
        <v>1271</v>
      </c>
      <c r="R885" s="218" t="s">
        <v>2341</v>
      </c>
      <c r="S885" s="218" t="s">
        <v>396</v>
      </c>
      <c r="T885" s="218" t="s">
        <v>2591</v>
      </c>
      <c r="U885" s="218" t="s">
        <v>743</v>
      </c>
      <c r="V885" s="218" t="s">
        <v>381</v>
      </c>
      <c r="W885" s="218" t="s">
        <v>295</v>
      </c>
      <c r="X885" s="218" t="s">
        <v>379</v>
      </c>
      <c r="Y885" s="218">
        <v>3.82</v>
      </c>
      <c r="Z885" s="218">
        <f t="shared" si="18"/>
        <v>4</v>
      </c>
    </row>
    <row r="886" spans="1:26">
      <c r="A886" s="218" t="s">
        <v>2592</v>
      </c>
      <c r="B886" s="218"/>
      <c r="C886" s="218"/>
      <c r="D886" s="218"/>
      <c r="E886" s="218"/>
      <c r="F886" s="219" t="s">
        <v>4415</v>
      </c>
      <c r="G886" s="218" t="s">
        <v>274</v>
      </c>
      <c r="H886" s="218" t="s">
        <v>309</v>
      </c>
      <c r="I886" s="223">
        <v>43830</v>
      </c>
      <c r="J886" s="218" t="s">
        <v>2610</v>
      </c>
      <c r="K886" s="218" t="s">
        <v>4416</v>
      </c>
      <c r="L886" s="218" t="s">
        <v>2612</v>
      </c>
      <c r="M886" s="218" t="s">
        <v>4417</v>
      </c>
      <c r="N886" s="218">
        <v>29.27</v>
      </c>
      <c r="O886" s="218" t="s">
        <v>292</v>
      </c>
      <c r="P886" s="218">
        <v>36</v>
      </c>
      <c r="Q886" s="218" t="s">
        <v>1271</v>
      </c>
      <c r="R886" s="218" t="s">
        <v>2341</v>
      </c>
      <c r="S886" s="218" t="s">
        <v>396</v>
      </c>
      <c r="T886" s="218" t="s">
        <v>2591</v>
      </c>
      <c r="U886" s="218" t="s">
        <v>743</v>
      </c>
      <c r="V886" s="218" t="s">
        <v>381</v>
      </c>
      <c r="W886" s="218" t="s">
        <v>295</v>
      </c>
      <c r="X886" s="218" t="s">
        <v>379</v>
      </c>
      <c r="Y886" s="218">
        <v>34.36</v>
      </c>
      <c r="Z886" s="218">
        <f t="shared" si="18"/>
        <v>36</v>
      </c>
    </row>
    <row r="887" spans="1:26">
      <c r="A887" s="218" t="s">
        <v>2592</v>
      </c>
      <c r="B887" s="218"/>
      <c r="C887" s="218"/>
      <c r="D887" s="218"/>
      <c r="E887" s="218"/>
      <c r="F887" s="219" t="s">
        <v>4418</v>
      </c>
      <c r="G887" s="218" t="s">
        <v>274</v>
      </c>
      <c r="H887" s="218" t="s">
        <v>309</v>
      </c>
      <c r="I887" s="223">
        <v>43830</v>
      </c>
      <c r="J887" s="218" t="s">
        <v>2610</v>
      </c>
      <c r="K887" s="218" t="s">
        <v>4416</v>
      </c>
      <c r="L887" s="218" t="s">
        <v>2612</v>
      </c>
      <c r="M887" s="218" t="s">
        <v>4419</v>
      </c>
      <c r="N887" s="218">
        <v>21.14</v>
      </c>
      <c r="O887" s="218" t="s">
        <v>292</v>
      </c>
      <c r="P887" s="218">
        <v>26</v>
      </c>
      <c r="Q887" s="218" t="s">
        <v>1271</v>
      </c>
      <c r="R887" s="218" t="s">
        <v>2341</v>
      </c>
      <c r="S887" s="218" t="s">
        <v>396</v>
      </c>
      <c r="T887" s="218" t="s">
        <v>2591</v>
      </c>
      <c r="U887" s="218" t="s">
        <v>743</v>
      </c>
      <c r="V887" s="218" t="s">
        <v>381</v>
      </c>
      <c r="W887" s="218" t="s">
        <v>295</v>
      </c>
      <c r="X887" s="218" t="s">
        <v>379</v>
      </c>
      <c r="Y887" s="218">
        <v>24.82</v>
      </c>
      <c r="Z887" s="218">
        <f t="shared" si="18"/>
        <v>26</v>
      </c>
    </row>
    <row r="888" spans="1:26">
      <c r="A888" s="218" t="s">
        <v>2592</v>
      </c>
      <c r="B888" s="218"/>
      <c r="C888" s="218"/>
      <c r="D888" s="218"/>
      <c r="E888" s="218"/>
      <c r="F888" s="219" t="s">
        <v>4420</v>
      </c>
      <c r="G888" s="218" t="s">
        <v>274</v>
      </c>
      <c r="H888" s="218" t="s">
        <v>309</v>
      </c>
      <c r="I888" s="223">
        <v>43830</v>
      </c>
      <c r="J888" s="218" t="s">
        <v>2610</v>
      </c>
      <c r="K888" s="218" t="s">
        <v>4416</v>
      </c>
      <c r="L888" s="218" t="s">
        <v>2612</v>
      </c>
      <c r="M888" s="218" t="s">
        <v>4421</v>
      </c>
      <c r="N888" s="218">
        <v>5.69</v>
      </c>
      <c r="O888" s="218" t="s">
        <v>292</v>
      </c>
      <c r="P888" s="218">
        <v>7</v>
      </c>
      <c r="Q888" s="218" t="s">
        <v>1271</v>
      </c>
      <c r="R888" s="218" t="s">
        <v>2341</v>
      </c>
      <c r="S888" s="218" t="s">
        <v>396</v>
      </c>
      <c r="T888" s="218" t="s">
        <v>2591</v>
      </c>
      <c r="U888" s="218" t="s">
        <v>743</v>
      </c>
      <c r="V888" s="218" t="s">
        <v>381</v>
      </c>
      <c r="W888" s="218" t="s">
        <v>295</v>
      </c>
      <c r="X888" s="218" t="s">
        <v>379</v>
      </c>
      <c r="Y888" s="218">
        <v>6.68</v>
      </c>
      <c r="Z888" s="218">
        <f t="shared" si="18"/>
        <v>7</v>
      </c>
    </row>
    <row r="889" spans="1:26">
      <c r="A889" s="218" t="s">
        <v>2592</v>
      </c>
      <c r="B889" s="218"/>
      <c r="C889" s="218"/>
      <c r="D889" s="218"/>
      <c r="E889" s="218"/>
      <c r="F889" s="219" t="s">
        <v>4422</v>
      </c>
      <c r="G889" s="218" t="s">
        <v>274</v>
      </c>
      <c r="H889" s="218" t="s">
        <v>309</v>
      </c>
      <c r="I889" s="223">
        <v>43830</v>
      </c>
      <c r="J889" s="218" t="s">
        <v>2610</v>
      </c>
      <c r="K889" s="218" t="s">
        <v>4416</v>
      </c>
      <c r="L889" s="218" t="s">
        <v>2612</v>
      </c>
      <c r="M889" s="218" t="s">
        <v>4414</v>
      </c>
      <c r="N889" s="218">
        <v>11.38</v>
      </c>
      <c r="O889" s="218" t="s">
        <v>292</v>
      </c>
      <c r="P889" s="218">
        <v>14</v>
      </c>
      <c r="Q889" s="218" t="s">
        <v>1271</v>
      </c>
      <c r="R889" s="218" t="s">
        <v>2341</v>
      </c>
      <c r="S889" s="218" t="s">
        <v>396</v>
      </c>
      <c r="T889" s="218" t="s">
        <v>2591</v>
      </c>
      <c r="U889" s="218" t="s">
        <v>743</v>
      </c>
      <c r="V889" s="218" t="s">
        <v>381</v>
      </c>
      <c r="W889" s="218" t="s">
        <v>295</v>
      </c>
      <c r="X889" s="218" t="s">
        <v>379</v>
      </c>
      <c r="Y889" s="218">
        <v>13.36</v>
      </c>
      <c r="Z889" s="218">
        <f t="shared" si="18"/>
        <v>14</v>
      </c>
    </row>
    <row r="890" spans="1:26">
      <c r="A890" s="218" t="s">
        <v>2592</v>
      </c>
      <c r="B890" s="218"/>
      <c r="C890" s="218"/>
      <c r="D890" s="218"/>
      <c r="E890" s="218"/>
      <c r="F890" s="219" t="s">
        <v>4423</v>
      </c>
      <c r="G890" s="218" t="s">
        <v>274</v>
      </c>
      <c r="H890" s="218" t="s">
        <v>309</v>
      </c>
      <c r="I890" s="223">
        <v>43830</v>
      </c>
      <c r="J890" s="218" t="s">
        <v>2610</v>
      </c>
      <c r="K890" s="218" t="s">
        <v>3008</v>
      </c>
      <c r="L890" s="218" t="s">
        <v>2612</v>
      </c>
      <c r="M890" s="218" t="s">
        <v>4424</v>
      </c>
      <c r="N890" s="218">
        <v>6.5</v>
      </c>
      <c r="O890" s="218" t="s">
        <v>292</v>
      </c>
      <c r="P890" s="218">
        <v>8</v>
      </c>
      <c r="Q890" s="218" t="s">
        <v>1271</v>
      </c>
      <c r="R890" s="218" t="s">
        <v>2341</v>
      </c>
      <c r="S890" s="218" t="s">
        <v>396</v>
      </c>
      <c r="T890" s="218" t="s">
        <v>2591</v>
      </c>
      <c r="U890" s="218" t="s">
        <v>743</v>
      </c>
      <c r="V890" s="218" t="s">
        <v>381</v>
      </c>
      <c r="W890" s="218" t="s">
        <v>295</v>
      </c>
      <c r="X890" s="218" t="s">
        <v>379</v>
      </c>
      <c r="Y890" s="218">
        <v>7.63</v>
      </c>
      <c r="Z890" s="218">
        <f t="shared" si="18"/>
        <v>8</v>
      </c>
    </row>
    <row r="891" spans="1:26">
      <c r="A891" s="218" t="s">
        <v>2592</v>
      </c>
      <c r="B891" s="218"/>
      <c r="C891" s="218"/>
      <c r="D891" s="218"/>
      <c r="E891" s="218"/>
      <c r="F891" s="219" t="s">
        <v>4425</v>
      </c>
      <c r="G891" s="218" t="s">
        <v>274</v>
      </c>
      <c r="H891" s="218" t="s">
        <v>309</v>
      </c>
      <c r="I891" s="223">
        <v>43830</v>
      </c>
      <c r="J891" s="218" t="s">
        <v>2610</v>
      </c>
      <c r="K891" s="218" t="s">
        <v>3008</v>
      </c>
      <c r="L891" s="218" t="s">
        <v>2612</v>
      </c>
      <c r="M891" s="218" t="s">
        <v>4426</v>
      </c>
      <c r="N891" s="218">
        <v>4.88</v>
      </c>
      <c r="O891" s="218" t="s">
        <v>292</v>
      </c>
      <c r="P891" s="218">
        <v>6</v>
      </c>
      <c r="Q891" s="218" t="s">
        <v>1271</v>
      </c>
      <c r="R891" s="218" t="s">
        <v>2341</v>
      </c>
      <c r="S891" s="218" t="s">
        <v>396</v>
      </c>
      <c r="T891" s="218" t="s">
        <v>2591</v>
      </c>
      <c r="U891" s="218" t="s">
        <v>743</v>
      </c>
      <c r="V891" s="218" t="s">
        <v>381</v>
      </c>
      <c r="W891" s="218" t="s">
        <v>295</v>
      </c>
      <c r="X891" s="218" t="s">
        <v>379</v>
      </c>
      <c r="Y891" s="218">
        <v>5.73</v>
      </c>
      <c r="Z891" s="218">
        <f t="shared" si="18"/>
        <v>6</v>
      </c>
    </row>
    <row r="892" spans="1:26">
      <c r="A892" s="218" t="s">
        <v>2592</v>
      </c>
      <c r="B892" s="218"/>
      <c r="C892" s="218"/>
      <c r="D892" s="218"/>
      <c r="E892" s="218"/>
      <c r="F892" s="219" t="s">
        <v>4427</v>
      </c>
      <c r="G892" s="218" t="s">
        <v>274</v>
      </c>
      <c r="H892" s="218" t="s">
        <v>309</v>
      </c>
      <c r="I892" s="223">
        <v>43830</v>
      </c>
      <c r="J892" s="218" t="s">
        <v>2610</v>
      </c>
      <c r="K892" s="218" t="s">
        <v>3008</v>
      </c>
      <c r="L892" s="218" t="s">
        <v>2612</v>
      </c>
      <c r="M892" s="218" t="s">
        <v>4428</v>
      </c>
      <c r="N892" s="218">
        <v>1.63</v>
      </c>
      <c r="O892" s="218" t="s">
        <v>292</v>
      </c>
      <c r="P892" s="218">
        <v>2</v>
      </c>
      <c r="Q892" s="218" t="s">
        <v>1271</v>
      </c>
      <c r="R892" s="218" t="s">
        <v>2341</v>
      </c>
      <c r="S892" s="218" t="s">
        <v>396</v>
      </c>
      <c r="T892" s="218" t="s">
        <v>2591</v>
      </c>
      <c r="U892" s="218" t="s">
        <v>743</v>
      </c>
      <c r="V892" s="218" t="s">
        <v>381</v>
      </c>
      <c r="W892" s="218" t="s">
        <v>295</v>
      </c>
      <c r="X892" s="218" t="s">
        <v>379</v>
      </c>
      <c r="Y892" s="218">
        <v>1.91</v>
      </c>
      <c r="Z892" s="218">
        <f t="shared" si="18"/>
        <v>2</v>
      </c>
    </row>
    <row r="893" spans="1:26">
      <c r="A893" s="218" t="s">
        <v>2592</v>
      </c>
      <c r="B893" s="218"/>
      <c r="C893" s="218"/>
      <c r="D893" s="218"/>
      <c r="E893" s="218"/>
      <c r="F893" s="219" t="s">
        <v>4429</v>
      </c>
      <c r="G893" s="218" t="s">
        <v>274</v>
      </c>
      <c r="H893" s="218" t="s">
        <v>309</v>
      </c>
      <c r="I893" s="223">
        <v>43830</v>
      </c>
      <c r="J893" s="218" t="s">
        <v>2610</v>
      </c>
      <c r="K893" s="218" t="s">
        <v>3008</v>
      </c>
      <c r="L893" s="218" t="s">
        <v>2612</v>
      </c>
      <c r="M893" s="218" t="s">
        <v>4430</v>
      </c>
      <c r="N893" s="218">
        <v>2.44</v>
      </c>
      <c r="O893" s="218" t="s">
        <v>292</v>
      </c>
      <c r="P893" s="218">
        <v>3</v>
      </c>
      <c r="Q893" s="218" t="s">
        <v>1271</v>
      </c>
      <c r="R893" s="218" t="s">
        <v>2341</v>
      </c>
      <c r="S893" s="218" t="s">
        <v>396</v>
      </c>
      <c r="T893" s="218" t="s">
        <v>2591</v>
      </c>
      <c r="U893" s="218" t="s">
        <v>743</v>
      </c>
      <c r="V893" s="218" t="s">
        <v>381</v>
      </c>
      <c r="W893" s="218" t="s">
        <v>295</v>
      </c>
      <c r="X893" s="218" t="s">
        <v>379</v>
      </c>
      <c r="Y893" s="218">
        <v>2.86</v>
      </c>
      <c r="Z893" s="218">
        <f t="shared" si="18"/>
        <v>3</v>
      </c>
    </row>
    <row r="894" spans="1:26">
      <c r="A894" s="218" t="s">
        <v>2592</v>
      </c>
      <c r="B894" s="218"/>
      <c r="C894" s="218"/>
      <c r="D894" s="218"/>
      <c r="E894" s="218"/>
      <c r="F894" s="219" t="s">
        <v>4431</v>
      </c>
      <c r="G894" s="218" t="s">
        <v>274</v>
      </c>
      <c r="H894" s="218" t="s">
        <v>309</v>
      </c>
      <c r="I894" s="223">
        <v>43830</v>
      </c>
      <c r="J894" s="218" t="s">
        <v>2610</v>
      </c>
      <c r="K894" s="218" t="s">
        <v>3000</v>
      </c>
      <c r="L894" s="218" t="s">
        <v>2612</v>
      </c>
      <c r="M894" s="218" t="s">
        <v>4432</v>
      </c>
      <c r="N894" s="218">
        <v>30.89</v>
      </c>
      <c r="O894" s="218" t="s">
        <v>292</v>
      </c>
      <c r="P894" s="218">
        <v>38</v>
      </c>
      <c r="Q894" s="218" t="s">
        <v>1271</v>
      </c>
      <c r="R894" s="218" t="s">
        <v>2341</v>
      </c>
      <c r="S894" s="218" t="s">
        <v>396</v>
      </c>
      <c r="T894" s="218" t="s">
        <v>2591</v>
      </c>
      <c r="U894" s="218" t="s">
        <v>743</v>
      </c>
      <c r="V894" s="218" t="s">
        <v>381</v>
      </c>
      <c r="W894" s="218" t="s">
        <v>295</v>
      </c>
      <c r="X894" s="218" t="s">
        <v>379</v>
      </c>
      <c r="Y894" s="218">
        <v>36.26</v>
      </c>
      <c r="Z894" s="218">
        <f t="shared" si="18"/>
        <v>38</v>
      </c>
    </row>
    <row r="895" spans="1:26">
      <c r="A895" s="218" t="s">
        <v>2592</v>
      </c>
      <c r="B895" s="218"/>
      <c r="C895" s="218"/>
      <c r="D895" s="218"/>
      <c r="E895" s="218"/>
      <c r="F895" s="219" t="s">
        <v>4433</v>
      </c>
      <c r="G895" s="218" t="s">
        <v>274</v>
      </c>
      <c r="H895" s="218" t="s">
        <v>309</v>
      </c>
      <c r="I895" s="223">
        <v>43830</v>
      </c>
      <c r="J895" s="218" t="s">
        <v>2610</v>
      </c>
      <c r="K895" s="218" t="s">
        <v>3000</v>
      </c>
      <c r="L895" s="218" t="s">
        <v>2612</v>
      </c>
      <c r="M895" s="218" t="s">
        <v>4434</v>
      </c>
      <c r="N895" s="218">
        <v>24.79</v>
      </c>
      <c r="O895" s="218" t="s">
        <v>292</v>
      </c>
      <c r="P895" s="218">
        <v>30.5</v>
      </c>
      <c r="Q895" s="218" t="s">
        <v>1271</v>
      </c>
      <c r="R895" s="218" t="s">
        <v>2341</v>
      </c>
      <c r="S895" s="218" t="s">
        <v>396</v>
      </c>
      <c r="T895" s="218" t="s">
        <v>2591</v>
      </c>
      <c r="U895" s="218" t="s">
        <v>743</v>
      </c>
      <c r="V895" s="218" t="s">
        <v>381</v>
      </c>
      <c r="W895" s="218" t="s">
        <v>295</v>
      </c>
      <c r="X895" s="218" t="s">
        <v>379</v>
      </c>
      <c r="Y895" s="218">
        <v>29.1</v>
      </c>
      <c r="Z895" s="218">
        <f t="shared" si="18"/>
        <v>30.5</v>
      </c>
    </row>
    <row r="896" spans="1:26">
      <c r="A896" s="218" t="s">
        <v>2592</v>
      </c>
      <c r="B896" s="218"/>
      <c r="C896" s="218"/>
      <c r="D896" s="218"/>
      <c r="E896" s="218"/>
      <c r="F896" s="219" t="s">
        <v>4435</v>
      </c>
      <c r="G896" s="218" t="s">
        <v>274</v>
      </c>
      <c r="H896" s="218" t="s">
        <v>309</v>
      </c>
      <c r="I896" s="223">
        <v>43830</v>
      </c>
      <c r="J896" s="218" t="s">
        <v>2610</v>
      </c>
      <c r="K896" s="218" t="s">
        <v>3000</v>
      </c>
      <c r="L896" s="218" t="s">
        <v>2612</v>
      </c>
      <c r="M896" s="218" t="s">
        <v>4436</v>
      </c>
      <c r="N896" s="218">
        <v>2.85</v>
      </c>
      <c r="O896" s="218" t="s">
        <v>292</v>
      </c>
      <c r="P896" s="218">
        <v>3.5</v>
      </c>
      <c r="Q896" s="218" t="s">
        <v>1271</v>
      </c>
      <c r="R896" s="218" t="s">
        <v>2341</v>
      </c>
      <c r="S896" s="218" t="s">
        <v>396</v>
      </c>
      <c r="T896" s="218" t="s">
        <v>2591</v>
      </c>
      <c r="U896" s="218" t="s">
        <v>743</v>
      </c>
      <c r="V896" s="218" t="s">
        <v>381</v>
      </c>
      <c r="W896" s="218" t="s">
        <v>295</v>
      </c>
      <c r="X896" s="218" t="s">
        <v>379</v>
      </c>
      <c r="Y896" s="218">
        <v>3.35</v>
      </c>
      <c r="Z896" s="218">
        <f t="shared" si="18"/>
        <v>3.5</v>
      </c>
    </row>
    <row r="897" spans="1:26">
      <c r="A897" s="218" t="s">
        <v>2592</v>
      </c>
      <c r="B897" s="218"/>
      <c r="C897" s="218"/>
      <c r="D897" s="218"/>
      <c r="E897" s="218"/>
      <c r="F897" s="219" t="s">
        <v>4437</v>
      </c>
      <c r="G897" s="218" t="s">
        <v>274</v>
      </c>
      <c r="H897" s="218" t="s">
        <v>309</v>
      </c>
      <c r="I897" s="223">
        <v>43830</v>
      </c>
      <c r="J897" s="218" t="s">
        <v>2610</v>
      </c>
      <c r="K897" s="218" t="s">
        <v>3000</v>
      </c>
      <c r="L897" s="218" t="s">
        <v>2612</v>
      </c>
      <c r="M897" s="218" t="s">
        <v>4438</v>
      </c>
      <c r="N897" s="218">
        <v>9.58</v>
      </c>
      <c r="O897" s="218" t="s">
        <v>292</v>
      </c>
      <c r="P897" s="218">
        <v>11.78</v>
      </c>
      <c r="Q897" s="218" t="s">
        <v>1271</v>
      </c>
      <c r="R897" s="218" t="s">
        <v>2341</v>
      </c>
      <c r="S897" s="218" t="s">
        <v>396</v>
      </c>
      <c r="T897" s="218" t="s">
        <v>2591</v>
      </c>
      <c r="U897" s="218" t="s">
        <v>743</v>
      </c>
      <c r="V897" s="218" t="s">
        <v>381</v>
      </c>
      <c r="W897" s="218" t="s">
        <v>295</v>
      </c>
      <c r="X897" s="218" t="s">
        <v>379</v>
      </c>
      <c r="Y897" s="218">
        <v>11.25</v>
      </c>
      <c r="Z897" s="218">
        <f t="shared" ref="Z897:Z960" si="19">P897</f>
        <v>11.78</v>
      </c>
    </row>
    <row r="898" spans="1:26">
      <c r="A898" s="218" t="s">
        <v>2592</v>
      </c>
      <c r="B898" s="218"/>
      <c r="C898" s="218"/>
      <c r="D898" s="218"/>
      <c r="E898" s="218"/>
      <c r="F898" s="219" t="s">
        <v>4439</v>
      </c>
      <c r="G898" s="218" t="s">
        <v>274</v>
      </c>
      <c r="H898" s="218" t="s">
        <v>309</v>
      </c>
      <c r="I898" s="223">
        <v>43830</v>
      </c>
      <c r="J898" s="218" t="s">
        <v>2610</v>
      </c>
      <c r="K898" s="218" t="s">
        <v>4393</v>
      </c>
      <c r="L898" s="218" t="s">
        <v>2612</v>
      </c>
      <c r="M898" s="218" t="s">
        <v>4440</v>
      </c>
      <c r="N898" s="218">
        <v>203.23</v>
      </c>
      <c r="O898" s="218" t="s">
        <v>292</v>
      </c>
      <c r="P898" s="218">
        <v>250</v>
      </c>
      <c r="Q898" s="218" t="s">
        <v>4251</v>
      </c>
      <c r="R898" s="218" t="s">
        <v>4252</v>
      </c>
      <c r="S898" s="218" t="s">
        <v>396</v>
      </c>
      <c r="T898" s="218" t="s">
        <v>2591</v>
      </c>
      <c r="U898" s="218" t="s">
        <v>743</v>
      </c>
      <c r="V898" s="218" t="s">
        <v>381</v>
      </c>
      <c r="W898" s="218" t="s">
        <v>295</v>
      </c>
      <c r="X898" s="218" t="s">
        <v>379</v>
      </c>
      <c r="Y898" s="218">
        <v>238.59</v>
      </c>
      <c r="Z898" s="218">
        <f t="shared" si="19"/>
        <v>250</v>
      </c>
    </row>
    <row r="899" spans="1:26">
      <c r="A899" s="218" t="s">
        <v>2592</v>
      </c>
      <c r="B899" s="218"/>
      <c r="C899" s="218"/>
      <c r="D899" s="218"/>
      <c r="E899" s="218"/>
      <c r="F899" s="219" t="s">
        <v>4441</v>
      </c>
      <c r="G899" s="218" t="s">
        <v>274</v>
      </c>
      <c r="H899" s="218" t="s">
        <v>309</v>
      </c>
      <c r="I899" s="223">
        <v>43830</v>
      </c>
      <c r="J899" s="218" t="s">
        <v>2610</v>
      </c>
      <c r="K899" s="218" t="s">
        <v>2591</v>
      </c>
      <c r="L899" s="218" t="s">
        <v>2612</v>
      </c>
      <c r="M899" s="218" t="s">
        <v>4442</v>
      </c>
      <c r="N899" s="218">
        <v>1.63</v>
      </c>
      <c r="O899" s="218" t="s">
        <v>292</v>
      </c>
      <c r="P899" s="218">
        <v>2</v>
      </c>
      <c r="Q899" s="218" t="s">
        <v>4251</v>
      </c>
      <c r="R899" s="218" t="s">
        <v>4252</v>
      </c>
      <c r="S899" s="218" t="s">
        <v>396</v>
      </c>
      <c r="T899" s="218" t="s">
        <v>2591</v>
      </c>
      <c r="U899" s="218" t="s">
        <v>743</v>
      </c>
      <c r="V899" s="218" t="s">
        <v>381</v>
      </c>
      <c r="W899" s="218" t="s">
        <v>295</v>
      </c>
      <c r="X899" s="218" t="s">
        <v>379</v>
      </c>
      <c r="Y899" s="218">
        <v>1.91</v>
      </c>
      <c r="Z899" s="218">
        <f t="shared" si="19"/>
        <v>2</v>
      </c>
    </row>
    <row r="900" spans="1:26">
      <c r="A900" s="218" t="s">
        <v>2592</v>
      </c>
      <c r="B900" s="218"/>
      <c r="C900" s="218"/>
      <c r="D900" s="218"/>
      <c r="E900" s="218"/>
      <c r="F900" s="219" t="s">
        <v>4443</v>
      </c>
      <c r="G900" s="218" t="s">
        <v>274</v>
      </c>
      <c r="H900" s="218" t="s">
        <v>309</v>
      </c>
      <c r="I900" s="223">
        <v>43830</v>
      </c>
      <c r="J900" s="218" t="s">
        <v>2610</v>
      </c>
      <c r="K900" s="218" t="s">
        <v>2591</v>
      </c>
      <c r="L900" s="218" t="s">
        <v>2612</v>
      </c>
      <c r="M900" s="218" t="s">
        <v>4444</v>
      </c>
      <c r="N900" s="218">
        <v>0.26</v>
      </c>
      <c r="O900" s="218" t="s">
        <v>292</v>
      </c>
      <c r="P900" s="218">
        <v>0.32</v>
      </c>
      <c r="Q900" s="218" t="s">
        <v>4251</v>
      </c>
      <c r="R900" s="218" t="s">
        <v>4252</v>
      </c>
      <c r="S900" s="218" t="s">
        <v>396</v>
      </c>
      <c r="T900" s="218" t="s">
        <v>2591</v>
      </c>
      <c r="U900" s="218" t="s">
        <v>743</v>
      </c>
      <c r="V900" s="218" t="s">
        <v>381</v>
      </c>
      <c r="W900" s="218" t="s">
        <v>295</v>
      </c>
      <c r="X900" s="218" t="s">
        <v>379</v>
      </c>
      <c r="Y900" s="218">
        <v>0.31</v>
      </c>
      <c r="Z900" s="218">
        <f t="shared" si="19"/>
        <v>0.32</v>
      </c>
    </row>
    <row r="901" spans="1:26">
      <c r="A901" s="218" t="s">
        <v>2592</v>
      </c>
      <c r="B901" s="218"/>
      <c r="C901" s="218"/>
      <c r="D901" s="218"/>
      <c r="E901" s="218"/>
      <c r="F901" s="219" t="s">
        <v>4445</v>
      </c>
      <c r="G901" s="218" t="s">
        <v>274</v>
      </c>
      <c r="H901" s="218" t="s">
        <v>309</v>
      </c>
      <c r="I901" s="223">
        <v>43830</v>
      </c>
      <c r="J901" s="218" t="s">
        <v>2610</v>
      </c>
      <c r="K901" s="218" t="s">
        <v>2591</v>
      </c>
      <c r="L901" s="218" t="s">
        <v>2612</v>
      </c>
      <c r="M901" s="218" t="s">
        <v>4446</v>
      </c>
      <c r="N901" s="218">
        <v>4.0599999999999996</v>
      </c>
      <c r="O901" s="218" t="s">
        <v>292</v>
      </c>
      <c r="P901" s="218">
        <v>5</v>
      </c>
      <c r="Q901" s="218" t="s">
        <v>4251</v>
      </c>
      <c r="R901" s="218" t="s">
        <v>4252</v>
      </c>
      <c r="S901" s="218" t="s">
        <v>396</v>
      </c>
      <c r="T901" s="218" t="s">
        <v>2591</v>
      </c>
      <c r="U901" s="218" t="s">
        <v>743</v>
      </c>
      <c r="V901" s="218" t="s">
        <v>381</v>
      </c>
      <c r="W901" s="218" t="s">
        <v>295</v>
      </c>
      <c r="X901" s="218" t="s">
        <v>379</v>
      </c>
      <c r="Y901" s="218">
        <v>4.7699999999999996</v>
      </c>
      <c r="Z901" s="218">
        <f t="shared" si="19"/>
        <v>5</v>
      </c>
    </row>
    <row r="902" spans="1:26">
      <c r="A902" s="218" t="s">
        <v>2592</v>
      </c>
      <c r="B902" s="218"/>
      <c r="C902" s="218"/>
      <c r="D902" s="218"/>
      <c r="E902" s="218"/>
      <c r="F902" s="219" t="s">
        <v>4447</v>
      </c>
      <c r="G902" s="218" t="s">
        <v>274</v>
      </c>
      <c r="H902" s="218" t="s">
        <v>309</v>
      </c>
      <c r="I902" s="223">
        <v>43830</v>
      </c>
      <c r="J902" s="218" t="s">
        <v>2610</v>
      </c>
      <c r="K902" s="218" t="s">
        <v>2591</v>
      </c>
      <c r="L902" s="218" t="s">
        <v>2612</v>
      </c>
      <c r="M902" s="218" t="s">
        <v>4448</v>
      </c>
      <c r="N902" s="218">
        <v>0.65</v>
      </c>
      <c r="O902" s="218" t="s">
        <v>292</v>
      </c>
      <c r="P902" s="218">
        <v>0.8</v>
      </c>
      <c r="Q902" s="218" t="s">
        <v>4251</v>
      </c>
      <c r="R902" s="218" t="s">
        <v>4252</v>
      </c>
      <c r="S902" s="218" t="s">
        <v>396</v>
      </c>
      <c r="T902" s="218" t="s">
        <v>2591</v>
      </c>
      <c r="U902" s="218" t="s">
        <v>743</v>
      </c>
      <c r="V902" s="218" t="s">
        <v>381</v>
      </c>
      <c r="W902" s="218" t="s">
        <v>295</v>
      </c>
      <c r="X902" s="218" t="s">
        <v>379</v>
      </c>
      <c r="Y902" s="218">
        <v>0.76</v>
      </c>
      <c r="Z902" s="218">
        <f t="shared" si="19"/>
        <v>0.8</v>
      </c>
    </row>
    <row r="903" spans="1:26">
      <c r="A903" s="218" t="s">
        <v>2592</v>
      </c>
      <c r="B903" s="218"/>
      <c r="C903" s="218"/>
      <c r="D903" s="218"/>
      <c r="E903" s="218"/>
      <c r="F903" s="219" t="s">
        <v>4449</v>
      </c>
      <c r="G903" s="218" t="s">
        <v>274</v>
      </c>
      <c r="H903" s="218" t="s">
        <v>309</v>
      </c>
      <c r="I903" s="223">
        <v>43830</v>
      </c>
      <c r="J903" s="218" t="s">
        <v>2610</v>
      </c>
      <c r="K903" s="218" t="s">
        <v>2591</v>
      </c>
      <c r="L903" s="218" t="s">
        <v>2612</v>
      </c>
      <c r="M903" s="218" t="s">
        <v>4442</v>
      </c>
      <c r="N903" s="218">
        <v>1.63</v>
      </c>
      <c r="O903" s="218" t="s">
        <v>292</v>
      </c>
      <c r="P903" s="218">
        <v>2</v>
      </c>
      <c r="Q903" s="218" t="s">
        <v>4251</v>
      </c>
      <c r="R903" s="218" t="s">
        <v>4252</v>
      </c>
      <c r="S903" s="218" t="s">
        <v>396</v>
      </c>
      <c r="T903" s="218" t="s">
        <v>2591</v>
      </c>
      <c r="U903" s="218" t="s">
        <v>743</v>
      </c>
      <c r="V903" s="218" t="s">
        <v>381</v>
      </c>
      <c r="W903" s="218" t="s">
        <v>295</v>
      </c>
      <c r="X903" s="218" t="s">
        <v>379</v>
      </c>
      <c r="Y903" s="218">
        <v>1.91</v>
      </c>
      <c r="Z903" s="218">
        <f t="shared" si="19"/>
        <v>2</v>
      </c>
    </row>
    <row r="904" spans="1:26">
      <c r="A904" s="218" t="s">
        <v>2592</v>
      </c>
      <c r="B904" s="218"/>
      <c r="C904" s="218"/>
      <c r="D904" s="218"/>
      <c r="E904" s="218"/>
      <c r="F904" s="219" t="s">
        <v>4450</v>
      </c>
      <c r="G904" s="218" t="s">
        <v>274</v>
      </c>
      <c r="H904" s="218" t="s">
        <v>309</v>
      </c>
      <c r="I904" s="223">
        <v>43830</v>
      </c>
      <c r="J904" s="218" t="s">
        <v>2610</v>
      </c>
      <c r="K904" s="218" t="s">
        <v>2591</v>
      </c>
      <c r="L904" s="218" t="s">
        <v>2612</v>
      </c>
      <c r="M904" s="218" t="s">
        <v>4444</v>
      </c>
      <c r="N904" s="218">
        <v>0.26</v>
      </c>
      <c r="O904" s="218" t="s">
        <v>292</v>
      </c>
      <c r="P904" s="218">
        <v>0.32</v>
      </c>
      <c r="Q904" s="218" t="s">
        <v>4251</v>
      </c>
      <c r="R904" s="218" t="s">
        <v>4252</v>
      </c>
      <c r="S904" s="218" t="s">
        <v>396</v>
      </c>
      <c r="T904" s="218" t="s">
        <v>2591</v>
      </c>
      <c r="U904" s="218" t="s">
        <v>743</v>
      </c>
      <c r="V904" s="218" t="s">
        <v>381</v>
      </c>
      <c r="W904" s="218" t="s">
        <v>295</v>
      </c>
      <c r="X904" s="218" t="s">
        <v>379</v>
      </c>
      <c r="Y904" s="218">
        <v>0.31</v>
      </c>
      <c r="Z904" s="218">
        <f t="shared" si="19"/>
        <v>0.32</v>
      </c>
    </row>
    <row r="905" spans="1:26">
      <c r="A905" s="218" t="s">
        <v>2592</v>
      </c>
      <c r="B905" s="218"/>
      <c r="C905" s="218"/>
      <c r="D905" s="218"/>
      <c r="E905" s="218"/>
      <c r="F905" s="219" t="s">
        <v>4451</v>
      </c>
      <c r="G905" s="218" t="s">
        <v>274</v>
      </c>
      <c r="H905" s="218" t="s">
        <v>309</v>
      </c>
      <c r="I905" s="223">
        <v>43830</v>
      </c>
      <c r="J905" s="218" t="s">
        <v>2610</v>
      </c>
      <c r="K905" s="218" t="s">
        <v>2591</v>
      </c>
      <c r="L905" s="218" t="s">
        <v>2612</v>
      </c>
      <c r="M905" s="218" t="s">
        <v>4446</v>
      </c>
      <c r="N905" s="218">
        <v>4.0599999999999996</v>
      </c>
      <c r="O905" s="218" t="s">
        <v>292</v>
      </c>
      <c r="P905" s="218">
        <v>5</v>
      </c>
      <c r="Q905" s="218" t="s">
        <v>4251</v>
      </c>
      <c r="R905" s="218" t="s">
        <v>4252</v>
      </c>
      <c r="S905" s="218" t="s">
        <v>396</v>
      </c>
      <c r="T905" s="218" t="s">
        <v>2591</v>
      </c>
      <c r="U905" s="218" t="s">
        <v>743</v>
      </c>
      <c r="V905" s="218" t="s">
        <v>381</v>
      </c>
      <c r="W905" s="218" t="s">
        <v>295</v>
      </c>
      <c r="X905" s="218" t="s">
        <v>379</v>
      </c>
      <c r="Y905" s="218">
        <v>4.7699999999999996</v>
      </c>
      <c r="Z905" s="218">
        <f t="shared" si="19"/>
        <v>5</v>
      </c>
    </row>
    <row r="906" spans="1:26">
      <c r="A906" s="218" t="s">
        <v>2592</v>
      </c>
      <c r="B906" s="218"/>
      <c r="C906" s="218"/>
      <c r="D906" s="218"/>
      <c r="E906" s="218"/>
      <c r="F906" s="219" t="s">
        <v>4452</v>
      </c>
      <c r="G906" s="218" t="s">
        <v>274</v>
      </c>
      <c r="H906" s="218" t="s">
        <v>309</v>
      </c>
      <c r="I906" s="223">
        <v>43830</v>
      </c>
      <c r="J906" s="218" t="s">
        <v>2610</v>
      </c>
      <c r="K906" s="218" t="s">
        <v>2591</v>
      </c>
      <c r="L906" s="218" t="s">
        <v>2612</v>
      </c>
      <c r="M906" s="218" t="s">
        <v>4448</v>
      </c>
      <c r="N906" s="218">
        <v>0.65</v>
      </c>
      <c r="O906" s="218" t="s">
        <v>292</v>
      </c>
      <c r="P906" s="218">
        <v>0.8</v>
      </c>
      <c r="Q906" s="218" t="s">
        <v>4251</v>
      </c>
      <c r="R906" s="218" t="s">
        <v>4252</v>
      </c>
      <c r="S906" s="218" t="s">
        <v>396</v>
      </c>
      <c r="T906" s="218" t="s">
        <v>2591</v>
      </c>
      <c r="U906" s="218" t="s">
        <v>743</v>
      </c>
      <c r="V906" s="218" t="s">
        <v>381</v>
      </c>
      <c r="W906" s="218" t="s">
        <v>295</v>
      </c>
      <c r="X906" s="218" t="s">
        <v>379</v>
      </c>
      <c r="Y906" s="218">
        <v>0.76</v>
      </c>
      <c r="Z906" s="218">
        <f t="shared" si="19"/>
        <v>0.8</v>
      </c>
    </row>
    <row r="907" spans="1:26">
      <c r="A907" s="218" t="s">
        <v>2592</v>
      </c>
      <c r="B907" s="218"/>
      <c r="C907" s="218"/>
      <c r="D907" s="218"/>
      <c r="E907" s="218"/>
      <c r="F907" s="219" t="s">
        <v>4453</v>
      </c>
      <c r="G907" s="218" t="s">
        <v>274</v>
      </c>
      <c r="H907" s="218" t="s">
        <v>309</v>
      </c>
      <c r="I907" s="223">
        <v>43830</v>
      </c>
      <c r="J907" s="218" t="s">
        <v>2610</v>
      </c>
      <c r="K907" s="218" t="s">
        <v>4393</v>
      </c>
      <c r="L907" s="218" t="s">
        <v>2612</v>
      </c>
      <c r="M907" s="218" t="s">
        <v>1316</v>
      </c>
      <c r="N907" s="218">
        <v>40.65</v>
      </c>
      <c r="O907" s="218" t="s">
        <v>292</v>
      </c>
      <c r="P907" s="218">
        <v>50</v>
      </c>
      <c r="Q907" s="218" t="s">
        <v>4251</v>
      </c>
      <c r="R907" s="218" t="s">
        <v>4252</v>
      </c>
      <c r="S907" s="218" t="s">
        <v>396</v>
      </c>
      <c r="T907" s="218" t="s">
        <v>2591</v>
      </c>
      <c r="U907" s="218" t="s">
        <v>743</v>
      </c>
      <c r="V907" s="218" t="s">
        <v>381</v>
      </c>
      <c r="W907" s="218" t="s">
        <v>295</v>
      </c>
      <c r="X907" s="218" t="s">
        <v>379</v>
      </c>
      <c r="Y907" s="218">
        <v>47.72</v>
      </c>
      <c r="Z907" s="218">
        <f t="shared" si="19"/>
        <v>50</v>
      </c>
    </row>
    <row r="908" spans="1:26">
      <c r="A908" s="218" t="s">
        <v>2592</v>
      </c>
      <c r="B908" s="218"/>
      <c r="C908" s="218"/>
      <c r="D908" s="218"/>
      <c r="E908" s="218"/>
      <c r="F908" s="219" t="s">
        <v>4454</v>
      </c>
      <c r="G908" s="218" t="s">
        <v>274</v>
      </c>
      <c r="H908" s="218" t="s">
        <v>309</v>
      </c>
      <c r="I908" s="223">
        <v>43830</v>
      </c>
      <c r="J908" s="218" t="s">
        <v>2610</v>
      </c>
      <c r="K908" s="218" t="s">
        <v>4393</v>
      </c>
      <c r="L908" s="218" t="s">
        <v>2612</v>
      </c>
      <c r="M908" s="218" t="s">
        <v>1317</v>
      </c>
      <c r="N908" s="218">
        <v>81.290000000000006</v>
      </c>
      <c r="O908" s="218" t="s">
        <v>292</v>
      </c>
      <c r="P908" s="218">
        <v>100</v>
      </c>
      <c r="Q908" s="218" t="s">
        <v>4251</v>
      </c>
      <c r="R908" s="218" t="s">
        <v>4252</v>
      </c>
      <c r="S908" s="218" t="s">
        <v>396</v>
      </c>
      <c r="T908" s="218" t="s">
        <v>2591</v>
      </c>
      <c r="U908" s="218" t="s">
        <v>743</v>
      </c>
      <c r="V908" s="218" t="s">
        <v>381</v>
      </c>
      <c r="W908" s="218" t="s">
        <v>295</v>
      </c>
      <c r="X908" s="218" t="s">
        <v>379</v>
      </c>
      <c r="Y908" s="218">
        <v>95.43</v>
      </c>
      <c r="Z908" s="218">
        <f t="shared" si="19"/>
        <v>100</v>
      </c>
    </row>
    <row r="909" spans="1:26">
      <c r="A909" s="218" t="s">
        <v>2592</v>
      </c>
      <c r="B909" s="218"/>
      <c r="C909" s="218"/>
      <c r="D909" s="218"/>
      <c r="E909" s="218"/>
      <c r="F909" s="219" t="s">
        <v>4455</v>
      </c>
      <c r="G909" s="218" t="s">
        <v>274</v>
      </c>
      <c r="H909" s="218" t="s">
        <v>309</v>
      </c>
      <c r="I909" s="223">
        <v>43830</v>
      </c>
      <c r="J909" s="218" t="s">
        <v>2610</v>
      </c>
      <c r="K909" s="218" t="s">
        <v>2934</v>
      </c>
      <c r="L909" s="218" t="s">
        <v>2612</v>
      </c>
      <c r="M909" s="218" t="s">
        <v>4456</v>
      </c>
      <c r="N909" s="218">
        <v>323.22000000000003</v>
      </c>
      <c r="O909" s="218" t="s">
        <v>292</v>
      </c>
      <c r="P909" s="218">
        <v>397.6</v>
      </c>
      <c r="Q909" s="218" t="s">
        <v>1271</v>
      </c>
      <c r="R909" s="218" t="s">
        <v>2341</v>
      </c>
      <c r="S909" s="218" t="s">
        <v>396</v>
      </c>
      <c r="T909" s="218" t="s">
        <v>2591</v>
      </c>
      <c r="U909" s="218" t="s">
        <v>743</v>
      </c>
      <c r="V909" s="218" t="s">
        <v>381</v>
      </c>
      <c r="W909" s="218" t="s">
        <v>295</v>
      </c>
      <c r="X909" s="218" t="s">
        <v>379</v>
      </c>
      <c r="Y909" s="218">
        <v>379.45</v>
      </c>
      <c r="Z909" s="218">
        <f t="shared" si="19"/>
        <v>397.6</v>
      </c>
    </row>
    <row r="910" spans="1:26">
      <c r="A910" s="218" t="s">
        <v>2592</v>
      </c>
      <c r="B910" s="218"/>
      <c r="C910" s="218"/>
      <c r="D910" s="218"/>
      <c r="E910" s="218"/>
      <c r="F910" s="219" t="s">
        <v>4457</v>
      </c>
      <c r="G910" s="218" t="s">
        <v>274</v>
      </c>
      <c r="H910" s="218" t="s">
        <v>309</v>
      </c>
      <c r="I910" s="223">
        <v>43830</v>
      </c>
      <c r="J910" s="218" t="s">
        <v>2610</v>
      </c>
      <c r="K910" s="218" t="s">
        <v>4399</v>
      </c>
      <c r="L910" s="218" t="s">
        <v>2612</v>
      </c>
      <c r="M910" s="218" t="s">
        <v>4458</v>
      </c>
      <c r="N910" s="218">
        <v>211.01</v>
      </c>
      <c r="O910" s="218" t="s">
        <v>292</v>
      </c>
      <c r="P910" s="218">
        <v>259.57</v>
      </c>
      <c r="Q910" s="218" t="s">
        <v>1271</v>
      </c>
      <c r="R910" s="218" t="s">
        <v>2341</v>
      </c>
      <c r="S910" s="218" t="s">
        <v>396</v>
      </c>
      <c r="T910" s="218" t="s">
        <v>2591</v>
      </c>
      <c r="U910" s="218" t="s">
        <v>743</v>
      </c>
      <c r="V910" s="218" t="s">
        <v>381</v>
      </c>
      <c r="W910" s="218" t="s">
        <v>295</v>
      </c>
      <c r="X910" s="218" t="s">
        <v>379</v>
      </c>
      <c r="Y910" s="218">
        <v>247.72</v>
      </c>
      <c r="Z910" s="218">
        <f t="shared" si="19"/>
        <v>259.57</v>
      </c>
    </row>
    <row r="911" spans="1:26">
      <c r="A911" s="218" t="s">
        <v>2592</v>
      </c>
      <c r="B911" s="218"/>
      <c r="C911" s="218"/>
      <c r="D911" s="218"/>
      <c r="E911" s="218"/>
      <c r="F911" s="219" t="s">
        <v>4459</v>
      </c>
      <c r="G911" s="218" t="s">
        <v>274</v>
      </c>
      <c r="H911" s="218" t="s">
        <v>309</v>
      </c>
      <c r="I911" s="223">
        <v>43830</v>
      </c>
      <c r="J911" s="218" t="s">
        <v>2610</v>
      </c>
      <c r="K911" s="218" t="s">
        <v>4402</v>
      </c>
      <c r="L911" s="218" t="s">
        <v>2612</v>
      </c>
      <c r="M911" s="218" t="s">
        <v>4460</v>
      </c>
      <c r="N911" s="218">
        <v>100.6</v>
      </c>
      <c r="O911" s="218" t="s">
        <v>292</v>
      </c>
      <c r="P911" s="218">
        <v>123.75</v>
      </c>
      <c r="Q911" s="218" t="s">
        <v>1271</v>
      </c>
      <c r="R911" s="218" t="s">
        <v>2341</v>
      </c>
      <c r="S911" s="218" t="s">
        <v>396</v>
      </c>
      <c r="T911" s="218" t="s">
        <v>2591</v>
      </c>
      <c r="U911" s="218" t="s">
        <v>743</v>
      </c>
      <c r="V911" s="218" t="s">
        <v>381</v>
      </c>
      <c r="W911" s="218" t="s">
        <v>295</v>
      </c>
      <c r="X911" s="218" t="s">
        <v>379</v>
      </c>
      <c r="Y911" s="218">
        <v>118.1</v>
      </c>
      <c r="Z911" s="218">
        <f t="shared" si="19"/>
        <v>123.75</v>
      </c>
    </row>
    <row r="912" spans="1:26">
      <c r="A912" s="218" t="s">
        <v>2592</v>
      </c>
      <c r="B912" s="218"/>
      <c r="C912" s="218"/>
      <c r="D912" s="218"/>
      <c r="E912" s="218"/>
      <c r="F912" s="219" t="s">
        <v>4461</v>
      </c>
      <c r="G912" s="218" t="s">
        <v>274</v>
      </c>
      <c r="H912" s="218" t="s">
        <v>309</v>
      </c>
      <c r="I912" s="223">
        <v>43830</v>
      </c>
      <c r="J912" s="218" t="s">
        <v>2610</v>
      </c>
      <c r="K912" s="218" t="s">
        <v>4393</v>
      </c>
      <c r="L912" s="218" t="s">
        <v>2612</v>
      </c>
      <c r="M912" s="218" t="s">
        <v>4462</v>
      </c>
      <c r="N912" s="218">
        <v>149.41999999999999</v>
      </c>
      <c r="O912" s="218" t="s">
        <v>292</v>
      </c>
      <c r="P912" s="218">
        <v>183.8</v>
      </c>
      <c r="Q912" s="218" t="s">
        <v>1271</v>
      </c>
      <c r="R912" s="218" t="s">
        <v>2341</v>
      </c>
      <c r="S912" s="218" t="s">
        <v>396</v>
      </c>
      <c r="T912" s="218" t="s">
        <v>2591</v>
      </c>
      <c r="U912" s="218" t="s">
        <v>743</v>
      </c>
      <c r="V912" s="218" t="s">
        <v>381</v>
      </c>
      <c r="W912" s="218" t="s">
        <v>295</v>
      </c>
      <c r="X912" s="218" t="s">
        <v>379</v>
      </c>
      <c r="Y912" s="218">
        <v>175.42</v>
      </c>
      <c r="Z912" s="218">
        <f t="shared" si="19"/>
        <v>183.8</v>
      </c>
    </row>
    <row r="913" spans="1:26">
      <c r="A913" s="218" t="s">
        <v>2592</v>
      </c>
      <c r="B913" s="218"/>
      <c r="C913" s="218"/>
      <c r="D913" s="218"/>
      <c r="E913" s="218"/>
      <c r="F913" s="219" t="s">
        <v>4463</v>
      </c>
      <c r="G913" s="218" t="s">
        <v>274</v>
      </c>
      <c r="H913" s="218" t="s">
        <v>309</v>
      </c>
      <c r="I913" s="223">
        <v>43830</v>
      </c>
      <c r="J913" s="218" t="s">
        <v>2610</v>
      </c>
      <c r="K913" s="218" t="s">
        <v>3000</v>
      </c>
      <c r="L913" s="218" t="s">
        <v>2612</v>
      </c>
      <c r="M913" s="218" t="s">
        <v>4464</v>
      </c>
      <c r="N913" s="218">
        <v>30.89</v>
      </c>
      <c r="O913" s="218" t="s">
        <v>292</v>
      </c>
      <c r="P913" s="218">
        <v>38</v>
      </c>
      <c r="Q913" s="218" t="s">
        <v>1271</v>
      </c>
      <c r="R913" s="218" t="s">
        <v>2341</v>
      </c>
      <c r="S913" s="218" t="s">
        <v>396</v>
      </c>
      <c r="T913" s="218" t="s">
        <v>2591</v>
      </c>
      <c r="U913" s="218" t="s">
        <v>743</v>
      </c>
      <c r="V913" s="218" t="s">
        <v>381</v>
      </c>
      <c r="W913" s="218" t="s">
        <v>295</v>
      </c>
      <c r="X913" s="218" t="s">
        <v>379</v>
      </c>
      <c r="Y913" s="218">
        <v>36.26</v>
      </c>
      <c r="Z913" s="218">
        <f t="shared" si="19"/>
        <v>38</v>
      </c>
    </row>
    <row r="914" spans="1:26">
      <c r="A914" s="218" t="s">
        <v>2592</v>
      </c>
      <c r="B914" s="218"/>
      <c r="C914" s="218"/>
      <c r="D914" s="218"/>
      <c r="E914" s="218"/>
      <c r="F914" s="219" t="s">
        <v>4465</v>
      </c>
      <c r="G914" s="218" t="s">
        <v>274</v>
      </c>
      <c r="H914" s="218" t="s">
        <v>309</v>
      </c>
      <c r="I914" s="223">
        <v>43830</v>
      </c>
      <c r="J914" s="218" t="s">
        <v>2610</v>
      </c>
      <c r="K914" s="218" t="s">
        <v>3000</v>
      </c>
      <c r="L914" s="218" t="s">
        <v>2612</v>
      </c>
      <c r="M914" s="218" t="s">
        <v>4466</v>
      </c>
      <c r="N914" s="218">
        <v>24.79</v>
      </c>
      <c r="O914" s="218" t="s">
        <v>292</v>
      </c>
      <c r="P914" s="218">
        <v>30.5</v>
      </c>
      <c r="Q914" s="218" t="s">
        <v>1271</v>
      </c>
      <c r="R914" s="218" t="s">
        <v>2341</v>
      </c>
      <c r="S914" s="218" t="s">
        <v>396</v>
      </c>
      <c r="T914" s="218" t="s">
        <v>2591</v>
      </c>
      <c r="U914" s="218" t="s">
        <v>743</v>
      </c>
      <c r="V914" s="218" t="s">
        <v>381</v>
      </c>
      <c r="W914" s="218" t="s">
        <v>295</v>
      </c>
      <c r="X914" s="218" t="s">
        <v>379</v>
      </c>
      <c r="Y914" s="218">
        <v>29.1</v>
      </c>
      <c r="Z914" s="218">
        <f t="shared" si="19"/>
        <v>30.5</v>
      </c>
    </row>
    <row r="915" spans="1:26">
      <c r="A915" s="218" t="s">
        <v>2592</v>
      </c>
      <c r="B915" s="218"/>
      <c r="C915" s="218"/>
      <c r="D915" s="218"/>
      <c r="E915" s="218"/>
      <c r="F915" s="219" t="s">
        <v>4467</v>
      </c>
      <c r="G915" s="218" t="s">
        <v>274</v>
      </c>
      <c r="H915" s="218" t="s">
        <v>309</v>
      </c>
      <c r="I915" s="223">
        <v>43830</v>
      </c>
      <c r="J915" s="218" t="s">
        <v>2610</v>
      </c>
      <c r="K915" s="218" t="s">
        <v>3000</v>
      </c>
      <c r="L915" s="218" t="s">
        <v>2612</v>
      </c>
      <c r="M915" s="218" t="s">
        <v>4468</v>
      </c>
      <c r="N915" s="218">
        <v>2.85</v>
      </c>
      <c r="O915" s="218" t="s">
        <v>292</v>
      </c>
      <c r="P915" s="218">
        <v>3.5</v>
      </c>
      <c r="Q915" s="218" t="s">
        <v>1271</v>
      </c>
      <c r="R915" s="218" t="s">
        <v>2341</v>
      </c>
      <c r="S915" s="218" t="s">
        <v>396</v>
      </c>
      <c r="T915" s="218" t="s">
        <v>2591</v>
      </c>
      <c r="U915" s="218" t="s">
        <v>743</v>
      </c>
      <c r="V915" s="218" t="s">
        <v>381</v>
      </c>
      <c r="W915" s="218" t="s">
        <v>295</v>
      </c>
      <c r="X915" s="218" t="s">
        <v>379</v>
      </c>
      <c r="Y915" s="218">
        <v>3.35</v>
      </c>
      <c r="Z915" s="218">
        <f t="shared" si="19"/>
        <v>3.5</v>
      </c>
    </row>
    <row r="916" spans="1:26">
      <c r="A916" s="218" t="s">
        <v>2592</v>
      </c>
      <c r="B916" s="218"/>
      <c r="C916" s="218"/>
      <c r="D916" s="218"/>
      <c r="E916" s="218"/>
      <c r="F916" s="219" t="s">
        <v>4469</v>
      </c>
      <c r="G916" s="218" t="s">
        <v>274</v>
      </c>
      <c r="H916" s="218" t="s">
        <v>309</v>
      </c>
      <c r="I916" s="223">
        <v>43830</v>
      </c>
      <c r="J916" s="218" t="s">
        <v>2610</v>
      </c>
      <c r="K916" s="218" t="s">
        <v>3000</v>
      </c>
      <c r="L916" s="218" t="s">
        <v>2612</v>
      </c>
      <c r="M916" s="218" t="s">
        <v>4470</v>
      </c>
      <c r="N916" s="218">
        <v>9.58</v>
      </c>
      <c r="O916" s="218" t="s">
        <v>292</v>
      </c>
      <c r="P916" s="218">
        <v>11.78</v>
      </c>
      <c r="Q916" s="218" t="s">
        <v>1271</v>
      </c>
      <c r="R916" s="218" t="s">
        <v>2341</v>
      </c>
      <c r="S916" s="218" t="s">
        <v>396</v>
      </c>
      <c r="T916" s="218" t="s">
        <v>2591</v>
      </c>
      <c r="U916" s="218" t="s">
        <v>743</v>
      </c>
      <c r="V916" s="218" t="s">
        <v>381</v>
      </c>
      <c r="W916" s="218" t="s">
        <v>295</v>
      </c>
      <c r="X916" s="218" t="s">
        <v>379</v>
      </c>
      <c r="Y916" s="218">
        <v>11.25</v>
      </c>
      <c r="Z916" s="218">
        <f t="shared" si="19"/>
        <v>11.78</v>
      </c>
    </row>
    <row r="917" spans="1:26">
      <c r="A917" s="218" t="s">
        <v>2592</v>
      </c>
      <c r="B917" s="218"/>
      <c r="C917" s="218"/>
      <c r="D917" s="218"/>
      <c r="E917" s="218"/>
      <c r="F917" s="219" t="s">
        <v>4471</v>
      </c>
      <c r="G917" s="218" t="s">
        <v>274</v>
      </c>
      <c r="H917" s="218" t="s">
        <v>309</v>
      </c>
      <c r="I917" s="223">
        <v>43830</v>
      </c>
      <c r="J917" s="218" t="s">
        <v>2610</v>
      </c>
      <c r="K917" s="218" t="s">
        <v>4393</v>
      </c>
      <c r="L917" s="218" t="s">
        <v>2612</v>
      </c>
      <c r="M917" s="218" t="s">
        <v>1316</v>
      </c>
      <c r="N917" s="218">
        <v>40.65</v>
      </c>
      <c r="O917" s="218" t="s">
        <v>292</v>
      </c>
      <c r="P917" s="218">
        <v>50</v>
      </c>
      <c r="Q917" s="218" t="s">
        <v>4251</v>
      </c>
      <c r="R917" s="218" t="s">
        <v>4252</v>
      </c>
      <c r="S917" s="218" t="s">
        <v>396</v>
      </c>
      <c r="T917" s="218" t="s">
        <v>2591</v>
      </c>
      <c r="U917" s="218" t="s">
        <v>743</v>
      </c>
      <c r="V917" s="218" t="s">
        <v>381</v>
      </c>
      <c r="W917" s="218" t="s">
        <v>295</v>
      </c>
      <c r="X917" s="218" t="s">
        <v>379</v>
      </c>
      <c r="Y917" s="218">
        <v>47.72</v>
      </c>
      <c r="Z917" s="218">
        <f t="shared" si="19"/>
        <v>50</v>
      </c>
    </row>
    <row r="918" spans="1:26">
      <c r="A918" s="218" t="s">
        <v>2592</v>
      </c>
      <c r="B918" s="218"/>
      <c r="C918" s="218"/>
      <c r="D918" s="218"/>
      <c r="E918" s="218"/>
      <c r="F918" s="219" t="s">
        <v>4472</v>
      </c>
      <c r="G918" s="218" t="s">
        <v>274</v>
      </c>
      <c r="H918" s="218" t="s">
        <v>309</v>
      </c>
      <c r="I918" s="223">
        <v>43830</v>
      </c>
      <c r="J918" s="218" t="s">
        <v>2610</v>
      </c>
      <c r="K918" s="218" t="s">
        <v>4393</v>
      </c>
      <c r="L918" s="218" t="s">
        <v>2612</v>
      </c>
      <c r="M918" s="218" t="s">
        <v>1317</v>
      </c>
      <c r="N918" s="218">
        <v>81.290000000000006</v>
      </c>
      <c r="O918" s="218" t="s">
        <v>292</v>
      </c>
      <c r="P918" s="218">
        <v>100</v>
      </c>
      <c r="Q918" s="218" t="s">
        <v>4251</v>
      </c>
      <c r="R918" s="218" t="s">
        <v>4252</v>
      </c>
      <c r="S918" s="218" t="s">
        <v>396</v>
      </c>
      <c r="T918" s="218" t="s">
        <v>2591</v>
      </c>
      <c r="U918" s="218" t="s">
        <v>743</v>
      </c>
      <c r="V918" s="218" t="s">
        <v>381</v>
      </c>
      <c r="W918" s="218" t="s">
        <v>295</v>
      </c>
      <c r="X918" s="218" t="s">
        <v>379</v>
      </c>
      <c r="Y918" s="218">
        <v>95.43</v>
      </c>
      <c r="Z918" s="218">
        <f t="shared" si="19"/>
        <v>100</v>
      </c>
    </row>
    <row r="919" spans="1:26">
      <c r="A919" s="218" t="s">
        <v>2592</v>
      </c>
      <c r="B919" s="218"/>
      <c r="C919" s="218"/>
      <c r="D919" s="218"/>
      <c r="E919" s="218"/>
      <c r="F919" s="219" t="s">
        <v>4473</v>
      </c>
      <c r="G919" s="218" t="s">
        <v>274</v>
      </c>
      <c r="H919" s="218" t="s">
        <v>309</v>
      </c>
      <c r="I919" s="223">
        <v>43830</v>
      </c>
      <c r="J919" s="218" t="s">
        <v>2610</v>
      </c>
      <c r="K919" s="218" t="s">
        <v>4407</v>
      </c>
      <c r="L919" s="218" t="s">
        <v>2612</v>
      </c>
      <c r="M919" s="218" t="s">
        <v>4474</v>
      </c>
      <c r="N919" s="218">
        <v>11.38</v>
      </c>
      <c r="O919" s="218" t="s">
        <v>292</v>
      </c>
      <c r="P919" s="218">
        <v>14</v>
      </c>
      <c r="Q919" s="218" t="s">
        <v>1271</v>
      </c>
      <c r="R919" s="218" t="s">
        <v>2341</v>
      </c>
      <c r="S919" s="218" t="s">
        <v>396</v>
      </c>
      <c r="T919" s="218" t="s">
        <v>2591</v>
      </c>
      <c r="U919" s="218" t="s">
        <v>743</v>
      </c>
      <c r="V919" s="218" t="s">
        <v>381</v>
      </c>
      <c r="W919" s="218" t="s">
        <v>295</v>
      </c>
      <c r="X919" s="218" t="s">
        <v>379</v>
      </c>
      <c r="Y919" s="218">
        <v>13.36</v>
      </c>
      <c r="Z919" s="218">
        <f t="shared" si="19"/>
        <v>14</v>
      </c>
    </row>
    <row r="920" spans="1:26">
      <c r="A920" s="218" t="s">
        <v>2592</v>
      </c>
      <c r="B920" s="218"/>
      <c r="C920" s="218"/>
      <c r="D920" s="218"/>
      <c r="E920" s="218"/>
      <c r="F920" s="219" t="s">
        <v>4475</v>
      </c>
      <c r="G920" s="218" t="s">
        <v>274</v>
      </c>
      <c r="H920" s="218" t="s">
        <v>309</v>
      </c>
      <c r="I920" s="223">
        <v>43830</v>
      </c>
      <c r="J920" s="218" t="s">
        <v>2610</v>
      </c>
      <c r="K920" s="218" t="s">
        <v>4407</v>
      </c>
      <c r="L920" s="218" t="s">
        <v>2612</v>
      </c>
      <c r="M920" s="218" t="s">
        <v>4476</v>
      </c>
      <c r="N920" s="218">
        <v>8.1300000000000008</v>
      </c>
      <c r="O920" s="218" t="s">
        <v>292</v>
      </c>
      <c r="P920" s="218">
        <v>10</v>
      </c>
      <c r="Q920" s="218" t="s">
        <v>1271</v>
      </c>
      <c r="R920" s="218" t="s">
        <v>2341</v>
      </c>
      <c r="S920" s="218" t="s">
        <v>396</v>
      </c>
      <c r="T920" s="218" t="s">
        <v>2591</v>
      </c>
      <c r="U920" s="218" t="s">
        <v>743</v>
      </c>
      <c r="V920" s="218" t="s">
        <v>381</v>
      </c>
      <c r="W920" s="218" t="s">
        <v>295</v>
      </c>
      <c r="X920" s="218" t="s">
        <v>379</v>
      </c>
      <c r="Y920" s="218">
        <v>9.5399999999999991</v>
      </c>
      <c r="Z920" s="218">
        <f t="shared" si="19"/>
        <v>10</v>
      </c>
    </row>
    <row r="921" spans="1:26">
      <c r="A921" s="218" t="s">
        <v>2592</v>
      </c>
      <c r="B921" s="218"/>
      <c r="C921" s="218"/>
      <c r="D921" s="218"/>
      <c r="E921" s="218"/>
      <c r="F921" s="219" t="s">
        <v>4477</v>
      </c>
      <c r="G921" s="218" t="s">
        <v>274</v>
      </c>
      <c r="H921" s="218" t="s">
        <v>309</v>
      </c>
      <c r="I921" s="223">
        <v>43830</v>
      </c>
      <c r="J921" s="218" t="s">
        <v>2610</v>
      </c>
      <c r="K921" s="218" t="s">
        <v>4407</v>
      </c>
      <c r="L921" s="218" t="s">
        <v>2612</v>
      </c>
      <c r="M921" s="218" t="s">
        <v>4478</v>
      </c>
      <c r="N921" s="218">
        <v>2.44</v>
      </c>
      <c r="O921" s="218" t="s">
        <v>292</v>
      </c>
      <c r="P921" s="218">
        <v>3</v>
      </c>
      <c r="Q921" s="218" t="s">
        <v>1271</v>
      </c>
      <c r="R921" s="218" t="s">
        <v>2341</v>
      </c>
      <c r="S921" s="218" t="s">
        <v>396</v>
      </c>
      <c r="T921" s="218" t="s">
        <v>2591</v>
      </c>
      <c r="U921" s="218" t="s">
        <v>743</v>
      </c>
      <c r="V921" s="218" t="s">
        <v>381</v>
      </c>
      <c r="W921" s="218" t="s">
        <v>295</v>
      </c>
      <c r="X921" s="218" t="s">
        <v>379</v>
      </c>
      <c r="Y921" s="218">
        <v>2.86</v>
      </c>
      <c r="Z921" s="218">
        <f t="shared" si="19"/>
        <v>3</v>
      </c>
    </row>
    <row r="922" spans="1:26">
      <c r="A922" s="218" t="s">
        <v>2592</v>
      </c>
      <c r="B922" s="218"/>
      <c r="C922" s="218"/>
      <c r="D922" s="218"/>
      <c r="E922" s="218"/>
      <c r="F922" s="219" t="s">
        <v>4479</v>
      </c>
      <c r="G922" s="218" t="s">
        <v>274</v>
      </c>
      <c r="H922" s="218" t="s">
        <v>309</v>
      </c>
      <c r="I922" s="223">
        <v>43830</v>
      </c>
      <c r="J922" s="218" t="s">
        <v>2610</v>
      </c>
      <c r="K922" s="218" t="s">
        <v>4407</v>
      </c>
      <c r="L922" s="218" t="s">
        <v>2612</v>
      </c>
      <c r="M922" s="218" t="s">
        <v>4480</v>
      </c>
      <c r="N922" s="218">
        <v>3.25</v>
      </c>
      <c r="O922" s="218" t="s">
        <v>292</v>
      </c>
      <c r="P922" s="218">
        <v>4</v>
      </c>
      <c r="Q922" s="218" t="s">
        <v>1271</v>
      </c>
      <c r="R922" s="218" t="s">
        <v>2341</v>
      </c>
      <c r="S922" s="218" t="s">
        <v>396</v>
      </c>
      <c r="T922" s="218" t="s">
        <v>2591</v>
      </c>
      <c r="U922" s="218" t="s">
        <v>743</v>
      </c>
      <c r="V922" s="218" t="s">
        <v>381</v>
      </c>
      <c r="W922" s="218" t="s">
        <v>295</v>
      </c>
      <c r="X922" s="218" t="s">
        <v>379</v>
      </c>
      <c r="Y922" s="218">
        <v>3.82</v>
      </c>
      <c r="Z922" s="218">
        <f t="shared" si="19"/>
        <v>4</v>
      </c>
    </row>
    <row r="923" spans="1:26">
      <c r="A923" s="218" t="s">
        <v>2592</v>
      </c>
      <c r="B923" s="218"/>
      <c r="C923" s="218"/>
      <c r="D923" s="218"/>
      <c r="E923" s="218"/>
      <c r="F923" s="219" t="s">
        <v>4481</v>
      </c>
      <c r="G923" s="218" t="s">
        <v>274</v>
      </c>
      <c r="H923" s="218" t="s">
        <v>309</v>
      </c>
      <c r="I923" s="223">
        <v>43830</v>
      </c>
      <c r="J923" s="218" t="s">
        <v>2610</v>
      </c>
      <c r="K923" s="218" t="s">
        <v>4416</v>
      </c>
      <c r="L923" s="218" t="s">
        <v>2612</v>
      </c>
      <c r="M923" s="218" t="s">
        <v>4482</v>
      </c>
      <c r="N923" s="218">
        <v>29.27</v>
      </c>
      <c r="O923" s="218" t="s">
        <v>292</v>
      </c>
      <c r="P923" s="218">
        <v>36</v>
      </c>
      <c r="Q923" s="218" t="s">
        <v>1271</v>
      </c>
      <c r="R923" s="218" t="s">
        <v>2341</v>
      </c>
      <c r="S923" s="218" t="s">
        <v>396</v>
      </c>
      <c r="T923" s="218" t="s">
        <v>2591</v>
      </c>
      <c r="U923" s="218" t="s">
        <v>743</v>
      </c>
      <c r="V923" s="218" t="s">
        <v>381</v>
      </c>
      <c r="W923" s="218" t="s">
        <v>295</v>
      </c>
      <c r="X923" s="218" t="s">
        <v>379</v>
      </c>
      <c r="Y923" s="218">
        <v>34.36</v>
      </c>
      <c r="Z923" s="218">
        <f t="shared" si="19"/>
        <v>36</v>
      </c>
    </row>
    <row r="924" spans="1:26">
      <c r="A924" s="218" t="s">
        <v>2592</v>
      </c>
      <c r="B924" s="218"/>
      <c r="C924" s="218"/>
      <c r="D924" s="218"/>
      <c r="E924" s="218"/>
      <c r="F924" s="219" t="s">
        <v>4483</v>
      </c>
      <c r="G924" s="218" t="s">
        <v>274</v>
      </c>
      <c r="H924" s="218" t="s">
        <v>309</v>
      </c>
      <c r="I924" s="223">
        <v>43830</v>
      </c>
      <c r="J924" s="218" t="s">
        <v>2610</v>
      </c>
      <c r="K924" s="218" t="s">
        <v>4416</v>
      </c>
      <c r="L924" s="218" t="s">
        <v>2612</v>
      </c>
      <c r="M924" s="218" t="s">
        <v>4484</v>
      </c>
      <c r="N924" s="218">
        <v>21.14</v>
      </c>
      <c r="O924" s="218" t="s">
        <v>292</v>
      </c>
      <c r="P924" s="218">
        <v>26</v>
      </c>
      <c r="Q924" s="218" t="s">
        <v>1271</v>
      </c>
      <c r="R924" s="218" t="s">
        <v>2341</v>
      </c>
      <c r="S924" s="218" t="s">
        <v>396</v>
      </c>
      <c r="T924" s="218" t="s">
        <v>2591</v>
      </c>
      <c r="U924" s="218" t="s">
        <v>743</v>
      </c>
      <c r="V924" s="218" t="s">
        <v>381</v>
      </c>
      <c r="W924" s="218" t="s">
        <v>295</v>
      </c>
      <c r="X924" s="218" t="s">
        <v>379</v>
      </c>
      <c r="Y924" s="218">
        <v>24.82</v>
      </c>
      <c r="Z924" s="218">
        <f t="shared" si="19"/>
        <v>26</v>
      </c>
    </row>
    <row r="925" spans="1:26">
      <c r="A925" s="218" t="s">
        <v>2592</v>
      </c>
      <c r="B925" s="218"/>
      <c r="C925" s="218"/>
      <c r="D925" s="218"/>
      <c r="E925" s="218"/>
      <c r="F925" s="219" t="s">
        <v>4485</v>
      </c>
      <c r="G925" s="218" t="s">
        <v>274</v>
      </c>
      <c r="H925" s="218" t="s">
        <v>309</v>
      </c>
      <c r="I925" s="223">
        <v>43830</v>
      </c>
      <c r="J925" s="218" t="s">
        <v>2610</v>
      </c>
      <c r="K925" s="218" t="s">
        <v>4416</v>
      </c>
      <c r="L925" s="218" t="s">
        <v>2612</v>
      </c>
      <c r="M925" s="218" t="s">
        <v>4478</v>
      </c>
      <c r="N925" s="218">
        <v>5.69</v>
      </c>
      <c r="O925" s="218" t="s">
        <v>292</v>
      </c>
      <c r="P925" s="218">
        <v>7</v>
      </c>
      <c r="Q925" s="218" t="s">
        <v>1271</v>
      </c>
      <c r="R925" s="218" t="s">
        <v>2341</v>
      </c>
      <c r="S925" s="218" t="s">
        <v>396</v>
      </c>
      <c r="T925" s="218" t="s">
        <v>2591</v>
      </c>
      <c r="U925" s="218" t="s">
        <v>743</v>
      </c>
      <c r="V925" s="218" t="s">
        <v>381</v>
      </c>
      <c r="W925" s="218" t="s">
        <v>295</v>
      </c>
      <c r="X925" s="218" t="s">
        <v>379</v>
      </c>
      <c r="Y925" s="218">
        <v>6.68</v>
      </c>
      <c r="Z925" s="218">
        <f t="shared" si="19"/>
        <v>7</v>
      </c>
    </row>
    <row r="926" spans="1:26">
      <c r="A926" s="218" t="s">
        <v>2592</v>
      </c>
      <c r="B926" s="218"/>
      <c r="C926" s="218"/>
      <c r="D926" s="218"/>
      <c r="E926" s="218"/>
      <c r="F926" s="219" t="s">
        <v>4486</v>
      </c>
      <c r="G926" s="218" t="s">
        <v>274</v>
      </c>
      <c r="H926" s="218" t="s">
        <v>309</v>
      </c>
      <c r="I926" s="223">
        <v>43830</v>
      </c>
      <c r="J926" s="218" t="s">
        <v>2610</v>
      </c>
      <c r="K926" s="218" t="s">
        <v>4416</v>
      </c>
      <c r="L926" s="218" t="s">
        <v>2612</v>
      </c>
      <c r="M926" s="218" t="s">
        <v>4480</v>
      </c>
      <c r="N926" s="218">
        <v>11.38</v>
      </c>
      <c r="O926" s="218" t="s">
        <v>292</v>
      </c>
      <c r="P926" s="218">
        <v>14</v>
      </c>
      <c r="Q926" s="218" t="s">
        <v>1271</v>
      </c>
      <c r="R926" s="218" t="s">
        <v>2341</v>
      </c>
      <c r="S926" s="218" t="s">
        <v>396</v>
      </c>
      <c r="T926" s="218" t="s">
        <v>2591</v>
      </c>
      <c r="U926" s="218" t="s">
        <v>743</v>
      </c>
      <c r="V926" s="218" t="s">
        <v>381</v>
      </c>
      <c r="W926" s="218" t="s">
        <v>295</v>
      </c>
      <c r="X926" s="218" t="s">
        <v>379</v>
      </c>
      <c r="Y926" s="218">
        <v>13.36</v>
      </c>
      <c r="Z926" s="218">
        <f t="shared" si="19"/>
        <v>14</v>
      </c>
    </row>
    <row r="927" spans="1:26">
      <c r="A927" s="218" t="s">
        <v>2592</v>
      </c>
      <c r="B927" s="218"/>
      <c r="C927" s="218"/>
      <c r="D927" s="218"/>
      <c r="E927" s="218"/>
      <c r="F927" s="219" t="s">
        <v>4487</v>
      </c>
      <c r="G927" s="218" t="s">
        <v>274</v>
      </c>
      <c r="H927" s="218" t="s">
        <v>309</v>
      </c>
      <c r="I927" s="223">
        <v>43830</v>
      </c>
      <c r="J927" s="218" t="s">
        <v>2610</v>
      </c>
      <c r="K927" s="218" t="s">
        <v>3008</v>
      </c>
      <c r="L927" s="218" t="s">
        <v>2612</v>
      </c>
      <c r="M927" s="218" t="s">
        <v>4488</v>
      </c>
      <c r="N927" s="218">
        <v>6.5</v>
      </c>
      <c r="O927" s="218" t="s">
        <v>292</v>
      </c>
      <c r="P927" s="218">
        <v>8</v>
      </c>
      <c r="Q927" s="218" t="s">
        <v>1271</v>
      </c>
      <c r="R927" s="218" t="s">
        <v>2341</v>
      </c>
      <c r="S927" s="218" t="s">
        <v>396</v>
      </c>
      <c r="T927" s="218" t="s">
        <v>2591</v>
      </c>
      <c r="U927" s="218" t="s">
        <v>743</v>
      </c>
      <c r="V927" s="218" t="s">
        <v>381</v>
      </c>
      <c r="W927" s="218" t="s">
        <v>295</v>
      </c>
      <c r="X927" s="218" t="s">
        <v>379</v>
      </c>
      <c r="Y927" s="218">
        <v>7.63</v>
      </c>
      <c r="Z927" s="218">
        <f t="shared" si="19"/>
        <v>8</v>
      </c>
    </row>
    <row r="928" spans="1:26">
      <c r="A928" s="218" t="s">
        <v>2592</v>
      </c>
      <c r="B928" s="218"/>
      <c r="C928" s="218"/>
      <c r="D928" s="218"/>
      <c r="E928" s="218"/>
      <c r="F928" s="219" t="s">
        <v>4489</v>
      </c>
      <c r="G928" s="218" t="s">
        <v>274</v>
      </c>
      <c r="H928" s="218" t="s">
        <v>309</v>
      </c>
      <c r="I928" s="223">
        <v>43830</v>
      </c>
      <c r="J928" s="218" t="s">
        <v>2610</v>
      </c>
      <c r="K928" s="218" t="s">
        <v>3008</v>
      </c>
      <c r="L928" s="218" t="s">
        <v>2612</v>
      </c>
      <c r="M928" s="218" t="s">
        <v>4490</v>
      </c>
      <c r="N928" s="218">
        <v>4.88</v>
      </c>
      <c r="O928" s="218" t="s">
        <v>292</v>
      </c>
      <c r="P928" s="218">
        <v>6</v>
      </c>
      <c r="Q928" s="218" t="s">
        <v>1271</v>
      </c>
      <c r="R928" s="218" t="s">
        <v>2341</v>
      </c>
      <c r="S928" s="218" t="s">
        <v>396</v>
      </c>
      <c r="T928" s="218" t="s">
        <v>2591</v>
      </c>
      <c r="U928" s="218" t="s">
        <v>743</v>
      </c>
      <c r="V928" s="218" t="s">
        <v>381</v>
      </c>
      <c r="W928" s="218" t="s">
        <v>295</v>
      </c>
      <c r="X928" s="218" t="s">
        <v>379</v>
      </c>
      <c r="Y928" s="218">
        <v>5.73</v>
      </c>
      <c r="Z928" s="218">
        <f t="shared" si="19"/>
        <v>6</v>
      </c>
    </row>
    <row r="929" spans="1:26">
      <c r="A929" s="218" t="s">
        <v>2592</v>
      </c>
      <c r="B929" s="218"/>
      <c r="C929" s="218"/>
      <c r="D929" s="218"/>
      <c r="E929" s="218"/>
      <c r="F929" s="219" t="s">
        <v>4491</v>
      </c>
      <c r="G929" s="218" t="s">
        <v>274</v>
      </c>
      <c r="H929" s="218" t="s">
        <v>309</v>
      </c>
      <c r="I929" s="223">
        <v>43830</v>
      </c>
      <c r="J929" s="218" t="s">
        <v>2610</v>
      </c>
      <c r="K929" s="218" t="s">
        <v>3008</v>
      </c>
      <c r="L929" s="218" t="s">
        <v>2612</v>
      </c>
      <c r="M929" s="218" t="s">
        <v>4492</v>
      </c>
      <c r="N929" s="218">
        <v>1.63</v>
      </c>
      <c r="O929" s="218" t="s">
        <v>292</v>
      </c>
      <c r="P929" s="218">
        <v>2</v>
      </c>
      <c r="Q929" s="218" t="s">
        <v>1271</v>
      </c>
      <c r="R929" s="218" t="s">
        <v>2341</v>
      </c>
      <c r="S929" s="218" t="s">
        <v>396</v>
      </c>
      <c r="T929" s="218" t="s">
        <v>2591</v>
      </c>
      <c r="U929" s="218" t="s">
        <v>743</v>
      </c>
      <c r="V929" s="218" t="s">
        <v>381</v>
      </c>
      <c r="W929" s="218" t="s">
        <v>295</v>
      </c>
      <c r="X929" s="218" t="s">
        <v>379</v>
      </c>
      <c r="Y929" s="218">
        <v>1.91</v>
      </c>
      <c r="Z929" s="218">
        <f t="shared" si="19"/>
        <v>2</v>
      </c>
    </row>
    <row r="930" spans="1:26">
      <c r="A930" s="218" t="s">
        <v>2592</v>
      </c>
      <c r="B930" s="218"/>
      <c r="C930" s="218"/>
      <c r="D930" s="218"/>
      <c r="E930" s="218"/>
      <c r="F930" s="219" t="s">
        <v>4493</v>
      </c>
      <c r="G930" s="218" t="s">
        <v>274</v>
      </c>
      <c r="H930" s="218" t="s">
        <v>309</v>
      </c>
      <c r="I930" s="223">
        <v>43830</v>
      </c>
      <c r="J930" s="218" t="s">
        <v>2610</v>
      </c>
      <c r="K930" s="218" t="s">
        <v>3008</v>
      </c>
      <c r="L930" s="218" t="s">
        <v>2612</v>
      </c>
      <c r="M930" s="218" t="s">
        <v>4494</v>
      </c>
      <c r="N930" s="218">
        <v>2.44</v>
      </c>
      <c r="O930" s="218" t="s">
        <v>292</v>
      </c>
      <c r="P930" s="218">
        <v>3</v>
      </c>
      <c r="Q930" s="218" t="s">
        <v>1271</v>
      </c>
      <c r="R930" s="218" t="s">
        <v>2341</v>
      </c>
      <c r="S930" s="218" t="s">
        <v>396</v>
      </c>
      <c r="T930" s="218" t="s">
        <v>2591</v>
      </c>
      <c r="U930" s="218" t="s">
        <v>743</v>
      </c>
      <c r="V930" s="218" t="s">
        <v>381</v>
      </c>
      <c r="W930" s="218" t="s">
        <v>295</v>
      </c>
      <c r="X930" s="218" t="s">
        <v>379</v>
      </c>
      <c r="Y930" s="218">
        <v>2.86</v>
      </c>
      <c r="Z930" s="218">
        <f t="shared" si="19"/>
        <v>3</v>
      </c>
    </row>
    <row r="931" spans="1:26">
      <c r="A931" s="218" t="s">
        <v>2592</v>
      </c>
      <c r="B931" s="218"/>
      <c r="C931" s="218"/>
      <c r="D931" s="218"/>
      <c r="E931" s="218"/>
      <c r="F931" s="219" t="s">
        <v>4495</v>
      </c>
      <c r="G931" s="218" t="s">
        <v>274</v>
      </c>
      <c r="H931" s="218" t="s">
        <v>309</v>
      </c>
      <c r="I931" s="223">
        <v>43830</v>
      </c>
      <c r="J931" s="218" t="s">
        <v>2610</v>
      </c>
      <c r="K931" s="218" t="s">
        <v>2934</v>
      </c>
      <c r="L931" s="218" t="s">
        <v>2612</v>
      </c>
      <c r="M931" s="218" t="s">
        <v>4496</v>
      </c>
      <c r="N931" s="218">
        <v>323.22000000000003</v>
      </c>
      <c r="O931" s="218" t="s">
        <v>292</v>
      </c>
      <c r="P931" s="218">
        <v>397.6</v>
      </c>
      <c r="Q931" s="218" t="s">
        <v>1271</v>
      </c>
      <c r="R931" s="218" t="s">
        <v>2341</v>
      </c>
      <c r="S931" s="218" t="s">
        <v>396</v>
      </c>
      <c r="T931" s="218" t="s">
        <v>2591</v>
      </c>
      <c r="U931" s="218" t="s">
        <v>743</v>
      </c>
      <c r="V931" s="218" t="s">
        <v>381</v>
      </c>
      <c r="W931" s="218" t="s">
        <v>295</v>
      </c>
      <c r="X931" s="218" t="s">
        <v>379</v>
      </c>
      <c r="Y931" s="218">
        <v>379.45</v>
      </c>
      <c r="Z931" s="218">
        <f t="shared" si="19"/>
        <v>397.6</v>
      </c>
    </row>
    <row r="932" spans="1:26">
      <c r="A932" s="218" t="s">
        <v>2592</v>
      </c>
      <c r="B932" s="218"/>
      <c r="C932" s="218"/>
      <c r="D932" s="218"/>
      <c r="E932" s="218"/>
      <c r="F932" s="219" t="s">
        <v>4497</v>
      </c>
      <c r="G932" s="218" t="s">
        <v>274</v>
      </c>
      <c r="H932" s="218" t="s">
        <v>309</v>
      </c>
      <c r="I932" s="223">
        <v>43830</v>
      </c>
      <c r="J932" s="218" t="s">
        <v>2610</v>
      </c>
      <c r="K932" s="218" t="s">
        <v>4399</v>
      </c>
      <c r="L932" s="218" t="s">
        <v>2612</v>
      </c>
      <c r="M932" s="218" t="s">
        <v>4498</v>
      </c>
      <c r="N932" s="218">
        <v>211.01</v>
      </c>
      <c r="O932" s="218" t="s">
        <v>292</v>
      </c>
      <c r="P932" s="218">
        <v>259.57</v>
      </c>
      <c r="Q932" s="218" t="s">
        <v>1271</v>
      </c>
      <c r="R932" s="218" t="s">
        <v>2341</v>
      </c>
      <c r="S932" s="218" t="s">
        <v>396</v>
      </c>
      <c r="T932" s="218" t="s">
        <v>2591</v>
      </c>
      <c r="U932" s="218" t="s">
        <v>743</v>
      </c>
      <c r="V932" s="218" t="s">
        <v>381</v>
      </c>
      <c r="W932" s="218" t="s">
        <v>295</v>
      </c>
      <c r="X932" s="218" t="s">
        <v>379</v>
      </c>
      <c r="Y932" s="218">
        <v>247.72</v>
      </c>
      <c r="Z932" s="218">
        <f t="shared" si="19"/>
        <v>259.57</v>
      </c>
    </row>
    <row r="933" spans="1:26">
      <c r="A933" s="218" t="s">
        <v>2592</v>
      </c>
      <c r="B933" s="218"/>
      <c r="C933" s="218"/>
      <c r="D933" s="218"/>
      <c r="E933" s="218"/>
      <c r="F933" s="219" t="s">
        <v>4499</v>
      </c>
      <c r="G933" s="218" t="s">
        <v>274</v>
      </c>
      <c r="H933" s="218" t="s">
        <v>309</v>
      </c>
      <c r="I933" s="223">
        <v>43830</v>
      </c>
      <c r="J933" s="218" t="s">
        <v>2610</v>
      </c>
      <c r="K933" s="218" t="s">
        <v>4402</v>
      </c>
      <c r="L933" s="218" t="s">
        <v>2612</v>
      </c>
      <c r="M933" s="218" t="s">
        <v>4500</v>
      </c>
      <c r="N933" s="218">
        <v>100.6</v>
      </c>
      <c r="O933" s="218" t="s">
        <v>292</v>
      </c>
      <c r="P933" s="218">
        <v>123.75</v>
      </c>
      <c r="Q933" s="218" t="s">
        <v>1271</v>
      </c>
      <c r="R933" s="218" t="s">
        <v>2341</v>
      </c>
      <c r="S933" s="218" t="s">
        <v>396</v>
      </c>
      <c r="T933" s="218" t="s">
        <v>2591</v>
      </c>
      <c r="U933" s="218" t="s">
        <v>743</v>
      </c>
      <c r="V933" s="218" t="s">
        <v>381</v>
      </c>
      <c r="W933" s="218" t="s">
        <v>295</v>
      </c>
      <c r="X933" s="218" t="s">
        <v>379</v>
      </c>
      <c r="Y933" s="218">
        <v>118.1</v>
      </c>
      <c r="Z933" s="218">
        <f t="shared" si="19"/>
        <v>123.75</v>
      </c>
    </row>
    <row r="934" spans="1:26">
      <c r="A934" s="218" t="s">
        <v>2592</v>
      </c>
      <c r="B934" s="218"/>
      <c r="C934" s="218"/>
      <c r="D934" s="218"/>
      <c r="E934" s="218"/>
      <c r="F934" s="219" t="s">
        <v>4501</v>
      </c>
      <c r="G934" s="218" t="s">
        <v>274</v>
      </c>
      <c r="H934" s="218" t="s">
        <v>309</v>
      </c>
      <c r="I934" s="223">
        <v>43830</v>
      </c>
      <c r="J934" s="218" t="s">
        <v>2610</v>
      </c>
      <c r="K934" s="218" t="s">
        <v>4393</v>
      </c>
      <c r="L934" s="218" t="s">
        <v>2612</v>
      </c>
      <c r="M934" s="218" t="s">
        <v>4502</v>
      </c>
      <c r="N934" s="218">
        <v>149.41999999999999</v>
      </c>
      <c r="O934" s="218" t="s">
        <v>292</v>
      </c>
      <c r="P934" s="218">
        <v>183.8</v>
      </c>
      <c r="Q934" s="218" t="s">
        <v>1271</v>
      </c>
      <c r="R934" s="218" t="s">
        <v>2341</v>
      </c>
      <c r="S934" s="218" t="s">
        <v>396</v>
      </c>
      <c r="T934" s="218" t="s">
        <v>2591</v>
      </c>
      <c r="U934" s="218" t="s">
        <v>743</v>
      </c>
      <c r="V934" s="218" t="s">
        <v>381</v>
      </c>
      <c r="W934" s="218" t="s">
        <v>295</v>
      </c>
      <c r="X934" s="218" t="s">
        <v>379</v>
      </c>
      <c r="Y934" s="218">
        <v>175.42</v>
      </c>
      <c r="Z934" s="218">
        <f t="shared" si="19"/>
        <v>183.8</v>
      </c>
    </row>
    <row r="935" spans="1:26">
      <c r="A935" s="218" t="s">
        <v>2592</v>
      </c>
      <c r="B935" s="218"/>
      <c r="C935" s="218"/>
      <c r="D935" s="218"/>
      <c r="E935" s="218"/>
      <c r="F935" s="219" t="s">
        <v>4503</v>
      </c>
      <c r="G935" s="218" t="s">
        <v>274</v>
      </c>
      <c r="H935" s="218" t="s">
        <v>309</v>
      </c>
      <c r="I935" s="223">
        <v>43830</v>
      </c>
      <c r="J935" s="218" t="s">
        <v>2610</v>
      </c>
      <c r="K935" s="218" t="s">
        <v>3000</v>
      </c>
      <c r="L935" s="218" t="s">
        <v>2612</v>
      </c>
      <c r="M935" s="218" t="s">
        <v>4504</v>
      </c>
      <c r="N935" s="218">
        <v>30.89</v>
      </c>
      <c r="O935" s="218" t="s">
        <v>292</v>
      </c>
      <c r="P935" s="218">
        <v>38</v>
      </c>
      <c r="Q935" s="218" t="s">
        <v>1271</v>
      </c>
      <c r="R935" s="218" t="s">
        <v>2341</v>
      </c>
      <c r="S935" s="218" t="s">
        <v>396</v>
      </c>
      <c r="T935" s="218" t="s">
        <v>2591</v>
      </c>
      <c r="U935" s="218" t="s">
        <v>743</v>
      </c>
      <c r="V935" s="218" t="s">
        <v>381</v>
      </c>
      <c r="W935" s="218" t="s">
        <v>295</v>
      </c>
      <c r="X935" s="218" t="s">
        <v>379</v>
      </c>
      <c r="Y935" s="218">
        <v>36.26</v>
      </c>
      <c r="Z935" s="218">
        <f t="shared" si="19"/>
        <v>38</v>
      </c>
    </row>
    <row r="936" spans="1:26">
      <c r="A936" s="218" t="s">
        <v>2592</v>
      </c>
      <c r="B936" s="218"/>
      <c r="C936" s="218"/>
      <c r="D936" s="218"/>
      <c r="E936" s="218"/>
      <c r="F936" s="219" t="s">
        <v>4505</v>
      </c>
      <c r="G936" s="218" t="s">
        <v>274</v>
      </c>
      <c r="H936" s="218" t="s">
        <v>309</v>
      </c>
      <c r="I936" s="223">
        <v>43830</v>
      </c>
      <c r="J936" s="218" t="s">
        <v>2610</v>
      </c>
      <c r="K936" s="218" t="s">
        <v>3000</v>
      </c>
      <c r="L936" s="218" t="s">
        <v>2612</v>
      </c>
      <c r="M936" s="218" t="s">
        <v>4506</v>
      </c>
      <c r="N936" s="218">
        <v>24.79</v>
      </c>
      <c r="O936" s="218" t="s">
        <v>292</v>
      </c>
      <c r="P936" s="218">
        <v>30.5</v>
      </c>
      <c r="Q936" s="218" t="s">
        <v>1271</v>
      </c>
      <c r="R936" s="218" t="s">
        <v>2341</v>
      </c>
      <c r="S936" s="218" t="s">
        <v>396</v>
      </c>
      <c r="T936" s="218" t="s">
        <v>2591</v>
      </c>
      <c r="U936" s="218" t="s">
        <v>743</v>
      </c>
      <c r="V936" s="218" t="s">
        <v>381</v>
      </c>
      <c r="W936" s="218" t="s">
        <v>295</v>
      </c>
      <c r="X936" s="218" t="s">
        <v>379</v>
      </c>
      <c r="Y936" s="218">
        <v>29.1</v>
      </c>
      <c r="Z936" s="218">
        <f t="shared" si="19"/>
        <v>30.5</v>
      </c>
    </row>
    <row r="937" spans="1:26">
      <c r="A937" s="218" t="s">
        <v>2592</v>
      </c>
      <c r="B937" s="218"/>
      <c r="C937" s="218"/>
      <c r="D937" s="218"/>
      <c r="E937" s="218"/>
      <c r="F937" s="219" t="s">
        <v>4507</v>
      </c>
      <c r="G937" s="218" t="s">
        <v>274</v>
      </c>
      <c r="H937" s="218" t="s">
        <v>309</v>
      </c>
      <c r="I937" s="223">
        <v>43830</v>
      </c>
      <c r="J937" s="218" t="s">
        <v>2610</v>
      </c>
      <c r="K937" s="218" t="s">
        <v>3000</v>
      </c>
      <c r="L937" s="218" t="s">
        <v>2612</v>
      </c>
      <c r="M937" s="218" t="s">
        <v>4508</v>
      </c>
      <c r="N937" s="218">
        <v>2.85</v>
      </c>
      <c r="O937" s="218" t="s">
        <v>292</v>
      </c>
      <c r="P937" s="218">
        <v>3.5</v>
      </c>
      <c r="Q937" s="218" t="s">
        <v>1271</v>
      </c>
      <c r="R937" s="218" t="s">
        <v>2341</v>
      </c>
      <c r="S937" s="218" t="s">
        <v>396</v>
      </c>
      <c r="T937" s="218" t="s">
        <v>2591</v>
      </c>
      <c r="U937" s="218" t="s">
        <v>743</v>
      </c>
      <c r="V937" s="218" t="s">
        <v>381</v>
      </c>
      <c r="W937" s="218" t="s">
        <v>295</v>
      </c>
      <c r="X937" s="218" t="s">
        <v>379</v>
      </c>
      <c r="Y937" s="218">
        <v>3.35</v>
      </c>
      <c r="Z937" s="218">
        <f t="shared" si="19"/>
        <v>3.5</v>
      </c>
    </row>
    <row r="938" spans="1:26">
      <c r="A938" s="218" t="s">
        <v>2592</v>
      </c>
      <c r="B938" s="218"/>
      <c r="C938" s="218"/>
      <c r="D938" s="218"/>
      <c r="E938" s="218"/>
      <c r="F938" s="219" t="s">
        <v>4509</v>
      </c>
      <c r="G938" s="218" t="s">
        <v>274</v>
      </c>
      <c r="H938" s="218" t="s">
        <v>309</v>
      </c>
      <c r="I938" s="223">
        <v>43830</v>
      </c>
      <c r="J938" s="218" t="s">
        <v>2610</v>
      </c>
      <c r="K938" s="218" t="s">
        <v>3000</v>
      </c>
      <c r="L938" s="218" t="s">
        <v>2612</v>
      </c>
      <c r="M938" s="218" t="s">
        <v>4510</v>
      </c>
      <c r="N938" s="218">
        <v>9.58</v>
      </c>
      <c r="O938" s="218" t="s">
        <v>292</v>
      </c>
      <c r="P938" s="218">
        <v>11.78</v>
      </c>
      <c r="Q938" s="218" t="s">
        <v>1271</v>
      </c>
      <c r="R938" s="218" t="s">
        <v>2341</v>
      </c>
      <c r="S938" s="218" t="s">
        <v>396</v>
      </c>
      <c r="T938" s="218" t="s">
        <v>2591</v>
      </c>
      <c r="U938" s="218" t="s">
        <v>743</v>
      </c>
      <c r="V938" s="218" t="s">
        <v>381</v>
      </c>
      <c r="W938" s="218" t="s">
        <v>295</v>
      </c>
      <c r="X938" s="218" t="s">
        <v>379</v>
      </c>
      <c r="Y938" s="218">
        <v>11.25</v>
      </c>
      <c r="Z938" s="218">
        <f t="shared" si="19"/>
        <v>11.78</v>
      </c>
    </row>
    <row r="939" spans="1:26">
      <c r="A939" s="218" t="s">
        <v>2592</v>
      </c>
      <c r="B939" s="218"/>
      <c r="C939" s="218"/>
      <c r="D939" s="218"/>
      <c r="E939" s="218"/>
      <c r="F939" s="219" t="s">
        <v>4511</v>
      </c>
      <c r="G939" s="218" t="s">
        <v>274</v>
      </c>
      <c r="H939" s="218" t="s">
        <v>309</v>
      </c>
      <c r="I939" s="223">
        <v>43830</v>
      </c>
      <c r="J939" s="218" t="s">
        <v>2610</v>
      </c>
      <c r="K939" s="218" t="s">
        <v>3008</v>
      </c>
      <c r="L939" s="218" t="s">
        <v>2612</v>
      </c>
      <c r="M939" s="218" t="s">
        <v>4512</v>
      </c>
      <c r="N939" s="218">
        <v>6.5</v>
      </c>
      <c r="O939" s="218" t="s">
        <v>292</v>
      </c>
      <c r="P939" s="218">
        <v>8</v>
      </c>
      <c r="Q939" s="218" t="s">
        <v>1271</v>
      </c>
      <c r="R939" s="218" t="s">
        <v>2341</v>
      </c>
      <c r="S939" s="218" t="s">
        <v>396</v>
      </c>
      <c r="T939" s="218" t="s">
        <v>2591</v>
      </c>
      <c r="U939" s="218" t="s">
        <v>743</v>
      </c>
      <c r="V939" s="218" t="s">
        <v>381</v>
      </c>
      <c r="W939" s="218" t="s">
        <v>295</v>
      </c>
      <c r="X939" s="218" t="s">
        <v>379</v>
      </c>
      <c r="Y939" s="218">
        <v>7.63</v>
      </c>
      <c r="Z939" s="218">
        <f t="shared" si="19"/>
        <v>8</v>
      </c>
    </row>
    <row r="940" spans="1:26">
      <c r="A940" s="218" t="s">
        <v>2592</v>
      </c>
      <c r="B940" s="218"/>
      <c r="C940" s="218"/>
      <c r="D940" s="218"/>
      <c r="E940" s="218"/>
      <c r="F940" s="219" t="s">
        <v>4513</v>
      </c>
      <c r="G940" s="218" t="s">
        <v>274</v>
      </c>
      <c r="H940" s="218" t="s">
        <v>309</v>
      </c>
      <c r="I940" s="223">
        <v>43830</v>
      </c>
      <c r="J940" s="218" t="s">
        <v>2610</v>
      </c>
      <c r="K940" s="218" t="s">
        <v>3008</v>
      </c>
      <c r="L940" s="218" t="s">
        <v>2612</v>
      </c>
      <c r="M940" s="218" t="s">
        <v>4514</v>
      </c>
      <c r="N940" s="218">
        <v>4.88</v>
      </c>
      <c r="O940" s="218" t="s">
        <v>292</v>
      </c>
      <c r="P940" s="218">
        <v>6</v>
      </c>
      <c r="Q940" s="218" t="s">
        <v>1271</v>
      </c>
      <c r="R940" s="218" t="s">
        <v>2341</v>
      </c>
      <c r="S940" s="218" t="s">
        <v>396</v>
      </c>
      <c r="T940" s="218" t="s">
        <v>2591</v>
      </c>
      <c r="U940" s="218" t="s">
        <v>743</v>
      </c>
      <c r="V940" s="218" t="s">
        <v>381</v>
      </c>
      <c r="W940" s="218" t="s">
        <v>295</v>
      </c>
      <c r="X940" s="218" t="s">
        <v>379</v>
      </c>
      <c r="Y940" s="218">
        <v>5.73</v>
      </c>
      <c r="Z940" s="218">
        <f t="shared" si="19"/>
        <v>6</v>
      </c>
    </row>
    <row r="941" spans="1:26">
      <c r="A941" s="218" t="s">
        <v>2592</v>
      </c>
      <c r="B941" s="218"/>
      <c r="C941" s="218"/>
      <c r="D941" s="218"/>
      <c r="E941" s="218"/>
      <c r="F941" s="219" t="s">
        <v>4515</v>
      </c>
      <c r="G941" s="218" t="s">
        <v>274</v>
      </c>
      <c r="H941" s="218" t="s">
        <v>309</v>
      </c>
      <c r="I941" s="223">
        <v>43830</v>
      </c>
      <c r="J941" s="218" t="s">
        <v>2610</v>
      </c>
      <c r="K941" s="218" t="s">
        <v>3008</v>
      </c>
      <c r="L941" s="218" t="s">
        <v>2612</v>
      </c>
      <c r="M941" s="218" t="s">
        <v>4516</v>
      </c>
      <c r="N941" s="218">
        <v>1.63</v>
      </c>
      <c r="O941" s="218" t="s">
        <v>292</v>
      </c>
      <c r="P941" s="218">
        <v>2</v>
      </c>
      <c r="Q941" s="218" t="s">
        <v>1271</v>
      </c>
      <c r="R941" s="218" t="s">
        <v>2341</v>
      </c>
      <c r="S941" s="218" t="s">
        <v>396</v>
      </c>
      <c r="T941" s="218" t="s">
        <v>2591</v>
      </c>
      <c r="U941" s="218" t="s">
        <v>743</v>
      </c>
      <c r="V941" s="218" t="s">
        <v>381</v>
      </c>
      <c r="W941" s="218" t="s">
        <v>295</v>
      </c>
      <c r="X941" s="218" t="s">
        <v>379</v>
      </c>
      <c r="Y941" s="218">
        <v>1.91</v>
      </c>
      <c r="Z941" s="218">
        <f t="shared" si="19"/>
        <v>2</v>
      </c>
    </row>
    <row r="942" spans="1:26">
      <c r="A942" s="218" t="s">
        <v>2592</v>
      </c>
      <c r="B942" s="218"/>
      <c r="C942" s="218"/>
      <c r="D942" s="218"/>
      <c r="E942" s="218"/>
      <c r="F942" s="219" t="s">
        <v>4517</v>
      </c>
      <c r="G942" s="218" t="s">
        <v>274</v>
      </c>
      <c r="H942" s="218" t="s">
        <v>309</v>
      </c>
      <c r="I942" s="223">
        <v>43830</v>
      </c>
      <c r="J942" s="218" t="s">
        <v>2610</v>
      </c>
      <c r="K942" s="218" t="s">
        <v>3008</v>
      </c>
      <c r="L942" s="218" t="s">
        <v>2612</v>
      </c>
      <c r="M942" s="218" t="s">
        <v>4518</v>
      </c>
      <c r="N942" s="218">
        <v>2.44</v>
      </c>
      <c r="O942" s="218" t="s">
        <v>292</v>
      </c>
      <c r="P942" s="218">
        <v>3</v>
      </c>
      <c r="Q942" s="218" t="s">
        <v>1271</v>
      </c>
      <c r="R942" s="218" t="s">
        <v>2341</v>
      </c>
      <c r="S942" s="218" t="s">
        <v>396</v>
      </c>
      <c r="T942" s="218" t="s">
        <v>2591</v>
      </c>
      <c r="U942" s="218" t="s">
        <v>743</v>
      </c>
      <c r="V942" s="218" t="s">
        <v>381</v>
      </c>
      <c r="W942" s="218" t="s">
        <v>295</v>
      </c>
      <c r="X942" s="218" t="s">
        <v>379</v>
      </c>
      <c r="Y942" s="218">
        <v>2.86</v>
      </c>
      <c r="Z942" s="218">
        <f t="shared" si="19"/>
        <v>3</v>
      </c>
    </row>
    <row r="943" spans="1:26">
      <c r="A943" s="218" t="s">
        <v>2592</v>
      </c>
      <c r="B943" s="218"/>
      <c r="C943" s="218"/>
      <c r="D943" s="218"/>
      <c r="E943" s="218"/>
      <c r="F943" s="219" t="s">
        <v>4519</v>
      </c>
      <c r="G943" s="218" t="s">
        <v>274</v>
      </c>
      <c r="H943" s="218" t="s">
        <v>309</v>
      </c>
      <c r="I943" s="223">
        <v>43830</v>
      </c>
      <c r="J943" s="218" t="s">
        <v>2610</v>
      </c>
      <c r="K943" s="218" t="s">
        <v>4407</v>
      </c>
      <c r="L943" s="218" t="s">
        <v>2612</v>
      </c>
      <c r="M943" s="218" t="s">
        <v>4520</v>
      </c>
      <c r="N943" s="218">
        <v>11.38</v>
      </c>
      <c r="O943" s="218" t="s">
        <v>292</v>
      </c>
      <c r="P943" s="218">
        <v>14</v>
      </c>
      <c r="Q943" s="218" t="s">
        <v>1271</v>
      </c>
      <c r="R943" s="218" t="s">
        <v>2341</v>
      </c>
      <c r="S943" s="218" t="s">
        <v>396</v>
      </c>
      <c r="T943" s="218" t="s">
        <v>2591</v>
      </c>
      <c r="U943" s="218" t="s">
        <v>743</v>
      </c>
      <c r="V943" s="218" t="s">
        <v>381</v>
      </c>
      <c r="W943" s="218" t="s">
        <v>295</v>
      </c>
      <c r="X943" s="218" t="s">
        <v>379</v>
      </c>
      <c r="Y943" s="218">
        <v>13.36</v>
      </c>
      <c r="Z943" s="218">
        <f t="shared" si="19"/>
        <v>14</v>
      </c>
    </row>
    <row r="944" spans="1:26">
      <c r="A944" s="218" t="s">
        <v>2592</v>
      </c>
      <c r="B944" s="218"/>
      <c r="C944" s="218"/>
      <c r="D944" s="218"/>
      <c r="E944" s="218"/>
      <c r="F944" s="219" t="s">
        <v>4521</v>
      </c>
      <c r="G944" s="218" t="s">
        <v>274</v>
      </c>
      <c r="H944" s="218" t="s">
        <v>309</v>
      </c>
      <c r="I944" s="223">
        <v>43830</v>
      </c>
      <c r="J944" s="218" t="s">
        <v>2610</v>
      </c>
      <c r="K944" s="218" t="s">
        <v>4407</v>
      </c>
      <c r="L944" s="218" t="s">
        <v>2612</v>
      </c>
      <c r="M944" s="218" t="s">
        <v>4522</v>
      </c>
      <c r="N944" s="218">
        <v>8.1300000000000008</v>
      </c>
      <c r="O944" s="218" t="s">
        <v>292</v>
      </c>
      <c r="P944" s="218">
        <v>10</v>
      </c>
      <c r="Q944" s="218" t="s">
        <v>1271</v>
      </c>
      <c r="R944" s="218" t="s">
        <v>2341</v>
      </c>
      <c r="S944" s="218" t="s">
        <v>396</v>
      </c>
      <c r="T944" s="218" t="s">
        <v>2591</v>
      </c>
      <c r="U944" s="218" t="s">
        <v>743</v>
      </c>
      <c r="V944" s="218" t="s">
        <v>381</v>
      </c>
      <c r="W944" s="218" t="s">
        <v>295</v>
      </c>
      <c r="X944" s="218" t="s">
        <v>379</v>
      </c>
      <c r="Y944" s="218">
        <v>9.5399999999999991</v>
      </c>
      <c r="Z944" s="218">
        <f t="shared" si="19"/>
        <v>10</v>
      </c>
    </row>
    <row r="945" spans="1:26">
      <c r="A945" s="218" t="s">
        <v>2592</v>
      </c>
      <c r="B945" s="218"/>
      <c r="C945" s="218"/>
      <c r="D945" s="218"/>
      <c r="E945" s="218"/>
      <c r="F945" s="219" t="s">
        <v>4523</v>
      </c>
      <c r="G945" s="218" t="s">
        <v>274</v>
      </c>
      <c r="H945" s="218" t="s">
        <v>309</v>
      </c>
      <c r="I945" s="223">
        <v>43830</v>
      </c>
      <c r="J945" s="218" t="s">
        <v>2610</v>
      </c>
      <c r="K945" s="218" t="s">
        <v>4407</v>
      </c>
      <c r="L945" s="218" t="s">
        <v>2612</v>
      </c>
      <c r="M945" s="218" t="s">
        <v>4524</v>
      </c>
      <c r="N945" s="218">
        <v>2.44</v>
      </c>
      <c r="O945" s="218" t="s">
        <v>292</v>
      </c>
      <c r="P945" s="218">
        <v>3</v>
      </c>
      <c r="Q945" s="218" t="s">
        <v>1271</v>
      </c>
      <c r="R945" s="218" t="s">
        <v>2341</v>
      </c>
      <c r="S945" s="218" t="s">
        <v>396</v>
      </c>
      <c r="T945" s="218" t="s">
        <v>2591</v>
      </c>
      <c r="U945" s="218" t="s">
        <v>743</v>
      </c>
      <c r="V945" s="218" t="s">
        <v>381</v>
      </c>
      <c r="W945" s="218" t="s">
        <v>295</v>
      </c>
      <c r="X945" s="218" t="s">
        <v>379</v>
      </c>
      <c r="Y945" s="218">
        <v>2.86</v>
      </c>
      <c r="Z945" s="218">
        <f t="shared" si="19"/>
        <v>3</v>
      </c>
    </row>
    <row r="946" spans="1:26">
      <c r="A946" s="218" t="s">
        <v>2592</v>
      </c>
      <c r="B946" s="218"/>
      <c r="C946" s="218"/>
      <c r="D946" s="218"/>
      <c r="E946" s="218"/>
      <c r="F946" s="219" t="s">
        <v>4525</v>
      </c>
      <c r="G946" s="218" t="s">
        <v>274</v>
      </c>
      <c r="H946" s="218" t="s">
        <v>309</v>
      </c>
      <c r="I946" s="223">
        <v>43830</v>
      </c>
      <c r="J946" s="218" t="s">
        <v>2610</v>
      </c>
      <c r="K946" s="218" t="s">
        <v>4407</v>
      </c>
      <c r="L946" s="218" t="s">
        <v>2612</v>
      </c>
      <c r="M946" s="218" t="s">
        <v>4526</v>
      </c>
      <c r="N946" s="218">
        <v>3.25</v>
      </c>
      <c r="O946" s="218" t="s">
        <v>292</v>
      </c>
      <c r="P946" s="218">
        <v>4</v>
      </c>
      <c r="Q946" s="218" t="s">
        <v>1271</v>
      </c>
      <c r="R946" s="218" t="s">
        <v>2341</v>
      </c>
      <c r="S946" s="218" t="s">
        <v>396</v>
      </c>
      <c r="T946" s="218" t="s">
        <v>2591</v>
      </c>
      <c r="U946" s="218" t="s">
        <v>743</v>
      </c>
      <c r="V946" s="218" t="s">
        <v>381</v>
      </c>
      <c r="W946" s="218" t="s">
        <v>295</v>
      </c>
      <c r="X946" s="218" t="s">
        <v>379</v>
      </c>
      <c r="Y946" s="218">
        <v>3.82</v>
      </c>
      <c r="Z946" s="218">
        <f t="shared" si="19"/>
        <v>4</v>
      </c>
    </row>
    <row r="947" spans="1:26">
      <c r="A947" s="218" t="s">
        <v>2592</v>
      </c>
      <c r="B947" s="218"/>
      <c r="C947" s="218"/>
      <c r="D947" s="218"/>
      <c r="E947" s="218"/>
      <c r="F947" s="219" t="s">
        <v>4527</v>
      </c>
      <c r="G947" s="218" t="s">
        <v>274</v>
      </c>
      <c r="H947" s="218" t="s">
        <v>309</v>
      </c>
      <c r="I947" s="223">
        <v>43830</v>
      </c>
      <c r="J947" s="218" t="s">
        <v>2610</v>
      </c>
      <c r="K947" s="218" t="s">
        <v>4416</v>
      </c>
      <c r="L947" s="218" t="s">
        <v>2612</v>
      </c>
      <c r="M947" s="218" t="s">
        <v>4528</v>
      </c>
      <c r="N947" s="218">
        <v>29.27</v>
      </c>
      <c r="O947" s="218" t="s">
        <v>292</v>
      </c>
      <c r="P947" s="218">
        <v>36</v>
      </c>
      <c r="Q947" s="218" t="s">
        <v>1271</v>
      </c>
      <c r="R947" s="218" t="s">
        <v>2341</v>
      </c>
      <c r="S947" s="218" t="s">
        <v>396</v>
      </c>
      <c r="T947" s="218" t="s">
        <v>2591</v>
      </c>
      <c r="U947" s="218" t="s">
        <v>743</v>
      </c>
      <c r="V947" s="218" t="s">
        <v>381</v>
      </c>
      <c r="W947" s="218" t="s">
        <v>295</v>
      </c>
      <c r="X947" s="218" t="s">
        <v>379</v>
      </c>
      <c r="Y947" s="218">
        <v>34.36</v>
      </c>
      <c r="Z947" s="218">
        <f t="shared" si="19"/>
        <v>36</v>
      </c>
    </row>
    <row r="948" spans="1:26">
      <c r="A948" s="218" t="s">
        <v>2592</v>
      </c>
      <c r="B948" s="218"/>
      <c r="C948" s="218"/>
      <c r="D948" s="218"/>
      <c r="E948" s="218"/>
      <c r="F948" s="219" t="s">
        <v>4529</v>
      </c>
      <c r="G948" s="218" t="s">
        <v>274</v>
      </c>
      <c r="H948" s="218" t="s">
        <v>309</v>
      </c>
      <c r="I948" s="223">
        <v>43830</v>
      </c>
      <c r="J948" s="218" t="s">
        <v>2610</v>
      </c>
      <c r="K948" s="218" t="s">
        <v>4416</v>
      </c>
      <c r="L948" s="218" t="s">
        <v>2612</v>
      </c>
      <c r="M948" s="218" t="s">
        <v>4530</v>
      </c>
      <c r="N948" s="218">
        <v>21.14</v>
      </c>
      <c r="O948" s="218" t="s">
        <v>292</v>
      </c>
      <c r="P948" s="218">
        <v>26</v>
      </c>
      <c r="Q948" s="218" t="s">
        <v>1271</v>
      </c>
      <c r="R948" s="218" t="s">
        <v>2341</v>
      </c>
      <c r="S948" s="218" t="s">
        <v>396</v>
      </c>
      <c r="T948" s="218" t="s">
        <v>2591</v>
      </c>
      <c r="U948" s="218" t="s">
        <v>743</v>
      </c>
      <c r="V948" s="218" t="s">
        <v>381</v>
      </c>
      <c r="W948" s="218" t="s">
        <v>295</v>
      </c>
      <c r="X948" s="218" t="s">
        <v>379</v>
      </c>
      <c r="Y948" s="218">
        <v>24.82</v>
      </c>
      <c r="Z948" s="218">
        <f t="shared" si="19"/>
        <v>26</v>
      </c>
    </row>
    <row r="949" spans="1:26">
      <c r="A949" s="218" t="s">
        <v>2592</v>
      </c>
      <c r="B949" s="218"/>
      <c r="C949" s="218"/>
      <c r="D949" s="218"/>
      <c r="E949" s="218"/>
      <c r="F949" s="219" t="s">
        <v>4531</v>
      </c>
      <c r="G949" s="218" t="s">
        <v>274</v>
      </c>
      <c r="H949" s="218" t="s">
        <v>309</v>
      </c>
      <c r="I949" s="223">
        <v>43830</v>
      </c>
      <c r="J949" s="218" t="s">
        <v>2610</v>
      </c>
      <c r="K949" s="218" t="s">
        <v>4416</v>
      </c>
      <c r="L949" s="218" t="s">
        <v>2612</v>
      </c>
      <c r="M949" s="218" t="s">
        <v>4524</v>
      </c>
      <c r="N949" s="218">
        <v>5.69</v>
      </c>
      <c r="O949" s="218" t="s">
        <v>292</v>
      </c>
      <c r="P949" s="218">
        <v>7</v>
      </c>
      <c r="Q949" s="218" t="s">
        <v>1271</v>
      </c>
      <c r="R949" s="218" t="s">
        <v>2341</v>
      </c>
      <c r="S949" s="218" t="s">
        <v>396</v>
      </c>
      <c r="T949" s="218" t="s">
        <v>2591</v>
      </c>
      <c r="U949" s="218" t="s">
        <v>743</v>
      </c>
      <c r="V949" s="218" t="s">
        <v>381</v>
      </c>
      <c r="W949" s="218" t="s">
        <v>295</v>
      </c>
      <c r="X949" s="218" t="s">
        <v>379</v>
      </c>
      <c r="Y949" s="218">
        <v>6.68</v>
      </c>
      <c r="Z949" s="218">
        <f t="shared" si="19"/>
        <v>7</v>
      </c>
    </row>
    <row r="950" spans="1:26">
      <c r="A950" s="218" t="s">
        <v>2592</v>
      </c>
      <c r="B950" s="218"/>
      <c r="C950" s="218"/>
      <c r="D950" s="218"/>
      <c r="E950" s="218"/>
      <c r="F950" s="219" t="s">
        <v>4532</v>
      </c>
      <c r="G950" s="218" t="s">
        <v>274</v>
      </c>
      <c r="H950" s="218" t="s">
        <v>309</v>
      </c>
      <c r="I950" s="223">
        <v>43830</v>
      </c>
      <c r="J950" s="218" t="s">
        <v>2610</v>
      </c>
      <c r="K950" s="218" t="s">
        <v>4416</v>
      </c>
      <c r="L950" s="218" t="s">
        <v>2612</v>
      </c>
      <c r="M950" s="218" t="s">
        <v>4526</v>
      </c>
      <c r="N950" s="218">
        <v>11.38</v>
      </c>
      <c r="O950" s="218" t="s">
        <v>292</v>
      </c>
      <c r="P950" s="218">
        <v>14</v>
      </c>
      <c r="Q950" s="218" t="s">
        <v>1271</v>
      </c>
      <c r="R950" s="218" t="s">
        <v>2341</v>
      </c>
      <c r="S950" s="218" t="s">
        <v>396</v>
      </c>
      <c r="T950" s="218" t="s">
        <v>2591</v>
      </c>
      <c r="U950" s="218" t="s">
        <v>743</v>
      </c>
      <c r="V950" s="218" t="s">
        <v>381</v>
      </c>
      <c r="W950" s="218" t="s">
        <v>295</v>
      </c>
      <c r="X950" s="218" t="s">
        <v>379</v>
      </c>
      <c r="Y950" s="218">
        <v>13.36</v>
      </c>
      <c r="Z950" s="218">
        <f t="shared" si="19"/>
        <v>14</v>
      </c>
    </row>
    <row r="951" spans="1:26">
      <c r="A951" s="218" t="s">
        <v>2592</v>
      </c>
      <c r="B951" s="218"/>
      <c r="C951" s="218"/>
      <c r="D951" s="218"/>
      <c r="E951" s="218"/>
      <c r="F951" s="219" t="s">
        <v>4533</v>
      </c>
      <c r="G951" s="218" t="s">
        <v>274</v>
      </c>
      <c r="H951" s="218" t="s">
        <v>309</v>
      </c>
      <c r="I951" s="223">
        <v>43830</v>
      </c>
      <c r="J951" s="218" t="s">
        <v>2610</v>
      </c>
      <c r="K951" s="218" t="s">
        <v>4393</v>
      </c>
      <c r="L951" s="218" t="s">
        <v>2612</v>
      </c>
      <c r="M951" s="218" t="s">
        <v>4534</v>
      </c>
      <c r="N951" s="218">
        <v>406.47</v>
      </c>
      <c r="O951" s="218" t="s">
        <v>292</v>
      </c>
      <c r="P951" s="218">
        <v>500</v>
      </c>
      <c r="Q951" s="218" t="s">
        <v>4251</v>
      </c>
      <c r="R951" s="218" t="s">
        <v>4252</v>
      </c>
      <c r="S951" s="218" t="s">
        <v>396</v>
      </c>
      <c r="T951" s="218" t="s">
        <v>2591</v>
      </c>
      <c r="U951" s="218" t="s">
        <v>743</v>
      </c>
      <c r="V951" s="218" t="s">
        <v>381</v>
      </c>
      <c r="W951" s="218" t="s">
        <v>295</v>
      </c>
      <c r="X951" s="218" t="s">
        <v>379</v>
      </c>
      <c r="Y951" s="218">
        <v>477.19</v>
      </c>
      <c r="Z951" s="218">
        <f t="shared" si="19"/>
        <v>500</v>
      </c>
    </row>
    <row r="952" spans="1:26">
      <c r="A952" s="218" t="s">
        <v>2592</v>
      </c>
      <c r="B952" s="218"/>
      <c r="C952" s="218"/>
      <c r="D952" s="218"/>
      <c r="E952" s="218"/>
      <c r="F952" s="219" t="s">
        <v>4535</v>
      </c>
      <c r="G952" s="218" t="s">
        <v>274</v>
      </c>
      <c r="H952" s="218" t="s">
        <v>309</v>
      </c>
      <c r="I952" s="223">
        <v>43830</v>
      </c>
      <c r="J952" s="218" t="s">
        <v>2610</v>
      </c>
      <c r="K952" s="218" t="s">
        <v>2591</v>
      </c>
      <c r="L952" s="218" t="s">
        <v>2612</v>
      </c>
      <c r="M952" s="218" t="s">
        <v>4536</v>
      </c>
      <c r="N952" s="218">
        <v>16.260000000000002</v>
      </c>
      <c r="O952" s="218" t="s">
        <v>292</v>
      </c>
      <c r="P952" s="218">
        <v>20</v>
      </c>
      <c r="Q952" s="218" t="s">
        <v>4251</v>
      </c>
      <c r="R952" s="218" t="s">
        <v>4252</v>
      </c>
      <c r="S952" s="218" t="s">
        <v>396</v>
      </c>
      <c r="T952" s="218" t="s">
        <v>2591</v>
      </c>
      <c r="U952" s="218" t="s">
        <v>743</v>
      </c>
      <c r="V952" s="218" t="s">
        <v>381</v>
      </c>
      <c r="W952" s="218" t="s">
        <v>295</v>
      </c>
      <c r="X952" s="218" t="s">
        <v>379</v>
      </c>
      <c r="Y952" s="218">
        <v>19.09</v>
      </c>
      <c r="Z952" s="218">
        <f t="shared" si="19"/>
        <v>20</v>
      </c>
    </row>
    <row r="953" spans="1:26">
      <c r="A953" s="218" t="s">
        <v>2592</v>
      </c>
      <c r="B953" s="218"/>
      <c r="C953" s="218"/>
      <c r="D953" s="218"/>
      <c r="E953" s="218"/>
      <c r="F953" s="219" t="s">
        <v>4537</v>
      </c>
      <c r="G953" s="218" t="s">
        <v>274</v>
      </c>
      <c r="H953" s="218" t="s">
        <v>309</v>
      </c>
      <c r="I953" s="223">
        <v>43830</v>
      </c>
      <c r="J953" s="218" t="s">
        <v>2610</v>
      </c>
      <c r="K953" s="218" t="s">
        <v>2591</v>
      </c>
      <c r="L953" s="218" t="s">
        <v>2612</v>
      </c>
      <c r="M953" s="218" t="s">
        <v>4538</v>
      </c>
      <c r="N953" s="218">
        <v>2.6</v>
      </c>
      <c r="O953" s="218" t="s">
        <v>292</v>
      </c>
      <c r="P953" s="218">
        <v>3.2</v>
      </c>
      <c r="Q953" s="218" t="s">
        <v>4251</v>
      </c>
      <c r="R953" s="218" t="s">
        <v>4252</v>
      </c>
      <c r="S953" s="218" t="s">
        <v>396</v>
      </c>
      <c r="T953" s="218" t="s">
        <v>2591</v>
      </c>
      <c r="U953" s="218" t="s">
        <v>743</v>
      </c>
      <c r="V953" s="218" t="s">
        <v>381</v>
      </c>
      <c r="W953" s="218" t="s">
        <v>295</v>
      </c>
      <c r="X953" s="218" t="s">
        <v>379</v>
      </c>
      <c r="Y953" s="218">
        <v>3.05</v>
      </c>
      <c r="Z953" s="218">
        <f t="shared" si="19"/>
        <v>3.2</v>
      </c>
    </row>
    <row r="954" spans="1:26">
      <c r="A954" s="218" t="s">
        <v>2592</v>
      </c>
      <c r="B954" s="218"/>
      <c r="C954" s="218"/>
      <c r="D954" s="218"/>
      <c r="E954" s="218"/>
      <c r="F954" s="219" t="s">
        <v>4539</v>
      </c>
      <c r="G954" s="218" t="s">
        <v>274</v>
      </c>
      <c r="H954" s="218" t="s">
        <v>309</v>
      </c>
      <c r="I954" s="223">
        <v>43830</v>
      </c>
      <c r="J954" s="218" t="s">
        <v>2610</v>
      </c>
      <c r="K954" s="218" t="s">
        <v>2591</v>
      </c>
      <c r="L954" s="218" t="s">
        <v>2612</v>
      </c>
      <c r="M954" s="218" t="s">
        <v>1368</v>
      </c>
      <c r="N954" s="218">
        <v>4.0599999999999996</v>
      </c>
      <c r="O954" s="218" t="s">
        <v>292</v>
      </c>
      <c r="P954" s="218">
        <v>5</v>
      </c>
      <c r="Q954" s="218" t="s">
        <v>4251</v>
      </c>
      <c r="R954" s="218" t="s">
        <v>4252</v>
      </c>
      <c r="S954" s="218" t="s">
        <v>396</v>
      </c>
      <c r="T954" s="218" t="s">
        <v>2591</v>
      </c>
      <c r="U954" s="218" t="s">
        <v>743</v>
      </c>
      <c r="V954" s="218" t="s">
        <v>381</v>
      </c>
      <c r="W954" s="218" t="s">
        <v>295</v>
      </c>
      <c r="X954" s="218" t="s">
        <v>379</v>
      </c>
      <c r="Y954" s="218">
        <v>4.7699999999999996</v>
      </c>
      <c r="Z954" s="218">
        <f t="shared" si="19"/>
        <v>5</v>
      </c>
    </row>
    <row r="955" spans="1:26">
      <c r="A955" s="218" t="s">
        <v>2592</v>
      </c>
      <c r="B955" s="218"/>
      <c r="C955" s="218"/>
      <c r="D955" s="218"/>
      <c r="E955" s="218"/>
      <c r="F955" s="219" t="s">
        <v>4540</v>
      </c>
      <c r="G955" s="218" t="s">
        <v>274</v>
      </c>
      <c r="H955" s="218" t="s">
        <v>309</v>
      </c>
      <c r="I955" s="223">
        <v>43830</v>
      </c>
      <c r="J955" s="218" t="s">
        <v>2610</v>
      </c>
      <c r="K955" s="218" t="s">
        <v>2591</v>
      </c>
      <c r="L955" s="218" t="s">
        <v>2612</v>
      </c>
      <c r="M955" s="218" t="s">
        <v>4541</v>
      </c>
      <c r="N955" s="218">
        <v>0.65</v>
      </c>
      <c r="O955" s="218" t="s">
        <v>292</v>
      </c>
      <c r="P955" s="218">
        <v>0.8</v>
      </c>
      <c r="Q955" s="218" t="s">
        <v>4251</v>
      </c>
      <c r="R955" s="218" t="s">
        <v>4252</v>
      </c>
      <c r="S955" s="218" t="s">
        <v>396</v>
      </c>
      <c r="T955" s="218" t="s">
        <v>2591</v>
      </c>
      <c r="U955" s="218" t="s">
        <v>743</v>
      </c>
      <c r="V955" s="218" t="s">
        <v>381</v>
      </c>
      <c r="W955" s="218" t="s">
        <v>295</v>
      </c>
      <c r="X955" s="218" t="s">
        <v>379</v>
      </c>
      <c r="Y955" s="218">
        <v>0.76</v>
      </c>
      <c r="Z955" s="218">
        <f t="shared" si="19"/>
        <v>0.8</v>
      </c>
    </row>
    <row r="956" spans="1:26">
      <c r="A956" s="218" t="s">
        <v>2592</v>
      </c>
      <c r="B956" s="218"/>
      <c r="C956" s="218"/>
      <c r="D956" s="218"/>
      <c r="E956" s="218"/>
      <c r="F956" s="219" t="s">
        <v>4542</v>
      </c>
      <c r="G956" s="218" t="s">
        <v>274</v>
      </c>
      <c r="H956" s="218" t="s">
        <v>309</v>
      </c>
      <c r="I956" s="223">
        <v>43830</v>
      </c>
      <c r="J956" s="218" t="s">
        <v>2610</v>
      </c>
      <c r="K956" s="218" t="s">
        <v>2591</v>
      </c>
      <c r="L956" s="218" t="s">
        <v>2612</v>
      </c>
      <c r="M956" s="218" t="s">
        <v>4390</v>
      </c>
      <c r="N956" s="218">
        <v>10.34</v>
      </c>
      <c r="O956" s="218" t="s">
        <v>292</v>
      </c>
      <c r="P956" s="218">
        <v>12.72</v>
      </c>
      <c r="Q956" s="218" t="s">
        <v>4251</v>
      </c>
      <c r="R956" s="218" t="s">
        <v>4252</v>
      </c>
      <c r="S956" s="218" t="s">
        <v>396</v>
      </c>
      <c r="T956" s="218" t="s">
        <v>2591</v>
      </c>
      <c r="U956" s="218" t="s">
        <v>743</v>
      </c>
      <c r="V956" s="218" t="s">
        <v>381</v>
      </c>
      <c r="W956" s="218" t="s">
        <v>295</v>
      </c>
      <c r="X956" s="218" t="s">
        <v>379</v>
      </c>
      <c r="Y956" s="218">
        <v>12.14</v>
      </c>
      <c r="Z956" s="218">
        <f t="shared" si="19"/>
        <v>12.72</v>
      </c>
    </row>
    <row r="957" spans="1:26">
      <c r="A957" s="218" t="s">
        <v>2592</v>
      </c>
      <c r="B957" s="218"/>
      <c r="C957" s="218"/>
      <c r="D957" s="218"/>
      <c r="E957" s="218"/>
      <c r="F957" s="219" t="s">
        <v>4543</v>
      </c>
      <c r="G957" s="218" t="s">
        <v>274</v>
      </c>
      <c r="H957" s="218" t="s">
        <v>309</v>
      </c>
      <c r="I957" s="223">
        <v>43830</v>
      </c>
      <c r="J957" s="218" t="s">
        <v>2610</v>
      </c>
      <c r="K957" s="218" t="s">
        <v>2591</v>
      </c>
      <c r="L957" s="218" t="s">
        <v>2612</v>
      </c>
      <c r="M957" s="218" t="s">
        <v>4541</v>
      </c>
      <c r="N957" s="218">
        <v>1.68</v>
      </c>
      <c r="O957" s="218" t="s">
        <v>292</v>
      </c>
      <c r="P957" s="218">
        <v>2.0699999999999998</v>
      </c>
      <c r="Q957" s="218" t="s">
        <v>4251</v>
      </c>
      <c r="R957" s="218" t="s">
        <v>4252</v>
      </c>
      <c r="S957" s="218" t="s">
        <v>396</v>
      </c>
      <c r="T957" s="218" t="s">
        <v>2591</v>
      </c>
      <c r="U957" s="218" t="s">
        <v>743</v>
      </c>
      <c r="V957" s="218" t="s">
        <v>381</v>
      </c>
      <c r="W957" s="218" t="s">
        <v>295</v>
      </c>
      <c r="X957" s="218" t="s">
        <v>379</v>
      </c>
      <c r="Y957" s="218">
        <v>1.97</v>
      </c>
      <c r="Z957" s="218">
        <f t="shared" si="19"/>
        <v>2.0699999999999998</v>
      </c>
    </row>
    <row r="958" spans="1:26">
      <c r="A958" s="218" t="s">
        <v>2592</v>
      </c>
      <c r="B958" s="218"/>
      <c r="C958" s="218"/>
      <c r="D958" s="218"/>
      <c r="E958" s="218"/>
      <c r="F958" s="219" t="s">
        <v>4544</v>
      </c>
      <c r="G958" s="218" t="s">
        <v>274</v>
      </c>
      <c r="H958" s="218" t="s">
        <v>309</v>
      </c>
      <c r="I958" s="223">
        <v>43830</v>
      </c>
      <c r="J958" s="218" t="s">
        <v>2610</v>
      </c>
      <c r="K958" s="218" t="s">
        <v>4393</v>
      </c>
      <c r="L958" s="218" t="s">
        <v>2612</v>
      </c>
      <c r="M958" s="218" t="s">
        <v>1317</v>
      </c>
      <c r="N958" s="218">
        <v>81.290000000000006</v>
      </c>
      <c r="O958" s="218" t="s">
        <v>292</v>
      </c>
      <c r="P958" s="218">
        <v>100</v>
      </c>
      <c r="Q958" s="218" t="s">
        <v>4251</v>
      </c>
      <c r="R958" s="218" t="s">
        <v>4252</v>
      </c>
      <c r="S958" s="218" t="s">
        <v>396</v>
      </c>
      <c r="T958" s="218" t="s">
        <v>2591</v>
      </c>
      <c r="U958" s="218" t="s">
        <v>743</v>
      </c>
      <c r="V958" s="218" t="s">
        <v>381</v>
      </c>
      <c r="W958" s="218" t="s">
        <v>295</v>
      </c>
      <c r="X958" s="218" t="s">
        <v>379</v>
      </c>
      <c r="Y958" s="218">
        <v>95.43</v>
      </c>
      <c r="Z958" s="218">
        <f t="shared" si="19"/>
        <v>100</v>
      </c>
    </row>
    <row r="959" spans="1:26">
      <c r="A959" s="218" t="s">
        <v>2592</v>
      </c>
      <c r="B959" s="218"/>
      <c r="C959" s="218"/>
      <c r="D959" s="218"/>
      <c r="E959" s="218"/>
      <c r="F959" s="219" t="s">
        <v>4545</v>
      </c>
      <c r="G959" s="218" t="s">
        <v>274</v>
      </c>
      <c r="H959" s="218" t="s">
        <v>309</v>
      </c>
      <c r="I959" s="223">
        <v>43830</v>
      </c>
      <c r="J959" s="218" t="s">
        <v>2610</v>
      </c>
      <c r="K959" s="218" t="s">
        <v>4393</v>
      </c>
      <c r="L959" s="218" t="s">
        <v>2612</v>
      </c>
      <c r="M959" s="218" t="s">
        <v>1316</v>
      </c>
      <c r="N959" s="218">
        <v>40.65</v>
      </c>
      <c r="O959" s="218" t="s">
        <v>292</v>
      </c>
      <c r="P959" s="218">
        <v>50</v>
      </c>
      <c r="Q959" s="218" t="s">
        <v>4251</v>
      </c>
      <c r="R959" s="218" t="s">
        <v>4252</v>
      </c>
      <c r="S959" s="218" t="s">
        <v>396</v>
      </c>
      <c r="T959" s="218" t="s">
        <v>2591</v>
      </c>
      <c r="U959" s="218" t="s">
        <v>743</v>
      </c>
      <c r="V959" s="218" t="s">
        <v>381</v>
      </c>
      <c r="W959" s="218" t="s">
        <v>295</v>
      </c>
      <c r="X959" s="218" t="s">
        <v>379</v>
      </c>
      <c r="Y959" s="218">
        <v>47.72</v>
      </c>
      <c r="Z959" s="218">
        <f t="shared" si="19"/>
        <v>50</v>
      </c>
    </row>
    <row r="960" spans="1:26">
      <c r="A960" s="218" t="s">
        <v>2592</v>
      </c>
      <c r="B960" s="218"/>
      <c r="C960" s="218"/>
      <c r="D960" s="218"/>
      <c r="E960" s="218"/>
      <c r="F960" s="219" t="s">
        <v>4546</v>
      </c>
      <c r="G960" s="218" t="s">
        <v>274</v>
      </c>
      <c r="H960" s="218" t="s">
        <v>309</v>
      </c>
      <c r="I960" s="223">
        <v>43830</v>
      </c>
      <c r="J960" s="218" t="s">
        <v>2610</v>
      </c>
      <c r="K960" s="218" t="s">
        <v>4407</v>
      </c>
      <c r="L960" s="218" t="s">
        <v>2612</v>
      </c>
      <c r="M960" s="218" t="s">
        <v>4547</v>
      </c>
      <c r="N960" s="218">
        <v>11.38</v>
      </c>
      <c r="O960" s="218" t="s">
        <v>292</v>
      </c>
      <c r="P960" s="218">
        <v>14</v>
      </c>
      <c r="Q960" s="218" t="s">
        <v>1271</v>
      </c>
      <c r="R960" s="218" t="s">
        <v>2341</v>
      </c>
      <c r="S960" s="218" t="s">
        <v>396</v>
      </c>
      <c r="T960" s="218" t="s">
        <v>2591</v>
      </c>
      <c r="U960" s="218" t="s">
        <v>743</v>
      </c>
      <c r="V960" s="218" t="s">
        <v>381</v>
      </c>
      <c r="W960" s="218" t="s">
        <v>295</v>
      </c>
      <c r="X960" s="218" t="s">
        <v>379</v>
      </c>
      <c r="Y960" s="218">
        <v>13.36</v>
      </c>
      <c r="Z960" s="218">
        <f t="shared" si="19"/>
        <v>14</v>
      </c>
    </row>
    <row r="961" spans="1:26">
      <c r="A961" s="218" t="s">
        <v>2592</v>
      </c>
      <c r="B961" s="218"/>
      <c r="C961" s="218"/>
      <c r="D961" s="218"/>
      <c r="E961" s="218"/>
      <c r="F961" s="219" t="s">
        <v>4548</v>
      </c>
      <c r="G961" s="218" t="s">
        <v>274</v>
      </c>
      <c r="H961" s="218" t="s">
        <v>309</v>
      </c>
      <c r="I961" s="223">
        <v>43830</v>
      </c>
      <c r="J961" s="218" t="s">
        <v>2610</v>
      </c>
      <c r="K961" s="218" t="s">
        <v>4407</v>
      </c>
      <c r="L961" s="218" t="s">
        <v>2612</v>
      </c>
      <c r="M961" s="218" t="s">
        <v>4549</v>
      </c>
      <c r="N961" s="218">
        <v>8.1300000000000008</v>
      </c>
      <c r="O961" s="218" t="s">
        <v>292</v>
      </c>
      <c r="P961" s="218">
        <v>10</v>
      </c>
      <c r="Q961" s="218" t="s">
        <v>1271</v>
      </c>
      <c r="R961" s="218" t="s">
        <v>2341</v>
      </c>
      <c r="S961" s="218" t="s">
        <v>396</v>
      </c>
      <c r="T961" s="218" t="s">
        <v>2591</v>
      </c>
      <c r="U961" s="218" t="s">
        <v>743</v>
      </c>
      <c r="V961" s="218" t="s">
        <v>381</v>
      </c>
      <c r="W961" s="218" t="s">
        <v>295</v>
      </c>
      <c r="X961" s="218" t="s">
        <v>379</v>
      </c>
      <c r="Y961" s="218">
        <v>9.5399999999999991</v>
      </c>
      <c r="Z961" s="218">
        <f t="shared" ref="Z961:Z1024" si="20">P961</f>
        <v>10</v>
      </c>
    </row>
    <row r="962" spans="1:26">
      <c r="A962" s="218" t="s">
        <v>2592</v>
      </c>
      <c r="B962" s="218"/>
      <c r="C962" s="218"/>
      <c r="D962" s="218"/>
      <c r="E962" s="218"/>
      <c r="F962" s="219" t="s">
        <v>4550</v>
      </c>
      <c r="G962" s="218" t="s">
        <v>274</v>
      </c>
      <c r="H962" s="218" t="s">
        <v>309</v>
      </c>
      <c r="I962" s="223">
        <v>43830</v>
      </c>
      <c r="J962" s="218" t="s">
        <v>2610</v>
      </c>
      <c r="K962" s="218" t="s">
        <v>4407</v>
      </c>
      <c r="L962" s="218" t="s">
        <v>2612</v>
      </c>
      <c r="M962" s="218" t="s">
        <v>4551</v>
      </c>
      <c r="N962" s="218">
        <v>2.44</v>
      </c>
      <c r="O962" s="218" t="s">
        <v>292</v>
      </c>
      <c r="P962" s="218">
        <v>3</v>
      </c>
      <c r="Q962" s="218" t="s">
        <v>1271</v>
      </c>
      <c r="R962" s="218" t="s">
        <v>2341</v>
      </c>
      <c r="S962" s="218" t="s">
        <v>396</v>
      </c>
      <c r="T962" s="218" t="s">
        <v>2591</v>
      </c>
      <c r="U962" s="218" t="s">
        <v>743</v>
      </c>
      <c r="V962" s="218" t="s">
        <v>381</v>
      </c>
      <c r="W962" s="218" t="s">
        <v>295</v>
      </c>
      <c r="X962" s="218" t="s">
        <v>379</v>
      </c>
      <c r="Y962" s="218">
        <v>2.86</v>
      </c>
      <c r="Z962" s="218">
        <f t="shared" si="20"/>
        <v>3</v>
      </c>
    </row>
    <row r="963" spans="1:26">
      <c r="A963" s="218" t="s">
        <v>2592</v>
      </c>
      <c r="B963" s="218"/>
      <c r="C963" s="218"/>
      <c r="D963" s="218"/>
      <c r="E963" s="218"/>
      <c r="F963" s="219" t="s">
        <v>4552</v>
      </c>
      <c r="G963" s="218" t="s">
        <v>274</v>
      </c>
      <c r="H963" s="218" t="s">
        <v>309</v>
      </c>
      <c r="I963" s="223">
        <v>43830</v>
      </c>
      <c r="J963" s="218" t="s">
        <v>2610</v>
      </c>
      <c r="K963" s="218" t="s">
        <v>4407</v>
      </c>
      <c r="L963" s="218" t="s">
        <v>2612</v>
      </c>
      <c r="M963" s="218" t="s">
        <v>4553</v>
      </c>
      <c r="N963" s="218">
        <v>3.25</v>
      </c>
      <c r="O963" s="218" t="s">
        <v>292</v>
      </c>
      <c r="P963" s="218">
        <v>4</v>
      </c>
      <c r="Q963" s="218" t="s">
        <v>1271</v>
      </c>
      <c r="R963" s="218" t="s">
        <v>2341</v>
      </c>
      <c r="S963" s="218" t="s">
        <v>396</v>
      </c>
      <c r="T963" s="218" t="s">
        <v>2591</v>
      </c>
      <c r="U963" s="218" t="s">
        <v>743</v>
      </c>
      <c r="V963" s="218" t="s">
        <v>381</v>
      </c>
      <c r="W963" s="218" t="s">
        <v>295</v>
      </c>
      <c r="X963" s="218" t="s">
        <v>379</v>
      </c>
      <c r="Y963" s="218">
        <v>3.82</v>
      </c>
      <c r="Z963" s="218">
        <f t="shared" si="20"/>
        <v>4</v>
      </c>
    </row>
    <row r="964" spans="1:26">
      <c r="A964" s="218" t="s">
        <v>2592</v>
      </c>
      <c r="B964" s="218"/>
      <c r="C964" s="218"/>
      <c r="D964" s="218"/>
      <c r="E964" s="218"/>
      <c r="F964" s="219" t="s">
        <v>4554</v>
      </c>
      <c r="G964" s="218" t="s">
        <v>274</v>
      </c>
      <c r="H964" s="218" t="s">
        <v>309</v>
      </c>
      <c r="I964" s="223">
        <v>43830</v>
      </c>
      <c r="J964" s="218" t="s">
        <v>2610</v>
      </c>
      <c r="K964" s="218" t="s">
        <v>4416</v>
      </c>
      <c r="L964" s="218" t="s">
        <v>2612</v>
      </c>
      <c r="M964" s="218" t="s">
        <v>4555</v>
      </c>
      <c r="N964" s="218">
        <v>29.27</v>
      </c>
      <c r="O964" s="218" t="s">
        <v>292</v>
      </c>
      <c r="P964" s="218">
        <v>36</v>
      </c>
      <c r="Q964" s="218" t="s">
        <v>1271</v>
      </c>
      <c r="R964" s="218" t="s">
        <v>2341</v>
      </c>
      <c r="S964" s="218" t="s">
        <v>396</v>
      </c>
      <c r="T964" s="218" t="s">
        <v>2591</v>
      </c>
      <c r="U964" s="218" t="s">
        <v>743</v>
      </c>
      <c r="V964" s="218" t="s">
        <v>381</v>
      </c>
      <c r="W964" s="218" t="s">
        <v>295</v>
      </c>
      <c r="X964" s="218" t="s">
        <v>379</v>
      </c>
      <c r="Y964" s="218">
        <v>34.36</v>
      </c>
      <c r="Z964" s="218">
        <f t="shared" si="20"/>
        <v>36</v>
      </c>
    </row>
    <row r="965" spans="1:26">
      <c r="A965" s="218" t="s">
        <v>2592</v>
      </c>
      <c r="B965" s="218"/>
      <c r="C965" s="218"/>
      <c r="D965" s="218"/>
      <c r="E965" s="218"/>
      <c r="F965" s="219" t="s">
        <v>4556</v>
      </c>
      <c r="G965" s="218" t="s">
        <v>274</v>
      </c>
      <c r="H965" s="218" t="s">
        <v>309</v>
      </c>
      <c r="I965" s="223">
        <v>43830</v>
      </c>
      <c r="J965" s="218" t="s">
        <v>2610</v>
      </c>
      <c r="K965" s="218" t="s">
        <v>4416</v>
      </c>
      <c r="L965" s="218" t="s">
        <v>2612</v>
      </c>
      <c r="M965" s="218" t="s">
        <v>4557</v>
      </c>
      <c r="N965" s="218">
        <v>21.14</v>
      </c>
      <c r="O965" s="218" t="s">
        <v>292</v>
      </c>
      <c r="P965" s="218">
        <v>26</v>
      </c>
      <c r="Q965" s="218" t="s">
        <v>1271</v>
      </c>
      <c r="R965" s="218" t="s">
        <v>2341</v>
      </c>
      <c r="S965" s="218" t="s">
        <v>396</v>
      </c>
      <c r="T965" s="218" t="s">
        <v>2591</v>
      </c>
      <c r="U965" s="218" t="s">
        <v>743</v>
      </c>
      <c r="V965" s="218" t="s">
        <v>381</v>
      </c>
      <c r="W965" s="218" t="s">
        <v>295</v>
      </c>
      <c r="X965" s="218" t="s">
        <v>379</v>
      </c>
      <c r="Y965" s="218">
        <v>24.82</v>
      </c>
      <c r="Z965" s="218">
        <f t="shared" si="20"/>
        <v>26</v>
      </c>
    </row>
    <row r="966" spans="1:26">
      <c r="A966" s="218" t="s">
        <v>2592</v>
      </c>
      <c r="B966" s="218"/>
      <c r="C966" s="218"/>
      <c r="D966" s="218"/>
      <c r="E966" s="218"/>
      <c r="F966" s="219" t="s">
        <v>4558</v>
      </c>
      <c r="G966" s="218" t="s">
        <v>274</v>
      </c>
      <c r="H966" s="218" t="s">
        <v>309</v>
      </c>
      <c r="I966" s="223">
        <v>43830</v>
      </c>
      <c r="J966" s="218" t="s">
        <v>2610</v>
      </c>
      <c r="K966" s="218" t="s">
        <v>4416</v>
      </c>
      <c r="L966" s="218" t="s">
        <v>2612</v>
      </c>
      <c r="M966" s="218" t="s">
        <v>4551</v>
      </c>
      <c r="N966" s="218">
        <v>5.69</v>
      </c>
      <c r="O966" s="218" t="s">
        <v>292</v>
      </c>
      <c r="P966" s="218">
        <v>7</v>
      </c>
      <c r="Q966" s="218" t="s">
        <v>1271</v>
      </c>
      <c r="R966" s="218" t="s">
        <v>2341</v>
      </c>
      <c r="S966" s="218" t="s">
        <v>396</v>
      </c>
      <c r="T966" s="218" t="s">
        <v>2591</v>
      </c>
      <c r="U966" s="218" t="s">
        <v>743</v>
      </c>
      <c r="V966" s="218" t="s">
        <v>381</v>
      </c>
      <c r="W966" s="218" t="s">
        <v>295</v>
      </c>
      <c r="X966" s="218" t="s">
        <v>379</v>
      </c>
      <c r="Y966" s="218">
        <v>6.68</v>
      </c>
      <c r="Z966" s="218">
        <f t="shared" si="20"/>
        <v>7</v>
      </c>
    </row>
    <row r="967" spans="1:26">
      <c r="A967" s="218" t="s">
        <v>2592</v>
      </c>
      <c r="B967" s="218"/>
      <c r="C967" s="218"/>
      <c r="D967" s="218"/>
      <c r="E967" s="218"/>
      <c r="F967" s="219" t="s">
        <v>4559</v>
      </c>
      <c r="G967" s="218" t="s">
        <v>274</v>
      </c>
      <c r="H967" s="218" t="s">
        <v>309</v>
      </c>
      <c r="I967" s="223">
        <v>43830</v>
      </c>
      <c r="J967" s="218" t="s">
        <v>2610</v>
      </c>
      <c r="K967" s="218" t="s">
        <v>4416</v>
      </c>
      <c r="L967" s="218" t="s">
        <v>2612</v>
      </c>
      <c r="M967" s="218" t="s">
        <v>4553</v>
      </c>
      <c r="N967" s="218">
        <v>11.38</v>
      </c>
      <c r="O967" s="218" t="s">
        <v>292</v>
      </c>
      <c r="P967" s="218">
        <v>14</v>
      </c>
      <c r="Q967" s="218" t="s">
        <v>1271</v>
      </c>
      <c r="R967" s="218" t="s">
        <v>2341</v>
      </c>
      <c r="S967" s="218" t="s">
        <v>396</v>
      </c>
      <c r="T967" s="218" t="s">
        <v>2591</v>
      </c>
      <c r="U967" s="218" t="s">
        <v>743</v>
      </c>
      <c r="V967" s="218" t="s">
        <v>381</v>
      </c>
      <c r="W967" s="218" t="s">
        <v>295</v>
      </c>
      <c r="X967" s="218" t="s">
        <v>379</v>
      </c>
      <c r="Y967" s="218">
        <v>13.36</v>
      </c>
      <c r="Z967" s="218">
        <f t="shared" si="20"/>
        <v>14</v>
      </c>
    </row>
    <row r="968" spans="1:26">
      <c r="A968" s="218" t="s">
        <v>2592</v>
      </c>
      <c r="B968" s="218"/>
      <c r="C968" s="218"/>
      <c r="D968" s="218"/>
      <c r="E968" s="218"/>
      <c r="F968" s="219" t="s">
        <v>4560</v>
      </c>
      <c r="G968" s="218" t="s">
        <v>274</v>
      </c>
      <c r="H968" s="218" t="s">
        <v>309</v>
      </c>
      <c r="I968" s="223">
        <v>43830</v>
      </c>
      <c r="J968" s="218" t="s">
        <v>2610</v>
      </c>
      <c r="K968" s="218" t="s">
        <v>3008</v>
      </c>
      <c r="L968" s="218" t="s">
        <v>2612</v>
      </c>
      <c r="M968" s="218" t="s">
        <v>4561</v>
      </c>
      <c r="N968" s="218">
        <v>6.5</v>
      </c>
      <c r="O968" s="218" t="s">
        <v>292</v>
      </c>
      <c r="P968" s="218">
        <v>8</v>
      </c>
      <c r="Q968" s="218" t="s">
        <v>1271</v>
      </c>
      <c r="R968" s="218" t="s">
        <v>2341</v>
      </c>
      <c r="S968" s="218" t="s">
        <v>396</v>
      </c>
      <c r="T968" s="218" t="s">
        <v>2591</v>
      </c>
      <c r="U968" s="218" t="s">
        <v>743</v>
      </c>
      <c r="V968" s="218" t="s">
        <v>381</v>
      </c>
      <c r="W968" s="218" t="s">
        <v>295</v>
      </c>
      <c r="X968" s="218" t="s">
        <v>379</v>
      </c>
      <c r="Y968" s="218">
        <v>7.63</v>
      </c>
      <c r="Z968" s="218">
        <f t="shared" si="20"/>
        <v>8</v>
      </c>
    </row>
    <row r="969" spans="1:26">
      <c r="A969" s="218" t="s">
        <v>2592</v>
      </c>
      <c r="B969" s="218"/>
      <c r="C969" s="218"/>
      <c r="D969" s="218"/>
      <c r="E969" s="218"/>
      <c r="F969" s="219" t="s">
        <v>4562</v>
      </c>
      <c r="G969" s="218" t="s">
        <v>274</v>
      </c>
      <c r="H969" s="218" t="s">
        <v>309</v>
      </c>
      <c r="I969" s="223">
        <v>43830</v>
      </c>
      <c r="J969" s="218" t="s">
        <v>2610</v>
      </c>
      <c r="K969" s="218" t="s">
        <v>3008</v>
      </c>
      <c r="L969" s="218" t="s">
        <v>2612</v>
      </c>
      <c r="M969" s="218" t="s">
        <v>4563</v>
      </c>
      <c r="N969" s="218">
        <v>4.88</v>
      </c>
      <c r="O969" s="218" t="s">
        <v>292</v>
      </c>
      <c r="P969" s="218">
        <v>6</v>
      </c>
      <c r="Q969" s="218" t="s">
        <v>1271</v>
      </c>
      <c r="R969" s="218" t="s">
        <v>2341</v>
      </c>
      <c r="S969" s="218" t="s">
        <v>396</v>
      </c>
      <c r="T969" s="218" t="s">
        <v>2591</v>
      </c>
      <c r="U969" s="218" t="s">
        <v>743</v>
      </c>
      <c r="V969" s="218" t="s">
        <v>381</v>
      </c>
      <c r="W969" s="218" t="s">
        <v>295</v>
      </c>
      <c r="X969" s="218" t="s">
        <v>379</v>
      </c>
      <c r="Y969" s="218">
        <v>5.73</v>
      </c>
      <c r="Z969" s="218">
        <f t="shared" si="20"/>
        <v>6</v>
      </c>
    </row>
    <row r="970" spans="1:26">
      <c r="A970" s="218" t="s">
        <v>2592</v>
      </c>
      <c r="B970" s="218"/>
      <c r="C970" s="218"/>
      <c r="D970" s="218"/>
      <c r="E970" s="218"/>
      <c r="F970" s="219" t="s">
        <v>4564</v>
      </c>
      <c r="G970" s="218" t="s">
        <v>274</v>
      </c>
      <c r="H970" s="218" t="s">
        <v>309</v>
      </c>
      <c r="I970" s="223">
        <v>43830</v>
      </c>
      <c r="J970" s="218" t="s">
        <v>2610</v>
      </c>
      <c r="K970" s="218" t="s">
        <v>3008</v>
      </c>
      <c r="L970" s="218" t="s">
        <v>2612</v>
      </c>
      <c r="M970" s="218" t="s">
        <v>4565</v>
      </c>
      <c r="N970" s="218">
        <v>1.63</v>
      </c>
      <c r="O970" s="218" t="s">
        <v>292</v>
      </c>
      <c r="P970" s="218">
        <v>2</v>
      </c>
      <c r="Q970" s="218" t="s">
        <v>1271</v>
      </c>
      <c r="R970" s="218" t="s">
        <v>2341</v>
      </c>
      <c r="S970" s="218" t="s">
        <v>396</v>
      </c>
      <c r="T970" s="218" t="s">
        <v>2591</v>
      </c>
      <c r="U970" s="218" t="s">
        <v>743</v>
      </c>
      <c r="V970" s="218" t="s">
        <v>381</v>
      </c>
      <c r="W970" s="218" t="s">
        <v>295</v>
      </c>
      <c r="X970" s="218" t="s">
        <v>379</v>
      </c>
      <c r="Y970" s="218">
        <v>1.91</v>
      </c>
      <c r="Z970" s="218">
        <f t="shared" si="20"/>
        <v>2</v>
      </c>
    </row>
    <row r="971" spans="1:26">
      <c r="A971" s="218" t="s">
        <v>2592</v>
      </c>
      <c r="B971" s="218"/>
      <c r="C971" s="218"/>
      <c r="D971" s="218"/>
      <c r="E971" s="218"/>
      <c r="F971" s="219" t="s">
        <v>4566</v>
      </c>
      <c r="G971" s="218" t="s">
        <v>274</v>
      </c>
      <c r="H971" s="218" t="s">
        <v>309</v>
      </c>
      <c r="I971" s="223">
        <v>43830</v>
      </c>
      <c r="J971" s="218" t="s">
        <v>2610</v>
      </c>
      <c r="K971" s="218" t="s">
        <v>3008</v>
      </c>
      <c r="L971" s="218" t="s">
        <v>2612</v>
      </c>
      <c r="M971" s="218" t="s">
        <v>4567</v>
      </c>
      <c r="N971" s="218">
        <v>2.44</v>
      </c>
      <c r="O971" s="218" t="s">
        <v>292</v>
      </c>
      <c r="P971" s="218">
        <v>3</v>
      </c>
      <c r="Q971" s="218" t="s">
        <v>1271</v>
      </c>
      <c r="R971" s="218" t="s">
        <v>2341</v>
      </c>
      <c r="S971" s="218" t="s">
        <v>396</v>
      </c>
      <c r="T971" s="218" t="s">
        <v>2591</v>
      </c>
      <c r="U971" s="218" t="s">
        <v>743</v>
      </c>
      <c r="V971" s="218" t="s">
        <v>381</v>
      </c>
      <c r="W971" s="218" t="s">
        <v>295</v>
      </c>
      <c r="X971" s="218" t="s">
        <v>379</v>
      </c>
      <c r="Y971" s="218">
        <v>2.86</v>
      </c>
      <c r="Z971" s="218">
        <f t="shared" si="20"/>
        <v>3</v>
      </c>
    </row>
    <row r="972" spans="1:26">
      <c r="A972" s="218" t="s">
        <v>2592</v>
      </c>
      <c r="B972" s="218"/>
      <c r="C972" s="218"/>
      <c r="D972" s="218"/>
      <c r="E972" s="218"/>
      <c r="F972" s="219" t="s">
        <v>4568</v>
      </c>
      <c r="G972" s="218" t="s">
        <v>274</v>
      </c>
      <c r="H972" s="218" t="s">
        <v>309</v>
      </c>
      <c r="I972" s="223">
        <v>43830</v>
      </c>
      <c r="J972" s="218" t="s">
        <v>2610</v>
      </c>
      <c r="K972" s="218" t="s">
        <v>2934</v>
      </c>
      <c r="L972" s="218" t="s">
        <v>2612</v>
      </c>
      <c r="M972" s="218" t="s">
        <v>4569</v>
      </c>
      <c r="N972" s="218">
        <v>323.22000000000003</v>
      </c>
      <c r="O972" s="218" t="s">
        <v>292</v>
      </c>
      <c r="P972" s="218">
        <v>397.6</v>
      </c>
      <c r="Q972" s="218" t="s">
        <v>1271</v>
      </c>
      <c r="R972" s="218" t="s">
        <v>2341</v>
      </c>
      <c r="S972" s="218" t="s">
        <v>396</v>
      </c>
      <c r="T972" s="218" t="s">
        <v>2591</v>
      </c>
      <c r="U972" s="218" t="s">
        <v>743</v>
      </c>
      <c r="V972" s="218" t="s">
        <v>381</v>
      </c>
      <c r="W972" s="218" t="s">
        <v>295</v>
      </c>
      <c r="X972" s="218" t="s">
        <v>379</v>
      </c>
      <c r="Y972" s="218">
        <v>379.45</v>
      </c>
      <c r="Z972" s="218">
        <f t="shared" si="20"/>
        <v>397.6</v>
      </c>
    </row>
    <row r="973" spans="1:26">
      <c r="A973" s="218" t="s">
        <v>2592</v>
      </c>
      <c r="B973" s="218"/>
      <c r="C973" s="218"/>
      <c r="D973" s="218"/>
      <c r="E973" s="218"/>
      <c r="F973" s="219" t="s">
        <v>4570</v>
      </c>
      <c r="G973" s="218" t="s">
        <v>274</v>
      </c>
      <c r="H973" s="218" t="s">
        <v>309</v>
      </c>
      <c r="I973" s="223">
        <v>43830</v>
      </c>
      <c r="J973" s="218" t="s">
        <v>2610</v>
      </c>
      <c r="K973" s="218" t="s">
        <v>4399</v>
      </c>
      <c r="L973" s="218" t="s">
        <v>2612</v>
      </c>
      <c r="M973" s="218" t="s">
        <v>4571</v>
      </c>
      <c r="N973" s="218">
        <v>211.01</v>
      </c>
      <c r="O973" s="218" t="s">
        <v>292</v>
      </c>
      <c r="P973" s="218">
        <v>259.57</v>
      </c>
      <c r="Q973" s="218" t="s">
        <v>1271</v>
      </c>
      <c r="R973" s="218" t="s">
        <v>2341</v>
      </c>
      <c r="S973" s="218" t="s">
        <v>396</v>
      </c>
      <c r="T973" s="218" t="s">
        <v>2591</v>
      </c>
      <c r="U973" s="218" t="s">
        <v>743</v>
      </c>
      <c r="V973" s="218" t="s">
        <v>381</v>
      </c>
      <c r="W973" s="218" t="s">
        <v>295</v>
      </c>
      <c r="X973" s="218" t="s">
        <v>379</v>
      </c>
      <c r="Y973" s="218">
        <v>247.72</v>
      </c>
      <c r="Z973" s="218">
        <f t="shared" si="20"/>
        <v>259.57</v>
      </c>
    </row>
    <row r="974" spans="1:26">
      <c r="A974" s="218" t="s">
        <v>2592</v>
      </c>
      <c r="B974" s="218"/>
      <c r="C974" s="218"/>
      <c r="D974" s="218"/>
      <c r="E974" s="218"/>
      <c r="F974" s="219" t="s">
        <v>4572</v>
      </c>
      <c r="G974" s="218" t="s">
        <v>274</v>
      </c>
      <c r="H974" s="218" t="s">
        <v>309</v>
      </c>
      <c r="I974" s="223">
        <v>43830</v>
      </c>
      <c r="J974" s="218" t="s">
        <v>2610</v>
      </c>
      <c r="K974" s="218" t="s">
        <v>4402</v>
      </c>
      <c r="L974" s="218" t="s">
        <v>2612</v>
      </c>
      <c r="M974" s="218" t="s">
        <v>4573</v>
      </c>
      <c r="N974" s="218">
        <v>100.6</v>
      </c>
      <c r="O974" s="218" t="s">
        <v>292</v>
      </c>
      <c r="P974" s="218">
        <v>123.75</v>
      </c>
      <c r="Q974" s="218" t="s">
        <v>1271</v>
      </c>
      <c r="R974" s="218" t="s">
        <v>2341</v>
      </c>
      <c r="S974" s="218" t="s">
        <v>396</v>
      </c>
      <c r="T974" s="218" t="s">
        <v>2591</v>
      </c>
      <c r="U974" s="218" t="s">
        <v>743</v>
      </c>
      <c r="V974" s="218" t="s">
        <v>381</v>
      </c>
      <c r="W974" s="218" t="s">
        <v>295</v>
      </c>
      <c r="X974" s="218" t="s">
        <v>379</v>
      </c>
      <c r="Y974" s="218">
        <v>118.1</v>
      </c>
      <c r="Z974" s="218">
        <f t="shared" si="20"/>
        <v>123.75</v>
      </c>
    </row>
    <row r="975" spans="1:26">
      <c r="A975" s="218" t="s">
        <v>2592</v>
      </c>
      <c r="B975" s="218"/>
      <c r="C975" s="218"/>
      <c r="D975" s="218"/>
      <c r="E975" s="218"/>
      <c r="F975" s="219" t="s">
        <v>4574</v>
      </c>
      <c r="G975" s="218" t="s">
        <v>274</v>
      </c>
      <c r="H975" s="218" t="s">
        <v>309</v>
      </c>
      <c r="I975" s="223">
        <v>43830</v>
      </c>
      <c r="J975" s="218" t="s">
        <v>2610</v>
      </c>
      <c r="K975" s="218" t="s">
        <v>4393</v>
      </c>
      <c r="L975" s="218" t="s">
        <v>2612</v>
      </c>
      <c r="M975" s="218" t="s">
        <v>4575</v>
      </c>
      <c r="N975" s="218">
        <v>149.41999999999999</v>
      </c>
      <c r="O975" s="218" t="s">
        <v>292</v>
      </c>
      <c r="P975" s="218">
        <v>183.8</v>
      </c>
      <c r="Q975" s="218" t="s">
        <v>1271</v>
      </c>
      <c r="R975" s="218" t="s">
        <v>2341</v>
      </c>
      <c r="S975" s="218" t="s">
        <v>396</v>
      </c>
      <c r="T975" s="218" t="s">
        <v>2591</v>
      </c>
      <c r="U975" s="218" t="s">
        <v>743</v>
      </c>
      <c r="V975" s="218" t="s">
        <v>381</v>
      </c>
      <c r="W975" s="218" t="s">
        <v>295</v>
      </c>
      <c r="X975" s="218" t="s">
        <v>379</v>
      </c>
      <c r="Y975" s="218">
        <v>175.42</v>
      </c>
      <c r="Z975" s="218">
        <f t="shared" si="20"/>
        <v>183.8</v>
      </c>
    </row>
    <row r="976" spans="1:26">
      <c r="A976" s="218" t="s">
        <v>2592</v>
      </c>
      <c r="B976" s="218"/>
      <c r="C976" s="218"/>
      <c r="D976" s="218"/>
      <c r="E976" s="218"/>
      <c r="F976" s="219" t="s">
        <v>4576</v>
      </c>
      <c r="G976" s="218" t="s">
        <v>274</v>
      </c>
      <c r="H976" s="218" t="s">
        <v>309</v>
      </c>
      <c r="I976" s="223">
        <v>43830</v>
      </c>
      <c r="J976" s="218" t="s">
        <v>2610</v>
      </c>
      <c r="K976" s="218" t="s">
        <v>3000</v>
      </c>
      <c r="L976" s="218" t="s">
        <v>2612</v>
      </c>
      <c r="M976" s="218" t="s">
        <v>4577</v>
      </c>
      <c r="N976" s="218">
        <v>30.89</v>
      </c>
      <c r="O976" s="218" t="s">
        <v>292</v>
      </c>
      <c r="P976" s="218">
        <v>38</v>
      </c>
      <c r="Q976" s="218" t="s">
        <v>1271</v>
      </c>
      <c r="R976" s="218" t="s">
        <v>2341</v>
      </c>
      <c r="S976" s="218" t="s">
        <v>396</v>
      </c>
      <c r="T976" s="218" t="s">
        <v>2591</v>
      </c>
      <c r="U976" s="218" t="s">
        <v>743</v>
      </c>
      <c r="V976" s="218" t="s">
        <v>381</v>
      </c>
      <c r="W976" s="218" t="s">
        <v>295</v>
      </c>
      <c r="X976" s="218" t="s">
        <v>379</v>
      </c>
      <c r="Y976" s="218">
        <v>36.26</v>
      </c>
      <c r="Z976" s="218">
        <f t="shared" si="20"/>
        <v>38</v>
      </c>
    </row>
    <row r="977" spans="1:26">
      <c r="A977" s="218" t="s">
        <v>2592</v>
      </c>
      <c r="B977" s="218"/>
      <c r="C977" s="218"/>
      <c r="D977" s="218"/>
      <c r="E977" s="218"/>
      <c r="F977" s="219" t="s">
        <v>4578</v>
      </c>
      <c r="G977" s="218" t="s">
        <v>274</v>
      </c>
      <c r="H977" s="218" t="s">
        <v>309</v>
      </c>
      <c r="I977" s="223">
        <v>43830</v>
      </c>
      <c r="J977" s="218" t="s">
        <v>2610</v>
      </c>
      <c r="K977" s="218" t="s">
        <v>3000</v>
      </c>
      <c r="L977" s="218" t="s">
        <v>2612</v>
      </c>
      <c r="M977" s="218" t="s">
        <v>4579</v>
      </c>
      <c r="N977" s="218">
        <v>24.79</v>
      </c>
      <c r="O977" s="218" t="s">
        <v>292</v>
      </c>
      <c r="P977" s="218">
        <v>30.5</v>
      </c>
      <c r="Q977" s="218" t="s">
        <v>1271</v>
      </c>
      <c r="R977" s="218" t="s">
        <v>2341</v>
      </c>
      <c r="S977" s="218" t="s">
        <v>396</v>
      </c>
      <c r="T977" s="218" t="s">
        <v>2591</v>
      </c>
      <c r="U977" s="218" t="s">
        <v>743</v>
      </c>
      <c r="V977" s="218" t="s">
        <v>381</v>
      </c>
      <c r="W977" s="218" t="s">
        <v>295</v>
      </c>
      <c r="X977" s="218" t="s">
        <v>379</v>
      </c>
      <c r="Y977" s="218">
        <v>29.1</v>
      </c>
      <c r="Z977" s="218">
        <f t="shared" si="20"/>
        <v>30.5</v>
      </c>
    </row>
    <row r="978" spans="1:26">
      <c r="A978" s="218" t="s">
        <v>2592</v>
      </c>
      <c r="B978" s="218"/>
      <c r="C978" s="218"/>
      <c r="D978" s="218"/>
      <c r="E978" s="218"/>
      <c r="F978" s="219" t="s">
        <v>4580</v>
      </c>
      <c r="G978" s="218" t="s">
        <v>274</v>
      </c>
      <c r="H978" s="218" t="s">
        <v>309</v>
      </c>
      <c r="I978" s="223">
        <v>43830</v>
      </c>
      <c r="J978" s="218" t="s">
        <v>2610</v>
      </c>
      <c r="K978" s="218" t="s">
        <v>3000</v>
      </c>
      <c r="L978" s="218" t="s">
        <v>2612</v>
      </c>
      <c r="M978" s="218" t="s">
        <v>4581</v>
      </c>
      <c r="N978" s="218">
        <v>2.85</v>
      </c>
      <c r="O978" s="218" t="s">
        <v>292</v>
      </c>
      <c r="P978" s="218">
        <v>3.5</v>
      </c>
      <c r="Q978" s="218" t="s">
        <v>1271</v>
      </c>
      <c r="R978" s="218" t="s">
        <v>2341</v>
      </c>
      <c r="S978" s="218" t="s">
        <v>396</v>
      </c>
      <c r="T978" s="218" t="s">
        <v>2591</v>
      </c>
      <c r="U978" s="218" t="s">
        <v>743</v>
      </c>
      <c r="V978" s="218" t="s">
        <v>381</v>
      </c>
      <c r="W978" s="218" t="s">
        <v>295</v>
      </c>
      <c r="X978" s="218" t="s">
        <v>379</v>
      </c>
      <c r="Y978" s="218">
        <v>3.35</v>
      </c>
      <c r="Z978" s="218">
        <f t="shared" si="20"/>
        <v>3.5</v>
      </c>
    </row>
    <row r="979" spans="1:26">
      <c r="A979" s="218" t="s">
        <v>2592</v>
      </c>
      <c r="B979" s="218"/>
      <c r="C979" s="218"/>
      <c r="D979" s="218"/>
      <c r="E979" s="218"/>
      <c r="F979" s="219" t="s">
        <v>4582</v>
      </c>
      <c r="G979" s="218" t="s">
        <v>274</v>
      </c>
      <c r="H979" s="218" t="s">
        <v>309</v>
      </c>
      <c r="I979" s="223">
        <v>43830</v>
      </c>
      <c r="J979" s="218" t="s">
        <v>2610</v>
      </c>
      <c r="K979" s="218" t="s">
        <v>3000</v>
      </c>
      <c r="L979" s="218" t="s">
        <v>2612</v>
      </c>
      <c r="M979" s="218" t="s">
        <v>4583</v>
      </c>
      <c r="N979" s="218">
        <v>9.58</v>
      </c>
      <c r="O979" s="218" t="s">
        <v>292</v>
      </c>
      <c r="P979" s="218">
        <v>11.78</v>
      </c>
      <c r="Q979" s="218" t="s">
        <v>1271</v>
      </c>
      <c r="R979" s="218" t="s">
        <v>2341</v>
      </c>
      <c r="S979" s="218" t="s">
        <v>396</v>
      </c>
      <c r="T979" s="218" t="s">
        <v>2591</v>
      </c>
      <c r="U979" s="218" t="s">
        <v>743</v>
      </c>
      <c r="V979" s="218" t="s">
        <v>381</v>
      </c>
      <c r="W979" s="218" t="s">
        <v>295</v>
      </c>
      <c r="X979" s="218" t="s">
        <v>379</v>
      </c>
      <c r="Y979" s="218">
        <v>11.25</v>
      </c>
      <c r="Z979" s="218">
        <f t="shared" si="20"/>
        <v>11.78</v>
      </c>
    </row>
    <row r="980" spans="1:26">
      <c r="A980" s="218" t="s">
        <v>2592</v>
      </c>
      <c r="B980" s="218"/>
      <c r="C980" s="218"/>
      <c r="D980" s="218"/>
      <c r="E980" s="218"/>
      <c r="F980" s="219" t="s">
        <v>4584</v>
      </c>
      <c r="G980" s="218" t="s">
        <v>274</v>
      </c>
      <c r="H980" s="218" t="s">
        <v>309</v>
      </c>
      <c r="I980" s="223">
        <v>43830</v>
      </c>
      <c r="J980" s="218" t="s">
        <v>2610</v>
      </c>
      <c r="K980" s="218" t="s">
        <v>4393</v>
      </c>
      <c r="L980" s="218" t="s">
        <v>2612</v>
      </c>
      <c r="M980" s="218" t="s">
        <v>4585</v>
      </c>
      <c r="N980" s="218">
        <v>203.23</v>
      </c>
      <c r="O980" s="218" t="s">
        <v>292</v>
      </c>
      <c r="P980" s="218">
        <v>250</v>
      </c>
      <c r="Q980" s="218" t="s">
        <v>4251</v>
      </c>
      <c r="R980" s="218" t="s">
        <v>4252</v>
      </c>
      <c r="S980" s="218" t="s">
        <v>396</v>
      </c>
      <c r="T980" s="218" t="s">
        <v>2591</v>
      </c>
      <c r="U980" s="218" t="s">
        <v>743</v>
      </c>
      <c r="V980" s="218" t="s">
        <v>381</v>
      </c>
      <c r="W980" s="218" t="s">
        <v>295</v>
      </c>
      <c r="X980" s="218" t="s">
        <v>379</v>
      </c>
      <c r="Y980" s="218">
        <v>238.59</v>
      </c>
      <c r="Z980" s="218">
        <f t="shared" si="20"/>
        <v>250</v>
      </c>
    </row>
    <row r="981" spans="1:26">
      <c r="A981" s="218" t="s">
        <v>2592</v>
      </c>
      <c r="B981" s="218"/>
      <c r="C981" s="218"/>
      <c r="D981" s="218"/>
      <c r="E981" s="218"/>
      <c r="F981" s="219" t="s">
        <v>4586</v>
      </c>
      <c r="G981" s="218" t="s">
        <v>274</v>
      </c>
      <c r="H981" s="218" t="s">
        <v>309</v>
      </c>
      <c r="I981" s="223">
        <v>43830</v>
      </c>
      <c r="J981" s="218" t="s">
        <v>2587</v>
      </c>
      <c r="K981" s="218" t="s">
        <v>4587</v>
      </c>
      <c r="L981" s="218" t="s">
        <v>2589</v>
      </c>
      <c r="M981" s="218" t="s">
        <v>4588</v>
      </c>
      <c r="N981" s="218">
        <v>579.94000000000005</v>
      </c>
      <c r="O981" s="218" t="s">
        <v>292</v>
      </c>
      <c r="P981" s="218">
        <v>750</v>
      </c>
      <c r="Q981" s="218" t="s">
        <v>1271</v>
      </c>
      <c r="R981" s="218" t="s">
        <v>2341</v>
      </c>
      <c r="S981" s="218" t="s">
        <v>396</v>
      </c>
      <c r="T981" s="218" t="s">
        <v>2591</v>
      </c>
      <c r="U981" s="218" t="s">
        <v>740</v>
      </c>
      <c r="V981" s="218" t="s">
        <v>381</v>
      </c>
      <c r="W981" s="218" t="s">
        <v>295</v>
      </c>
      <c r="X981" s="218" t="s">
        <v>379</v>
      </c>
      <c r="Y981" s="218">
        <v>680.84</v>
      </c>
      <c r="Z981" s="218">
        <f t="shared" si="20"/>
        <v>750</v>
      </c>
    </row>
    <row r="982" spans="1:26">
      <c r="A982" s="218" t="s">
        <v>2592</v>
      </c>
      <c r="B982" s="218"/>
      <c r="C982" s="218"/>
      <c r="D982" s="218"/>
      <c r="E982" s="218"/>
      <c r="F982" s="219" t="s">
        <v>4589</v>
      </c>
      <c r="G982" s="218" t="s">
        <v>274</v>
      </c>
      <c r="H982" s="218" t="s">
        <v>309</v>
      </c>
      <c r="I982" s="223">
        <v>43830</v>
      </c>
      <c r="J982" s="218" t="s">
        <v>2587</v>
      </c>
      <c r="K982" s="218" t="s">
        <v>4590</v>
      </c>
      <c r="L982" s="218" t="s">
        <v>2589</v>
      </c>
      <c r="M982" s="218" t="s">
        <v>2623</v>
      </c>
      <c r="N982" s="218">
        <v>104.39</v>
      </c>
      <c r="O982" s="218" t="s">
        <v>292</v>
      </c>
      <c r="P982" s="218">
        <v>135</v>
      </c>
      <c r="Q982" s="218" t="s">
        <v>1271</v>
      </c>
      <c r="R982" s="218" t="s">
        <v>2341</v>
      </c>
      <c r="S982" s="218" t="s">
        <v>396</v>
      </c>
      <c r="T982" s="218" t="s">
        <v>2591</v>
      </c>
      <c r="U982" s="218" t="s">
        <v>740</v>
      </c>
      <c r="V982" s="218" t="s">
        <v>381</v>
      </c>
      <c r="W982" s="218" t="s">
        <v>295</v>
      </c>
      <c r="X982" s="218" t="s">
        <v>379</v>
      </c>
      <c r="Y982" s="218">
        <v>122.55</v>
      </c>
      <c r="Z982" s="218">
        <f t="shared" si="20"/>
        <v>135</v>
      </c>
    </row>
    <row r="983" spans="1:26">
      <c r="A983" s="218" t="s">
        <v>2592</v>
      </c>
      <c r="B983" s="218"/>
      <c r="C983" s="218"/>
      <c r="D983" s="218"/>
      <c r="E983" s="218"/>
      <c r="F983" s="219" t="s">
        <v>4591</v>
      </c>
      <c r="G983" s="218" t="s">
        <v>274</v>
      </c>
      <c r="H983" s="218" t="s">
        <v>309</v>
      </c>
      <c r="I983" s="223">
        <v>43830</v>
      </c>
      <c r="J983" s="218" t="s">
        <v>2587</v>
      </c>
      <c r="K983" s="218" t="s">
        <v>4587</v>
      </c>
      <c r="L983" s="218" t="s">
        <v>2589</v>
      </c>
      <c r="M983" s="218" t="s">
        <v>1291</v>
      </c>
      <c r="N983" s="218">
        <v>231.98</v>
      </c>
      <c r="O983" s="218" t="s">
        <v>292</v>
      </c>
      <c r="P983" s="218">
        <v>300</v>
      </c>
      <c r="Q983" s="218" t="s">
        <v>1271</v>
      </c>
      <c r="R983" s="218" t="s">
        <v>2341</v>
      </c>
      <c r="S983" s="218" t="s">
        <v>396</v>
      </c>
      <c r="T983" s="218" t="s">
        <v>2591</v>
      </c>
      <c r="U983" s="218" t="s">
        <v>740</v>
      </c>
      <c r="V983" s="218" t="s">
        <v>381</v>
      </c>
      <c r="W983" s="218" t="s">
        <v>295</v>
      </c>
      <c r="X983" s="218" t="s">
        <v>379</v>
      </c>
      <c r="Y983" s="218">
        <v>272.33999999999997</v>
      </c>
      <c r="Z983" s="218">
        <f t="shared" si="20"/>
        <v>300</v>
      </c>
    </row>
    <row r="984" spans="1:26">
      <c r="A984" s="218" t="s">
        <v>2592</v>
      </c>
      <c r="B984" s="218"/>
      <c r="C984" s="218"/>
      <c r="D984" s="218"/>
      <c r="E984" s="218"/>
      <c r="F984" s="219" t="s">
        <v>4592</v>
      </c>
      <c r="G984" s="218" t="s">
        <v>274</v>
      </c>
      <c r="H984" s="218" t="s">
        <v>309</v>
      </c>
      <c r="I984" s="223">
        <v>43830</v>
      </c>
      <c r="J984" s="218" t="s">
        <v>2587</v>
      </c>
      <c r="K984" s="218" t="s">
        <v>4587</v>
      </c>
      <c r="L984" s="218" t="s">
        <v>2589</v>
      </c>
      <c r="M984" s="218" t="s">
        <v>1292</v>
      </c>
      <c r="N984" s="218">
        <v>231.98</v>
      </c>
      <c r="O984" s="218" t="s">
        <v>292</v>
      </c>
      <c r="P984" s="218">
        <v>300</v>
      </c>
      <c r="Q984" s="218" t="s">
        <v>1271</v>
      </c>
      <c r="R984" s="218" t="s">
        <v>2341</v>
      </c>
      <c r="S984" s="218" t="s">
        <v>396</v>
      </c>
      <c r="T984" s="218" t="s">
        <v>2591</v>
      </c>
      <c r="U984" s="218" t="s">
        <v>740</v>
      </c>
      <c r="V984" s="218" t="s">
        <v>381</v>
      </c>
      <c r="W984" s="218" t="s">
        <v>295</v>
      </c>
      <c r="X984" s="218" t="s">
        <v>379</v>
      </c>
      <c r="Y984" s="218">
        <v>272.33999999999997</v>
      </c>
      <c r="Z984" s="218">
        <f t="shared" si="20"/>
        <v>300</v>
      </c>
    </row>
    <row r="985" spans="1:26">
      <c r="A985" s="218" t="s">
        <v>2592</v>
      </c>
      <c r="B985" s="218"/>
      <c r="C985" s="218"/>
      <c r="D985" s="218"/>
      <c r="E985" s="218"/>
      <c r="F985" s="219" t="s">
        <v>4593</v>
      </c>
      <c r="G985" s="218" t="s">
        <v>274</v>
      </c>
      <c r="H985" s="218" t="s">
        <v>309</v>
      </c>
      <c r="I985" s="223">
        <v>43830</v>
      </c>
      <c r="J985" s="218" t="s">
        <v>2587</v>
      </c>
      <c r="K985" s="218" t="s">
        <v>4587</v>
      </c>
      <c r="L985" s="218" t="s">
        <v>2589</v>
      </c>
      <c r="M985" s="218" t="s">
        <v>1293</v>
      </c>
      <c r="N985" s="218">
        <v>231.98</v>
      </c>
      <c r="O985" s="218" t="s">
        <v>292</v>
      </c>
      <c r="P985" s="218">
        <v>300</v>
      </c>
      <c r="Q985" s="218" t="s">
        <v>1271</v>
      </c>
      <c r="R985" s="218" t="s">
        <v>2341</v>
      </c>
      <c r="S985" s="218" t="s">
        <v>396</v>
      </c>
      <c r="T985" s="218" t="s">
        <v>2591</v>
      </c>
      <c r="U985" s="218" t="s">
        <v>740</v>
      </c>
      <c r="V985" s="218" t="s">
        <v>381</v>
      </c>
      <c r="W985" s="218" t="s">
        <v>295</v>
      </c>
      <c r="X985" s="218" t="s">
        <v>379</v>
      </c>
      <c r="Y985" s="218">
        <v>272.33999999999997</v>
      </c>
      <c r="Z985" s="218">
        <f t="shared" si="20"/>
        <v>300</v>
      </c>
    </row>
    <row r="986" spans="1:26">
      <c r="A986" s="218" t="s">
        <v>2592</v>
      </c>
      <c r="B986" s="218"/>
      <c r="C986" s="218"/>
      <c r="D986" s="218"/>
      <c r="E986" s="218"/>
      <c r="F986" s="219" t="s">
        <v>4594</v>
      </c>
      <c r="G986" s="218" t="s">
        <v>274</v>
      </c>
      <c r="H986" s="218" t="s">
        <v>309</v>
      </c>
      <c r="I986" s="223">
        <v>43830</v>
      </c>
      <c r="J986" s="218" t="s">
        <v>2587</v>
      </c>
      <c r="K986" s="218" t="s">
        <v>4587</v>
      </c>
      <c r="L986" s="218" t="s">
        <v>2589</v>
      </c>
      <c r="M986" s="218" t="s">
        <v>1294</v>
      </c>
      <c r="N986" s="218">
        <v>231.98</v>
      </c>
      <c r="O986" s="218" t="s">
        <v>292</v>
      </c>
      <c r="P986" s="218">
        <v>300</v>
      </c>
      <c r="Q986" s="218" t="s">
        <v>1271</v>
      </c>
      <c r="R986" s="218" t="s">
        <v>2341</v>
      </c>
      <c r="S986" s="218" t="s">
        <v>396</v>
      </c>
      <c r="T986" s="218" t="s">
        <v>2591</v>
      </c>
      <c r="U986" s="218" t="s">
        <v>740</v>
      </c>
      <c r="V986" s="218" t="s">
        <v>381</v>
      </c>
      <c r="W986" s="218" t="s">
        <v>295</v>
      </c>
      <c r="X986" s="218" t="s">
        <v>379</v>
      </c>
      <c r="Y986" s="218">
        <v>272.33999999999997</v>
      </c>
      <c r="Z986" s="218">
        <f t="shared" si="20"/>
        <v>300</v>
      </c>
    </row>
    <row r="987" spans="1:26">
      <c r="A987" s="218" t="s">
        <v>2592</v>
      </c>
      <c r="B987" s="218"/>
      <c r="C987" s="218"/>
      <c r="D987" s="218"/>
      <c r="E987" s="218"/>
      <c r="F987" s="219" t="s">
        <v>4595</v>
      </c>
      <c r="G987" s="218" t="s">
        <v>274</v>
      </c>
      <c r="H987" s="218" t="s">
        <v>309</v>
      </c>
      <c r="I987" s="223">
        <v>43830</v>
      </c>
      <c r="J987" s="218" t="s">
        <v>2587</v>
      </c>
      <c r="K987" s="218" t="s">
        <v>4587</v>
      </c>
      <c r="L987" s="218" t="s">
        <v>2589</v>
      </c>
      <c r="M987" s="218" t="s">
        <v>4596</v>
      </c>
      <c r="N987" s="218">
        <v>231.98</v>
      </c>
      <c r="O987" s="218" t="s">
        <v>292</v>
      </c>
      <c r="P987" s="218">
        <v>300</v>
      </c>
      <c r="Q987" s="218" t="s">
        <v>1271</v>
      </c>
      <c r="R987" s="218" t="s">
        <v>2341</v>
      </c>
      <c r="S987" s="218" t="s">
        <v>396</v>
      </c>
      <c r="T987" s="218" t="s">
        <v>2591</v>
      </c>
      <c r="U987" s="218" t="s">
        <v>740</v>
      </c>
      <c r="V987" s="218" t="s">
        <v>381</v>
      </c>
      <c r="W987" s="218" t="s">
        <v>295</v>
      </c>
      <c r="X987" s="218" t="s">
        <v>379</v>
      </c>
      <c r="Y987" s="218">
        <v>272.33999999999997</v>
      </c>
      <c r="Z987" s="218">
        <f t="shared" si="20"/>
        <v>300</v>
      </c>
    </row>
    <row r="988" spans="1:26">
      <c r="A988" s="218" t="s">
        <v>2592</v>
      </c>
      <c r="B988" s="218"/>
      <c r="C988" s="218"/>
      <c r="D988" s="218"/>
      <c r="E988" s="218"/>
      <c r="F988" s="219" t="s">
        <v>4597</v>
      </c>
      <c r="G988" s="218" t="s">
        <v>274</v>
      </c>
      <c r="H988" s="218" t="s">
        <v>309</v>
      </c>
      <c r="I988" s="223">
        <v>43830</v>
      </c>
      <c r="J988" s="218" t="s">
        <v>2587</v>
      </c>
      <c r="K988" s="218" t="s">
        <v>4587</v>
      </c>
      <c r="L988" s="218" t="s">
        <v>2589</v>
      </c>
      <c r="M988" s="218" t="s">
        <v>1295</v>
      </c>
      <c r="N988" s="218">
        <v>347.96</v>
      </c>
      <c r="O988" s="218" t="s">
        <v>292</v>
      </c>
      <c r="P988" s="218">
        <v>450</v>
      </c>
      <c r="Q988" s="218" t="s">
        <v>1271</v>
      </c>
      <c r="R988" s="218" t="s">
        <v>2341</v>
      </c>
      <c r="S988" s="218" t="s">
        <v>396</v>
      </c>
      <c r="T988" s="218" t="s">
        <v>2591</v>
      </c>
      <c r="U988" s="218" t="s">
        <v>740</v>
      </c>
      <c r="V988" s="218" t="s">
        <v>381</v>
      </c>
      <c r="W988" s="218" t="s">
        <v>295</v>
      </c>
      <c r="X988" s="218" t="s">
        <v>379</v>
      </c>
      <c r="Y988" s="218">
        <v>408.5</v>
      </c>
      <c r="Z988" s="218">
        <f t="shared" si="20"/>
        <v>450</v>
      </c>
    </row>
    <row r="989" spans="1:26">
      <c r="A989" s="218" t="s">
        <v>2592</v>
      </c>
      <c r="B989" s="218"/>
      <c r="C989" s="218"/>
      <c r="D989" s="218"/>
      <c r="E989" s="218"/>
      <c r="F989" s="219" t="s">
        <v>4598</v>
      </c>
      <c r="G989" s="218" t="s">
        <v>274</v>
      </c>
      <c r="H989" s="218" t="s">
        <v>309</v>
      </c>
      <c r="I989" s="223">
        <v>43830</v>
      </c>
      <c r="J989" s="218" t="s">
        <v>2587</v>
      </c>
      <c r="K989" s="218" t="s">
        <v>4587</v>
      </c>
      <c r="L989" s="218" t="s">
        <v>2589</v>
      </c>
      <c r="M989" s="218" t="s">
        <v>4599</v>
      </c>
      <c r="N989" s="218">
        <v>579.94000000000005</v>
      </c>
      <c r="O989" s="218" t="s">
        <v>292</v>
      </c>
      <c r="P989" s="218">
        <v>750</v>
      </c>
      <c r="Q989" s="218" t="s">
        <v>1271</v>
      </c>
      <c r="R989" s="218" t="s">
        <v>2341</v>
      </c>
      <c r="S989" s="218" t="s">
        <v>396</v>
      </c>
      <c r="T989" s="218" t="s">
        <v>2591</v>
      </c>
      <c r="U989" s="218" t="s">
        <v>740</v>
      </c>
      <c r="V989" s="218" t="s">
        <v>381</v>
      </c>
      <c r="W989" s="218" t="s">
        <v>295</v>
      </c>
      <c r="X989" s="218" t="s">
        <v>379</v>
      </c>
      <c r="Y989" s="218">
        <v>680.84</v>
      </c>
      <c r="Z989" s="218">
        <f t="shared" si="20"/>
        <v>750</v>
      </c>
    </row>
    <row r="990" spans="1:26">
      <c r="A990" s="218" t="s">
        <v>2592</v>
      </c>
      <c r="B990" s="218"/>
      <c r="C990" s="218"/>
      <c r="D990" s="218"/>
      <c r="E990" s="218"/>
      <c r="F990" s="219" t="s">
        <v>4600</v>
      </c>
      <c r="G990" s="218" t="s">
        <v>274</v>
      </c>
      <c r="H990" s="218" t="s">
        <v>309</v>
      </c>
      <c r="I990" s="223">
        <v>43830</v>
      </c>
      <c r="J990" s="218" t="s">
        <v>2587</v>
      </c>
      <c r="K990" s="218" t="s">
        <v>4590</v>
      </c>
      <c r="L990" s="218" t="s">
        <v>2589</v>
      </c>
      <c r="M990" s="218" t="s">
        <v>2625</v>
      </c>
      <c r="N990" s="218">
        <v>104.39</v>
      </c>
      <c r="O990" s="218" t="s">
        <v>292</v>
      </c>
      <c r="P990" s="218">
        <v>135</v>
      </c>
      <c r="Q990" s="218" t="s">
        <v>1271</v>
      </c>
      <c r="R990" s="218" t="s">
        <v>2341</v>
      </c>
      <c r="S990" s="218" t="s">
        <v>396</v>
      </c>
      <c r="T990" s="218" t="s">
        <v>2591</v>
      </c>
      <c r="U990" s="218" t="s">
        <v>740</v>
      </c>
      <c r="V990" s="218" t="s">
        <v>381</v>
      </c>
      <c r="W990" s="218" t="s">
        <v>295</v>
      </c>
      <c r="X990" s="218" t="s">
        <v>379</v>
      </c>
      <c r="Y990" s="218">
        <v>122.55</v>
      </c>
      <c r="Z990" s="218">
        <f t="shared" si="20"/>
        <v>135</v>
      </c>
    </row>
    <row r="991" spans="1:26">
      <c r="A991" s="218" t="s">
        <v>2592</v>
      </c>
      <c r="B991" s="218"/>
      <c r="C991" s="218"/>
      <c r="D991" s="218"/>
      <c r="E991" s="218"/>
      <c r="F991" s="219" t="s">
        <v>4601</v>
      </c>
      <c r="G991" s="218" t="s">
        <v>274</v>
      </c>
      <c r="H991" s="218" t="s">
        <v>309</v>
      </c>
      <c r="I991" s="223">
        <v>43830</v>
      </c>
      <c r="J991" s="218" t="s">
        <v>2587</v>
      </c>
      <c r="K991" s="218" t="s">
        <v>4587</v>
      </c>
      <c r="L991" s="218" t="s">
        <v>2589</v>
      </c>
      <c r="M991" s="218" t="s">
        <v>1291</v>
      </c>
      <c r="N991" s="218">
        <v>231.98</v>
      </c>
      <c r="O991" s="218" t="s">
        <v>292</v>
      </c>
      <c r="P991" s="218">
        <v>300</v>
      </c>
      <c r="Q991" s="218" t="s">
        <v>1271</v>
      </c>
      <c r="R991" s="218" t="s">
        <v>2341</v>
      </c>
      <c r="S991" s="218" t="s">
        <v>396</v>
      </c>
      <c r="T991" s="218" t="s">
        <v>2591</v>
      </c>
      <c r="U991" s="218" t="s">
        <v>740</v>
      </c>
      <c r="V991" s="218" t="s">
        <v>381</v>
      </c>
      <c r="W991" s="218" t="s">
        <v>295</v>
      </c>
      <c r="X991" s="218" t="s">
        <v>379</v>
      </c>
      <c r="Y991" s="218">
        <v>272.33999999999997</v>
      </c>
      <c r="Z991" s="218">
        <f t="shared" si="20"/>
        <v>300</v>
      </c>
    </row>
    <row r="992" spans="1:26">
      <c r="A992" s="218" t="s">
        <v>2592</v>
      </c>
      <c r="B992" s="218"/>
      <c r="C992" s="218"/>
      <c r="D992" s="218"/>
      <c r="E992" s="218"/>
      <c r="F992" s="219" t="s">
        <v>4602</v>
      </c>
      <c r="G992" s="218" t="s">
        <v>274</v>
      </c>
      <c r="H992" s="218" t="s">
        <v>309</v>
      </c>
      <c r="I992" s="223">
        <v>43830</v>
      </c>
      <c r="J992" s="218" t="s">
        <v>2587</v>
      </c>
      <c r="K992" s="218" t="s">
        <v>4587</v>
      </c>
      <c r="L992" s="218" t="s">
        <v>2589</v>
      </c>
      <c r="M992" s="218" t="s">
        <v>1292</v>
      </c>
      <c r="N992" s="218">
        <v>231.98</v>
      </c>
      <c r="O992" s="218" t="s">
        <v>292</v>
      </c>
      <c r="P992" s="218">
        <v>300</v>
      </c>
      <c r="Q992" s="218" t="s">
        <v>1271</v>
      </c>
      <c r="R992" s="218" t="s">
        <v>2341</v>
      </c>
      <c r="S992" s="218" t="s">
        <v>396</v>
      </c>
      <c r="T992" s="218" t="s">
        <v>2591</v>
      </c>
      <c r="U992" s="218" t="s">
        <v>740</v>
      </c>
      <c r="V992" s="218" t="s">
        <v>381</v>
      </c>
      <c r="W992" s="218" t="s">
        <v>295</v>
      </c>
      <c r="X992" s="218" t="s">
        <v>379</v>
      </c>
      <c r="Y992" s="218">
        <v>272.33999999999997</v>
      </c>
      <c r="Z992" s="218">
        <f t="shared" si="20"/>
        <v>300</v>
      </c>
    </row>
    <row r="993" spans="1:26">
      <c r="A993" s="218" t="s">
        <v>2592</v>
      </c>
      <c r="B993" s="218"/>
      <c r="C993" s="218"/>
      <c r="D993" s="218"/>
      <c r="E993" s="218"/>
      <c r="F993" s="219" t="s">
        <v>4603</v>
      </c>
      <c r="G993" s="218" t="s">
        <v>274</v>
      </c>
      <c r="H993" s="218" t="s">
        <v>309</v>
      </c>
      <c r="I993" s="223">
        <v>43830</v>
      </c>
      <c r="J993" s="218" t="s">
        <v>2587</v>
      </c>
      <c r="K993" s="218" t="s">
        <v>4587</v>
      </c>
      <c r="L993" s="218" t="s">
        <v>2589</v>
      </c>
      <c r="M993" s="218" t="s">
        <v>1293</v>
      </c>
      <c r="N993" s="218">
        <v>231.98</v>
      </c>
      <c r="O993" s="218" t="s">
        <v>292</v>
      </c>
      <c r="P993" s="218">
        <v>300</v>
      </c>
      <c r="Q993" s="218" t="s">
        <v>1271</v>
      </c>
      <c r="R993" s="218" t="s">
        <v>2341</v>
      </c>
      <c r="S993" s="218" t="s">
        <v>396</v>
      </c>
      <c r="T993" s="218" t="s">
        <v>2591</v>
      </c>
      <c r="U993" s="218" t="s">
        <v>740</v>
      </c>
      <c r="V993" s="218" t="s">
        <v>381</v>
      </c>
      <c r="W993" s="218" t="s">
        <v>295</v>
      </c>
      <c r="X993" s="218" t="s">
        <v>379</v>
      </c>
      <c r="Y993" s="218">
        <v>272.33999999999997</v>
      </c>
      <c r="Z993" s="218">
        <f t="shared" si="20"/>
        <v>300</v>
      </c>
    </row>
    <row r="994" spans="1:26">
      <c r="A994" s="218" t="s">
        <v>2592</v>
      </c>
      <c r="B994" s="218"/>
      <c r="C994" s="218"/>
      <c r="D994" s="218"/>
      <c r="E994" s="218"/>
      <c r="F994" s="219" t="s">
        <v>4604</v>
      </c>
      <c r="G994" s="218" t="s">
        <v>274</v>
      </c>
      <c r="H994" s="218" t="s">
        <v>309</v>
      </c>
      <c r="I994" s="223">
        <v>43830</v>
      </c>
      <c r="J994" s="218" t="s">
        <v>2587</v>
      </c>
      <c r="K994" s="218" t="s">
        <v>4587</v>
      </c>
      <c r="L994" s="218" t="s">
        <v>2589</v>
      </c>
      <c r="M994" s="218" t="s">
        <v>1294</v>
      </c>
      <c r="N994" s="218">
        <v>231.98</v>
      </c>
      <c r="O994" s="218" t="s">
        <v>292</v>
      </c>
      <c r="P994" s="218">
        <v>300</v>
      </c>
      <c r="Q994" s="218" t="s">
        <v>1271</v>
      </c>
      <c r="R994" s="218" t="s">
        <v>2341</v>
      </c>
      <c r="S994" s="218" t="s">
        <v>396</v>
      </c>
      <c r="T994" s="218" t="s">
        <v>2591</v>
      </c>
      <c r="U994" s="218" t="s">
        <v>740</v>
      </c>
      <c r="V994" s="218" t="s">
        <v>381</v>
      </c>
      <c r="W994" s="218" t="s">
        <v>295</v>
      </c>
      <c r="X994" s="218" t="s">
        <v>379</v>
      </c>
      <c r="Y994" s="218">
        <v>272.33999999999997</v>
      </c>
      <c r="Z994" s="218">
        <f t="shared" si="20"/>
        <v>300</v>
      </c>
    </row>
    <row r="995" spans="1:26">
      <c r="A995" s="218" t="s">
        <v>2592</v>
      </c>
      <c r="B995" s="218"/>
      <c r="C995" s="218"/>
      <c r="D995" s="218"/>
      <c r="E995" s="218"/>
      <c r="F995" s="219" t="s">
        <v>4605</v>
      </c>
      <c r="G995" s="218" t="s">
        <v>274</v>
      </c>
      <c r="H995" s="218" t="s">
        <v>309</v>
      </c>
      <c r="I995" s="223">
        <v>43830</v>
      </c>
      <c r="J995" s="218" t="s">
        <v>2587</v>
      </c>
      <c r="K995" s="218" t="s">
        <v>4587</v>
      </c>
      <c r="L995" s="218" t="s">
        <v>2589</v>
      </c>
      <c r="M995" s="218" t="s">
        <v>4596</v>
      </c>
      <c r="N995" s="218">
        <v>231.98</v>
      </c>
      <c r="O995" s="218" t="s">
        <v>292</v>
      </c>
      <c r="P995" s="218">
        <v>300</v>
      </c>
      <c r="Q995" s="218" t="s">
        <v>1271</v>
      </c>
      <c r="R995" s="218" t="s">
        <v>2341</v>
      </c>
      <c r="S995" s="218" t="s">
        <v>396</v>
      </c>
      <c r="T995" s="218" t="s">
        <v>2591</v>
      </c>
      <c r="U995" s="218" t="s">
        <v>740</v>
      </c>
      <c r="V995" s="218" t="s">
        <v>381</v>
      </c>
      <c r="W995" s="218" t="s">
        <v>295</v>
      </c>
      <c r="X995" s="218" t="s">
        <v>379</v>
      </c>
      <c r="Y995" s="218">
        <v>272.33999999999997</v>
      </c>
      <c r="Z995" s="218">
        <f t="shared" si="20"/>
        <v>300</v>
      </c>
    </row>
    <row r="996" spans="1:26">
      <c r="A996" s="218" t="s">
        <v>2592</v>
      </c>
      <c r="B996" s="218"/>
      <c r="C996" s="218"/>
      <c r="D996" s="218"/>
      <c r="E996" s="218"/>
      <c r="F996" s="219" t="s">
        <v>4606</v>
      </c>
      <c r="G996" s="218" t="s">
        <v>274</v>
      </c>
      <c r="H996" s="218" t="s">
        <v>309</v>
      </c>
      <c r="I996" s="223">
        <v>43830</v>
      </c>
      <c r="J996" s="218" t="s">
        <v>2587</v>
      </c>
      <c r="K996" s="218" t="s">
        <v>4587</v>
      </c>
      <c r="L996" s="218" t="s">
        <v>2589</v>
      </c>
      <c r="M996" s="218" t="s">
        <v>1295</v>
      </c>
      <c r="N996" s="218">
        <v>347.96</v>
      </c>
      <c r="O996" s="218" t="s">
        <v>292</v>
      </c>
      <c r="P996" s="218">
        <v>450</v>
      </c>
      <c r="Q996" s="218" t="s">
        <v>1271</v>
      </c>
      <c r="R996" s="218" t="s">
        <v>2341</v>
      </c>
      <c r="S996" s="218" t="s">
        <v>396</v>
      </c>
      <c r="T996" s="218" t="s">
        <v>2591</v>
      </c>
      <c r="U996" s="218" t="s">
        <v>740</v>
      </c>
      <c r="V996" s="218" t="s">
        <v>381</v>
      </c>
      <c r="W996" s="218" t="s">
        <v>295</v>
      </c>
      <c r="X996" s="218" t="s">
        <v>379</v>
      </c>
      <c r="Y996" s="218">
        <v>408.5</v>
      </c>
      <c r="Z996" s="218">
        <f t="shared" si="20"/>
        <v>450</v>
      </c>
    </row>
    <row r="997" spans="1:26">
      <c r="A997" s="218" t="s">
        <v>2592</v>
      </c>
      <c r="B997" s="218"/>
      <c r="C997" s="218"/>
      <c r="D997" s="218"/>
      <c r="E997" s="218"/>
      <c r="F997" s="219" t="s">
        <v>4607</v>
      </c>
      <c r="G997" s="218" t="s">
        <v>274</v>
      </c>
      <c r="H997" s="218" t="s">
        <v>309</v>
      </c>
      <c r="I997" s="223">
        <v>43830</v>
      </c>
      <c r="J997" s="218" t="s">
        <v>2587</v>
      </c>
      <c r="K997" s="218" t="s">
        <v>4587</v>
      </c>
      <c r="L997" s="218" t="s">
        <v>2589</v>
      </c>
      <c r="M997" s="218" t="s">
        <v>4608</v>
      </c>
      <c r="N997" s="218">
        <v>579.94000000000005</v>
      </c>
      <c r="O997" s="218" t="s">
        <v>292</v>
      </c>
      <c r="P997" s="218">
        <v>750</v>
      </c>
      <c r="Q997" s="218" t="s">
        <v>1271</v>
      </c>
      <c r="R997" s="218" t="s">
        <v>2341</v>
      </c>
      <c r="S997" s="218" t="s">
        <v>396</v>
      </c>
      <c r="T997" s="218" t="s">
        <v>2591</v>
      </c>
      <c r="U997" s="218" t="s">
        <v>740</v>
      </c>
      <c r="V997" s="218" t="s">
        <v>381</v>
      </c>
      <c r="W997" s="218" t="s">
        <v>295</v>
      </c>
      <c r="X997" s="218" t="s">
        <v>379</v>
      </c>
      <c r="Y997" s="218">
        <v>680.84</v>
      </c>
      <c r="Z997" s="218">
        <f t="shared" si="20"/>
        <v>750</v>
      </c>
    </row>
    <row r="998" spans="1:26">
      <c r="A998" s="218" t="s">
        <v>2592</v>
      </c>
      <c r="B998" s="218"/>
      <c r="C998" s="218"/>
      <c r="D998" s="218"/>
      <c r="E998" s="218"/>
      <c r="F998" s="219" t="s">
        <v>4609</v>
      </c>
      <c r="G998" s="218" t="s">
        <v>274</v>
      </c>
      <c r="H998" s="218" t="s">
        <v>309</v>
      </c>
      <c r="I998" s="223">
        <v>43830</v>
      </c>
      <c r="J998" s="218" t="s">
        <v>2587</v>
      </c>
      <c r="K998" s="218" t="s">
        <v>4590</v>
      </c>
      <c r="L998" s="218" t="s">
        <v>2589</v>
      </c>
      <c r="M998" s="218" t="s">
        <v>2943</v>
      </c>
      <c r="N998" s="218">
        <v>104.39</v>
      </c>
      <c r="O998" s="218" t="s">
        <v>292</v>
      </c>
      <c r="P998" s="218">
        <v>135</v>
      </c>
      <c r="Q998" s="218" t="s">
        <v>1271</v>
      </c>
      <c r="R998" s="218" t="s">
        <v>2341</v>
      </c>
      <c r="S998" s="218" t="s">
        <v>396</v>
      </c>
      <c r="T998" s="218" t="s">
        <v>2591</v>
      </c>
      <c r="U998" s="218" t="s">
        <v>740</v>
      </c>
      <c r="V998" s="218" t="s">
        <v>381</v>
      </c>
      <c r="W998" s="218" t="s">
        <v>295</v>
      </c>
      <c r="X998" s="218" t="s">
        <v>379</v>
      </c>
      <c r="Y998" s="218">
        <v>122.55</v>
      </c>
      <c r="Z998" s="218">
        <f t="shared" si="20"/>
        <v>135</v>
      </c>
    </row>
    <row r="999" spans="1:26">
      <c r="A999" s="218" t="s">
        <v>2592</v>
      </c>
      <c r="B999" s="218"/>
      <c r="C999" s="218"/>
      <c r="D999" s="218"/>
      <c r="E999" s="218"/>
      <c r="F999" s="219" t="s">
        <v>4610</v>
      </c>
      <c r="G999" s="218" t="s">
        <v>274</v>
      </c>
      <c r="H999" s="218" t="s">
        <v>309</v>
      </c>
      <c r="I999" s="223">
        <v>43830</v>
      </c>
      <c r="J999" s="218" t="s">
        <v>2587</v>
      </c>
      <c r="K999" s="218" t="s">
        <v>4587</v>
      </c>
      <c r="L999" s="218" t="s">
        <v>2589</v>
      </c>
      <c r="M999" s="218" t="s">
        <v>1291</v>
      </c>
      <c r="N999" s="218">
        <v>231.98</v>
      </c>
      <c r="O999" s="218" t="s">
        <v>292</v>
      </c>
      <c r="P999" s="218">
        <v>300</v>
      </c>
      <c r="Q999" s="218" t="s">
        <v>1271</v>
      </c>
      <c r="R999" s="218" t="s">
        <v>2341</v>
      </c>
      <c r="S999" s="218" t="s">
        <v>396</v>
      </c>
      <c r="T999" s="218" t="s">
        <v>2591</v>
      </c>
      <c r="U999" s="218" t="s">
        <v>740</v>
      </c>
      <c r="V999" s="218" t="s">
        <v>381</v>
      </c>
      <c r="W999" s="218" t="s">
        <v>295</v>
      </c>
      <c r="X999" s="218" t="s">
        <v>379</v>
      </c>
      <c r="Y999" s="218">
        <v>272.33999999999997</v>
      </c>
      <c r="Z999" s="218">
        <f t="shared" si="20"/>
        <v>300</v>
      </c>
    </row>
    <row r="1000" spans="1:26">
      <c r="A1000" s="218" t="s">
        <v>2592</v>
      </c>
      <c r="B1000" s="218"/>
      <c r="C1000" s="218"/>
      <c r="D1000" s="218"/>
      <c r="E1000" s="218"/>
      <c r="F1000" s="219" t="s">
        <v>4611</v>
      </c>
      <c r="G1000" s="218" t="s">
        <v>274</v>
      </c>
      <c r="H1000" s="218" t="s">
        <v>309</v>
      </c>
      <c r="I1000" s="223">
        <v>43830</v>
      </c>
      <c r="J1000" s="218" t="s">
        <v>2587</v>
      </c>
      <c r="K1000" s="218" t="s">
        <v>4587</v>
      </c>
      <c r="L1000" s="218" t="s">
        <v>2589</v>
      </c>
      <c r="M1000" s="218" t="s">
        <v>1292</v>
      </c>
      <c r="N1000" s="218">
        <v>231.98</v>
      </c>
      <c r="O1000" s="218" t="s">
        <v>292</v>
      </c>
      <c r="P1000" s="218">
        <v>300</v>
      </c>
      <c r="Q1000" s="218" t="s">
        <v>1271</v>
      </c>
      <c r="R1000" s="218" t="s">
        <v>2341</v>
      </c>
      <c r="S1000" s="218" t="s">
        <v>396</v>
      </c>
      <c r="T1000" s="218" t="s">
        <v>2591</v>
      </c>
      <c r="U1000" s="218" t="s">
        <v>740</v>
      </c>
      <c r="V1000" s="218" t="s">
        <v>381</v>
      </c>
      <c r="W1000" s="218" t="s">
        <v>295</v>
      </c>
      <c r="X1000" s="218" t="s">
        <v>379</v>
      </c>
      <c r="Y1000" s="218">
        <v>272.33999999999997</v>
      </c>
      <c r="Z1000" s="218">
        <f t="shared" si="20"/>
        <v>300</v>
      </c>
    </row>
    <row r="1001" spans="1:26">
      <c r="A1001" s="218" t="s">
        <v>2592</v>
      </c>
      <c r="B1001" s="218"/>
      <c r="C1001" s="218"/>
      <c r="D1001" s="218"/>
      <c r="E1001" s="218"/>
      <c r="F1001" s="219" t="s">
        <v>4612</v>
      </c>
      <c r="G1001" s="218" t="s">
        <v>274</v>
      </c>
      <c r="H1001" s="218" t="s">
        <v>309</v>
      </c>
      <c r="I1001" s="223">
        <v>43830</v>
      </c>
      <c r="J1001" s="218" t="s">
        <v>2587</v>
      </c>
      <c r="K1001" s="218" t="s">
        <v>4587</v>
      </c>
      <c r="L1001" s="218" t="s">
        <v>2589</v>
      </c>
      <c r="M1001" s="218" t="s">
        <v>1293</v>
      </c>
      <c r="N1001" s="218">
        <v>231.98</v>
      </c>
      <c r="O1001" s="218" t="s">
        <v>292</v>
      </c>
      <c r="P1001" s="218">
        <v>300</v>
      </c>
      <c r="Q1001" s="218" t="s">
        <v>1271</v>
      </c>
      <c r="R1001" s="218" t="s">
        <v>2341</v>
      </c>
      <c r="S1001" s="218" t="s">
        <v>396</v>
      </c>
      <c r="T1001" s="218" t="s">
        <v>2591</v>
      </c>
      <c r="U1001" s="218" t="s">
        <v>740</v>
      </c>
      <c r="V1001" s="218" t="s">
        <v>381</v>
      </c>
      <c r="W1001" s="218" t="s">
        <v>295</v>
      </c>
      <c r="X1001" s="218" t="s">
        <v>379</v>
      </c>
      <c r="Y1001" s="218">
        <v>272.33999999999997</v>
      </c>
      <c r="Z1001" s="218">
        <f t="shared" si="20"/>
        <v>300</v>
      </c>
    </row>
    <row r="1002" spans="1:26">
      <c r="A1002" s="218" t="s">
        <v>2592</v>
      </c>
      <c r="B1002" s="218"/>
      <c r="C1002" s="218"/>
      <c r="D1002" s="218"/>
      <c r="E1002" s="218"/>
      <c r="F1002" s="219" t="s">
        <v>4613</v>
      </c>
      <c r="G1002" s="218" t="s">
        <v>274</v>
      </c>
      <c r="H1002" s="218" t="s">
        <v>309</v>
      </c>
      <c r="I1002" s="223">
        <v>43830</v>
      </c>
      <c r="J1002" s="218" t="s">
        <v>2587</v>
      </c>
      <c r="K1002" s="218" t="s">
        <v>4587</v>
      </c>
      <c r="L1002" s="218" t="s">
        <v>2589</v>
      </c>
      <c r="M1002" s="218" t="s">
        <v>1294</v>
      </c>
      <c r="N1002" s="218">
        <v>231.98</v>
      </c>
      <c r="O1002" s="218" t="s">
        <v>292</v>
      </c>
      <c r="P1002" s="218">
        <v>300</v>
      </c>
      <c r="Q1002" s="218" t="s">
        <v>1271</v>
      </c>
      <c r="R1002" s="218" t="s">
        <v>2341</v>
      </c>
      <c r="S1002" s="218" t="s">
        <v>396</v>
      </c>
      <c r="T1002" s="218" t="s">
        <v>2591</v>
      </c>
      <c r="U1002" s="218" t="s">
        <v>740</v>
      </c>
      <c r="V1002" s="218" t="s">
        <v>381</v>
      </c>
      <c r="W1002" s="218" t="s">
        <v>295</v>
      </c>
      <c r="X1002" s="218" t="s">
        <v>379</v>
      </c>
      <c r="Y1002" s="218">
        <v>272.33999999999997</v>
      </c>
      <c r="Z1002" s="218">
        <f t="shared" si="20"/>
        <v>300</v>
      </c>
    </row>
    <row r="1003" spans="1:26">
      <c r="A1003" s="218" t="s">
        <v>2592</v>
      </c>
      <c r="B1003" s="218"/>
      <c r="C1003" s="218"/>
      <c r="D1003" s="218"/>
      <c r="E1003" s="218"/>
      <c r="F1003" s="219" t="s">
        <v>4614</v>
      </c>
      <c r="G1003" s="218" t="s">
        <v>274</v>
      </c>
      <c r="H1003" s="218" t="s">
        <v>309</v>
      </c>
      <c r="I1003" s="223">
        <v>43830</v>
      </c>
      <c r="J1003" s="218" t="s">
        <v>2587</v>
      </c>
      <c r="K1003" s="218" t="s">
        <v>4587</v>
      </c>
      <c r="L1003" s="218" t="s">
        <v>2589</v>
      </c>
      <c r="M1003" s="218" t="s">
        <v>4596</v>
      </c>
      <c r="N1003" s="218">
        <v>231.98</v>
      </c>
      <c r="O1003" s="218" t="s">
        <v>292</v>
      </c>
      <c r="P1003" s="218">
        <v>300</v>
      </c>
      <c r="Q1003" s="218" t="s">
        <v>1271</v>
      </c>
      <c r="R1003" s="218" t="s">
        <v>2341</v>
      </c>
      <c r="S1003" s="218" t="s">
        <v>396</v>
      </c>
      <c r="T1003" s="218" t="s">
        <v>2591</v>
      </c>
      <c r="U1003" s="218" t="s">
        <v>740</v>
      </c>
      <c r="V1003" s="218" t="s">
        <v>381</v>
      </c>
      <c r="W1003" s="218" t="s">
        <v>295</v>
      </c>
      <c r="X1003" s="218" t="s">
        <v>379</v>
      </c>
      <c r="Y1003" s="218">
        <v>272.33999999999997</v>
      </c>
      <c r="Z1003" s="218">
        <f t="shared" si="20"/>
        <v>300</v>
      </c>
    </row>
    <row r="1004" spans="1:26">
      <c r="A1004" s="218" t="s">
        <v>2592</v>
      </c>
      <c r="B1004" s="218"/>
      <c r="C1004" s="218"/>
      <c r="D1004" s="218"/>
      <c r="E1004" s="218"/>
      <c r="F1004" s="219" t="s">
        <v>4615</v>
      </c>
      <c r="G1004" s="218" t="s">
        <v>274</v>
      </c>
      <c r="H1004" s="218" t="s">
        <v>309</v>
      </c>
      <c r="I1004" s="223">
        <v>43830</v>
      </c>
      <c r="J1004" s="218" t="s">
        <v>2587</v>
      </c>
      <c r="K1004" s="218" t="s">
        <v>4587</v>
      </c>
      <c r="L1004" s="218" t="s">
        <v>2589</v>
      </c>
      <c r="M1004" s="218" t="s">
        <v>1295</v>
      </c>
      <c r="N1004" s="218">
        <v>347.96</v>
      </c>
      <c r="O1004" s="218" t="s">
        <v>292</v>
      </c>
      <c r="P1004" s="218">
        <v>450</v>
      </c>
      <c r="Q1004" s="218" t="s">
        <v>1271</v>
      </c>
      <c r="R1004" s="218" t="s">
        <v>2341</v>
      </c>
      <c r="S1004" s="218" t="s">
        <v>396</v>
      </c>
      <c r="T1004" s="218" t="s">
        <v>2591</v>
      </c>
      <c r="U1004" s="218" t="s">
        <v>740</v>
      </c>
      <c r="V1004" s="218" t="s">
        <v>381</v>
      </c>
      <c r="W1004" s="218" t="s">
        <v>295</v>
      </c>
      <c r="X1004" s="218" t="s">
        <v>379</v>
      </c>
      <c r="Y1004" s="218">
        <v>408.5</v>
      </c>
      <c r="Z1004" s="218">
        <f t="shared" si="20"/>
        <v>450</v>
      </c>
    </row>
    <row r="1005" spans="1:26">
      <c r="A1005" s="218" t="s">
        <v>2592</v>
      </c>
      <c r="B1005" s="218"/>
      <c r="C1005" s="218"/>
      <c r="D1005" s="218"/>
      <c r="E1005" s="218"/>
      <c r="F1005" s="219" t="s">
        <v>4616</v>
      </c>
      <c r="G1005" s="218" t="s">
        <v>274</v>
      </c>
      <c r="H1005" s="218" t="s">
        <v>309</v>
      </c>
      <c r="I1005" s="223">
        <v>43830</v>
      </c>
      <c r="J1005" s="218" t="s">
        <v>2587</v>
      </c>
      <c r="K1005" s="218" t="s">
        <v>4617</v>
      </c>
      <c r="L1005" s="218" t="s">
        <v>2589</v>
      </c>
      <c r="M1005" s="218" t="s">
        <v>4618</v>
      </c>
      <c r="N1005" s="218">
        <v>13.66</v>
      </c>
      <c r="O1005" s="218" t="s">
        <v>292</v>
      </c>
      <c r="P1005" s="218">
        <v>17.66</v>
      </c>
      <c r="Q1005" s="218" t="s">
        <v>1271</v>
      </c>
      <c r="R1005" s="218" t="s">
        <v>2341</v>
      </c>
      <c r="S1005" s="218" t="s">
        <v>396</v>
      </c>
      <c r="T1005" s="218" t="s">
        <v>2591</v>
      </c>
      <c r="U1005" s="218" t="s">
        <v>740</v>
      </c>
      <c r="V1005" s="218" t="s">
        <v>381</v>
      </c>
      <c r="W1005" s="218" t="s">
        <v>295</v>
      </c>
      <c r="X1005" s="218" t="s">
        <v>379</v>
      </c>
      <c r="Y1005" s="218">
        <v>16.04</v>
      </c>
      <c r="Z1005" s="218">
        <f t="shared" si="20"/>
        <v>17.66</v>
      </c>
    </row>
    <row r="1006" spans="1:26">
      <c r="A1006" s="218" t="s">
        <v>2592</v>
      </c>
      <c r="B1006" s="218"/>
      <c r="C1006" s="218"/>
      <c r="D1006" s="218"/>
      <c r="E1006" s="218"/>
      <c r="F1006" s="219" t="s">
        <v>4619</v>
      </c>
      <c r="G1006" s="218" t="s">
        <v>274</v>
      </c>
      <c r="H1006" s="218" t="s">
        <v>309</v>
      </c>
      <c r="I1006" s="223">
        <v>43830</v>
      </c>
      <c r="J1006" s="218" t="s">
        <v>2587</v>
      </c>
      <c r="K1006" s="218" t="s">
        <v>4617</v>
      </c>
      <c r="L1006" s="218" t="s">
        <v>2589</v>
      </c>
      <c r="M1006" s="218" t="s">
        <v>4620</v>
      </c>
      <c r="N1006" s="218">
        <v>13.66</v>
      </c>
      <c r="O1006" s="218" t="s">
        <v>292</v>
      </c>
      <c r="P1006" s="218">
        <v>17.66</v>
      </c>
      <c r="Q1006" s="218" t="s">
        <v>1271</v>
      </c>
      <c r="R1006" s="218" t="s">
        <v>2341</v>
      </c>
      <c r="S1006" s="218" t="s">
        <v>396</v>
      </c>
      <c r="T1006" s="218" t="s">
        <v>2591</v>
      </c>
      <c r="U1006" s="218" t="s">
        <v>740</v>
      </c>
      <c r="V1006" s="218" t="s">
        <v>381</v>
      </c>
      <c r="W1006" s="218" t="s">
        <v>295</v>
      </c>
      <c r="X1006" s="218" t="s">
        <v>379</v>
      </c>
      <c r="Y1006" s="218">
        <v>16.04</v>
      </c>
      <c r="Z1006" s="218">
        <f t="shared" si="20"/>
        <v>17.66</v>
      </c>
    </row>
    <row r="1007" spans="1:26">
      <c r="A1007" s="218" t="s">
        <v>2592</v>
      </c>
      <c r="B1007" s="218"/>
      <c r="C1007" s="218"/>
      <c r="D1007" s="218"/>
      <c r="E1007" s="218"/>
      <c r="F1007" s="219" t="s">
        <v>4621</v>
      </c>
      <c r="G1007" s="218" t="s">
        <v>274</v>
      </c>
      <c r="H1007" s="218" t="s">
        <v>309</v>
      </c>
      <c r="I1007" s="223">
        <v>43830</v>
      </c>
      <c r="J1007" s="218" t="s">
        <v>2587</v>
      </c>
      <c r="K1007" s="218" t="s">
        <v>4587</v>
      </c>
      <c r="L1007" s="218" t="s">
        <v>2589</v>
      </c>
      <c r="M1007" s="218" t="s">
        <v>1287</v>
      </c>
      <c r="N1007" s="218">
        <v>61.86</v>
      </c>
      <c r="O1007" s="218" t="s">
        <v>292</v>
      </c>
      <c r="P1007" s="218">
        <v>80</v>
      </c>
      <c r="Q1007" s="218" t="s">
        <v>1271</v>
      </c>
      <c r="R1007" s="218" t="s">
        <v>2341</v>
      </c>
      <c r="S1007" s="218" t="s">
        <v>396</v>
      </c>
      <c r="T1007" s="218" t="s">
        <v>2591</v>
      </c>
      <c r="U1007" s="218" t="s">
        <v>740</v>
      </c>
      <c r="V1007" s="218" t="s">
        <v>381</v>
      </c>
      <c r="W1007" s="218" t="s">
        <v>295</v>
      </c>
      <c r="X1007" s="218" t="s">
        <v>379</v>
      </c>
      <c r="Y1007" s="218">
        <v>72.62</v>
      </c>
      <c r="Z1007" s="218">
        <f t="shared" si="20"/>
        <v>80</v>
      </c>
    </row>
    <row r="1008" spans="1:26">
      <c r="A1008" s="218" t="s">
        <v>2592</v>
      </c>
      <c r="B1008" s="218"/>
      <c r="C1008" s="218"/>
      <c r="D1008" s="218"/>
      <c r="E1008" s="218"/>
      <c r="F1008" s="219" t="s">
        <v>4622</v>
      </c>
      <c r="G1008" s="218" t="s">
        <v>274</v>
      </c>
      <c r="H1008" s="218" t="s">
        <v>309</v>
      </c>
      <c r="I1008" s="223">
        <v>43830</v>
      </c>
      <c r="J1008" s="218" t="s">
        <v>2587</v>
      </c>
      <c r="K1008" s="218" t="s">
        <v>4587</v>
      </c>
      <c r="L1008" s="218" t="s">
        <v>2589</v>
      </c>
      <c r="M1008" s="218" t="s">
        <v>4623</v>
      </c>
      <c r="N1008" s="218">
        <v>61.86</v>
      </c>
      <c r="O1008" s="218" t="s">
        <v>292</v>
      </c>
      <c r="P1008" s="218">
        <v>80</v>
      </c>
      <c r="Q1008" s="218" t="s">
        <v>1271</v>
      </c>
      <c r="R1008" s="218" t="s">
        <v>2341</v>
      </c>
      <c r="S1008" s="218" t="s">
        <v>396</v>
      </c>
      <c r="T1008" s="218" t="s">
        <v>2591</v>
      </c>
      <c r="U1008" s="218" t="s">
        <v>740</v>
      </c>
      <c r="V1008" s="218" t="s">
        <v>381</v>
      </c>
      <c r="W1008" s="218" t="s">
        <v>295</v>
      </c>
      <c r="X1008" s="218" t="s">
        <v>379</v>
      </c>
      <c r="Y1008" s="218">
        <v>72.62</v>
      </c>
      <c r="Z1008" s="218">
        <f t="shared" si="20"/>
        <v>80</v>
      </c>
    </row>
    <row r="1009" spans="1:26">
      <c r="A1009" s="218" t="s">
        <v>2592</v>
      </c>
      <c r="B1009" s="218"/>
      <c r="C1009" s="218"/>
      <c r="D1009" s="218"/>
      <c r="E1009" s="218"/>
      <c r="F1009" s="219" t="s">
        <v>4624</v>
      </c>
      <c r="G1009" s="218" t="s">
        <v>274</v>
      </c>
      <c r="H1009" s="218" t="s">
        <v>309</v>
      </c>
      <c r="I1009" s="223">
        <v>43830</v>
      </c>
      <c r="J1009" s="218" t="s">
        <v>2587</v>
      </c>
      <c r="K1009" s="218" t="s">
        <v>4587</v>
      </c>
      <c r="L1009" s="218" t="s">
        <v>2589</v>
      </c>
      <c r="M1009" s="218" t="s">
        <v>1289</v>
      </c>
      <c r="N1009" s="218">
        <v>7.73</v>
      </c>
      <c r="O1009" s="218" t="s">
        <v>292</v>
      </c>
      <c r="P1009" s="218">
        <v>10</v>
      </c>
      <c r="Q1009" s="218" t="s">
        <v>1271</v>
      </c>
      <c r="R1009" s="218" t="s">
        <v>2341</v>
      </c>
      <c r="S1009" s="218" t="s">
        <v>396</v>
      </c>
      <c r="T1009" s="218" t="s">
        <v>2591</v>
      </c>
      <c r="U1009" s="218" t="s">
        <v>740</v>
      </c>
      <c r="V1009" s="218" t="s">
        <v>381</v>
      </c>
      <c r="W1009" s="218" t="s">
        <v>295</v>
      </c>
      <c r="X1009" s="218" t="s">
        <v>379</v>
      </c>
      <c r="Y1009" s="218">
        <v>9.07</v>
      </c>
      <c r="Z1009" s="218">
        <f t="shared" si="20"/>
        <v>10</v>
      </c>
    </row>
    <row r="1010" spans="1:26">
      <c r="A1010" s="218" t="s">
        <v>2592</v>
      </c>
      <c r="B1010" s="218"/>
      <c r="C1010" s="218"/>
      <c r="D1010" s="218"/>
      <c r="E1010" s="218"/>
      <c r="F1010" s="219" t="s">
        <v>4625</v>
      </c>
      <c r="G1010" s="218" t="s">
        <v>274</v>
      </c>
      <c r="H1010" s="218" t="s">
        <v>309</v>
      </c>
      <c r="I1010" s="223">
        <v>43830</v>
      </c>
      <c r="J1010" s="218" t="s">
        <v>2587</v>
      </c>
      <c r="K1010" s="218" t="s">
        <v>4587</v>
      </c>
      <c r="L1010" s="218" t="s">
        <v>2589</v>
      </c>
      <c r="M1010" s="218" t="s">
        <v>4626</v>
      </c>
      <c r="N1010" s="218">
        <v>7.73</v>
      </c>
      <c r="O1010" s="218" t="s">
        <v>292</v>
      </c>
      <c r="P1010" s="218">
        <v>10</v>
      </c>
      <c r="Q1010" s="218" t="s">
        <v>1271</v>
      </c>
      <c r="R1010" s="218" t="s">
        <v>2341</v>
      </c>
      <c r="S1010" s="218" t="s">
        <v>396</v>
      </c>
      <c r="T1010" s="218" t="s">
        <v>2591</v>
      </c>
      <c r="U1010" s="218" t="s">
        <v>740</v>
      </c>
      <c r="V1010" s="218" t="s">
        <v>381</v>
      </c>
      <c r="W1010" s="218" t="s">
        <v>295</v>
      </c>
      <c r="X1010" s="218" t="s">
        <v>379</v>
      </c>
      <c r="Y1010" s="218">
        <v>9.07</v>
      </c>
      <c r="Z1010" s="218">
        <f t="shared" si="20"/>
        <v>10</v>
      </c>
    </row>
    <row r="1011" spans="1:26">
      <c r="A1011" s="218" t="s">
        <v>2592</v>
      </c>
      <c r="B1011" s="218"/>
      <c r="C1011" s="218"/>
      <c r="D1011" s="218"/>
      <c r="E1011" s="218"/>
      <c r="F1011" s="219" t="s">
        <v>4627</v>
      </c>
      <c r="G1011" s="218" t="s">
        <v>274</v>
      </c>
      <c r="H1011" s="218" t="s">
        <v>309</v>
      </c>
      <c r="I1011" s="223">
        <v>43830</v>
      </c>
      <c r="J1011" s="218" t="s">
        <v>2587</v>
      </c>
      <c r="K1011" s="218" t="s">
        <v>4587</v>
      </c>
      <c r="L1011" s="218" t="s">
        <v>2589</v>
      </c>
      <c r="M1011" s="218" t="s">
        <v>1287</v>
      </c>
      <c r="N1011" s="218">
        <v>61.86</v>
      </c>
      <c r="O1011" s="218" t="s">
        <v>292</v>
      </c>
      <c r="P1011" s="218">
        <v>80</v>
      </c>
      <c r="Q1011" s="218" t="s">
        <v>1271</v>
      </c>
      <c r="R1011" s="218" t="s">
        <v>2341</v>
      </c>
      <c r="S1011" s="218" t="s">
        <v>396</v>
      </c>
      <c r="T1011" s="218" t="s">
        <v>2591</v>
      </c>
      <c r="U1011" s="218" t="s">
        <v>740</v>
      </c>
      <c r="V1011" s="218" t="s">
        <v>381</v>
      </c>
      <c r="W1011" s="218" t="s">
        <v>295</v>
      </c>
      <c r="X1011" s="218" t="s">
        <v>379</v>
      </c>
      <c r="Y1011" s="218">
        <v>72.62</v>
      </c>
      <c r="Z1011" s="218">
        <f t="shared" si="20"/>
        <v>80</v>
      </c>
    </row>
    <row r="1012" spans="1:26">
      <c r="A1012" s="218" t="s">
        <v>2592</v>
      </c>
      <c r="B1012" s="218"/>
      <c r="C1012" s="218"/>
      <c r="D1012" s="218"/>
      <c r="E1012" s="218"/>
      <c r="F1012" s="219" t="s">
        <v>4628</v>
      </c>
      <c r="G1012" s="218" t="s">
        <v>274</v>
      </c>
      <c r="H1012" s="218" t="s">
        <v>309</v>
      </c>
      <c r="I1012" s="223">
        <v>43830</v>
      </c>
      <c r="J1012" s="218" t="s">
        <v>2587</v>
      </c>
      <c r="K1012" s="218" t="s">
        <v>4587</v>
      </c>
      <c r="L1012" s="218" t="s">
        <v>2589</v>
      </c>
      <c r="M1012" s="218" t="s">
        <v>4623</v>
      </c>
      <c r="N1012" s="218">
        <v>61.86</v>
      </c>
      <c r="O1012" s="218" t="s">
        <v>292</v>
      </c>
      <c r="P1012" s="218">
        <v>80</v>
      </c>
      <c r="Q1012" s="218" t="s">
        <v>1271</v>
      </c>
      <c r="R1012" s="218" t="s">
        <v>2341</v>
      </c>
      <c r="S1012" s="218" t="s">
        <v>396</v>
      </c>
      <c r="T1012" s="218" t="s">
        <v>2591</v>
      </c>
      <c r="U1012" s="218" t="s">
        <v>740</v>
      </c>
      <c r="V1012" s="218" t="s">
        <v>381</v>
      </c>
      <c r="W1012" s="218" t="s">
        <v>295</v>
      </c>
      <c r="X1012" s="218" t="s">
        <v>379</v>
      </c>
      <c r="Y1012" s="218">
        <v>72.62</v>
      </c>
      <c r="Z1012" s="218">
        <f t="shared" si="20"/>
        <v>80</v>
      </c>
    </row>
    <row r="1013" spans="1:26">
      <c r="A1013" s="218" t="s">
        <v>2592</v>
      </c>
      <c r="B1013" s="218"/>
      <c r="C1013" s="218"/>
      <c r="D1013" s="218"/>
      <c r="E1013" s="218"/>
      <c r="F1013" s="219" t="s">
        <v>4629</v>
      </c>
      <c r="G1013" s="218" t="s">
        <v>274</v>
      </c>
      <c r="H1013" s="218" t="s">
        <v>309</v>
      </c>
      <c r="I1013" s="223">
        <v>43830</v>
      </c>
      <c r="J1013" s="218" t="s">
        <v>2587</v>
      </c>
      <c r="K1013" s="218" t="s">
        <v>4587</v>
      </c>
      <c r="L1013" s="218" t="s">
        <v>2589</v>
      </c>
      <c r="M1013" s="218" t="s">
        <v>1289</v>
      </c>
      <c r="N1013" s="218">
        <v>7.73</v>
      </c>
      <c r="O1013" s="218" t="s">
        <v>292</v>
      </c>
      <c r="P1013" s="218">
        <v>10</v>
      </c>
      <c r="Q1013" s="218" t="s">
        <v>1271</v>
      </c>
      <c r="R1013" s="218" t="s">
        <v>2341</v>
      </c>
      <c r="S1013" s="218" t="s">
        <v>396</v>
      </c>
      <c r="T1013" s="218" t="s">
        <v>2591</v>
      </c>
      <c r="U1013" s="218" t="s">
        <v>740</v>
      </c>
      <c r="V1013" s="218" t="s">
        <v>381</v>
      </c>
      <c r="W1013" s="218" t="s">
        <v>295</v>
      </c>
      <c r="X1013" s="218" t="s">
        <v>379</v>
      </c>
      <c r="Y1013" s="218">
        <v>9.07</v>
      </c>
      <c r="Z1013" s="218">
        <f t="shared" si="20"/>
        <v>10</v>
      </c>
    </row>
    <row r="1014" spans="1:26">
      <c r="A1014" s="218" t="s">
        <v>2592</v>
      </c>
      <c r="B1014" s="218"/>
      <c r="C1014" s="218"/>
      <c r="D1014" s="218"/>
      <c r="E1014" s="218"/>
      <c r="F1014" s="219" t="s">
        <v>4630</v>
      </c>
      <c r="G1014" s="218" t="s">
        <v>274</v>
      </c>
      <c r="H1014" s="218" t="s">
        <v>309</v>
      </c>
      <c r="I1014" s="223">
        <v>43830</v>
      </c>
      <c r="J1014" s="218" t="s">
        <v>2587</v>
      </c>
      <c r="K1014" s="218" t="s">
        <v>4587</v>
      </c>
      <c r="L1014" s="218" t="s">
        <v>2589</v>
      </c>
      <c r="M1014" s="218" t="s">
        <v>4626</v>
      </c>
      <c r="N1014" s="218">
        <v>7.73</v>
      </c>
      <c r="O1014" s="218" t="s">
        <v>292</v>
      </c>
      <c r="P1014" s="218">
        <v>10</v>
      </c>
      <c r="Q1014" s="218" t="s">
        <v>1271</v>
      </c>
      <c r="R1014" s="218" t="s">
        <v>2341</v>
      </c>
      <c r="S1014" s="218" t="s">
        <v>396</v>
      </c>
      <c r="T1014" s="218" t="s">
        <v>2591</v>
      </c>
      <c r="U1014" s="218" t="s">
        <v>740</v>
      </c>
      <c r="V1014" s="218" t="s">
        <v>381</v>
      </c>
      <c r="W1014" s="218" t="s">
        <v>295</v>
      </c>
      <c r="X1014" s="218" t="s">
        <v>379</v>
      </c>
      <c r="Y1014" s="218">
        <v>9.07</v>
      </c>
      <c r="Z1014" s="218">
        <f t="shared" si="20"/>
        <v>10</v>
      </c>
    </row>
    <row r="1015" spans="1:26">
      <c r="A1015" s="218" t="s">
        <v>2592</v>
      </c>
      <c r="B1015" s="218"/>
      <c r="C1015" s="218"/>
      <c r="D1015" s="218"/>
      <c r="E1015" s="218"/>
      <c r="F1015" s="219" t="s">
        <v>4631</v>
      </c>
      <c r="G1015" s="218" t="s">
        <v>274</v>
      </c>
      <c r="H1015" s="218" t="s">
        <v>309</v>
      </c>
      <c r="I1015" s="223">
        <v>43830</v>
      </c>
      <c r="J1015" s="218" t="s">
        <v>2587</v>
      </c>
      <c r="K1015" s="218" t="s">
        <v>4617</v>
      </c>
      <c r="L1015" s="218" t="s">
        <v>2589</v>
      </c>
      <c r="M1015" s="218" t="s">
        <v>4632</v>
      </c>
      <c r="N1015" s="218">
        <v>13.66</v>
      </c>
      <c r="O1015" s="218" t="s">
        <v>292</v>
      </c>
      <c r="P1015" s="218">
        <v>17.66</v>
      </c>
      <c r="Q1015" s="218" t="s">
        <v>1271</v>
      </c>
      <c r="R1015" s="218" t="s">
        <v>2341</v>
      </c>
      <c r="S1015" s="218" t="s">
        <v>396</v>
      </c>
      <c r="T1015" s="218" t="s">
        <v>2591</v>
      </c>
      <c r="U1015" s="218" t="s">
        <v>740</v>
      </c>
      <c r="V1015" s="218" t="s">
        <v>381</v>
      </c>
      <c r="W1015" s="218" t="s">
        <v>295</v>
      </c>
      <c r="X1015" s="218" t="s">
        <v>379</v>
      </c>
      <c r="Y1015" s="218">
        <v>16.04</v>
      </c>
      <c r="Z1015" s="218">
        <f t="shared" si="20"/>
        <v>17.66</v>
      </c>
    </row>
    <row r="1016" spans="1:26">
      <c r="A1016" s="218" t="s">
        <v>2592</v>
      </c>
      <c r="B1016" s="218"/>
      <c r="C1016" s="218"/>
      <c r="D1016" s="218"/>
      <c r="E1016" s="218"/>
      <c r="F1016" s="219" t="s">
        <v>4633</v>
      </c>
      <c r="G1016" s="218" t="s">
        <v>274</v>
      </c>
      <c r="H1016" s="218" t="s">
        <v>309</v>
      </c>
      <c r="I1016" s="223">
        <v>43830</v>
      </c>
      <c r="J1016" s="218" t="s">
        <v>2587</v>
      </c>
      <c r="K1016" s="218" t="s">
        <v>4587</v>
      </c>
      <c r="L1016" s="218" t="s">
        <v>2589</v>
      </c>
      <c r="M1016" s="218" t="s">
        <v>4634</v>
      </c>
      <c r="N1016" s="218">
        <v>61.86</v>
      </c>
      <c r="O1016" s="218" t="s">
        <v>292</v>
      </c>
      <c r="P1016" s="218">
        <v>80</v>
      </c>
      <c r="Q1016" s="218" t="s">
        <v>1271</v>
      </c>
      <c r="R1016" s="218" t="s">
        <v>2341</v>
      </c>
      <c r="S1016" s="218" t="s">
        <v>396</v>
      </c>
      <c r="T1016" s="218" t="s">
        <v>2591</v>
      </c>
      <c r="U1016" s="218" t="s">
        <v>740</v>
      </c>
      <c r="V1016" s="218" t="s">
        <v>381</v>
      </c>
      <c r="W1016" s="218" t="s">
        <v>295</v>
      </c>
      <c r="X1016" s="218" t="s">
        <v>379</v>
      </c>
      <c r="Y1016" s="218">
        <v>72.62</v>
      </c>
      <c r="Z1016" s="218">
        <f t="shared" si="20"/>
        <v>80</v>
      </c>
    </row>
    <row r="1017" spans="1:26">
      <c r="A1017" s="218" t="s">
        <v>2592</v>
      </c>
      <c r="B1017" s="218"/>
      <c r="C1017" s="218"/>
      <c r="D1017" s="218"/>
      <c r="E1017" s="218"/>
      <c r="F1017" s="219" t="s">
        <v>4635</v>
      </c>
      <c r="G1017" s="218" t="s">
        <v>274</v>
      </c>
      <c r="H1017" s="218" t="s">
        <v>309</v>
      </c>
      <c r="I1017" s="223">
        <v>43830</v>
      </c>
      <c r="J1017" s="218" t="s">
        <v>2587</v>
      </c>
      <c r="K1017" s="218" t="s">
        <v>4587</v>
      </c>
      <c r="L1017" s="218" t="s">
        <v>2589</v>
      </c>
      <c r="M1017" s="218" t="s">
        <v>4636</v>
      </c>
      <c r="N1017" s="218">
        <v>61.86</v>
      </c>
      <c r="O1017" s="218" t="s">
        <v>292</v>
      </c>
      <c r="P1017" s="218">
        <v>80</v>
      </c>
      <c r="Q1017" s="218" t="s">
        <v>1271</v>
      </c>
      <c r="R1017" s="218" t="s">
        <v>2341</v>
      </c>
      <c r="S1017" s="218" t="s">
        <v>396</v>
      </c>
      <c r="T1017" s="218" t="s">
        <v>2591</v>
      </c>
      <c r="U1017" s="218" t="s">
        <v>740</v>
      </c>
      <c r="V1017" s="218" t="s">
        <v>381</v>
      </c>
      <c r="W1017" s="218" t="s">
        <v>295</v>
      </c>
      <c r="X1017" s="218" t="s">
        <v>379</v>
      </c>
      <c r="Y1017" s="218">
        <v>72.62</v>
      </c>
      <c r="Z1017" s="218">
        <f t="shared" si="20"/>
        <v>80</v>
      </c>
    </row>
    <row r="1018" spans="1:26">
      <c r="A1018" s="218" t="s">
        <v>2592</v>
      </c>
      <c r="B1018" s="218"/>
      <c r="C1018" s="218"/>
      <c r="D1018" s="218"/>
      <c r="E1018" s="218"/>
      <c r="F1018" s="219" t="s">
        <v>4637</v>
      </c>
      <c r="G1018" s="218" t="s">
        <v>274</v>
      </c>
      <c r="H1018" s="218" t="s">
        <v>309</v>
      </c>
      <c r="I1018" s="223">
        <v>43830</v>
      </c>
      <c r="J1018" s="218" t="s">
        <v>2587</v>
      </c>
      <c r="K1018" s="218" t="s">
        <v>4587</v>
      </c>
      <c r="L1018" s="218" t="s">
        <v>2589</v>
      </c>
      <c r="M1018" s="218" t="s">
        <v>4638</v>
      </c>
      <c r="N1018" s="218">
        <v>7.73</v>
      </c>
      <c r="O1018" s="218" t="s">
        <v>292</v>
      </c>
      <c r="P1018" s="218">
        <v>10</v>
      </c>
      <c r="Q1018" s="218" t="s">
        <v>1271</v>
      </c>
      <c r="R1018" s="218" t="s">
        <v>2341</v>
      </c>
      <c r="S1018" s="218" t="s">
        <v>396</v>
      </c>
      <c r="T1018" s="218" t="s">
        <v>2591</v>
      </c>
      <c r="U1018" s="218" t="s">
        <v>740</v>
      </c>
      <c r="V1018" s="218" t="s">
        <v>381</v>
      </c>
      <c r="W1018" s="218" t="s">
        <v>295</v>
      </c>
      <c r="X1018" s="218" t="s">
        <v>379</v>
      </c>
      <c r="Y1018" s="218">
        <v>9.07</v>
      </c>
      <c r="Z1018" s="218">
        <f t="shared" si="20"/>
        <v>10</v>
      </c>
    </row>
    <row r="1019" spans="1:26">
      <c r="A1019" s="218" t="s">
        <v>2592</v>
      </c>
      <c r="B1019" s="218"/>
      <c r="C1019" s="218"/>
      <c r="D1019" s="218"/>
      <c r="E1019" s="218"/>
      <c r="F1019" s="219" t="s">
        <v>4639</v>
      </c>
      <c r="G1019" s="218" t="s">
        <v>274</v>
      </c>
      <c r="H1019" s="218" t="s">
        <v>309</v>
      </c>
      <c r="I1019" s="223">
        <v>43830</v>
      </c>
      <c r="J1019" s="218" t="s">
        <v>2587</v>
      </c>
      <c r="K1019" s="218" t="s">
        <v>4587</v>
      </c>
      <c r="L1019" s="218" t="s">
        <v>2589</v>
      </c>
      <c r="M1019" s="218" t="s">
        <v>4640</v>
      </c>
      <c r="N1019" s="218">
        <v>7.73</v>
      </c>
      <c r="O1019" s="218" t="s">
        <v>292</v>
      </c>
      <c r="P1019" s="218">
        <v>10</v>
      </c>
      <c r="Q1019" s="218" t="s">
        <v>1271</v>
      </c>
      <c r="R1019" s="218" t="s">
        <v>2341</v>
      </c>
      <c r="S1019" s="218" t="s">
        <v>396</v>
      </c>
      <c r="T1019" s="218" t="s">
        <v>2591</v>
      </c>
      <c r="U1019" s="218" t="s">
        <v>740</v>
      </c>
      <c r="V1019" s="218" t="s">
        <v>381</v>
      </c>
      <c r="W1019" s="218" t="s">
        <v>295</v>
      </c>
      <c r="X1019" s="218" t="s">
        <v>379</v>
      </c>
      <c r="Y1019" s="218">
        <v>9.07</v>
      </c>
      <c r="Z1019" s="218">
        <f t="shared" si="20"/>
        <v>10</v>
      </c>
    </row>
    <row r="1020" spans="1:26">
      <c r="A1020" s="218" t="s">
        <v>2592</v>
      </c>
      <c r="B1020" s="218"/>
      <c r="C1020" s="218"/>
      <c r="D1020" s="218"/>
      <c r="E1020" s="218"/>
      <c r="F1020" s="219" t="s">
        <v>4641</v>
      </c>
      <c r="G1020" s="218" t="s">
        <v>274</v>
      </c>
      <c r="H1020" s="218" t="s">
        <v>309</v>
      </c>
      <c r="I1020" s="223">
        <v>43830</v>
      </c>
      <c r="J1020" s="218" t="s">
        <v>2587</v>
      </c>
      <c r="K1020" s="218" t="s">
        <v>4587</v>
      </c>
      <c r="L1020" s="218" t="s">
        <v>2589</v>
      </c>
      <c r="M1020" s="218" t="s">
        <v>4642</v>
      </c>
      <c r="N1020" s="218">
        <v>579.94000000000005</v>
      </c>
      <c r="O1020" s="218" t="s">
        <v>292</v>
      </c>
      <c r="P1020" s="218">
        <v>750</v>
      </c>
      <c r="Q1020" s="218" t="s">
        <v>1271</v>
      </c>
      <c r="R1020" s="218" t="s">
        <v>2341</v>
      </c>
      <c r="S1020" s="218" t="s">
        <v>396</v>
      </c>
      <c r="T1020" s="218" t="s">
        <v>2591</v>
      </c>
      <c r="U1020" s="218" t="s">
        <v>740</v>
      </c>
      <c r="V1020" s="218" t="s">
        <v>381</v>
      </c>
      <c r="W1020" s="218" t="s">
        <v>295</v>
      </c>
      <c r="X1020" s="218" t="s">
        <v>379</v>
      </c>
      <c r="Y1020" s="218">
        <v>680.84</v>
      </c>
      <c r="Z1020" s="218">
        <f t="shared" si="20"/>
        <v>750</v>
      </c>
    </row>
    <row r="1021" spans="1:26">
      <c r="A1021" s="218" t="s">
        <v>2592</v>
      </c>
      <c r="B1021" s="218"/>
      <c r="C1021" s="218"/>
      <c r="D1021" s="218"/>
      <c r="E1021" s="218"/>
      <c r="F1021" s="219" t="s">
        <v>4643</v>
      </c>
      <c r="G1021" s="218" t="s">
        <v>274</v>
      </c>
      <c r="H1021" s="218" t="s">
        <v>309</v>
      </c>
      <c r="I1021" s="223">
        <v>43830</v>
      </c>
      <c r="J1021" s="218" t="s">
        <v>2587</v>
      </c>
      <c r="K1021" s="218" t="s">
        <v>4590</v>
      </c>
      <c r="L1021" s="218" t="s">
        <v>2589</v>
      </c>
      <c r="M1021" s="218" t="s">
        <v>2972</v>
      </c>
      <c r="N1021" s="218">
        <v>104.39</v>
      </c>
      <c r="O1021" s="218" t="s">
        <v>292</v>
      </c>
      <c r="P1021" s="218">
        <v>135</v>
      </c>
      <c r="Q1021" s="218" t="s">
        <v>1271</v>
      </c>
      <c r="R1021" s="218" t="s">
        <v>2341</v>
      </c>
      <c r="S1021" s="218" t="s">
        <v>396</v>
      </c>
      <c r="T1021" s="218" t="s">
        <v>2591</v>
      </c>
      <c r="U1021" s="218" t="s">
        <v>740</v>
      </c>
      <c r="V1021" s="218" t="s">
        <v>381</v>
      </c>
      <c r="W1021" s="218" t="s">
        <v>295</v>
      </c>
      <c r="X1021" s="218" t="s">
        <v>379</v>
      </c>
      <c r="Y1021" s="218">
        <v>122.55</v>
      </c>
      <c r="Z1021" s="218">
        <f t="shared" si="20"/>
        <v>135</v>
      </c>
    </row>
    <row r="1022" spans="1:26">
      <c r="A1022" s="218" t="s">
        <v>2592</v>
      </c>
      <c r="B1022" s="218"/>
      <c r="C1022" s="218"/>
      <c r="D1022" s="218"/>
      <c r="E1022" s="218"/>
      <c r="F1022" s="219" t="s">
        <v>4644</v>
      </c>
      <c r="G1022" s="218" t="s">
        <v>274</v>
      </c>
      <c r="H1022" s="218" t="s">
        <v>309</v>
      </c>
      <c r="I1022" s="223">
        <v>43830</v>
      </c>
      <c r="J1022" s="218" t="s">
        <v>2587</v>
      </c>
      <c r="K1022" s="218" t="s">
        <v>4587</v>
      </c>
      <c r="L1022" s="218" t="s">
        <v>2589</v>
      </c>
      <c r="M1022" s="218" t="s">
        <v>1291</v>
      </c>
      <c r="N1022" s="218">
        <v>231.98</v>
      </c>
      <c r="O1022" s="218" t="s">
        <v>292</v>
      </c>
      <c r="P1022" s="218">
        <v>300</v>
      </c>
      <c r="Q1022" s="218" t="s">
        <v>1271</v>
      </c>
      <c r="R1022" s="218" t="s">
        <v>2341</v>
      </c>
      <c r="S1022" s="218" t="s">
        <v>396</v>
      </c>
      <c r="T1022" s="218" t="s">
        <v>2591</v>
      </c>
      <c r="U1022" s="218" t="s">
        <v>740</v>
      </c>
      <c r="V1022" s="218" t="s">
        <v>381</v>
      </c>
      <c r="W1022" s="218" t="s">
        <v>295</v>
      </c>
      <c r="X1022" s="218" t="s">
        <v>379</v>
      </c>
      <c r="Y1022" s="218">
        <v>272.33999999999997</v>
      </c>
      <c r="Z1022" s="218">
        <f t="shared" si="20"/>
        <v>300</v>
      </c>
    </row>
    <row r="1023" spans="1:26">
      <c r="A1023" s="218" t="s">
        <v>2592</v>
      </c>
      <c r="B1023" s="218"/>
      <c r="C1023" s="218"/>
      <c r="D1023" s="218"/>
      <c r="E1023" s="218"/>
      <c r="F1023" s="219" t="s">
        <v>4645</v>
      </c>
      <c r="G1023" s="218" t="s">
        <v>274</v>
      </c>
      <c r="H1023" s="218" t="s">
        <v>309</v>
      </c>
      <c r="I1023" s="223">
        <v>43830</v>
      </c>
      <c r="J1023" s="218" t="s">
        <v>2587</v>
      </c>
      <c r="K1023" s="218" t="s">
        <v>4587</v>
      </c>
      <c r="L1023" s="218" t="s">
        <v>2589</v>
      </c>
      <c r="M1023" s="218" t="s">
        <v>1292</v>
      </c>
      <c r="N1023" s="218">
        <v>231.98</v>
      </c>
      <c r="O1023" s="218" t="s">
        <v>292</v>
      </c>
      <c r="P1023" s="218">
        <v>300</v>
      </c>
      <c r="Q1023" s="218" t="s">
        <v>1271</v>
      </c>
      <c r="R1023" s="218" t="s">
        <v>2341</v>
      </c>
      <c r="S1023" s="218" t="s">
        <v>396</v>
      </c>
      <c r="T1023" s="218" t="s">
        <v>2591</v>
      </c>
      <c r="U1023" s="218" t="s">
        <v>740</v>
      </c>
      <c r="V1023" s="218" t="s">
        <v>381</v>
      </c>
      <c r="W1023" s="218" t="s">
        <v>295</v>
      </c>
      <c r="X1023" s="218" t="s">
        <v>379</v>
      </c>
      <c r="Y1023" s="218">
        <v>272.33999999999997</v>
      </c>
      <c r="Z1023" s="218">
        <f t="shared" si="20"/>
        <v>300</v>
      </c>
    </row>
    <row r="1024" spans="1:26">
      <c r="A1024" s="218" t="s">
        <v>2592</v>
      </c>
      <c r="B1024" s="218"/>
      <c r="C1024" s="218"/>
      <c r="D1024" s="218"/>
      <c r="E1024" s="218"/>
      <c r="F1024" s="219" t="s">
        <v>4646</v>
      </c>
      <c r="G1024" s="218" t="s">
        <v>274</v>
      </c>
      <c r="H1024" s="218" t="s">
        <v>309</v>
      </c>
      <c r="I1024" s="223">
        <v>43830</v>
      </c>
      <c r="J1024" s="218" t="s">
        <v>2587</v>
      </c>
      <c r="K1024" s="218" t="s">
        <v>4587</v>
      </c>
      <c r="L1024" s="218" t="s">
        <v>2589</v>
      </c>
      <c r="M1024" s="218" t="s">
        <v>1293</v>
      </c>
      <c r="N1024" s="218">
        <v>231.98</v>
      </c>
      <c r="O1024" s="218" t="s">
        <v>292</v>
      </c>
      <c r="P1024" s="218">
        <v>300</v>
      </c>
      <c r="Q1024" s="218" t="s">
        <v>1271</v>
      </c>
      <c r="R1024" s="218" t="s">
        <v>2341</v>
      </c>
      <c r="S1024" s="218" t="s">
        <v>396</v>
      </c>
      <c r="T1024" s="218" t="s">
        <v>2591</v>
      </c>
      <c r="U1024" s="218" t="s">
        <v>740</v>
      </c>
      <c r="V1024" s="218" t="s">
        <v>381</v>
      </c>
      <c r="W1024" s="218" t="s">
        <v>295</v>
      </c>
      <c r="X1024" s="218" t="s">
        <v>379</v>
      </c>
      <c r="Y1024" s="218">
        <v>272.33999999999997</v>
      </c>
      <c r="Z1024" s="218">
        <f t="shared" si="20"/>
        <v>300</v>
      </c>
    </row>
    <row r="1025" spans="1:26">
      <c r="A1025" s="218" t="s">
        <v>2592</v>
      </c>
      <c r="B1025" s="218"/>
      <c r="C1025" s="218"/>
      <c r="D1025" s="218"/>
      <c r="E1025" s="218"/>
      <c r="F1025" s="219" t="s">
        <v>4647</v>
      </c>
      <c r="G1025" s="218" t="s">
        <v>274</v>
      </c>
      <c r="H1025" s="218" t="s">
        <v>309</v>
      </c>
      <c r="I1025" s="223">
        <v>43830</v>
      </c>
      <c r="J1025" s="218" t="s">
        <v>2587</v>
      </c>
      <c r="K1025" s="218" t="s">
        <v>4587</v>
      </c>
      <c r="L1025" s="218" t="s">
        <v>2589</v>
      </c>
      <c r="M1025" s="218" t="s">
        <v>1294</v>
      </c>
      <c r="N1025" s="218">
        <v>231.98</v>
      </c>
      <c r="O1025" s="218" t="s">
        <v>292</v>
      </c>
      <c r="P1025" s="218">
        <v>300</v>
      </c>
      <c r="Q1025" s="218" t="s">
        <v>1271</v>
      </c>
      <c r="R1025" s="218" t="s">
        <v>2341</v>
      </c>
      <c r="S1025" s="218" t="s">
        <v>396</v>
      </c>
      <c r="T1025" s="218" t="s">
        <v>2591</v>
      </c>
      <c r="U1025" s="218" t="s">
        <v>740</v>
      </c>
      <c r="V1025" s="218" t="s">
        <v>381</v>
      </c>
      <c r="W1025" s="218" t="s">
        <v>295</v>
      </c>
      <c r="X1025" s="218" t="s">
        <v>379</v>
      </c>
      <c r="Y1025" s="218">
        <v>272.33999999999997</v>
      </c>
      <c r="Z1025" s="218">
        <f t="shared" ref="Z1025:Z1072" si="21">P1025</f>
        <v>300</v>
      </c>
    </row>
    <row r="1026" spans="1:26">
      <c r="A1026" s="218" t="s">
        <v>2592</v>
      </c>
      <c r="B1026" s="218"/>
      <c r="C1026" s="218"/>
      <c r="D1026" s="218"/>
      <c r="E1026" s="218"/>
      <c r="F1026" s="219" t="s">
        <v>4648</v>
      </c>
      <c r="G1026" s="218" t="s">
        <v>274</v>
      </c>
      <c r="H1026" s="218" t="s">
        <v>309</v>
      </c>
      <c r="I1026" s="223">
        <v>43830</v>
      </c>
      <c r="J1026" s="218" t="s">
        <v>2587</v>
      </c>
      <c r="K1026" s="218" t="s">
        <v>4587</v>
      </c>
      <c r="L1026" s="218" t="s">
        <v>2589</v>
      </c>
      <c r="M1026" s="218" t="s">
        <v>4596</v>
      </c>
      <c r="N1026" s="218">
        <v>231.98</v>
      </c>
      <c r="O1026" s="218" t="s">
        <v>292</v>
      </c>
      <c r="P1026" s="218">
        <v>300</v>
      </c>
      <c r="Q1026" s="218" t="s">
        <v>1271</v>
      </c>
      <c r="R1026" s="218" t="s">
        <v>2341</v>
      </c>
      <c r="S1026" s="218" t="s">
        <v>396</v>
      </c>
      <c r="T1026" s="218" t="s">
        <v>2591</v>
      </c>
      <c r="U1026" s="218" t="s">
        <v>740</v>
      </c>
      <c r="V1026" s="218" t="s">
        <v>381</v>
      </c>
      <c r="W1026" s="218" t="s">
        <v>295</v>
      </c>
      <c r="X1026" s="218" t="s">
        <v>379</v>
      </c>
      <c r="Y1026" s="218">
        <v>272.33999999999997</v>
      </c>
      <c r="Z1026" s="218">
        <f t="shared" si="21"/>
        <v>300</v>
      </c>
    </row>
    <row r="1027" spans="1:26">
      <c r="A1027" s="218" t="s">
        <v>2592</v>
      </c>
      <c r="B1027" s="218"/>
      <c r="C1027" s="218"/>
      <c r="D1027" s="218"/>
      <c r="E1027" s="218"/>
      <c r="F1027" s="219" t="s">
        <v>4649</v>
      </c>
      <c r="G1027" s="218" t="s">
        <v>274</v>
      </c>
      <c r="H1027" s="218" t="s">
        <v>309</v>
      </c>
      <c r="I1027" s="223">
        <v>43830</v>
      </c>
      <c r="J1027" s="218" t="s">
        <v>2587</v>
      </c>
      <c r="K1027" s="218" t="s">
        <v>4587</v>
      </c>
      <c r="L1027" s="218" t="s">
        <v>2589</v>
      </c>
      <c r="M1027" s="218" t="s">
        <v>1295</v>
      </c>
      <c r="N1027" s="218">
        <v>347.96</v>
      </c>
      <c r="O1027" s="218" t="s">
        <v>292</v>
      </c>
      <c r="P1027" s="218">
        <v>450</v>
      </c>
      <c r="Q1027" s="218" t="s">
        <v>1271</v>
      </c>
      <c r="R1027" s="218" t="s">
        <v>2341</v>
      </c>
      <c r="S1027" s="218" t="s">
        <v>396</v>
      </c>
      <c r="T1027" s="218" t="s">
        <v>2591</v>
      </c>
      <c r="U1027" s="218" t="s">
        <v>740</v>
      </c>
      <c r="V1027" s="218" t="s">
        <v>381</v>
      </c>
      <c r="W1027" s="218" t="s">
        <v>295</v>
      </c>
      <c r="X1027" s="218" t="s">
        <v>379</v>
      </c>
      <c r="Y1027" s="218">
        <v>408.5</v>
      </c>
      <c r="Z1027" s="218">
        <f t="shared" si="21"/>
        <v>450</v>
      </c>
    </row>
    <row r="1028" spans="1:26">
      <c r="A1028" s="218" t="s">
        <v>2592</v>
      </c>
      <c r="B1028" s="218"/>
      <c r="C1028" s="218"/>
      <c r="D1028" s="218"/>
      <c r="E1028" s="218"/>
      <c r="F1028" s="219" t="s">
        <v>4650</v>
      </c>
      <c r="G1028" s="218" t="s">
        <v>274</v>
      </c>
      <c r="H1028" s="218" t="s">
        <v>309</v>
      </c>
      <c r="I1028" s="223">
        <v>43830</v>
      </c>
      <c r="J1028" s="218" t="s">
        <v>2587</v>
      </c>
      <c r="K1028" s="218" t="s">
        <v>4617</v>
      </c>
      <c r="L1028" s="218" t="s">
        <v>2589</v>
      </c>
      <c r="M1028" s="218" t="s">
        <v>4651</v>
      </c>
      <c r="N1028" s="218">
        <v>13.66</v>
      </c>
      <c r="O1028" s="218" t="s">
        <v>292</v>
      </c>
      <c r="P1028" s="218">
        <v>17.66</v>
      </c>
      <c r="Q1028" s="218" t="s">
        <v>1271</v>
      </c>
      <c r="R1028" s="218" t="s">
        <v>2341</v>
      </c>
      <c r="S1028" s="218" t="s">
        <v>396</v>
      </c>
      <c r="T1028" s="218" t="s">
        <v>2591</v>
      </c>
      <c r="U1028" s="218" t="s">
        <v>740</v>
      </c>
      <c r="V1028" s="218" t="s">
        <v>381</v>
      </c>
      <c r="W1028" s="218" t="s">
        <v>295</v>
      </c>
      <c r="X1028" s="218" t="s">
        <v>379</v>
      </c>
      <c r="Y1028" s="218">
        <v>16.04</v>
      </c>
      <c r="Z1028" s="218">
        <f t="shared" si="21"/>
        <v>17.66</v>
      </c>
    </row>
    <row r="1029" spans="1:26">
      <c r="A1029" s="218" t="s">
        <v>2592</v>
      </c>
      <c r="B1029" s="218"/>
      <c r="C1029" s="218"/>
      <c r="D1029" s="218"/>
      <c r="E1029" s="218"/>
      <c r="F1029" s="219" t="s">
        <v>4652</v>
      </c>
      <c r="G1029" s="218" t="s">
        <v>274</v>
      </c>
      <c r="H1029" s="218" t="s">
        <v>309</v>
      </c>
      <c r="I1029" s="223">
        <v>43830</v>
      </c>
      <c r="J1029" s="218" t="s">
        <v>2587</v>
      </c>
      <c r="K1029" s="218" t="s">
        <v>4587</v>
      </c>
      <c r="L1029" s="218" t="s">
        <v>2589</v>
      </c>
      <c r="M1029" s="218" t="s">
        <v>4653</v>
      </c>
      <c r="N1029" s="218">
        <v>61.86</v>
      </c>
      <c r="O1029" s="218" t="s">
        <v>292</v>
      </c>
      <c r="P1029" s="218">
        <v>80</v>
      </c>
      <c r="Q1029" s="218" t="s">
        <v>1271</v>
      </c>
      <c r="R1029" s="218" t="s">
        <v>2341</v>
      </c>
      <c r="S1029" s="218" t="s">
        <v>396</v>
      </c>
      <c r="T1029" s="218" t="s">
        <v>2591</v>
      </c>
      <c r="U1029" s="218" t="s">
        <v>740</v>
      </c>
      <c r="V1029" s="218" t="s">
        <v>381</v>
      </c>
      <c r="W1029" s="218" t="s">
        <v>295</v>
      </c>
      <c r="X1029" s="218" t="s">
        <v>379</v>
      </c>
      <c r="Y1029" s="218">
        <v>72.62</v>
      </c>
      <c r="Z1029" s="218">
        <f t="shared" si="21"/>
        <v>80</v>
      </c>
    </row>
    <row r="1030" spans="1:26">
      <c r="A1030" s="218" t="s">
        <v>2592</v>
      </c>
      <c r="B1030" s="218"/>
      <c r="C1030" s="218"/>
      <c r="D1030" s="218"/>
      <c r="E1030" s="218"/>
      <c r="F1030" s="219" t="s">
        <v>4654</v>
      </c>
      <c r="G1030" s="218" t="s">
        <v>274</v>
      </c>
      <c r="H1030" s="218" t="s">
        <v>309</v>
      </c>
      <c r="I1030" s="223">
        <v>43830</v>
      </c>
      <c r="J1030" s="218" t="s">
        <v>2587</v>
      </c>
      <c r="K1030" s="218" t="s">
        <v>4587</v>
      </c>
      <c r="L1030" s="218" t="s">
        <v>2589</v>
      </c>
      <c r="M1030" s="218" t="s">
        <v>4655</v>
      </c>
      <c r="N1030" s="218">
        <v>61.86</v>
      </c>
      <c r="O1030" s="218" t="s">
        <v>292</v>
      </c>
      <c r="P1030" s="218">
        <v>80</v>
      </c>
      <c r="Q1030" s="218" t="s">
        <v>1271</v>
      </c>
      <c r="R1030" s="218" t="s">
        <v>2341</v>
      </c>
      <c r="S1030" s="218" t="s">
        <v>396</v>
      </c>
      <c r="T1030" s="218" t="s">
        <v>2591</v>
      </c>
      <c r="U1030" s="218" t="s">
        <v>740</v>
      </c>
      <c r="V1030" s="218" t="s">
        <v>381</v>
      </c>
      <c r="W1030" s="218" t="s">
        <v>295</v>
      </c>
      <c r="X1030" s="218" t="s">
        <v>379</v>
      </c>
      <c r="Y1030" s="218">
        <v>72.62</v>
      </c>
      <c r="Z1030" s="218">
        <f t="shared" si="21"/>
        <v>80</v>
      </c>
    </row>
    <row r="1031" spans="1:26">
      <c r="A1031" s="218" t="s">
        <v>2592</v>
      </c>
      <c r="B1031" s="218"/>
      <c r="C1031" s="218"/>
      <c r="D1031" s="218"/>
      <c r="E1031" s="218"/>
      <c r="F1031" s="219" t="s">
        <v>4656</v>
      </c>
      <c r="G1031" s="218" t="s">
        <v>274</v>
      </c>
      <c r="H1031" s="218" t="s">
        <v>309</v>
      </c>
      <c r="I1031" s="223">
        <v>43830</v>
      </c>
      <c r="J1031" s="218" t="s">
        <v>2587</v>
      </c>
      <c r="K1031" s="218" t="s">
        <v>4587</v>
      </c>
      <c r="L1031" s="218" t="s">
        <v>2589</v>
      </c>
      <c r="M1031" s="218" t="s">
        <v>4657</v>
      </c>
      <c r="N1031" s="218">
        <v>7.73</v>
      </c>
      <c r="O1031" s="218" t="s">
        <v>292</v>
      </c>
      <c r="P1031" s="218">
        <v>10</v>
      </c>
      <c r="Q1031" s="218" t="s">
        <v>1271</v>
      </c>
      <c r="R1031" s="218" t="s">
        <v>2341</v>
      </c>
      <c r="S1031" s="218" t="s">
        <v>396</v>
      </c>
      <c r="T1031" s="218" t="s">
        <v>2591</v>
      </c>
      <c r="U1031" s="218" t="s">
        <v>740</v>
      </c>
      <c r="V1031" s="218" t="s">
        <v>381</v>
      </c>
      <c r="W1031" s="218" t="s">
        <v>295</v>
      </c>
      <c r="X1031" s="218" t="s">
        <v>379</v>
      </c>
      <c r="Y1031" s="218">
        <v>9.07</v>
      </c>
      <c r="Z1031" s="218">
        <f t="shared" si="21"/>
        <v>10</v>
      </c>
    </row>
    <row r="1032" spans="1:26">
      <c r="A1032" s="218" t="s">
        <v>2592</v>
      </c>
      <c r="B1032" s="218"/>
      <c r="C1032" s="218"/>
      <c r="D1032" s="218"/>
      <c r="E1032" s="218"/>
      <c r="F1032" s="219" t="s">
        <v>4658</v>
      </c>
      <c r="G1032" s="218" t="s">
        <v>274</v>
      </c>
      <c r="H1032" s="218" t="s">
        <v>309</v>
      </c>
      <c r="I1032" s="223">
        <v>43830</v>
      </c>
      <c r="J1032" s="218" t="s">
        <v>2587</v>
      </c>
      <c r="K1032" s="218" t="s">
        <v>4587</v>
      </c>
      <c r="L1032" s="218" t="s">
        <v>2589</v>
      </c>
      <c r="M1032" s="218" t="s">
        <v>4659</v>
      </c>
      <c r="N1032" s="218">
        <v>7.73</v>
      </c>
      <c r="O1032" s="218" t="s">
        <v>292</v>
      </c>
      <c r="P1032" s="218">
        <v>10</v>
      </c>
      <c r="Q1032" s="218" t="s">
        <v>1271</v>
      </c>
      <c r="R1032" s="218" t="s">
        <v>2341</v>
      </c>
      <c r="S1032" s="218" t="s">
        <v>396</v>
      </c>
      <c r="T1032" s="218" t="s">
        <v>2591</v>
      </c>
      <c r="U1032" s="218" t="s">
        <v>740</v>
      </c>
      <c r="V1032" s="218" t="s">
        <v>381</v>
      </c>
      <c r="W1032" s="218" t="s">
        <v>295</v>
      </c>
      <c r="X1032" s="218" t="s">
        <v>379</v>
      </c>
      <c r="Y1032" s="218">
        <v>9.07</v>
      </c>
      <c r="Z1032" s="218">
        <f t="shared" si="21"/>
        <v>10</v>
      </c>
    </row>
    <row r="1033" spans="1:26">
      <c r="A1033" s="218" t="s">
        <v>2592</v>
      </c>
      <c r="B1033" s="218"/>
      <c r="C1033" s="218"/>
      <c r="D1033" s="218"/>
      <c r="E1033" s="218"/>
      <c r="F1033" s="219" t="s">
        <v>4660</v>
      </c>
      <c r="G1033" s="218" t="s">
        <v>276</v>
      </c>
      <c r="H1033" s="218" t="s">
        <v>309</v>
      </c>
      <c r="I1033" s="223">
        <v>43830</v>
      </c>
      <c r="J1033" s="218" t="s">
        <v>2587</v>
      </c>
      <c r="K1033" s="218" t="s">
        <v>2630</v>
      </c>
      <c r="L1033" s="218" t="s">
        <v>2589</v>
      </c>
      <c r="M1033" s="218" t="s">
        <v>2636</v>
      </c>
      <c r="N1033" s="218">
        <v>96.66</v>
      </c>
      <c r="O1033" s="218" t="s">
        <v>292</v>
      </c>
      <c r="P1033" s="218">
        <v>125</v>
      </c>
      <c r="Q1033" s="218" t="s">
        <v>752</v>
      </c>
      <c r="R1033" s="218" t="s">
        <v>1587</v>
      </c>
      <c r="S1033" s="218" t="s">
        <v>396</v>
      </c>
      <c r="T1033" s="218" t="s">
        <v>2591</v>
      </c>
      <c r="U1033" s="218" t="s">
        <v>740</v>
      </c>
      <c r="V1033" s="218" t="s">
        <v>381</v>
      </c>
      <c r="W1033" s="218" t="s">
        <v>295</v>
      </c>
      <c r="X1033" s="218" t="s">
        <v>379</v>
      </c>
      <c r="Y1033" s="218">
        <v>113.48</v>
      </c>
      <c r="Z1033" s="218">
        <f t="shared" si="21"/>
        <v>125</v>
      </c>
    </row>
    <row r="1034" spans="1:26">
      <c r="A1034" s="218" t="s">
        <v>2592</v>
      </c>
      <c r="B1034" s="218"/>
      <c r="C1034" s="218"/>
      <c r="D1034" s="218"/>
      <c r="E1034" s="218"/>
      <c r="F1034" s="219" t="s">
        <v>4661</v>
      </c>
      <c r="G1034" s="218" t="s">
        <v>280</v>
      </c>
      <c r="H1034" s="218" t="s">
        <v>309</v>
      </c>
      <c r="I1034" s="223">
        <v>43769</v>
      </c>
      <c r="J1034" s="218" t="s">
        <v>4662</v>
      </c>
      <c r="K1034" s="218" t="s">
        <v>3104</v>
      </c>
      <c r="L1034" s="218" t="s">
        <v>2596</v>
      </c>
      <c r="M1034" s="218" t="s">
        <v>4663</v>
      </c>
      <c r="N1034" s="218">
        <v>24.39</v>
      </c>
      <c r="O1034" s="218" t="s">
        <v>292</v>
      </c>
      <c r="P1034" s="218">
        <v>30</v>
      </c>
      <c r="Q1034" s="218" t="s">
        <v>604</v>
      </c>
      <c r="R1034" s="218" t="s">
        <v>1725</v>
      </c>
      <c r="S1034" s="218" t="s">
        <v>400</v>
      </c>
      <c r="T1034" s="218" t="s">
        <v>397</v>
      </c>
      <c r="U1034" s="218" t="s">
        <v>2591</v>
      </c>
      <c r="V1034" s="218" t="s">
        <v>381</v>
      </c>
      <c r="W1034" s="218" t="s">
        <v>295</v>
      </c>
      <c r="X1034" s="218" t="s">
        <v>379</v>
      </c>
      <c r="Y1034" s="218">
        <v>27.47</v>
      </c>
      <c r="Z1034" s="218">
        <f t="shared" si="21"/>
        <v>30</v>
      </c>
    </row>
    <row r="1035" spans="1:26">
      <c r="A1035" s="218" t="s">
        <v>2592</v>
      </c>
      <c r="B1035" s="218"/>
      <c r="C1035" s="218"/>
      <c r="D1035" s="218"/>
      <c r="E1035" s="218"/>
      <c r="F1035" s="219" t="s">
        <v>4664</v>
      </c>
      <c r="G1035" s="218" t="s">
        <v>280</v>
      </c>
      <c r="H1035" s="218" t="s">
        <v>309</v>
      </c>
      <c r="I1035" s="223">
        <v>43769</v>
      </c>
      <c r="J1035" s="218" t="s">
        <v>4665</v>
      </c>
      <c r="K1035" s="218" t="s">
        <v>2601</v>
      </c>
      <c r="L1035" s="218" t="s">
        <v>2596</v>
      </c>
      <c r="M1035" s="218" t="s">
        <v>4666</v>
      </c>
      <c r="N1035" s="218">
        <v>24.39</v>
      </c>
      <c r="O1035" s="218" t="s">
        <v>292</v>
      </c>
      <c r="P1035" s="218">
        <v>30</v>
      </c>
      <c r="Q1035" s="218" t="s">
        <v>604</v>
      </c>
      <c r="R1035" s="218" t="s">
        <v>1725</v>
      </c>
      <c r="S1035" s="218" t="s">
        <v>396</v>
      </c>
      <c r="T1035" s="218" t="s">
        <v>397</v>
      </c>
      <c r="U1035" s="218" t="s">
        <v>2591</v>
      </c>
      <c r="V1035" s="218" t="s">
        <v>381</v>
      </c>
      <c r="W1035" s="218" t="s">
        <v>295</v>
      </c>
      <c r="X1035" s="218" t="s">
        <v>379</v>
      </c>
      <c r="Y1035" s="218">
        <v>27.47</v>
      </c>
      <c r="Z1035" s="218">
        <f t="shared" si="21"/>
        <v>30</v>
      </c>
    </row>
    <row r="1036" spans="1:26">
      <c r="A1036" s="218" t="s">
        <v>2592</v>
      </c>
      <c r="B1036" s="218"/>
      <c r="C1036" s="218"/>
      <c r="D1036" s="218"/>
      <c r="E1036" s="218"/>
      <c r="F1036" s="219" t="s">
        <v>4667</v>
      </c>
      <c r="G1036" s="218" t="s">
        <v>280</v>
      </c>
      <c r="H1036" s="218" t="s">
        <v>309</v>
      </c>
      <c r="I1036" s="223">
        <v>43769</v>
      </c>
      <c r="J1036" s="218" t="s">
        <v>4668</v>
      </c>
      <c r="K1036" s="218" t="s">
        <v>2601</v>
      </c>
      <c r="L1036" s="218" t="s">
        <v>2596</v>
      </c>
      <c r="M1036" s="218" t="s">
        <v>4669</v>
      </c>
      <c r="N1036" s="218">
        <v>8.1300000000000008</v>
      </c>
      <c r="O1036" s="218" t="s">
        <v>292</v>
      </c>
      <c r="P1036" s="218">
        <v>10</v>
      </c>
      <c r="Q1036" s="218" t="s">
        <v>604</v>
      </c>
      <c r="R1036" s="218" t="s">
        <v>1725</v>
      </c>
      <c r="S1036" s="218" t="s">
        <v>396</v>
      </c>
      <c r="T1036" s="218" t="s">
        <v>397</v>
      </c>
      <c r="U1036" s="218" t="s">
        <v>2591</v>
      </c>
      <c r="V1036" s="218" t="s">
        <v>381</v>
      </c>
      <c r="W1036" s="218" t="s">
        <v>295</v>
      </c>
      <c r="X1036" s="218" t="s">
        <v>379</v>
      </c>
      <c r="Y1036" s="218">
        <v>9.16</v>
      </c>
      <c r="Z1036" s="218">
        <f t="shared" si="21"/>
        <v>10</v>
      </c>
    </row>
    <row r="1037" spans="1:26">
      <c r="A1037" s="218" t="s">
        <v>2592</v>
      </c>
      <c r="B1037" s="218"/>
      <c r="C1037" s="218"/>
      <c r="D1037" s="218"/>
      <c r="E1037" s="218"/>
      <c r="F1037" s="219" t="s">
        <v>4670</v>
      </c>
      <c r="G1037" s="218" t="s">
        <v>280</v>
      </c>
      <c r="H1037" s="218" t="s">
        <v>309</v>
      </c>
      <c r="I1037" s="223">
        <v>43769</v>
      </c>
      <c r="J1037" s="218" t="s">
        <v>4668</v>
      </c>
      <c r="K1037" s="218" t="s">
        <v>2601</v>
      </c>
      <c r="L1037" s="218" t="s">
        <v>2596</v>
      </c>
      <c r="M1037" s="218" t="s">
        <v>1455</v>
      </c>
      <c r="N1037" s="218">
        <v>8.1300000000000008</v>
      </c>
      <c r="O1037" s="218" t="s">
        <v>292</v>
      </c>
      <c r="P1037" s="218">
        <v>10</v>
      </c>
      <c r="Q1037" s="218" t="s">
        <v>604</v>
      </c>
      <c r="R1037" s="218" t="s">
        <v>1725</v>
      </c>
      <c r="S1037" s="218" t="s">
        <v>396</v>
      </c>
      <c r="T1037" s="218" t="s">
        <v>397</v>
      </c>
      <c r="U1037" s="218" t="s">
        <v>2591</v>
      </c>
      <c r="V1037" s="218" t="s">
        <v>381</v>
      </c>
      <c r="W1037" s="218" t="s">
        <v>295</v>
      </c>
      <c r="X1037" s="218" t="s">
        <v>379</v>
      </c>
      <c r="Y1037" s="218">
        <v>9.16</v>
      </c>
      <c r="Z1037" s="218">
        <f t="shared" si="21"/>
        <v>10</v>
      </c>
    </row>
    <row r="1038" spans="1:26">
      <c r="A1038" s="218" t="s">
        <v>2592</v>
      </c>
      <c r="B1038" s="218"/>
      <c r="C1038" s="218"/>
      <c r="D1038" s="218"/>
      <c r="E1038" s="218"/>
      <c r="F1038" s="219" t="s">
        <v>4671</v>
      </c>
      <c r="G1038" s="218" t="s">
        <v>280</v>
      </c>
      <c r="H1038" s="218" t="s">
        <v>309</v>
      </c>
      <c r="I1038" s="223">
        <v>43769</v>
      </c>
      <c r="J1038" s="218" t="s">
        <v>4672</v>
      </c>
      <c r="K1038" s="218" t="s">
        <v>3104</v>
      </c>
      <c r="L1038" s="218" t="s">
        <v>2596</v>
      </c>
      <c r="M1038" s="218" t="s">
        <v>4673</v>
      </c>
      <c r="N1038" s="218">
        <v>203.23</v>
      </c>
      <c r="O1038" s="218" t="s">
        <v>292</v>
      </c>
      <c r="P1038" s="218">
        <v>250</v>
      </c>
      <c r="Q1038" s="218" t="s">
        <v>610</v>
      </c>
      <c r="R1038" s="218" t="s">
        <v>1620</v>
      </c>
      <c r="S1038" s="218" t="s">
        <v>400</v>
      </c>
      <c r="T1038" s="218" t="s">
        <v>397</v>
      </c>
      <c r="U1038" s="218" t="s">
        <v>2591</v>
      </c>
      <c r="V1038" s="218" t="s">
        <v>381</v>
      </c>
      <c r="W1038" s="218" t="s">
        <v>295</v>
      </c>
      <c r="X1038" s="218" t="s">
        <v>379</v>
      </c>
      <c r="Y1038" s="218">
        <v>228.92</v>
      </c>
      <c r="Z1038" s="218">
        <f t="shared" si="21"/>
        <v>250</v>
      </c>
    </row>
    <row r="1039" spans="1:26">
      <c r="A1039" s="218" t="s">
        <v>2592</v>
      </c>
      <c r="B1039" s="218"/>
      <c r="C1039" s="218"/>
      <c r="D1039" s="218"/>
      <c r="E1039" s="218"/>
      <c r="F1039" s="219" t="s">
        <v>4674</v>
      </c>
      <c r="G1039" s="218" t="s">
        <v>280</v>
      </c>
      <c r="H1039" s="218" t="s">
        <v>309</v>
      </c>
      <c r="I1039" s="223">
        <v>43769</v>
      </c>
      <c r="J1039" s="218" t="s">
        <v>4675</v>
      </c>
      <c r="K1039" s="218" t="s">
        <v>2601</v>
      </c>
      <c r="L1039" s="218" t="s">
        <v>2596</v>
      </c>
      <c r="M1039" s="218" t="s">
        <v>4676</v>
      </c>
      <c r="N1039" s="218">
        <v>24.39</v>
      </c>
      <c r="O1039" s="218" t="s">
        <v>292</v>
      </c>
      <c r="P1039" s="218">
        <v>30</v>
      </c>
      <c r="Q1039" s="218" t="s">
        <v>610</v>
      </c>
      <c r="R1039" s="218" t="s">
        <v>1620</v>
      </c>
      <c r="S1039" s="218" t="s">
        <v>396</v>
      </c>
      <c r="T1039" s="218" t="s">
        <v>397</v>
      </c>
      <c r="U1039" s="218" t="s">
        <v>2591</v>
      </c>
      <c r="V1039" s="218" t="s">
        <v>381</v>
      </c>
      <c r="W1039" s="218" t="s">
        <v>295</v>
      </c>
      <c r="X1039" s="218" t="s">
        <v>379</v>
      </c>
      <c r="Y1039" s="218">
        <v>27.47</v>
      </c>
      <c r="Z1039" s="218">
        <f t="shared" si="21"/>
        <v>30</v>
      </c>
    </row>
    <row r="1040" spans="1:26">
      <c r="A1040" s="218" t="s">
        <v>2592</v>
      </c>
      <c r="B1040" s="218"/>
      <c r="C1040" s="218"/>
      <c r="D1040" s="218"/>
      <c r="E1040" s="218"/>
      <c r="F1040" s="219" t="s">
        <v>4677</v>
      </c>
      <c r="G1040" s="218" t="s">
        <v>280</v>
      </c>
      <c r="H1040" s="218" t="s">
        <v>309</v>
      </c>
      <c r="I1040" s="223">
        <v>43769</v>
      </c>
      <c r="J1040" s="218" t="s">
        <v>2985</v>
      </c>
      <c r="K1040" s="218" t="s">
        <v>2601</v>
      </c>
      <c r="L1040" s="218" t="s">
        <v>2596</v>
      </c>
      <c r="M1040" s="218" t="s">
        <v>4678</v>
      </c>
      <c r="N1040" s="218">
        <v>136.57</v>
      </c>
      <c r="O1040" s="218" t="s">
        <v>292</v>
      </c>
      <c r="P1040" s="218">
        <v>168</v>
      </c>
      <c r="Q1040" s="218" t="s">
        <v>615</v>
      </c>
      <c r="R1040" s="218" t="s">
        <v>1676</v>
      </c>
      <c r="S1040" s="218" t="s">
        <v>396</v>
      </c>
      <c r="T1040" s="218" t="s">
        <v>397</v>
      </c>
      <c r="U1040" s="218" t="s">
        <v>2591</v>
      </c>
      <c r="V1040" s="218" t="s">
        <v>381</v>
      </c>
      <c r="W1040" s="218" t="s">
        <v>295</v>
      </c>
      <c r="X1040" s="218" t="s">
        <v>379</v>
      </c>
      <c r="Y1040" s="218">
        <v>153.83000000000001</v>
      </c>
      <c r="Z1040" s="218">
        <f t="shared" si="21"/>
        <v>168</v>
      </c>
    </row>
    <row r="1041" spans="1:26">
      <c r="A1041" s="218" t="s">
        <v>2592</v>
      </c>
      <c r="B1041" s="218"/>
      <c r="C1041" s="218"/>
      <c r="D1041" s="218"/>
      <c r="E1041" s="218"/>
      <c r="F1041" s="219" t="s">
        <v>4679</v>
      </c>
      <c r="G1041" s="218" t="s">
        <v>280</v>
      </c>
      <c r="H1041" s="218" t="s">
        <v>309</v>
      </c>
      <c r="I1041" s="223">
        <v>43769</v>
      </c>
      <c r="J1041" s="218" t="s">
        <v>4668</v>
      </c>
      <c r="K1041" s="218" t="s">
        <v>2601</v>
      </c>
      <c r="L1041" s="218" t="s">
        <v>2596</v>
      </c>
      <c r="M1041" s="218" t="s">
        <v>4680</v>
      </c>
      <c r="N1041" s="218">
        <v>40.65</v>
      </c>
      <c r="O1041" s="218" t="s">
        <v>292</v>
      </c>
      <c r="P1041" s="218">
        <v>50</v>
      </c>
      <c r="Q1041" s="218" t="s">
        <v>615</v>
      </c>
      <c r="R1041" s="218" t="s">
        <v>1676</v>
      </c>
      <c r="S1041" s="218" t="s">
        <v>396</v>
      </c>
      <c r="T1041" s="218" t="s">
        <v>397</v>
      </c>
      <c r="U1041" s="218" t="s">
        <v>2591</v>
      </c>
      <c r="V1041" s="218" t="s">
        <v>381</v>
      </c>
      <c r="W1041" s="218" t="s">
        <v>295</v>
      </c>
      <c r="X1041" s="218" t="s">
        <v>379</v>
      </c>
      <c r="Y1041" s="218">
        <v>45.79</v>
      </c>
      <c r="Z1041" s="218">
        <f t="shared" si="21"/>
        <v>50</v>
      </c>
    </row>
    <row r="1042" spans="1:26">
      <c r="A1042" s="218" t="s">
        <v>2592</v>
      </c>
      <c r="B1042" s="218"/>
      <c r="C1042" s="218"/>
      <c r="D1042" s="218"/>
      <c r="E1042" s="218"/>
      <c r="F1042" s="219" t="s">
        <v>4681</v>
      </c>
      <c r="G1042" s="218" t="s">
        <v>280</v>
      </c>
      <c r="H1042" s="218" t="s">
        <v>309</v>
      </c>
      <c r="I1042" s="223">
        <v>43769</v>
      </c>
      <c r="J1042" s="218" t="s">
        <v>4668</v>
      </c>
      <c r="K1042" s="218" t="s">
        <v>2601</v>
      </c>
      <c r="L1042" s="218" t="s">
        <v>2596</v>
      </c>
      <c r="M1042" s="218" t="s">
        <v>4682</v>
      </c>
      <c r="N1042" s="218">
        <v>48.78</v>
      </c>
      <c r="O1042" s="218" t="s">
        <v>292</v>
      </c>
      <c r="P1042" s="218">
        <v>60</v>
      </c>
      <c r="Q1042" s="218" t="s">
        <v>615</v>
      </c>
      <c r="R1042" s="218" t="s">
        <v>1676</v>
      </c>
      <c r="S1042" s="218" t="s">
        <v>396</v>
      </c>
      <c r="T1042" s="218" t="s">
        <v>397</v>
      </c>
      <c r="U1042" s="218" t="s">
        <v>2591</v>
      </c>
      <c r="V1042" s="218" t="s">
        <v>381</v>
      </c>
      <c r="W1042" s="218" t="s">
        <v>295</v>
      </c>
      <c r="X1042" s="218" t="s">
        <v>379</v>
      </c>
      <c r="Y1042" s="218">
        <v>54.95</v>
      </c>
      <c r="Z1042" s="218">
        <f t="shared" si="21"/>
        <v>60</v>
      </c>
    </row>
    <row r="1043" spans="1:26">
      <c r="A1043" s="218" t="s">
        <v>2592</v>
      </c>
      <c r="B1043" s="218"/>
      <c r="C1043" s="218"/>
      <c r="D1043" s="218"/>
      <c r="E1043" s="218"/>
      <c r="F1043" s="219" t="s">
        <v>4683</v>
      </c>
      <c r="G1043" s="218" t="s">
        <v>280</v>
      </c>
      <c r="H1043" s="218" t="s">
        <v>309</v>
      </c>
      <c r="I1043" s="223">
        <v>43769</v>
      </c>
      <c r="J1043" s="218" t="s">
        <v>4668</v>
      </c>
      <c r="K1043" s="218" t="s">
        <v>2601</v>
      </c>
      <c r="L1043" s="218" t="s">
        <v>2596</v>
      </c>
      <c r="M1043" s="218" t="s">
        <v>4684</v>
      </c>
      <c r="N1043" s="218">
        <v>569.04999999999995</v>
      </c>
      <c r="O1043" s="218" t="s">
        <v>292</v>
      </c>
      <c r="P1043" s="218">
        <v>700</v>
      </c>
      <c r="Q1043" s="218" t="s">
        <v>714</v>
      </c>
      <c r="R1043" s="218" t="s">
        <v>1689</v>
      </c>
      <c r="S1043" s="218" t="s">
        <v>396</v>
      </c>
      <c r="T1043" s="218" t="s">
        <v>2591</v>
      </c>
      <c r="U1043" s="218" t="s">
        <v>2591</v>
      </c>
      <c r="V1043" s="218" t="s">
        <v>381</v>
      </c>
      <c r="W1043" s="218" t="s">
        <v>295</v>
      </c>
      <c r="X1043" s="218" t="s">
        <v>379</v>
      </c>
      <c r="Y1043" s="218">
        <v>640.98</v>
      </c>
      <c r="Z1043" s="218">
        <f t="shared" si="21"/>
        <v>700</v>
      </c>
    </row>
    <row r="1044" spans="1:26">
      <c r="A1044" s="218" t="s">
        <v>2592</v>
      </c>
      <c r="B1044" s="218"/>
      <c r="C1044" s="218"/>
      <c r="D1044" s="218"/>
      <c r="E1044" s="218"/>
      <c r="F1044" s="219" t="s">
        <v>4685</v>
      </c>
      <c r="G1044" s="218" t="s">
        <v>280</v>
      </c>
      <c r="H1044" s="218" t="s">
        <v>309</v>
      </c>
      <c r="I1044" s="223">
        <v>43769</v>
      </c>
      <c r="J1044" s="218" t="s">
        <v>4686</v>
      </c>
      <c r="K1044" s="218" t="s">
        <v>2601</v>
      </c>
      <c r="L1044" s="218" t="s">
        <v>2596</v>
      </c>
      <c r="M1044" s="218" t="s">
        <v>4687</v>
      </c>
      <c r="N1044" s="218">
        <v>585.30999999999995</v>
      </c>
      <c r="O1044" s="218" t="s">
        <v>292</v>
      </c>
      <c r="P1044" s="218">
        <v>720</v>
      </c>
      <c r="Q1044" s="218" t="s">
        <v>716</v>
      </c>
      <c r="R1044" s="218" t="s">
        <v>1629</v>
      </c>
      <c r="S1044" s="218" t="s">
        <v>396</v>
      </c>
      <c r="T1044" s="218" t="s">
        <v>2591</v>
      </c>
      <c r="U1044" s="218" t="s">
        <v>2591</v>
      </c>
      <c r="V1044" s="218" t="s">
        <v>381</v>
      </c>
      <c r="W1044" s="218" t="s">
        <v>295</v>
      </c>
      <c r="X1044" s="218" t="s">
        <v>379</v>
      </c>
      <c r="Y1044" s="218">
        <v>659.3</v>
      </c>
      <c r="Z1044" s="218">
        <f t="shared" si="21"/>
        <v>720</v>
      </c>
    </row>
    <row r="1045" spans="1:26">
      <c r="A1045" s="218" t="s">
        <v>2592</v>
      </c>
      <c r="B1045" s="218"/>
      <c r="C1045" s="218"/>
      <c r="D1045" s="218"/>
      <c r="E1045" s="218"/>
      <c r="F1045" s="219" t="s">
        <v>4688</v>
      </c>
      <c r="G1045" s="218" t="s">
        <v>280</v>
      </c>
      <c r="H1045" s="218" t="s">
        <v>309</v>
      </c>
      <c r="I1045" s="223">
        <v>43769</v>
      </c>
      <c r="J1045" s="218" t="s">
        <v>4672</v>
      </c>
      <c r="K1045" s="218" t="s">
        <v>3104</v>
      </c>
      <c r="L1045" s="218" t="s">
        <v>2596</v>
      </c>
      <c r="M1045" s="218" t="s">
        <v>4689</v>
      </c>
      <c r="N1045" s="218">
        <v>137.18</v>
      </c>
      <c r="O1045" s="218" t="s">
        <v>292</v>
      </c>
      <c r="P1045" s="218">
        <v>168.75</v>
      </c>
      <c r="Q1045" s="218" t="s">
        <v>4690</v>
      </c>
      <c r="R1045" s="218" t="s">
        <v>4691</v>
      </c>
      <c r="S1045" s="218" t="s">
        <v>400</v>
      </c>
      <c r="T1045" s="218" t="s">
        <v>2591</v>
      </c>
      <c r="U1045" s="218" t="s">
        <v>2591</v>
      </c>
      <c r="V1045" s="218" t="s">
        <v>381</v>
      </c>
      <c r="W1045" s="218" t="s">
        <v>295</v>
      </c>
      <c r="X1045" s="218" t="s">
        <v>379</v>
      </c>
      <c r="Y1045" s="218">
        <v>154.52000000000001</v>
      </c>
      <c r="Z1045" s="218">
        <f t="shared" si="21"/>
        <v>168.75</v>
      </c>
    </row>
    <row r="1046" spans="1:26">
      <c r="A1046" s="218" t="s">
        <v>2592</v>
      </c>
      <c r="B1046" s="218"/>
      <c r="C1046" s="218"/>
      <c r="D1046" s="218"/>
      <c r="E1046" s="218"/>
      <c r="F1046" s="219" t="s">
        <v>4692</v>
      </c>
      <c r="G1046" s="218" t="s">
        <v>280</v>
      </c>
      <c r="H1046" s="218" t="s">
        <v>309</v>
      </c>
      <c r="I1046" s="223">
        <v>43769</v>
      </c>
      <c r="J1046" s="218" t="s">
        <v>4668</v>
      </c>
      <c r="K1046" s="218" t="s">
        <v>2601</v>
      </c>
      <c r="L1046" s="218" t="s">
        <v>2596</v>
      </c>
      <c r="M1046" s="218" t="s">
        <v>4693</v>
      </c>
      <c r="N1046" s="218">
        <v>772.29</v>
      </c>
      <c r="O1046" s="218" t="s">
        <v>292</v>
      </c>
      <c r="P1046" s="218">
        <v>950</v>
      </c>
      <c r="Q1046" s="218" t="s">
        <v>718</v>
      </c>
      <c r="R1046" s="218" t="s">
        <v>1691</v>
      </c>
      <c r="S1046" s="218" t="s">
        <v>396</v>
      </c>
      <c r="T1046" s="218" t="s">
        <v>2591</v>
      </c>
      <c r="U1046" s="218" t="s">
        <v>2591</v>
      </c>
      <c r="V1046" s="218" t="s">
        <v>381</v>
      </c>
      <c r="W1046" s="218" t="s">
        <v>295</v>
      </c>
      <c r="X1046" s="218" t="s">
        <v>379</v>
      </c>
      <c r="Y1046" s="218">
        <v>869.92</v>
      </c>
      <c r="Z1046" s="218">
        <f t="shared" si="21"/>
        <v>950</v>
      </c>
    </row>
    <row r="1047" spans="1:26">
      <c r="A1047" s="218" t="s">
        <v>2592</v>
      </c>
      <c r="B1047" s="218"/>
      <c r="C1047" s="218"/>
      <c r="D1047" s="218"/>
      <c r="E1047" s="218"/>
      <c r="F1047" s="219" t="s">
        <v>4694</v>
      </c>
      <c r="G1047" s="218" t="s">
        <v>280</v>
      </c>
      <c r="H1047" s="218" t="s">
        <v>309</v>
      </c>
      <c r="I1047" s="223">
        <v>43769</v>
      </c>
      <c r="J1047" s="218" t="s">
        <v>2825</v>
      </c>
      <c r="K1047" s="218" t="s">
        <v>2595</v>
      </c>
      <c r="L1047" s="218" t="s">
        <v>2596</v>
      </c>
      <c r="M1047" s="218" t="s">
        <v>1768</v>
      </c>
      <c r="N1047" s="218">
        <v>34.380000000000003</v>
      </c>
      <c r="O1047" s="218" t="s">
        <v>292</v>
      </c>
      <c r="P1047" s="218">
        <v>42</v>
      </c>
      <c r="Q1047" s="218" t="s">
        <v>1442</v>
      </c>
      <c r="R1047" s="218" t="s">
        <v>1769</v>
      </c>
      <c r="S1047" s="218" t="s">
        <v>396</v>
      </c>
      <c r="T1047" s="218" t="s">
        <v>2591</v>
      </c>
      <c r="U1047" s="218" t="s">
        <v>2591</v>
      </c>
      <c r="V1047" s="218" t="s">
        <v>381</v>
      </c>
      <c r="W1047" s="218" t="s">
        <v>295</v>
      </c>
      <c r="X1047" s="218" t="s">
        <v>379</v>
      </c>
      <c r="Y1047" s="218">
        <v>38.729999999999997</v>
      </c>
      <c r="Z1047" s="218">
        <f t="shared" si="21"/>
        <v>42</v>
      </c>
    </row>
    <row r="1048" spans="1:26">
      <c r="A1048" s="218" t="s">
        <v>2592</v>
      </c>
      <c r="B1048" s="218"/>
      <c r="C1048" s="218"/>
      <c r="D1048" s="218"/>
      <c r="E1048" s="218"/>
      <c r="F1048" s="219" t="s">
        <v>4695</v>
      </c>
      <c r="G1048" s="218" t="s">
        <v>280</v>
      </c>
      <c r="H1048" s="218" t="s">
        <v>309</v>
      </c>
      <c r="I1048" s="223">
        <v>43769</v>
      </c>
      <c r="J1048" s="218" t="s">
        <v>4668</v>
      </c>
      <c r="K1048" s="218" t="s">
        <v>2601</v>
      </c>
      <c r="L1048" s="218" t="s">
        <v>2596</v>
      </c>
      <c r="M1048" s="218" t="s">
        <v>4696</v>
      </c>
      <c r="N1048" s="218">
        <v>36.58</v>
      </c>
      <c r="O1048" s="218" t="s">
        <v>292</v>
      </c>
      <c r="P1048" s="218">
        <v>45</v>
      </c>
      <c r="Q1048" s="218" t="s">
        <v>1442</v>
      </c>
      <c r="R1048" s="218" t="s">
        <v>1769</v>
      </c>
      <c r="S1048" s="218" t="s">
        <v>396</v>
      </c>
      <c r="T1048" s="218" t="s">
        <v>2591</v>
      </c>
      <c r="U1048" s="218" t="s">
        <v>2591</v>
      </c>
      <c r="V1048" s="218" t="s">
        <v>381</v>
      </c>
      <c r="W1048" s="218" t="s">
        <v>295</v>
      </c>
      <c r="X1048" s="218" t="s">
        <v>379</v>
      </c>
      <c r="Y1048" s="218">
        <v>41.2</v>
      </c>
      <c r="Z1048" s="218">
        <f t="shared" si="21"/>
        <v>45</v>
      </c>
    </row>
    <row r="1049" spans="1:26">
      <c r="A1049" s="218" t="s">
        <v>2592</v>
      </c>
      <c r="B1049" s="218"/>
      <c r="C1049" s="218"/>
      <c r="D1049" s="218"/>
      <c r="E1049" s="218"/>
      <c r="F1049" s="219" t="s">
        <v>4697</v>
      </c>
      <c r="G1049" s="218" t="s">
        <v>280</v>
      </c>
      <c r="H1049" s="218" t="s">
        <v>309</v>
      </c>
      <c r="I1049" s="223">
        <v>43769</v>
      </c>
      <c r="J1049" s="218" t="s">
        <v>4672</v>
      </c>
      <c r="K1049" s="218" t="s">
        <v>3104</v>
      </c>
      <c r="L1049" s="218" t="s">
        <v>2596</v>
      </c>
      <c r="M1049" s="218" t="s">
        <v>4698</v>
      </c>
      <c r="N1049" s="218">
        <v>30.49</v>
      </c>
      <c r="O1049" s="218" t="s">
        <v>292</v>
      </c>
      <c r="P1049" s="218">
        <v>37.5</v>
      </c>
      <c r="Q1049" s="218" t="s">
        <v>1478</v>
      </c>
      <c r="R1049" s="218" t="s">
        <v>1623</v>
      </c>
      <c r="S1049" s="218" t="s">
        <v>400</v>
      </c>
      <c r="T1049" s="218" t="s">
        <v>2591</v>
      </c>
      <c r="U1049" s="218" t="s">
        <v>2591</v>
      </c>
      <c r="V1049" s="218" t="s">
        <v>381</v>
      </c>
      <c r="W1049" s="218" t="s">
        <v>295</v>
      </c>
      <c r="X1049" s="218" t="s">
        <v>379</v>
      </c>
      <c r="Y1049" s="218">
        <v>34.340000000000003</v>
      </c>
      <c r="Z1049" s="218">
        <f t="shared" si="21"/>
        <v>37.5</v>
      </c>
    </row>
    <row r="1050" spans="1:26">
      <c r="A1050" s="218" t="s">
        <v>2592</v>
      </c>
      <c r="B1050" s="218"/>
      <c r="C1050" s="218"/>
      <c r="D1050" s="218"/>
      <c r="E1050" s="218"/>
      <c r="F1050" s="219" t="s">
        <v>4699</v>
      </c>
      <c r="G1050" s="218" t="s">
        <v>280</v>
      </c>
      <c r="H1050" s="218" t="s">
        <v>309</v>
      </c>
      <c r="I1050" s="223">
        <v>43769</v>
      </c>
      <c r="J1050" s="218" t="s">
        <v>4686</v>
      </c>
      <c r="K1050" s="218" t="s">
        <v>2601</v>
      </c>
      <c r="L1050" s="218" t="s">
        <v>2596</v>
      </c>
      <c r="M1050" s="218" t="s">
        <v>4700</v>
      </c>
      <c r="N1050" s="218">
        <v>56.91</v>
      </c>
      <c r="O1050" s="218" t="s">
        <v>292</v>
      </c>
      <c r="P1050" s="218">
        <v>70</v>
      </c>
      <c r="Q1050" s="218" t="s">
        <v>1478</v>
      </c>
      <c r="R1050" s="218" t="s">
        <v>1623</v>
      </c>
      <c r="S1050" s="218" t="s">
        <v>396</v>
      </c>
      <c r="T1050" s="218" t="s">
        <v>2591</v>
      </c>
      <c r="U1050" s="218" t="s">
        <v>2591</v>
      </c>
      <c r="V1050" s="218" t="s">
        <v>381</v>
      </c>
      <c r="W1050" s="218" t="s">
        <v>295</v>
      </c>
      <c r="X1050" s="218" t="s">
        <v>379</v>
      </c>
      <c r="Y1050" s="218">
        <v>64.099999999999994</v>
      </c>
      <c r="Z1050" s="218">
        <f t="shared" si="21"/>
        <v>70</v>
      </c>
    </row>
    <row r="1051" spans="1:26">
      <c r="A1051" s="218" t="s">
        <v>2592</v>
      </c>
      <c r="B1051" s="218"/>
      <c r="C1051" s="218"/>
      <c r="D1051" s="218"/>
      <c r="E1051" s="218"/>
      <c r="F1051" s="219" t="s">
        <v>4701</v>
      </c>
      <c r="G1051" s="218" t="s">
        <v>280</v>
      </c>
      <c r="H1051" s="218" t="s">
        <v>309</v>
      </c>
      <c r="I1051" s="223">
        <v>43769</v>
      </c>
      <c r="J1051" s="218" t="s">
        <v>4686</v>
      </c>
      <c r="K1051" s="218" t="s">
        <v>2601</v>
      </c>
      <c r="L1051" s="218" t="s">
        <v>2596</v>
      </c>
      <c r="M1051" s="218" t="s">
        <v>4702</v>
      </c>
      <c r="N1051" s="218">
        <v>369.89</v>
      </c>
      <c r="O1051" s="218" t="s">
        <v>292</v>
      </c>
      <c r="P1051" s="218">
        <v>455</v>
      </c>
      <c r="Q1051" s="218" t="s">
        <v>1128</v>
      </c>
      <c r="R1051" s="218" t="s">
        <v>1625</v>
      </c>
      <c r="S1051" s="218" t="s">
        <v>396</v>
      </c>
      <c r="T1051" s="218" t="s">
        <v>2591</v>
      </c>
      <c r="U1051" s="218" t="s">
        <v>2591</v>
      </c>
      <c r="V1051" s="218" t="s">
        <v>381</v>
      </c>
      <c r="W1051" s="218" t="s">
        <v>295</v>
      </c>
      <c r="X1051" s="218" t="s">
        <v>379</v>
      </c>
      <c r="Y1051" s="218">
        <v>416.65</v>
      </c>
      <c r="Z1051" s="218">
        <f t="shared" si="21"/>
        <v>455</v>
      </c>
    </row>
    <row r="1052" spans="1:26">
      <c r="A1052" s="218" t="s">
        <v>2592</v>
      </c>
      <c r="B1052" s="218"/>
      <c r="C1052" s="218"/>
      <c r="D1052" s="218"/>
      <c r="E1052" s="218"/>
      <c r="F1052" s="219" t="s">
        <v>4703</v>
      </c>
      <c r="G1052" s="218" t="s">
        <v>280</v>
      </c>
      <c r="H1052" s="218" t="s">
        <v>309</v>
      </c>
      <c r="I1052" s="223">
        <v>43830</v>
      </c>
      <c r="J1052" s="218" t="s">
        <v>2702</v>
      </c>
      <c r="K1052" s="218" t="s">
        <v>2703</v>
      </c>
      <c r="L1052" s="218" t="s">
        <v>2704</v>
      </c>
      <c r="M1052" s="218" t="s">
        <v>4704</v>
      </c>
      <c r="N1052" s="218">
        <v>46.4</v>
      </c>
      <c r="O1052" s="218" t="s">
        <v>292</v>
      </c>
      <c r="P1052" s="218">
        <v>60</v>
      </c>
      <c r="Q1052" s="218" t="s">
        <v>610</v>
      </c>
      <c r="R1052" s="218" t="s">
        <v>1620</v>
      </c>
      <c r="S1052" s="218" t="s">
        <v>396</v>
      </c>
      <c r="T1052" s="218" t="s">
        <v>397</v>
      </c>
      <c r="U1052" s="218" t="s">
        <v>2591</v>
      </c>
      <c r="V1052" s="218" t="s">
        <v>381</v>
      </c>
      <c r="W1052" s="218" t="s">
        <v>295</v>
      </c>
      <c r="X1052" s="218" t="s">
        <v>379</v>
      </c>
      <c r="Y1052" s="218">
        <v>54.47</v>
      </c>
      <c r="Z1052" s="218">
        <f t="shared" si="21"/>
        <v>60</v>
      </c>
    </row>
    <row r="1053" spans="1:26">
      <c r="A1053" s="218" t="s">
        <v>2592</v>
      </c>
      <c r="B1053" s="218"/>
      <c r="C1053" s="218"/>
      <c r="D1053" s="218"/>
      <c r="E1053" s="218"/>
      <c r="F1053" s="219" t="s">
        <v>4705</v>
      </c>
      <c r="G1053" s="218" t="s">
        <v>280</v>
      </c>
      <c r="H1053" s="218" t="s">
        <v>309</v>
      </c>
      <c r="I1053" s="223">
        <v>43830</v>
      </c>
      <c r="J1053" s="218" t="s">
        <v>2702</v>
      </c>
      <c r="K1053" s="218" t="s">
        <v>2703</v>
      </c>
      <c r="L1053" s="218" t="s">
        <v>2704</v>
      </c>
      <c r="M1053" s="218" t="s">
        <v>4706</v>
      </c>
      <c r="N1053" s="218">
        <v>46.4</v>
      </c>
      <c r="O1053" s="218" t="s">
        <v>292</v>
      </c>
      <c r="P1053" s="218">
        <v>60</v>
      </c>
      <c r="Q1053" s="218" t="s">
        <v>610</v>
      </c>
      <c r="R1053" s="218" t="s">
        <v>1620</v>
      </c>
      <c r="S1053" s="218" t="s">
        <v>396</v>
      </c>
      <c r="T1053" s="218" t="s">
        <v>1726</v>
      </c>
      <c r="U1053" s="218" t="s">
        <v>2591</v>
      </c>
      <c r="V1053" s="218" t="s">
        <v>381</v>
      </c>
      <c r="W1053" s="218" t="s">
        <v>295</v>
      </c>
      <c r="X1053" s="218" t="s">
        <v>379</v>
      </c>
      <c r="Y1053" s="218">
        <v>54.47</v>
      </c>
      <c r="Z1053" s="218">
        <f t="shared" si="21"/>
        <v>60</v>
      </c>
    </row>
    <row r="1054" spans="1:26">
      <c r="A1054" s="218" t="s">
        <v>2592</v>
      </c>
      <c r="B1054" s="218"/>
      <c r="C1054" s="218"/>
      <c r="D1054" s="218"/>
      <c r="E1054" s="218"/>
      <c r="F1054" s="219" t="s">
        <v>4707</v>
      </c>
      <c r="G1054" s="218" t="s">
        <v>280</v>
      </c>
      <c r="H1054" s="218" t="s">
        <v>309</v>
      </c>
      <c r="I1054" s="223">
        <v>43830</v>
      </c>
      <c r="J1054" s="218" t="s">
        <v>2702</v>
      </c>
      <c r="K1054" s="218" t="s">
        <v>2703</v>
      </c>
      <c r="L1054" s="218" t="s">
        <v>2704</v>
      </c>
      <c r="M1054" s="218" t="s">
        <v>4708</v>
      </c>
      <c r="N1054" s="218">
        <v>23.2</v>
      </c>
      <c r="O1054" s="218" t="s">
        <v>292</v>
      </c>
      <c r="P1054" s="218">
        <v>30</v>
      </c>
      <c r="Q1054" s="218" t="s">
        <v>716</v>
      </c>
      <c r="R1054" s="218" t="s">
        <v>1629</v>
      </c>
      <c r="S1054" s="218" t="s">
        <v>396</v>
      </c>
      <c r="T1054" s="218" t="s">
        <v>2591</v>
      </c>
      <c r="U1054" s="218" t="s">
        <v>2591</v>
      </c>
      <c r="V1054" s="218" t="s">
        <v>381</v>
      </c>
      <c r="W1054" s="218" t="s">
        <v>295</v>
      </c>
      <c r="X1054" s="218" t="s">
        <v>379</v>
      </c>
      <c r="Y1054" s="218">
        <v>27.24</v>
      </c>
      <c r="Z1054" s="218">
        <f t="shared" si="21"/>
        <v>30</v>
      </c>
    </row>
    <row r="1055" spans="1:26">
      <c r="A1055" s="218" t="s">
        <v>2592</v>
      </c>
      <c r="B1055" s="218"/>
      <c r="C1055" s="218"/>
      <c r="D1055" s="218"/>
      <c r="E1055" s="218"/>
      <c r="F1055" s="219" t="s">
        <v>4709</v>
      </c>
      <c r="G1055" s="218" t="s">
        <v>280</v>
      </c>
      <c r="H1055" s="218" t="s">
        <v>309</v>
      </c>
      <c r="I1055" s="223">
        <v>43830</v>
      </c>
      <c r="J1055" s="218" t="s">
        <v>4710</v>
      </c>
      <c r="K1055" s="218" t="s">
        <v>2703</v>
      </c>
      <c r="L1055" s="218" t="s">
        <v>2704</v>
      </c>
      <c r="M1055" s="218" t="s">
        <v>4711</v>
      </c>
      <c r="N1055" s="218">
        <v>115.99</v>
      </c>
      <c r="O1055" s="218" t="s">
        <v>292</v>
      </c>
      <c r="P1055" s="218">
        <v>150</v>
      </c>
      <c r="Q1055" s="218" t="s">
        <v>610</v>
      </c>
      <c r="R1055" s="218" t="s">
        <v>1620</v>
      </c>
      <c r="S1055" s="218" t="s">
        <v>396</v>
      </c>
      <c r="T1055" s="218" t="s">
        <v>397</v>
      </c>
      <c r="U1055" s="218" t="s">
        <v>2591</v>
      </c>
      <c r="V1055" s="218" t="s">
        <v>381</v>
      </c>
      <c r="W1055" s="218" t="s">
        <v>295</v>
      </c>
      <c r="X1055" s="218" t="s">
        <v>379</v>
      </c>
      <c r="Y1055" s="218">
        <v>136.16999999999999</v>
      </c>
      <c r="Z1055" s="218">
        <f t="shared" si="21"/>
        <v>150</v>
      </c>
    </row>
    <row r="1056" spans="1:26">
      <c r="A1056" s="218" t="s">
        <v>2592</v>
      </c>
      <c r="B1056" s="218"/>
      <c r="C1056" s="218"/>
      <c r="D1056" s="218"/>
      <c r="E1056" s="218"/>
      <c r="F1056" s="219" t="s">
        <v>4712</v>
      </c>
      <c r="G1056" s="218" t="s">
        <v>280</v>
      </c>
      <c r="H1056" s="218" t="s">
        <v>309</v>
      </c>
      <c r="I1056" s="223">
        <v>43830</v>
      </c>
      <c r="J1056" s="218" t="s">
        <v>4710</v>
      </c>
      <c r="K1056" s="218" t="s">
        <v>2703</v>
      </c>
      <c r="L1056" s="218" t="s">
        <v>2704</v>
      </c>
      <c r="M1056" s="218" t="s">
        <v>4713</v>
      </c>
      <c r="N1056" s="218">
        <v>115.99</v>
      </c>
      <c r="O1056" s="218" t="s">
        <v>292</v>
      </c>
      <c r="P1056" s="218">
        <v>150</v>
      </c>
      <c r="Q1056" s="218" t="s">
        <v>610</v>
      </c>
      <c r="R1056" s="218" t="s">
        <v>1620</v>
      </c>
      <c r="S1056" s="218" t="s">
        <v>396</v>
      </c>
      <c r="T1056" s="218" t="s">
        <v>628</v>
      </c>
      <c r="U1056" s="218" t="s">
        <v>2591</v>
      </c>
      <c r="V1056" s="218" t="s">
        <v>381</v>
      </c>
      <c r="W1056" s="218" t="s">
        <v>295</v>
      </c>
      <c r="X1056" s="218" t="s">
        <v>379</v>
      </c>
      <c r="Y1056" s="218">
        <v>136.16999999999999</v>
      </c>
      <c r="Z1056" s="218">
        <f t="shared" si="21"/>
        <v>150</v>
      </c>
    </row>
    <row r="1057" spans="1:26">
      <c r="A1057" s="218" t="s">
        <v>2592</v>
      </c>
      <c r="B1057" s="218"/>
      <c r="C1057" s="218"/>
      <c r="D1057" s="218"/>
      <c r="E1057" s="218"/>
      <c r="F1057" s="219" t="s">
        <v>4714</v>
      </c>
      <c r="G1057" s="218" t="s">
        <v>280</v>
      </c>
      <c r="H1057" s="218" t="s">
        <v>309</v>
      </c>
      <c r="I1057" s="223">
        <v>43830</v>
      </c>
      <c r="J1057" s="218" t="s">
        <v>2782</v>
      </c>
      <c r="K1057" s="218" t="s">
        <v>4311</v>
      </c>
      <c r="L1057" s="218" t="s">
        <v>2784</v>
      </c>
      <c r="M1057" s="218" t="s">
        <v>4715</v>
      </c>
      <c r="N1057" s="218">
        <v>81.290000000000006</v>
      </c>
      <c r="O1057" s="218" t="s">
        <v>292</v>
      </c>
      <c r="P1057" s="218">
        <v>100</v>
      </c>
      <c r="Q1057" s="218" t="s">
        <v>752</v>
      </c>
      <c r="R1057" s="218" t="s">
        <v>1587</v>
      </c>
      <c r="S1057" s="218" t="s">
        <v>396</v>
      </c>
      <c r="T1057" s="218" t="s">
        <v>2591</v>
      </c>
      <c r="U1057" s="218" t="s">
        <v>737</v>
      </c>
      <c r="V1057" s="218" t="s">
        <v>381</v>
      </c>
      <c r="W1057" s="218" t="s">
        <v>295</v>
      </c>
      <c r="X1057" s="218" t="s">
        <v>379</v>
      </c>
      <c r="Y1057" s="218">
        <v>95.43</v>
      </c>
      <c r="Z1057" s="218">
        <f t="shared" si="21"/>
        <v>100</v>
      </c>
    </row>
    <row r="1058" spans="1:26">
      <c r="A1058" s="218" t="s">
        <v>2592</v>
      </c>
      <c r="B1058" s="218"/>
      <c r="C1058" s="218"/>
      <c r="D1058" s="218"/>
      <c r="E1058" s="218"/>
      <c r="F1058" s="219" t="s">
        <v>4716</v>
      </c>
      <c r="G1058" s="218" t="s">
        <v>280</v>
      </c>
      <c r="H1058" s="218" t="s">
        <v>309</v>
      </c>
      <c r="I1058" s="223">
        <v>43830</v>
      </c>
      <c r="J1058" s="218" t="s">
        <v>2782</v>
      </c>
      <c r="K1058" s="218" t="s">
        <v>4717</v>
      </c>
      <c r="L1058" s="218" t="s">
        <v>2784</v>
      </c>
      <c r="M1058" s="218" t="s">
        <v>4718</v>
      </c>
      <c r="N1058" s="218">
        <v>195.1</v>
      </c>
      <c r="O1058" s="218" t="s">
        <v>292</v>
      </c>
      <c r="P1058" s="218">
        <v>240</v>
      </c>
      <c r="Q1058" s="218" t="s">
        <v>752</v>
      </c>
      <c r="R1058" s="218" t="s">
        <v>1587</v>
      </c>
      <c r="S1058" s="218" t="s">
        <v>396</v>
      </c>
      <c r="T1058" s="218" t="s">
        <v>2591</v>
      </c>
      <c r="U1058" s="218" t="s">
        <v>737</v>
      </c>
      <c r="V1058" s="218" t="s">
        <v>381</v>
      </c>
      <c r="W1058" s="218" t="s">
        <v>295</v>
      </c>
      <c r="X1058" s="218" t="s">
        <v>379</v>
      </c>
      <c r="Y1058" s="218">
        <v>229.04</v>
      </c>
      <c r="Z1058" s="218">
        <f t="shared" si="21"/>
        <v>240</v>
      </c>
    </row>
    <row r="1059" spans="1:26">
      <c r="A1059" s="218" t="s">
        <v>2592</v>
      </c>
      <c r="B1059" s="218"/>
      <c r="C1059" s="218"/>
      <c r="D1059" s="218"/>
      <c r="E1059" s="218"/>
      <c r="F1059" s="219" t="s">
        <v>4719</v>
      </c>
      <c r="G1059" s="218" t="s">
        <v>283</v>
      </c>
      <c r="H1059" s="218" t="s">
        <v>309</v>
      </c>
      <c r="I1059" s="223">
        <v>43830</v>
      </c>
      <c r="J1059" s="218" t="s">
        <v>2782</v>
      </c>
      <c r="K1059" s="218" t="s">
        <v>4720</v>
      </c>
      <c r="L1059" s="218" t="s">
        <v>2784</v>
      </c>
      <c r="M1059" s="218" t="s">
        <v>4721</v>
      </c>
      <c r="N1059" s="218">
        <v>121.94</v>
      </c>
      <c r="O1059" s="218" t="s">
        <v>292</v>
      </c>
      <c r="P1059" s="218">
        <v>150</v>
      </c>
      <c r="Q1059" s="218" t="s">
        <v>752</v>
      </c>
      <c r="R1059" s="218" t="s">
        <v>1587</v>
      </c>
      <c r="S1059" s="218" t="s">
        <v>396</v>
      </c>
      <c r="T1059" s="218" t="s">
        <v>2591</v>
      </c>
      <c r="U1059" s="218" t="s">
        <v>737</v>
      </c>
      <c r="V1059" s="218" t="s">
        <v>381</v>
      </c>
      <c r="W1059" s="218" t="s">
        <v>295</v>
      </c>
      <c r="X1059" s="218" t="s">
        <v>379</v>
      </c>
      <c r="Y1059" s="218">
        <v>143.16</v>
      </c>
      <c r="Z1059" s="218">
        <f t="shared" si="21"/>
        <v>150</v>
      </c>
    </row>
    <row r="1060" spans="1:26">
      <c r="A1060" s="218" t="s">
        <v>2592</v>
      </c>
      <c r="B1060" s="218"/>
      <c r="C1060" s="218"/>
      <c r="D1060" s="218"/>
      <c r="E1060" s="218"/>
      <c r="F1060" s="219" t="s">
        <v>4722</v>
      </c>
      <c r="G1060" s="218" t="s">
        <v>284</v>
      </c>
      <c r="H1060" s="218" t="s">
        <v>309</v>
      </c>
      <c r="I1060" s="223">
        <v>43769</v>
      </c>
      <c r="J1060" s="218" t="s">
        <v>3100</v>
      </c>
      <c r="K1060" s="218" t="s">
        <v>2601</v>
      </c>
      <c r="L1060" s="218" t="s">
        <v>2596</v>
      </c>
      <c r="M1060" s="218" t="s">
        <v>4723</v>
      </c>
      <c r="N1060" s="218">
        <v>108.19</v>
      </c>
      <c r="O1060" s="218" t="s">
        <v>292</v>
      </c>
      <c r="P1060" s="218">
        <v>133.09</v>
      </c>
      <c r="Q1060" s="218" t="s">
        <v>385</v>
      </c>
      <c r="R1060" s="218" t="s">
        <v>1772</v>
      </c>
      <c r="S1060" s="218" t="s">
        <v>396</v>
      </c>
      <c r="T1060" s="218" t="s">
        <v>556</v>
      </c>
      <c r="U1060" s="218" t="s">
        <v>2591</v>
      </c>
      <c r="V1060" s="218" t="s">
        <v>381</v>
      </c>
      <c r="W1060" s="218" t="s">
        <v>295</v>
      </c>
      <c r="X1060" s="218" t="s">
        <v>379</v>
      </c>
      <c r="Y1060" s="218">
        <v>121.87</v>
      </c>
      <c r="Z1060" s="218">
        <f t="shared" si="21"/>
        <v>133.09</v>
      </c>
    </row>
    <row r="1061" spans="1:26">
      <c r="A1061" s="218" t="s">
        <v>2592</v>
      </c>
      <c r="B1061" s="218"/>
      <c r="C1061" s="218"/>
      <c r="D1061" s="218"/>
      <c r="E1061" s="218"/>
      <c r="F1061" s="219" t="s">
        <v>4724</v>
      </c>
      <c r="G1061" s="218" t="s">
        <v>284</v>
      </c>
      <c r="H1061" s="218" t="s">
        <v>309</v>
      </c>
      <c r="I1061" s="223">
        <v>43769</v>
      </c>
      <c r="J1061" s="218" t="s">
        <v>3103</v>
      </c>
      <c r="K1061" s="218" t="s">
        <v>3104</v>
      </c>
      <c r="L1061" s="218" t="s">
        <v>2596</v>
      </c>
      <c r="M1061" s="218" t="s">
        <v>4725</v>
      </c>
      <c r="N1061" s="218">
        <v>19.170000000000002</v>
      </c>
      <c r="O1061" s="218" t="s">
        <v>292</v>
      </c>
      <c r="P1061" s="218">
        <v>23.58</v>
      </c>
      <c r="Q1061" s="218" t="s">
        <v>385</v>
      </c>
      <c r="R1061" s="218" t="s">
        <v>1772</v>
      </c>
      <c r="S1061" s="218" t="s">
        <v>400</v>
      </c>
      <c r="T1061" s="218" t="s">
        <v>556</v>
      </c>
      <c r="U1061" s="218" t="s">
        <v>2591</v>
      </c>
      <c r="V1061" s="218" t="s">
        <v>381</v>
      </c>
      <c r="W1061" s="218" t="s">
        <v>295</v>
      </c>
      <c r="X1061" s="218" t="s">
        <v>379</v>
      </c>
      <c r="Y1061" s="218">
        <v>21.59</v>
      </c>
      <c r="Z1061" s="218">
        <f t="shared" si="21"/>
        <v>23.58</v>
      </c>
    </row>
    <row r="1062" spans="1:26">
      <c r="A1062" s="218" t="s">
        <v>2592</v>
      </c>
      <c r="B1062" s="218"/>
      <c r="C1062" s="218"/>
      <c r="D1062" s="218"/>
      <c r="E1062" s="218"/>
      <c r="F1062" s="219" t="s">
        <v>4726</v>
      </c>
      <c r="G1062" s="218" t="s">
        <v>284</v>
      </c>
      <c r="H1062" s="218" t="s">
        <v>309</v>
      </c>
      <c r="I1062" s="223">
        <v>43769</v>
      </c>
      <c r="J1062" s="218" t="s">
        <v>3107</v>
      </c>
      <c r="K1062" s="218" t="s">
        <v>3104</v>
      </c>
      <c r="L1062" s="218" t="s">
        <v>2596</v>
      </c>
      <c r="M1062" s="218" t="s">
        <v>4727</v>
      </c>
      <c r="N1062" s="218">
        <v>17.73</v>
      </c>
      <c r="O1062" s="218" t="s">
        <v>292</v>
      </c>
      <c r="P1062" s="218">
        <v>21.81</v>
      </c>
      <c r="Q1062" s="218" t="s">
        <v>391</v>
      </c>
      <c r="R1062" s="218" t="s">
        <v>1777</v>
      </c>
      <c r="S1062" s="218" t="s">
        <v>400</v>
      </c>
      <c r="T1062" s="218" t="s">
        <v>556</v>
      </c>
      <c r="U1062" s="218" t="s">
        <v>2591</v>
      </c>
      <c r="V1062" s="218" t="s">
        <v>381</v>
      </c>
      <c r="W1062" s="218" t="s">
        <v>295</v>
      </c>
      <c r="X1062" s="218" t="s">
        <v>379</v>
      </c>
      <c r="Y1062" s="218">
        <v>19.97</v>
      </c>
      <c r="Z1062" s="218">
        <f t="shared" si="21"/>
        <v>21.81</v>
      </c>
    </row>
    <row r="1063" spans="1:26">
      <c r="A1063" s="218" t="s">
        <v>2592</v>
      </c>
      <c r="B1063" s="218"/>
      <c r="C1063" s="218"/>
      <c r="D1063" s="218"/>
      <c r="E1063" s="218"/>
      <c r="F1063" s="219" t="s">
        <v>4728</v>
      </c>
      <c r="G1063" s="218" t="s">
        <v>284</v>
      </c>
      <c r="H1063" s="218" t="s">
        <v>309</v>
      </c>
      <c r="I1063" s="223">
        <v>43769</v>
      </c>
      <c r="J1063" s="218" t="s">
        <v>3109</v>
      </c>
      <c r="K1063" s="218" t="s">
        <v>3104</v>
      </c>
      <c r="L1063" s="218" t="s">
        <v>2596</v>
      </c>
      <c r="M1063" s="218" t="s">
        <v>725</v>
      </c>
      <c r="N1063" s="218">
        <v>0.2</v>
      </c>
      <c r="O1063" s="218" t="s">
        <v>292</v>
      </c>
      <c r="P1063" s="218">
        <v>0.24</v>
      </c>
      <c r="Q1063" s="218" t="s">
        <v>405</v>
      </c>
      <c r="R1063" s="218" t="s">
        <v>1780</v>
      </c>
      <c r="S1063" s="218" t="s">
        <v>400</v>
      </c>
      <c r="T1063" s="218" t="s">
        <v>556</v>
      </c>
      <c r="U1063" s="218" t="s">
        <v>2591</v>
      </c>
      <c r="V1063" s="218" t="s">
        <v>381</v>
      </c>
      <c r="W1063" s="218" t="s">
        <v>295</v>
      </c>
      <c r="X1063" s="218" t="s">
        <v>379</v>
      </c>
      <c r="Y1063" s="218">
        <v>0.23</v>
      </c>
      <c r="Z1063" s="218">
        <f t="shared" si="21"/>
        <v>0.24</v>
      </c>
    </row>
    <row r="1064" spans="1:26">
      <c r="A1064" s="218" t="s">
        <v>2592</v>
      </c>
      <c r="B1064" s="218"/>
      <c r="C1064" s="218"/>
      <c r="D1064" s="218"/>
      <c r="E1064" s="218"/>
      <c r="F1064" s="219" t="s">
        <v>4729</v>
      </c>
      <c r="G1064" s="218" t="s">
        <v>284</v>
      </c>
      <c r="H1064" s="218" t="s">
        <v>309</v>
      </c>
      <c r="I1064" s="223">
        <v>43769</v>
      </c>
      <c r="J1064" s="218" t="s">
        <v>3111</v>
      </c>
      <c r="K1064" s="218" t="s">
        <v>3104</v>
      </c>
      <c r="L1064" s="218" t="s">
        <v>2596</v>
      </c>
      <c r="M1064" s="218" t="s">
        <v>4730</v>
      </c>
      <c r="N1064" s="218">
        <v>2.95</v>
      </c>
      <c r="O1064" s="218" t="s">
        <v>292</v>
      </c>
      <c r="P1064" s="218">
        <v>3.63</v>
      </c>
      <c r="Q1064" s="218" t="s">
        <v>405</v>
      </c>
      <c r="R1064" s="218" t="s">
        <v>1780</v>
      </c>
      <c r="S1064" s="218" t="s">
        <v>400</v>
      </c>
      <c r="T1064" s="218" t="s">
        <v>556</v>
      </c>
      <c r="U1064" s="218" t="s">
        <v>2591</v>
      </c>
      <c r="V1064" s="218" t="s">
        <v>381</v>
      </c>
      <c r="W1064" s="218" t="s">
        <v>295</v>
      </c>
      <c r="X1064" s="218" t="s">
        <v>379</v>
      </c>
      <c r="Y1064" s="218">
        <v>3.32</v>
      </c>
      <c r="Z1064" s="218">
        <f t="shared" si="21"/>
        <v>3.63</v>
      </c>
    </row>
    <row r="1065" spans="1:26">
      <c r="A1065" s="218" t="s">
        <v>2592</v>
      </c>
      <c r="B1065" s="218"/>
      <c r="C1065" s="218"/>
      <c r="D1065" s="218"/>
      <c r="E1065" s="218"/>
      <c r="F1065" s="219" t="s">
        <v>4731</v>
      </c>
      <c r="G1065" s="218" t="s">
        <v>284</v>
      </c>
      <c r="H1065" s="218" t="s">
        <v>309</v>
      </c>
      <c r="I1065" s="223">
        <v>43830</v>
      </c>
      <c r="J1065" s="218" t="s">
        <v>4732</v>
      </c>
      <c r="K1065" s="218" t="s">
        <v>4733</v>
      </c>
      <c r="L1065" s="218" t="s">
        <v>2704</v>
      </c>
      <c r="M1065" s="218" t="s">
        <v>4734</v>
      </c>
      <c r="N1065" s="218">
        <v>483.9</v>
      </c>
      <c r="O1065" s="218" t="s">
        <v>292</v>
      </c>
      <c r="P1065" s="218">
        <v>625.79999999999995</v>
      </c>
      <c r="Q1065" s="218" t="s">
        <v>391</v>
      </c>
      <c r="R1065" s="218" t="s">
        <v>1777</v>
      </c>
      <c r="S1065" s="218" t="s">
        <v>396</v>
      </c>
      <c r="T1065" s="218" t="s">
        <v>556</v>
      </c>
      <c r="U1065" s="218" t="s">
        <v>2591</v>
      </c>
      <c r="V1065" s="218" t="s">
        <v>381</v>
      </c>
      <c r="W1065" s="218" t="s">
        <v>295</v>
      </c>
      <c r="X1065" s="218" t="s">
        <v>379</v>
      </c>
      <c r="Y1065" s="218">
        <v>568.09</v>
      </c>
      <c r="Z1065" s="218">
        <f t="shared" si="21"/>
        <v>625.79999999999995</v>
      </c>
    </row>
    <row r="1066" spans="1:26">
      <c r="A1066" s="218" t="s">
        <v>2592</v>
      </c>
      <c r="B1066" s="218"/>
      <c r="C1066" s="218"/>
      <c r="D1066" s="218"/>
      <c r="E1066" s="218"/>
      <c r="F1066" s="219" t="s">
        <v>4735</v>
      </c>
      <c r="G1066" s="218" t="s">
        <v>285</v>
      </c>
      <c r="H1066" s="218" t="s">
        <v>309</v>
      </c>
      <c r="I1066" s="223">
        <v>43769</v>
      </c>
      <c r="J1066" s="218" t="s">
        <v>2976</v>
      </c>
      <c r="K1066" s="218" t="s">
        <v>2601</v>
      </c>
      <c r="L1066" s="218" t="s">
        <v>2596</v>
      </c>
      <c r="M1066" s="218" t="s">
        <v>4736</v>
      </c>
      <c r="N1066" s="218">
        <v>74.72</v>
      </c>
      <c r="O1066" s="218" t="s">
        <v>292</v>
      </c>
      <c r="P1066" s="218">
        <v>91.91</v>
      </c>
      <c r="Q1066" s="218" t="s">
        <v>385</v>
      </c>
      <c r="R1066" s="218" t="s">
        <v>1772</v>
      </c>
      <c r="S1066" s="218" t="s">
        <v>396</v>
      </c>
      <c r="T1066" s="218" t="s">
        <v>558</v>
      </c>
      <c r="U1066" s="218" t="s">
        <v>2591</v>
      </c>
      <c r="V1066" s="218" t="s">
        <v>381</v>
      </c>
      <c r="W1066" s="218" t="s">
        <v>295</v>
      </c>
      <c r="X1066" s="218" t="s">
        <v>379</v>
      </c>
      <c r="Y1066" s="218">
        <v>84.17</v>
      </c>
      <c r="Z1066" s="218">
        <f t="shared" si="21"/>
        <v>91.91</v>
      </c>
    </row>
    <row r="1067" spans="1:26">
      <c r="A1067" s="218" t="s">
        <v>2592</v>
      </c>
      <c r="B1067" s="218"/>
      <c r="C1067" s="218"/>
      <c r="D1067" s="218"/>
      <c r="E1067" s="218"/>
      <c r="F1067" s="219" t="s">
        <v>4737</v>
      </c>
      <c r="G1067" s="218" t="s">
        <v>285</v>
      </c>
      <c r="H1067" s="218" t="s">
        <v>309</v>
      </c>
      <c r="I1067" s="223">
        <v>43769</v>
      </c>
      <c r="J1067" s="218" t="s">
        <v>2979</v>
      </c>
      <c r="K1067" s="218" t="s">
        <v>2601</v>
      </c>
      <c r="L1067" s="218" t="s">
        <v>2596</v>
      </c>
      <c r="M1067" s="218" t="s">
        <v>4738</v>
      </c>
      <c r="N1067" s="218">
        <v>8</v>
      </c>
      <c r="O1067" s="218" t="s">
        <v>292</v>
      </c>
      <c r="P1067" s="218">
        <v>9.84</v>
      </c>
      <c r="Q1067" s="218" t="s">
        <v>385</v>
      </c>
      <c r="R1067" s="218" t="s">
        <v>1772</v>
      </c>
      <c r="S1067" s="218" t="s">
        <v>396</v>
      </c>
      <c r="T1067" s="218" t="s">
        <v>558</v>
      </c>
      <c r="U1067" s="218" t="s">
        <v>2591</v>
      </c>
      <c r="V1067" s="218" t="s">
        <v>381</v>
      </c>
      <c r="W1067" s="218" t="s">
        <v>295</v>
      </c>
      <c r="X1067" s="218" t="s">
        <v>379</v>
      </c>
      <c r="Y1067" s="218">
        <v>9.01</v>
      </c>
      <c r="Z1067" s="218">
        <f t="shared" si="21"/>
        <v>9.84</v>
      </c>
    </row>
    <row r="1068" spans="1:26">
      <c r="A1068" s="218" t="s">
        <v>2592</v>
      </c>
      <c r="B1068" s="218"/>
      <c r="C1068" s="218"/>
      <c r="D1068" s="218"/>
      <c r="E1068" s="218"/>
      <c r="F1068" s="219" t="s">
        <v>4739</v>
      </c>
      <c r="G1068" s="218" t="s">
        <v>285</v>
      </c>
      <c r="H1068" s="218" t="s">
        <v>309</v>
      </c>
      <c r="I1068" s="223">
        <v>43769</v>
      </c>
      <c r="J1068" s="218" t="s">
        <v>2982</v>
      </c>
      <c r="K1068" s="218" t="s">
        <v>2601</v>
      </c>
      <c r="L1068" s="218" t="s">
        <v>2596</v>
      </c>
      <c r="M1068" s="218" t="s">
        <v>4740</v>
      </c>
      <c r="N1068" s="218">
        <v>10.94</v>
      </c>
      <c r="O1068" s="218" t="s">
        <v>292</v>
      </c>
      <c r="P1068" s="218">
        <v>13.46</v>
      </c>
      <c r="Q1068" s="218" t="s">
        <v>391</v>
      </c>
      <c r="R1068" s="218" t="s">
        <v>1777</v>
      </c>
      <c r="S1068" s="218" t="s">
        <v>396</v>
      </c>
      <c r="T1068" s="218" t="s">
        <v>558</v>
      </c>
      <c r="U1068" s="218" t="s">
        <v>2591</v>
      </c>
      <c r="V1068" s="218" t="s">
        <v>381</v>
      </c>
      <c r="W1068" s="218" t="s">
        <v>295</v>
      </c>
      <c r="X1068" s="218" t="s">
        <v>379</v>
      </c>
      <c r="Y1068" s="218">
        <v>12.32</v>
      </c>
      <c r="Z1068" s="218">
        <f t="shared" si="21"/>
        <v>13.46</v>
      </c>
    </row>
    <row r="1069" spans="1:26">
      <c r="A1069" s="218" t="s">
        <v>2592</v>
      </c>
      <c r="B1069" s="218"/>
      <c r="C1069" s="218"/>
      <c r="D1069" s="218"/>
      <c r="E1069" s="218"/>
      <c r="F1069" s="219" t="s">
        <v>4741</v>
      </c>
      <c r="G1069" s="218" t="s">
        <v>285</v>
      </c>
      <c r="H1069" s="218" t="s">
        <v>309</v>
      </c>
      <c r="I1069" s="223">
        <v>43769</v>
      </c>
      <c r="J1069" s="218" t="s">
        <v>2985</v>
      </c>
      <c r="K1069" s="218" t="s">
        <v>2601</v>
      </c>
      <c r="L1069" s="218" t="s">
        <v>2596</v>
      </c>
      <c r="M1069" s="218" t="s">
        <v>4742</v>
      </c>
      <c r="N1069" s="218">
        <v>0.15</v>
      </c>
      <c r="O1069" s="218" t="s">
        <v>292</v>
      </c>
      <c r="P1069" s="218">
        <v>0.19</v>
      </c>
      <c r="Q1069" s="218" t="s">
        <v>405</v>
      </c>
      <c r="R1069" s="218" t="s">
        <v>1780</v>
      </c>
      <c r="S1069" s="218" t="s">
        <v>396</v>
      </c>
      <c r="T1069" s="218" t="s">
        <v>558</v>
      </c>
      <c r="U1069" s="218" t="s">
        <v>2591</v>
      </c>
      <c r="V1069" s="218" t="s">
        <v>381</v>
      </c>
      <c r="W1069" s="218" t="s">
        <v>295</v>
      </c>
      <c r="X1069" s="218" t="s">
        <v>379</v>
      </c>
      <c r="Y1069" s="218">
        <v>0.17</v>
      </c>
      <c r="Z1069" s="218">
        <f t="shared" si="21"/>
        <v>0.19</v>
      </c>
    </row>
    <row r="1070" spans="1:26">
      <c r="A1070" s="218" t="s">
        <v>2592</v>
      </c>
      <c r="B1070" s="218"/>
      <c r="C1070" s="218"/>
      <c r="D1070" s="218"/>
      <c r="E1070" s="218"/>
      <c r="F1070" s="219" t="s">
        <v>4743</v>
      </c>
      <c r="G1070" s="218" t="s">
        <v>285</v>
      </c>
      <c r="H1070" s="218" t="s">
        <v>309</v>
      </c>
      <c r="I1070" s="223">
        <v>43769</v>
      </c>
      <c r="J1070" s="218" t="s">
        <v>2988</v>
      </c>
      <c r="K1070" s="218" t="s">
        <v>2601</v>
      </c>
      <c r="L1070" s="218" t="s">
        <v>2596</v>
      </c>
      <c r="M1070" s="218" t="s">
        <v>4744</v>
      </c>
      <c r="N1070" s="218">
        <v>1.82</v>
      </c>
      <c r="O1070" s="218" t="s">
        <v>292</v>
      </c>
      <c r="P1070" s="218">
        <v>2.2400000000000002</v>
      </c>
      <c r="Q1070" s="218" t="s">
        <v>405</v>
      </c>
      <c r="R1070" s="218" t="s">
        <v>1780</v>
      </c>
      <c r="S1070" s="218" t="s">
        <v>396</v>
      </c>
      <c r="T1070" s="218" t="s">
        <v>558</v>
      </c>
      <c r="U1070" s="218" t="s">
        <v>2591</v>
      </c>
      <c r="V1070" s="218" t="s">
        <v>381</v>
      </c>
      <c r="W1070" s="218" t="s">
        <v>295</v>
      </c>
      <c r="X1070" s="218" t="s">
        <v>379</v>
      </c>
      <c r="Y1070" s="218">
        <v>2.0499999999999998</v>
      </c>
      <c r="Z1070" s="218">
        <f t="shared" si="21"/>
        <v>2.2400000000000002</v>
      </c>
    </row>
    <row r="1071" spans="1:26">
      <c r="A1071" s="218" t="s">
        <v>2592</v>
      </c>
      <c r="B1071" s="218"/>
      <c r="C1071" s="218"/>
      <c r="D1071" s="218"/>
      <c r="E1071" s="218"/>
      <c r="F1071" s="219" t="s">
        <v>4745</v>
      </c>
      <c r="G1071" s="218" t="s">
        <v>285</v>
      </c>
      <c r="H1071" s="218" t="s">
        <v>309</v>
      </c>
      <c r="I1071" s="223">
        <v>43769</v>
      </c>
      <c r="J1071" s="218" t="s">
        <v>2991</v>
      </c>
      <c r="K1071" s="218" t="s">
        <v>2601</v>
      </c>
      <c r="L1071" s="218" t="s">
        <v>2596</v>
      </c>
      <c r="M1071" s="218" t="s">
        <v>4746</v>
      </c>
      <c r="N1071" s="218">
        <v>1.37</v>
      </c>
      <c r="O1071" s="218" t="s">
        <v>292</v>
      </c>
      <c r="P1071" s="218">
        <v>1.68</v>
      </c>
      <c r="Q1071" s="218" t="s">
        <v>405</v>
      </c>
      <c r="R1071" s="218" t="s">
        <v>1780</v>
      </c>
      <c r="S1071" s="218" t="s">
        <v>396</v>
      </c>
      <c r="T1071" s="218" t="s">
        <v>558</v>
      </c>
      <c r="U1071" s="218" t="s">
        <v>2591</v>
      </c>
      <c r="V1071" s="218" t="s">
        <v>381</v>
      </c>
      <c r="W1071" s="218" t="s">
        <v>295</v>
      </c>
      <c r="X1071" s="218" t="s">
        <v>379</v>
      </c>
      <c r="Y1071" s="218">
        <v>1.54</v>
      </c>
      <c r="Z1071" s="218">
        <f t="shared" si="21"/>
        <v>1.68</v>
      </c>
    </row>
    <row r="1072" spans="1:26">
      <c r="A1072" s="218" t="s">
        <v>2592</v>
      </c>
      <c r="B1072" s="218"/>
      <c r="C1072" s="218"/>
      <c r="D1072" s="218"/>
      <c r="E1072" s="218"/>
      <c r="F1072" s="219" t="s">
        <v>4747</v>
      </c>
      <c r="G1072" s="218" t="s">
        <v>285</v>
      </c>
      <c r="H1072" s="218" t="s">
        <v>309</v>
      </c>
      <c r="I1072" s="223">
        <v>43830</v>
      </c>
      <c r="J1072" s="218" t="s">
        <v>4748</v>
      </c>
      <c r="K1072" s="218" t="s">
        <v>4749</v>
      </c>
      <c r="L1072" s="218" t="s">
        <v>2704</v>
      </c>
      <c r="M1072" s="218" t="s">
        <v>4750</v>
      </c>
      <c r="N1072" s="218">
        <v>122.92</v>
      </c>
      <c r="O1072" s="218" t="s">
        <v>292</v>
      </c>
      <c r="P1072" s="218">
        <v>158.96</v>
      </c>
      <c r="Q1072" s="218" t="s">
        <v>391</v>
      </c>
      <c r="R1072" s="218" t="s">
        <v>1777</v>
      </c>
      <c r="S1072" s="218" t="s">
        <v>396</v>
      </c>
      <c r="T1072" s="218" t="s">
        <v>558</v>
      </c>
      <c r="U1072" s="218" t="s">
        <v>2591</v>
      </c>
      <c r="V1072" s="218" t="s">
        <v>381</v>
      </c>
      <c r="W1072" s="218" t="s">
        <v>295</v>
      </c>
      <c r="X1072" s="218" t="s">
        <v>379</v>
      </c>
      <c r="Y1072" s="218">
        <v>144.31</v>
      </c>
      <c r="Z1072" s="218">
        <f t="shared" si="21"/>
        <v>158.96</v>
      </c>
    </row>
    <row r="1073" spans="1:28">
      <c r="A1073" s="218" t="s">
        <v>2592</v>
      </c>
      <c r="B1073" s="218"/>
      <c r="C1073" s="218"/>
      <c r="D1073" s="218"/>
      <c r="E1073" s="218"/>
      <c r="F1073" s="219" t="s">
        <v>4751</v>
      </c>
      <c r="G1073" s="218" t="s">
        <v>288</v>
      </c>
      <c r="H1073" s="218" t="s">
        <v>309</v>
      </c>
      <c r="I1073" s="223">
        <v>43769</v>
      </c>
      <c r="J1073" s="218" t="s">
        <v>4752</v>
      </c>
      <c r="K1073" s="218" t="s">
        <v>4753</v>
      </c>
      <c r="L1073" s="218" t="s">
        <v>2596</v>
      </c>
      <c r="M1073" s="218" t="s">
        <v>4754</v>
      </c>
      <c r="N1073" s="218">
        <v>1760.21</v>
      </c>
      <c r="O1073" s="218" t="s">
        <v>2591</v>
      </c>
      <c r="P1073" s="218">
        <v>0</v>
      </c>
      <c r="Q1073" s="218" t="s">
        <v>730</v>
      </c>
      <c r="R1073" s="218" t="s">
        <v>2538</v>
      </c>
      <c r="S1073" s="218" t="s">
        <v>374</v>
      </c>
      <c r="T1073" s="218" t="s">
        <v>2591</v>
      </c>
      <c r="U1073" s="218" t="s">
        <v>2591</v>
      </c>
      <c r="V1073" s="218" t="s">
        <v>731</v>
      </c>
      <c r="W1073" s="218" t="s">
        <v>295</v>
      </c>
      <c r="X1073" s="218" t="s">
        <v>379</v>
      </c>
      <c r="Y1073" s="218">
        <v>1982.72</v>
      </c>
      <c r="Z1073" s="218">
        <v>2165.25</v>
      </c>
      <c r="AA1073" s="218"/>
      <c r="AB1073" s="218"/>
    </row>
    <row r="1074" spans="1:28">
      <c r="A1074" s="218" t="s">
        <v>2592</v>
      </c>
      <c r="B1074" s="218"/>
      <c r="C1074" s="218"/>
      <c r="D1074" s="218"/>
      <c r="E1074" s="218"/>
      <c r="F1074" s="219" t="s">
        <v>4755</v>
      </c>
      <c r="G1074" s="218" t="s">
        <v>288</v>
      </c>
      <c r="H1074" s="218" t="s">
        <v>309</v>
      </c>
      <c r="I1074" s="223">
        <v>43799</v>
      </c>
      <c r="J1074" s="218" t="s">
        <v>2591</v>
      </c>
      <c r="K1074" s="218" t="s">
        <v>4756</v>
      </c>
      <c r="L1074" s="218" t="s">
        <v>4757</v>
      </c>
      <c r="M1074" s="218" t="s">
        <v>4758</v>
      </c>
      <c r="N1074" s="218">
        <v>673.94</v>
      </c>
      <c r="O1074" s="218" t="s">
        <v>2591</v>
      </c>
      <c r="P1074" s="218">
        <v>0</v>
      </c>
      <c r="Q1074" s="218" t="s">
        <v>730</v>
      </c>
      <c r="R1074" s="218" t="s">
        <v>2538</v>
      </c>
      <c r="S1074" s="218" t="s">
        <v>374</v>
      </c>
      <c r="T1074" s="218" t="s">
        <v>2591</v>
      </c>
      <c r="U1074" s="218" t="s">
        <v>2591</v>
      </c>
      <c r="V1074" s="218" t="s">
        <v>731</v>
      </c>
      <c r="W1074" s="218" t="s">
        <v>295</v>
      </c>
      <c r="X1074" s="218" t="s">
        <v>379</v>
      </c>
      <c r="Y1074" s="218">
        <v>781.83</v>
      </c>
      <c r="Z1074" s="218">
        <v>872.24</v>
      </c>
      <c r="AA1074" s="218"/>
      <c r="AB1074" s="218"/>
    </row>
    <row r="1075" spans="1:28">
      <c r="A1075" s="218" t="s">
        <v>2592</v>
      </c>
      <c r="B1075" s="218"/>
      <c r="C1075" s="218"/>
      <c r="D1075" s="218"/>
      <c r="E1075" s="218"/>
      <c r="F1075" s="219" t="s">
        <v>4759</v>
      </c>
      <c r="G1075" s="218" t="s">
        <v>288</v>
      </c>
      <c r="H1075" s="218" t="s">
        <v>309</v>
      </c>
      <c r="I1075" s="223">
        <v>43830</v>
      </c>
      <c r="J1075" s="218" t="s">
        <v>2591</v>
      </c>
      <c r="K1075" s="218" t="s">
        <v>4760</v>
      </c>
      <c r="L1075" s="218" t="s">
        <v>4761</v>
      </c>
      <c r="M1075" s="218" t="s">
        <v>4762</v>
      </c>
      <c r="N1075" s="218">
        <v>5615.73</v>
      </c>
      <c r="O1075" s="218" t="s">
        <v>2591</v>
      </c>
      <c r="P1075" s="218">
        <v>0</v>
      </c>
      <c r="Q1075" s="218" t="s">
        <v>730</v>
      </c>
      <c r="R1075" s="218" t="s">
        <v>2538</v>
      </c>
      <c r="S1075" s="218" t="s">
        <v>374</v>
      </c>
      <c r="T1075" s="218" t="s">
        <v>2591</v>
      </c>
      <c r="U1075" s="218" t="s">
        <v>2591</v>
      </c>
      <c r="V1075" s="218" t="s">
        <v>731</v>
      </c>
      <c r="W1075" s="218" t="s">
        <v>295</v>
      </c>
      <c r="X1075" s="218" t="s">
        <v>379</v>
      </c>
      <c r="Y1075" s="218">
        <v>6592.75</v>
      </c>
      <c r="Z1075" s="218">
        <v>7262.47</v>
      </c>
      <c r="AA1075" s="218"/>
      <c r="AB1075" s="218"/>
    </row>
    <row r="1076" spans="1:28">
      <c r="A1076" s="218" t="s">
        <v>2592</v>
      </c>
      <c r="B1076" s="218"/>
      <c r="C1076" s="218"/>
      <c r="D1076" s="218"/>
      <c r="E1076" s="218"/>
      <c r="F1076" s="219" t="s">
        <v>4763</v>
      </c>
      <c r="G1076" s="218" t="s">
        <v>4764</v>
      </c>
      <c r="H1076" s="218" t="s">
        <v>309</v>
      </c>
      <c r="I1076" s="223">
        <v>43769</v>
      </c>
      <c r="J1076" s="218" t="s">
        <v>3832</v>
      </c>
      <c r="K1076" s="218" t="s">
        <v>3833</v>
      </c>
      <c r="L1076" s="218" t="s">
        <v>2596</v>
      </c>
      <c r="M1076" s="218" t="s">
        <v>4765</v>
      </c>
      <c r="N1076" s="218">
        <v>87.98</v>
      </c>
      <c r="O1076" s="218" t="s">
        <v>2086</v>
      </c>
      <c r="P1076" s="218">
        <v>100000</v>
      </c>
      <c r="Q1076" s="218" t="s">
        <v>610</v>
      </c>
      <c r="R1076" s="218" t="s">
        <v>1620</v>
      </c>
      <c r="S1076" s="218" t="s">
        <v>2087</v>
      </c>
      <c r="T1076" s="218" t="s">
        <v>727</v>
      </c>
      <c r="U1076" s="218" t="s">
        <v>2591</v>
      </c>
      <c r="V1076" s="218" t="s">
        <v>381</v>
      </c>
      <c r="W1076" s="218" t="s">
        <v>295</v>
      </c>
      <c r="X1076" s="218" t="s">
        <v>379</v>
      </c>
      <c r="Y1076" s="218">
        <v>99.1</v>
      </c>
      <c r="Z1076" s="218">
        <v>108.23</v>
      </c>
      <c r="AA1076" s="218"/>
      <c r="AB1076" s="218"/>
    </row>
    <row r="1077" spans="1:28">
      <c r="A1077" s="218" t="s">
        <v>2592</v>
      </c>
      <c r="B1077" s="218"/>
      <c r="C1077" s="218"/>
      <c r="D1077" s="218"/>
      <c r="E1077" s="218"/>
      <c r="F1077" s="219" t="s">
        <v>4766</v>
      </c>
      <c r="G1077" s="218" t="s">
        <v>733</v>
      </c>
      <c r="H1077" s="218" t="s">
        <v>309</v>
      </c>
      <c r="I1077" s="223">
        <v>43769</v>
      </c>
      <c r="J1077" s="218" t="s">
        <v>4767</v>
      </c>
      <c r="K1077" s="218" t="s">
        <v>2601</v>
      </c>
      <c r="L1077" s="218" t="s">
        <v>2596</v>
      </c>
      <c r="M1077" s="218" t="s">
        <v>4768</v>
      </c>
      <c r="N1077" s="218">
        <v>29611.87</v>
      </c>
      <c r="O1077" s="218" t="s">
        <v>292</v>
      </c>
      <c r="P1077" s="218">
        <v>36425.86</v>
      </c>
      <c r="Q1077" s="218" t="s">
        <v>736</v>
      </c>
      <c r="R1077" s="218" t="s">
        <v>2557</v>
      </c>
      <c r="S1077" s="218" t="s">
        <v>396</v>
      </c>
      <c r="T1077" s="218" t="s">
        <v>2591</v>
      </c>
      <c r="U1077" s="218" t="s">
        <v>737</v>
      </c>
      <c r="V1077" s="218" t="s">
        <v>381</v>
      </c>
      <c r="W1077" s="218" t="s">
        <v>295</v>
      </c>
      <c r="X1077" s="218" t="s">
        <v>379</v>
      </c>
      <c r="Y1077" s="218">
        <v>33355.11</v>
      </c>
      <c r="Z1077" s="218">
        <f t="shared" ref="Z1077:Z1082" si="22">P1077</f>
        <v>36425.86</v>
      </c>
      <c r="AA1077" s="218"/>
      <c r="AB1077" s="218"/>
    </row>
    <row r="1078" spans="1:28">
      <c r="A1078" s="218" t="s">
        <v>2592</v>
      </c>
      <c r="B1078" s="218"/>
      <c r="C1078" s="218"/>
      <c r="D1078" s="218"/>
      <c r="E1078" s="218"/>
      <c r="F1078" s="219" t="s">
        <v>4769</v>
      </c>
      <c r="G1078" s="218" t="s">
        <v>733</v>
      </c>
      <c r="H1078" s="218" t="s">
        <v>309</v>
      </c>
      <c r="I1078" s="223">
        <v>43769</v>
      </c>
      <c r="J1078" s="218" t="s">
        <v>4770</v>
      </c>
      <c r="K1078" s="218" t="s">
        <v>2601</v>
      </c>
      <c r="L1078" s="218" t="s">
        <v>2596</v>
      </c>
      <c r="M1078" s="218" t="s">
        <v>4771</v>
      </c>
      <c r="N1078" s="218">
        <v>26853.38</v>
      </c>
      <c r="O1078" s="218" t="s">
        <v>292</v>
      </c>
      <c r="P1078" s="218">
        <v>33032.61</v>
      </c>
      <c r="Q1078" s="218" t="s">
        <v>736</v>
      </c>
      <c r="R1078" s="218" t="s">
        <v>2557</v>
      </c>
      <c r="S1078" s="218" t="s">
        <v>396</v>
      </c>
      <c r="T1078" s="218" t="s">
        <v>2591</v>
      </c>
      <c r="U1078" s="218" t="s">
        <v>740</v>
      </c>
      <c r="V1078" s="218" t="s">
        <v>381</v>
      </c>
      <c r="W1078" s="218" t="s">
        <v>295</v>
      </c>
      <c r="X1078" s="218" t="s">
        <v>379</v>
      </c>
      <c r="Y1078" s="218">
        <v>30247.919999999998</v>
      </c>
      <c r="Z1078" s="218">
        <f t="shared" si="22"/>
        <v>33032.61</v>
      </c>
      <c r="AA1078" s="218"/>
      <c r="AB1078" s="218"/>
    </row>
    <row r="1079" spans="1:28">
      <c r="A1079" s="218" t="s">
        <v>2592</v>
      </c>
      <c r="B1079" s="218"/>
      <c r="C1079" s="218"/>
      <c r="D1079" s="218"/>
      <c r="E1079" s="218"/>
      <c r="F1079" s="219" t="s">
        <v>4772</v>
      </c>
      <c r="G1079" s="218" t="s">
        <v>733</v>
      </c>
      <c r="H1079" s="218" t="s">
        <v>309</v>
      </c>
      <c r="I1079" s="223">
        <v>43769</v>
      </c>
      <c r="J1079" s="218" t="s">
        <v>4773</v>
      </c>
      <c r="K1079" s="218" t="s">
        <v>2601</v>
      </c>
      <c r="L1079" s="218" t="s">
        <v>2596</v>
      </c>
      <c r="M1079" s="218" t="s">
        <v>4774</v>
      </c>
      <c r="N1079" s="218">
        <v>5340.58</v>
      </c>
      <c r="O1079" s="218" t="s">
        <v>292</v>
      </c>
      <c r="P1079" s="218">
        <v>6569.5</v>
      </c>
      <c r="Q1079" s="218" t="s">
        <v>736</v>
      </c>
      <c r="R1079" s="218" t="s">
        <v>2557</v>
      </c>
      <c r="S1079" s="218" t="s">
        <v>396</v>
      </c>
      <c r="T1079" s="218" t="s">
        <v>2591</v>
      </c>
      <c r="U1079" s="218" t="s">
        <v>4775</v>
      </c>
      <c r="V1079" s="218" t="s">
        <v>381</v>
      </c>
      <c r="W1079" s="218" t="s">
        <v>295</v>
      </c>
      <c r="X1079" s="218" t="s">
        <v>379</v>
      </c>
      <c r="Y1079" s="218">
        <v>6015.68</v>
      </c>
      <c r="Z1079" s="218">
        <f t="shared" si="22"/>
        <v>6569.5</v>
      </c>
      <c r="AA1079" s="218"/>
      <c r="AB1079" s="218"/>
    </row>
    <row r="1080" spans="1:28">
      <c r="A1080" s="218" t="s">
        <v>2592</v>
      </c>
      <c r="B1080" s="218"/>
      <c r="C1080" s="218"/>
      <c r="D1080" s="218"/>
      <c r="E1080" s="218"/>
      <c r="F1080" s="219" t="s">
        <v>4776</v>
      </c>
      <c r="G1080" s="218" t="s">
        <v>733</v>
      </c>
      <c r="H1080" s="218" t="s">
        <v>309</v>
      </c>
      <c r="I1080" s="223">
        <v>43830</v>
      </c>
      <c r="J1080" s="218" t="s">
        <v>2782</v>
      </c>
      <c r="K1080" s="218" t="s">
        <v>4777</v>
      </c>
      <c r="L1080" s="218" t="s">
        <v>2784</v>
      </c>
      <c r="M1080" s="218" t="s">
        <v>4778</v>
      </c>
      <c r="N1080" s="218">
        <v>-21514.58</v>
      </c>
      <c r="O1080" s="218" t="s">
        <v>292</v>
      </c>
      <c r="P1080" s="218">
        <v>-26466.74</v>
      </c>
      <c r="Q1080" s="218" t="s">
        <v>736</v>
      </c>
      <c r="R1080" s="218" t="s">
        <v>2557</v>
      </c>
      <c r="S1080" s="218" t="s">
        <v>396</v>
      </c>
      <c r="T1080" s="218" t="s">
        <v>2591</v>
      </c>
      <c r="U1080" s="218" t="s">
        <v>737</v>
      </c>
      <c r="V1080" s="218" t="s">
        <v>381</v>
      </c>
      <c r="W1080" s="218" t="s">
        <v>295</v>
      </c>
      <c r="X1080" s="218" t="s">
        <v>379</v>
      </c>
      <c r="Y1080" s="218">
        <v>-25257.69</v>
      </c>
      <c r="Z1080" s="218">
        <f t="shared" si="22"/>
        <v>-26466.74</v>
      </c>
      <c r="AA1080" s="218"/>
      <c r="AB1080" s="218"/>
    </row>
    <row r="1081" spans="1:28">
      <c r="A1081" s="218" t="s">
        <v>2592</v>
      </c>
      <c r="B1081" s="218"/>
      <c r="C1081" s="218"/>
      <c r="D1081" s="218"/>
      <c r="E1081" s="218"/>
      <c r="F1081" s="219" t="s">
        <v>4779</v>
      </c>
      <c r="G1081" s="218" t="s">
        <v>733</v>
      </c>
      <c r="H1081" s="218" t="s">
        <v>309</v>
      </c>
      <c r="I1081" s="223">
        <v>43830</v>
      </c>
      <c r="J1081" s="218" t="s">
        <v>2610</v>
      </c>
      <c r="K1081" s="218" t="s">
        <v>4780</v>
      </c>
      <c r="L1081" s="218" t="s">
        <v>2612</v>
      </c>
      <c r="M1081" s="218" t="s">
        <v>4781</v>
      </c>
      <c r="N1081" s="218">
        <v>-10038.950000000001</v>
      </c>
      <c r="O1081" s="218" t="s">
        <v>292</v>
      </c>
      <c r="P1081" s="218">
        <v>-12348.53</v>
      </c>
      <c r="Q1081" s="218" t="s">
        <v>736</v>
      </c>
      <c r="R1081" s="218" t="s">
        <v>2557</v>
      </c>
      <c r="S1081" s="218" t="s">
        <v>396</v>
      </c>
      <c r="T1081" s="218" t="s">
        <v>2591</v>
      </c>
      <c r="U1081" s="218" t="s">
        <v>743</v>
      </c>
      <c r="V1081" s="218" t="s">
        <v>381</v>
      </c>
      <c r="W1081" s="218" t="s">
        <v>295</v>
      </c>
      <c r="X1081" s="218" t="s">
        <v>379</v>
      </c>
      <c r="Y1081" s="218">
        <v>-11785.53</v>
      </c>
      <c r="Z1081" s="218">
        <f t="shared" si="22"/>
        <v>-12348.53</v>
      </c>
      <c r="AA1081" s="218"/>
      <c r="AB1081" s="218"/>
    </row>
    <row r="1082" spans="1:28">
      <c r="A1082" s="218" t="s">
        <v>2592</v>
      </c>
      <c r="B1082" s="218"/>
      <c r="C1082" s="218"/>
      <c r="D1082" s="218"/>
      <c r="E1082" s="218"/>
      <c r="F1082" s="219" t="s">
        <v>4782</v>
      </c>
      <c r="G1082" s="218" t="s">
        <v>733</v>
      </c>
      <c r="H1082" s="218" t="s">
        <v>309</v>
      </c>
      <c r="I1082" s="223">
        <v>43830</v>
      </c>
      <c r="J1082" s="218" t="s">
        <v>2587</v>
      </c>
      <c r="K1082" s="218" t="s">
        <v>4783</v>
      </c>
      <c r="L1082" s="218" t="s">
        <v>2589</v>
      </c>
      <c r="M1082" s="218" t="s">
        <v>4784</v>
      </c>
      <c r="N1082" s="218">
        <v>-29606.799999999999</v>
      </c>
      <c r="O1082" s="218" t="s">
        <v>292</v>
      </c>
      <c r="P1082" s="218">
        <v>-38288.589999999997</v>
      </c>
      <c r="Q1082" s="218" t="s">
        <v>736</v>
      </c>
      <c r="R1082" s="218" t="s">
        <v>2557</v>
      </c>
      <c r="S1082" s="218" t="s">
        <v>396</v>
      </c>
      <c r="T1082" s="218" t="s">
        <v>2591</v>
      </c>
      <c r="U1082" s="218" t="s">
        <v>740</v>
      </c>
      <c r="V1082" s="218" t="s">
        <v>381</v>
      </c>
      <c r="W1082" s="218" t="s">
        <v>295</v>
      </c>
      <c r="X1082" s="218" t="s">
        <v>379</v>
      </c>
      <c r="Y1082" s="218">
        <v>-34757.79</v>
      </c>
      <c r="Z1082" s="218">
        <f t="shared" si="22"/>
        <v>-38288.589999999997</v>
      </c>
      <c r="AA1082" s="218"/>
      <c r="AB1082" s="218"/>
    </row>
    <row r="1084" spans="1:28" ht="15.75" thickBot="1">
      <c r="A1084" s="220"/>
      <c r="B1084" s="220"/>
      <c r="C1084" s="220"/>
      <c r="D1084" s="220"/>
      <c r="E1084" s="220"/>
      <c r="F1084" s="221"/>
      <c r="G1084" s="220"/>
      <c r="H1084" s="220"/>
      <c r="I1084" s="220"/>
      <c r="J1084" s="220"/>
      <c r="K1084" s="220"/>
      <c r="L1084" s="220"/>
      <c r="M1084" s="222" t="s">
        <v>4785</v>
      </c>
      <c r="N1084" s="222">
        <v>124743.44999999971</v>
      </c>
      <c r="O1084" s="222"/>
      <c r="P1084" s="222"/>
      <c r="Q1084" s="222"/>
      <c r="R1084" s="222"/>
      <c r="S1084" s="222"/>
      <c r="T1084" s="222"/>
      <c r="U1084" s="222"/>
      <c r="V1084" s="222"/>
      <c r="W1084" s="222"/>
      <c r="X1084" s="222"/>
      <c r="Y1084" s="222">
        <v>142082.93</v>
      </c>
      <c r="Z1084" s="222">
        <v>155732.88999999996</v>
      </c>
      <c r="AA1084" s="220"/>
      <c r="AB1084" s="220"/>
    </row>
    <row r="1085" spans="1:28" ht="15.75" thickTop="1">
      <c r="A1085" s="218"/>
      <c r="B1085" s="218"/>
      <c r="C1085" s="218"/>
      <c r="D1085" s="218"/>
      <c r="E1085" s="218"/>
      <c r="F1085" s="218"/>
      <c r="G1085" s="218"/>
      <c r="H1085" s="218"/>
      <c r="I1085" s="218"/>
      <c r="J1085" s="218"/>
      <c r="K1085" s="218"/>
      <c r="L1085" s="218"/>
      <c r="M1085" s="218"/>
      <c r="N1085" s="218"/>
      <c r="O1085" s="218"/>
      <c r="P1085" s="218"/>
      <c r="Q1085" s="218"/>
      <c r="R1085" s="218"/>
      <c r="S1085" s="218"/>
      <c r="T1085" s="218"/>
      <c r="U1085" s="218"/>
      <c r="V1085" s="218"/>
      <c r="W1085" s="218"/>
      <c r="X1085" s="218"/>
      <c r="Y1085" s="218"/>
      <c r="Z1085" s="218"/>
      <c r="AA1085" s="218"/>
      <c r="AB1085" s="218"/>
    </row>
    <row r="1086" spans="1:28">
      <c r="A1086" s="218"/>
      <c r="B1086" s="218"/>
      <c r="C1086" s="218"/>
      <c r="D1086" s="218"/>
      <c r="E1086" s="218"/>
      <c r="F1086" s="218"/>
      <c r="G1086" s="218"/>
      <c r="H1086" s="218"/>
      <c r="I1086" s="218"/>
      <c r="J1086" s="218"/>
      <c r="K1086" s="218"/>
      <c r="L1086" s="218"/>
      <c r="M1086" s="218"/>
      <c r="N1086" s="218" t="e">
        <v>#REF!</v>
      </c>
      <c r="O1086" s="218"/>
      <c r="P1086" s="218"/>
      <c r="Q1086" s="218"/>
      <c r="R1086" s="218"/>
      <c r="S1086" s="218"/>
      <c r="T1086" s="218"/>
      <c r="U1086" s="218"/>
      <c r="V1086" s="218"/>
      <c r="W1086" s="218"/>
      <c r="X1086" s="218"/>
      <c r="Y1086" s="218"/>
      <c r="Z1086" s="218"/>
      <c r="AA1086" s="223"/>
      <c r="AB1086" s="218"/>
    </row>
    <row r="1087" spans="1:28">
      <c r="A1087" s="218"/>
      <c r="B1087" s="218"/>
      <c r="C1087" s="218"/>
      <c r="D1087" s="218"/>
      <c r="E1087" s="218"/>
      <c r="F1087" s="218"/>
      <c r="G1087" s="218"/>
      <c r="H1087" s="218"/>
      <c r="I1087" s="218"/>
      <c r="J1087" s="218"/>
      <c r="K1087" s="218"/>
      <c r="L1087" s="218"/>
      <c r="M1087" s="218"/>
      <c r="N1087" s="218"/>
      <c r="O1087" s="218"/>
      <c r="P1087" s="218"/>
      <c r="Q1087" s="218"/>
      <c r="R1087" s="218"/>
      <c r="S1087" s="218"/>
      <c r="T1087" s="218"/>
      <c r="U1087" s="218"/>
      <c r="V1087" s="218"/>
      <c r="W1087" s="218"/>
      <c r="X1087" s="218"/>
      <c r="Y1087" s="218"/>
      <c r="Z1087" s="218"/>
      <c r="AA1087" s="218"/>
      <c r="AB1087" s="223"/>
    </row>
  </sheetData>
  <autoFilter ref="A8:AB1082"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64"/>
  <sheetViews>
    <sheetView topLeftCell="C128" zoomScale="70" zoomScaleNormal="70" zoomScaleSheetLayoutView="100" workbookViewId="0">
      <selection activeCell="M143" sqref="M143:M144"/>
    </sheetView>
  </sheetViews>
  <sheetFormatPr defaultRowHeight="15" outlineLevelCol="1"/>
  <cols>
    <col min="1" max="1" width="7.140625" customWidth="1"/>
    <col min="2" max="2" width="33.140625" customWidth="1"/>
    <col min="3" max="4" width="45.5703125" customWidth="1"/>
    <col min="5" max="8" width="24.7109375" hidden="1" customWidth="1"/>
    <col min="9" max="10" width="22.5703125" hidden="1" customWidth="1"/>
    <col min="11" max="11" width="22.5703125" customWidth="1" outlineLevel="1"/>
    <col min="12" max="12" width="6" style="85" customWidth="1" outlineLevel="1"/>
    <col min="13" max="13" width="17.7109375" customWidth="1" outlineLevel="1"/>
    <col min="14" max="18" width="13" customWidth="1" outlineLevel="1"/>
    <col min="19" max="20" width="17.28515625" customWidth="1" outlineLevel="1"/>
    <col min="21" max="21" width="19.7109375" customWidth="1" outlineLevel="1"/>
    <col min="22" max="22" width="38.140625" customWidth="1" outlineLevel="1"/>
  </cols>
  <sheetData>
    <row r="1" spans="1:22">
      <c r="B1" s="75" t="s">
        <v>289</v>
      </c>
      <c r="C1" s="76" t="s">
        <v>307</v>
      </c>
      <c r="D1" s="76"/>
    </row>
    <row r="2" spans="1:22">
      <c r="B2" s="77" t="s">
        <v>290</v>
      </c>
      <c r="C2" s="78" t="s">
        <v>293</v>
      </c>
      <c r="D2" s="78"/>
    </row>
    <row r="3" spans="1:22">
      <c r="B3" s="77" t="s">
        <v>291</v>
      </c>
      <c r="C3" s="78" t="s">
        <v>292</v>
      </c>
      <c r="D3" s="78"/>
    </row>
    <row r="4" spans="1:22">
      <c r="B4" s="77" t="s">
        <v>308</v>
      </c>
      <c r="C4" s="79">
        <v>1.269643579</v>
      </c>
      <c r="D4" s="79"/>
    </row>
    <row r="5" spans="1:22">
      <c r="B5" s="77" t="s">
        <v>294</v>
      </c>
      <c r="C5" s="80" t="s">
        <v>295</v>
      </c>
      <c r="D5" s="80"/>
    </row>
    <row r="6" spans="1:22" ht="18.75">
      <c r="B6" s="77" t="s">
        <v>296</v>
      </c>
      <c r="C6" s="80" t="s">
        <v>309</v>
      </c>
      <c r="D6" s="80"/>
      <c r="E6" s="4"/>
      <c r="F6" s="4"/>
      <c r="G6" s="4"/>
      <c r="H6" s="4"/>
    </row>
    <row r="7" spans="1:22" ht="15.75">
      <c r="B7" s="77" t="s">
        <v>297</v>
      </c>
      <c r="C7" s="78" t="s">
        <v>298</v>
      </c>
      <c r="D7" s="78"/>
      <c r="E7" s="3"/>
      <c r="F7" s="3"/>
      <c r="G7" s="3"/>
      <c r="H7" s="3"/>
    </row>
    <row r="8" spans="1:22" ht="15.75">
      <c r="B8" s="77" t="s">
        <v>299</v>
      </c>
      <c r="C8" s="78" t="s">
        <v>300</v>
      </c>
      <c r="D8" s="78"/>
      <c r="E8" s="3"/>
      <c r="F8" s="3"/>
      <c r="G8" s="3"/>
      <c r="H8" s="3"/>
    </row>
    <row r="9" spans="1:22" ht="15.75">
      <c r="B9" s="77" t="s">
        <v>301</v>
      </c>
      <c r="C9" s="78"/>
      <c r="D9" s="78"/>
      <c r="E9" s="3"/>
      <c r="F9" s="3"/>
      <c r="G9" s="3"/>
      <c r="H9" s="3"/>
    </row>
    <row r="10" spans="1:22" ht="15.75">
      <c r="B10" s="77" t="s">
        <v>302</v>
      </c>
      <c r="C10" s="78" t="s">
        <v>307</v>
      </c>
      <c r="D10" s="78"/>
      <c r="E10" s="3"/>
      <c r="F10" s="3"/>
      <c r="G10" s="3"/>
      <c r="H10" s="3"/>
    </row>
    <row r="11" spans="1:22" ht="15.75">
      <c r="B11" s="77" t="s">
        <v>303</v>
      </c>
      <c r="C11" s="81" t="s">
        <v>310</v>
      </c>
      <c r="D11" s="81"/>
      <c r="E11" s="3"/>
      <c r="F11" s="3"/>
      <c r="G11" s="3"/>
      <c r="H11" s="3"/>
    </row>
    <row r="12" spans="1:22" ht="16.5" thickBot="1">
      <c r="B12" s="77" t="s">
        <v>304</v>
      </c>
      <c r="C12" s="113">
        <v>18</v>
      </c>
      <c r="D12" s="113"/>
      <c r="E12" s="3"/>
      <c r="F12" s="3"/>
      <c r="G12" s="3"/>
      <c r="H12" s="3"/>
    </row>
    <row r="13" spans="1:22" ht="15.75" thickBot="1">
      <c r="B13" s="77" t="s">
        <v>305</v>
      </c>
      <c r="C13" s="82">
        <v>7.0000000000000007E-2</v>
      </c>
      <c r="D13" s="82"/>
      <c r="M13" s="88"/>
      <c r="N13" s="88"/>
      <c r="O13" s="88"/>
      <c r="P13" s="88"/>
      <c r="Q13" s="88"/>
      <c r="R13" s="88"/>
      <c r="S13" s="89"/>
      <c r="T13" s="89"/>
      <c r="U13" s="89"/>
      <c r="V13" s="89"/>
    </row>
    <row r="14" spans="1:22" ht="15.75" thickBot="1">
      <c r="B14" s="77" t="s">
        <v>306</v>
      </c>
      <c r="C14" s="83">
        <v>43409</v>
      </c>
      <c r="D14" s="83"/>
      <c r="M14" s="224"/>
      <c r="N14" s="224"/>
      <c r="O14" s="224"/>
      <c r="P14" s="225"/>
      <c r="S14" s="90"/>
      <c r="T14" s="90"/>
      <c r="U14" s="90"/>
      <c r="V14" s="90"/>
    </row>
    <row r="15" spans="1:22" ht="15.75" thickBot="1">
      <c r="E15" s="21"/>
      <c r="F15" s="21"/>
      <c r="G15" s="21"/>
      <c r="H15" s="21"/>
      <c r="I15" s="21"/>
      <c r="M15" s="92" t="s">
        <v>312</v>
      </c>
      <c r="N15" s="92" t="s">
        <v>313</v>
      </c>
      <c r="O15" s="92" t="s">
        <v>314</v>
      </c>
      <c r="P15" s="92" t="s">
        <v>315</v>
      </c>
      <c r="Q15" s="92" t="s">
        <v>320</v>
      </c>
      <c r="R15" s="91" t="s">
        <v>322</v>
      </c>
      <c r="S15" s="91" t="s">
        <v>324</v>
      </c>
      <c r="T15" s="91"/>
      <c r="U15" s="91"/>
      <c r="V15" s="91"/>
    </row>
    <row r="16" spans="1:22" ht="79.5" thickBot="1">
      <c r="A16" s="72"/>
      <c r="B16" s="9" t="s">
        <v>0</v>
      </c>
      <c r="C16" s="9" t="s">
        <v>1</v>
      </c>
      <c r="D16" s="9" t="s">
        <v>4</v>
      </c>
      <c r="E16" s="9" t="s">
        <v>89</v>
      </c>
      <c r="F16" s="9" t="s">
        <v>90</v>
      </c>
      <c r="G16" s="9" t="s">
        <v>91</v>
      </c>
      <c r="H16" s="9" t="s">
        <v>92</v>
      </c>
      <c r="I16" s="9" t="s">
        <v>3</v>
      </c>
      <c r="J16" s="9" t="s">
        <v>9</v>
      </c>
      <c r="K16" s="84" t="s">
        <v>311</v>
      </c>
      <c r="M16" s="94" t="s">
        <v>316</v>
      </c>
      <c r="N16" s="94" t="s">
        <v>317</v>
      </c>
      <c r="O16" s="94" t="s">
        <v>318</v>
      </c>
      <c r="P16" s="94" t="s">
        <v>319</v>
      </c>
      <c r="Q16" s="94" t="s">
        <v>321</v>
      </c>
      <c r="R16" s="94" t="s">
        <v>323</v>
      </c>
      <c r="S16" s="93" t="s">
        <v>5</v>
      </c>
      <c r="T16" s="93" t="s">
        <v>333</v>
      </c>
      <c r="U16" s="175" t="s">
        <v>334</v>
      </c>
      <c r="V16" s="93" t="s">
        <v>335</v>
      </c>
    </row>
    <row r="17" spans="1:22" ht="16.5" customHeight="1" thickBot="1">
      <c r="A17" s="73"/>
      <c r="B17" s="115" t="s">
        <v>10</v>
      </c>
      <c r="C17" s="115"/>
      <c r="D17" s="115"/>
      <c r="E17" s="115"/>
      <c r="F17" s="115"/>
      <c r="G17" s="115"/>
      <c r="H17" s="115"/>
      <c r="I17" s="115"/>
      <c r="J17" s="115"/>
      <c r="K17" s="115"/>
      <c r="M17" s="95"/>
      <c r="N17" s="95"/>
      <c r="O17" s="95"/>
      <c r="P17" s="95"/>
      <c r="Q17" s="95"/>
      <c r="R17" s="95"/>
      <c r="S17" s="95"/>
      <c r="T17" s="95"/>
      <c r="U17" s="95"/>
      <c r="V17" s="95"/>
    </row>
    <row r="18" spans="1:22" ht="16.5" thickBot="1">
      <c r="A18" s="73"/>
      <c r="B18" s="29" t="s">
        <v>16</v>
      </c>
      <c r="C18" s="29" t="s">
        <v>13</v>
      </c>
      <c r="D18" s="29"/>
      <c r="E18" s="30">
        <f>E19+E20+E23+E26+E29+E30+E31+E32</f>
        <v>23600</v>
      </c>
      <c r="F18" s="30">
        <f>F19+F20+F23+F26+F29+F30+F31+F32</f>
        <v>35500</v>
      </c>
      <c r="G18" s="30">
        <f>G19+G20+G23+G26+G29+G30+G31+G32</f>
        <v>20500</v>
      </c>
      <c r="H18" s="30">
        <f>H19+H20+H23+H26+H29+H30+H31+H32</f>
        <v>41000</v>
      </c>
      <c r="I18" s="31">
        <v>0.5</v>
      </c>
      <c r="J18" s="32"/>
      <c r="K18" s="33">
        <v>120600</v>
      </c>
      <c r="L18"/>
      <c r="M18" s="96">
        <f t="shared" ref="M18:R18" si="0">M19+M20+M23+M26+M29+M30+M31+M32</f>
        <v>0</v>
      </c>
      <c r="N18" s="96">
        <f t="shared" si="0"/>
        <v>0</v>
      </c>
      <c r="O18" s="96">
        <f t="shared" si="0"/>
        <v>0</v>
      </c>
      <c r="P18" s="96">
        <f t="shared" si="0"/>
        <v>0</v>
      </c>
      <c r="Q18" s="96">
        <f t="shared" si="0"/>
        <v>0</v>
      </c>
      <c r="R18" s="96">
        <f t="shared" si="0"/>
        <v>0</v>
      </c>
      <c r="S18" s="96">
        <f>M18+N18+O18+P18+Q18+R18</f>
        <v>0</v>
      </c>
      <c r="T18" s="96">
        <f>K18-S18</f>
        <v>120600</v>
      </c>
      <c r="U18" s="159">
        <f>S18/K18</f>
        <v>0</v>
      </c>
      <c r="V18" s="96"/>
    </row>
    <row r="19" spans="1:22" ht="32.25" thickBot="1">
      <c r="A19" s="72" t="s">
        <v>199</v>
      </c>
      <c r="B19" s="2" t="s">
        <v>18</v>
      </c>
      <c r="C19" s="10" t="s">
        <v>14</v>
      </c>
      <c r="D19" s="10" t="s">
        <v>325</v>
      </c>
      <c r="E19" s="13">
        <v>0</v>
      </c>
      <c r="F19" s="13">
        <f>10*100*2</f>
        <v>2000</v>
      </c>
      <c r="G19" s="13">
        <f>10*100*2</f>
        <v>2000</v>
      </c>
      <c r="H19" s="13">
        <f>(10*100*2)+(10*100*2)</f>
        <v>4000</v>
      </c>
      <c r="I19" s="2">
        <v>0</v>
      </c>
      <c r="J19" s="2"/>
      <c r="K19" s="28">
        <v>8000</v>
      </c>
      <c r="L19"/>
      <c r="M19" s="114">
        <f>SUMIF(DTRQ1!$A$12:$A$422,'DETAILED REPROT Q1'!A19:A141,DTRQ1!$J$12:$J$422)</f>
        <v>0</v>
      </c>
      <c r="N19" s="114"/>
      <c r="O19" s="114"/>
      <c r="P19" s="114"/>
      <c r="Q19" s="114"/>
      <c r="R19" s="114"/>
      <c r="S19" s="97">
        <f t="shared" ref="S19:S82" si="1">M19+N19+O19+P19+Q19+R19</f>
        <v>0</v>
      </c>
      <c r="T19" s="97">
        <f t="shared" ref="T19:T82" si="2">K19-S19</f>
        <v>8000</v>
      </c>
      <c r="U19" s="160">
        <f t="shared" ref="U19:U82" si="3">S19/K19</f>
        <v>0</v>
      </c>
      <c r="V19" s="97"/>
    </row>
    <row r="20" spans="1:22" ht="32.25" thickBot="1">
      <c r="A20" s="73"/>
      <c r="B20" s="36" t="s">
        <v>19</v>
      </c>
      <c r="C20" s="34" t="s">
        <v>15</v>
      </c>
      <c r="D20" s="34"/>
      <c r="E20" s="35">
        <f>SUM(E21:E22)</f>
        <v>3000</v>
      </c>
      <c r="F20" s="35">
        <f>SUM(F21:F22)</f>
        <v>1500</v>
      </c>
      <c r="G20" s="35">
        <f>SUM(G21:G22)</f>
        <v>1500</v>
      </c>
      <c r="H20" s="35">
        <f>SUM(H21:H22)</f>
        <v>3000</v>
      </c>
      <c r="I20" s="35">
        <v>0</v>
      </c>
      <c r="J20" s="36"/>
      <c r="K20" s="37">
        <v>9000</v>
      </c>
      <c r="M20" s="98">
        <f t="shared" ref="M20:R20" si="4">SUM(M21:M22)</f>
        <v>0</v>
      </c>
      <c r="N20" s="98">
        <f t="shared" si="4"/>
        <v>0</v>
      </c>
      <c r="O20" s="98">
        <f t="shared" si="4"/>
        <v>0</v>
      </c>
      <c r="P20" s="98">
        <f t="shared" si="4"/>
        <v>0</v>
      </c>
      <c r="Q20" s="98">
        <f t="shared" si="4"/>
        <v>0</v>
      </c>
      <c r="R20" s="98">
        <f t="shared" si="4"/>
        <v>0</v>
      </c>
      <c r="S20" s="98">
        <f t="shared" si="1"/>
        <v>0</v>
      </c>
      <c r="T20" s="98">
        <f t="shared" si="2"/>
        <v>9000</v>
      </c>
      <c r="U20" s="161">
        <f t="shared" si="3"/>
        <v>0</v>
      </c>
      <c r="V20" s="98"/>
    </row>
    <row r="21" spans="1:22" ht="16.5" thickBot="1">
      <c r="A21" s="72" t="s">
        <v>200</v>
      </c>
      <c r="B21" s="6" t="s">
        <v>155</v>
      </c>
      <c r="C21" s="2" t="s">
        <v>93</v>
      </c>
      <c r="D21" s="2" t="s">
        <v>326</v>
      </c>
      <c r="E21" s="13">
        <f>300*10</f>
        <v>3000</v>
      </c>
      <c r="F21" s="13">
        <v>0</v>
      </c>
      <c r="G21" s="13">
        <v>0</v>
      </c>
      <c r="H21" s="13">
        <v>0</v>
      </c>
      <c r="I21" s="13">
        <v>0</v>
      </c>
      <c r="J21" s="2"/>
      <c r="K21" s="28">
        <v>3000</v>
      </c>
      <c r="M21" s="114">
        <f>SUMIF(DTRQ1!$A$12:$A$422,'DETAILED REPROT Q1'!A21:A142,DTRQ1!$J$12:$J$422)</f>
        <v>0</v>
      </c>
      <c r="N21" s="114"/>
      <c r="O21" s="114"/>
      <c r="P21" s="114"/>
      <c r="Q21" s="114"/>
      <c r="R21" s="114"/>
      <c r="S21" s="97">
        <f t="shared" si="1"/>
        <v>0</v>
      </c>
      <c r="T21" s="97">
        <f t="shared" si="2"/>
        <v>3000</v>
      </c>
      <c r="U21" s="160">
        <f t="shared" si="3"/>
        <v>0</v>
      </c>
      <c r="V21" s="97"/>
    </row>
    <row r="22" spans="1:22" ht="16.5" thickBot="1">
      <c r="A22" s="72" t="s">
        <v>201</v>
      </c>
      <c r="B22" s="6" t="s">
        <v>156</v>
      </c>
      <c r="C22" s="2" t="s">
        <v>94</v>
      </c>
      <c r="D22" s="10" t="s">
        <v>325</v>
      </c>
      <c r="E22" s="13">
        <v>0</v>
      </c>
      <c r="F22" s="13">
        <f>1500*1</f>
        <v>1500</v>
      </c>
      <c r="G22" s="13">
        <f>1500*1</f>
        <v>1500</v>
      </c>
      <c r="H22" s="13">
        <f>1500*1 + 1500*1</f>
        <v>3000</v>
      </c>
      <c r="I22" s="13">
        <v>0</v>
      </c>
      <c r="J22" s="2"/>
      <c r="K22" s="28">
        <v>6000</v>
      </c>
      <c r="M22" s="114">
        <f>SUMIF(DTRQ1!$A$12:$A$422,'DETAILED REPROT Q1'!A22:A142,DTRQ1!$J$12:$J$422)</f>
        <v>0</v>
      </c>
      <c r="N22" s="114"/>
      <c r="O22" s="114"/>
      <c r="P22" s="114"/>
      <c r="Q22" s="114"/>
      <c r="R22" s="114"/>
      <c r="S22" s="97">
        <f t="shared" si="1"/>
        <v>0</v>
      </c>
      <c r="T22" s="97">
        <f t="shared" si="2"/>
        <v>6000</v>
      </c>
      <c r="U22" s="160">
        <f t="shared" si="3"/>
        <v>0</v>
      </c>
      <c r="V22" s="97"/>
    </row>
    <row r="23" spans="1:22" ht="16.5" thickBot="1">
      <c r="A23" s="73"/>
      <c r="B23" s="36" t="s">
        <v>23</v>
      </c>
      <c r="C23" s="34" t="s">
        <v>17</v>
      </c>
      <c r="D23" s="34"/>
      <c r="E23" s="35">
        <f>SUM(E24:E25)</f>
        <v>6000</v>
      </c>
      <c r="F23" s="35">
        <f>SUM(F24:F25)</f>
        <v>2000</v>
      </c>
      <c r="G23" s="35">
        <f>SUM(G24:G25)</f>
        <v>2000</v>
      </c>
      <c r="H23" s="35">
        <f>SUM(H24:H25)</f>
        <v>4000</v>
      </c>
      <c r="I23" s="35">
        <v>0</v>
      </c>
      <c r="J23" s="36"/>
      <c r="K23" s="37">
        <v>14000</v>
      </c>
      <c r="L23" s="86"/>
      <c r="M23" s="98">
        <f t="shared" ref="M23:R23" si="5">SUM(M24:M25)</f>
        <v>0</v>
      </c>
      <c r="N23" s="98">
        <f t="shared" si="5"/>
        <v>0</v>
      </c>
      <c r="O23" s="98">
        <f t="shared" si="5"/>
        <v>0</v>
      </c>
      <c r="P23" s="98">
        <f t="shared" si="5"/>
        <v>0</v>
      </c>
      <c r="Q23" s="98">
        <f t="shared" si="5"/>
        <v>0</v>
      </c>
      <c r="R23" s="98">
        <f t="shared" si="5"/>
        <v>0</v>
      </c>
      <c r="S23" s="98">
        <f t="shared" si="1"/>
        <v>0</v>
      </c>
      <c r="T23" s="98">
        <f t="shared" si="2"/>
        <v>14000</v>
      </c>
      <c r="U23" s="161">
        <f t="shared" si="3"/>
        <v>0</v>
      </c>
      <c r="V23" s="98"/>
    </row>
    <row r="24" spans="1:22" ht="16.5" thickBot="1">
      <c r="A24" s="72" t="s">
        <v>202</v>
      </c>
      <c r="B24" s="6" t="s">
        <v>157</v>
      </c>
      <c r="C24" s="6" t="s">
        <v>95</v>
      </c>
      <c r="D24" s="10" t="s">
        <v>325</v>
      </c>
      <c r="E24" s="13">
        <v>0</v>
      </c>
      <c r="F24" s="13">
        <f>2000*1</f>
        <v>2000</v>
      </c>
      <c r="G24" s="13">
        <f>2000*1</f>
        <v>2000</v>
      </c>
      <c r="H24" s="13">
        <f>2000*1 + 2000*1</f>
        <v>4000</v>
      </c>
      <c r="I24" s="13">
        <v>0</v>
      </c>
      <c r="J24" s="2"/>
      <c r="K24" s="28">
        <v>8000</v>
      </c>
      <c r="M24" s="114">
        <f>SUMIF(DTRQ1!$A$12:$A$422,'DETAILED REPROT Q1'!A24:A142,DTRQ1!$J$12:$J$422)</f>
        <v>0</v>
      </c>
      <c r="N24" s="114"/>
      <c r="O24" s="114"/>
      <c r="P24" s="114"/>
      <c r="Q24" s="114"/>
      <c r="R24" s="114"/>
      <c r="S24" s="97">
        <f t="shared" si="1"/>
        <v>0</v>
      </c>
      <c r="T24" s="97">
        <f t="shared" si="2"/>
        <v>8000</v>
      </c>
      <c r="U24" s="160">
        <f t="shared" si="3"/>
        <v>0</v>
      </c>
      <c r="V24" s="97"/>
    </row>
    <row r="25" spans="1:22" ht="16.5" thickBot="1">
      <c r="A25" s="72" t="s">
        <v>203</v>
      </c>
      <c r="B25" s="6" t="s">
        <v>158</v>
      </c>
      <c r="C25" s="6" t="s">
        <v>96</v>
      </c>
      <c r="D25" s="2" t="s">
        <v>326</v>
      </c>
      <c r="E25" s="14">
        <f>300*20</f>
        <v>6000</v>
      </c>
      <c r="F25" s="13">
        <v>0</v>
      </c>
      <c r="G25" s="13">
        <v>0</v>
      </c>
      <c r="H25" s="13">
        <v>0</v>
      </c>
      <c r="I25" s="13">
        <v>0</v>
      </c>
      <c r="J25" s="2"/>
      <c r="K25" s="28">
        <v>6000</v>
      </c>
      <c r="M25" s="114">
        <f>SUMIF(DTRQ1!$A$12:$A$422,'DETAILED REPROT Q1'!A25:A142,DTRQ1!$J$12:$J$422)</f>
        <v>0</v>
      </c>
      <c r="N25" s="114"/>
      <c r="O25" s="114"/>
      <c r="P25" s="114"/>
      <c r="Q25" s="114"/>
      <c r="R25" s="114"/>
      <c r="S25" s="97">
        <f t="shared" si="1"/>
        <v>0</v>
      </c>
      <c r="T25" s="97">
        <f t="shared" si="2"/>
        <v>6000</v>
      </c>
      <c r="U25" s="160">
        <f t="shared" si="3"/>
        <v>0</v>
      </c>
      <c r="V25" s="97"/>
    </row>
    <row r="26" spans="1:22" ht="32.25" thickBot="1">
      <c r="A26" s="73"/>
      <c r="B26" s="36" t="s">
        <v>25</v>
      </c>
      <c r="C26" s="34" t="s">
        <v>20</v>
      </c>
      <c r="D26" s="34"/>
      <c r="E26" s="35">
        <f>SUM(E27:E28)</f>
        <v>8100</v>
      </c>
      <c r="F26" s="35">
        <f>SUM(F27:F28)</f>
        <v>3000</v>
      </c>
      <c r="G26" s="35">
        <f>SUM(G27:G28)</f>
        <v>3000</v>
      </c>
      <c r="H26" s="35">
        <f>SUM(H27:H28)</f>
        <v>6000</v>
      </c>
      <c r="I26" s="35">
        <v>0</v>
      </c>
      <c r="J26" s="36"/>
      <c r="K26" s="37">
        <v>20100</v>
      </c>
      <c r="M26" s="98">
        <f t="shared" ref="M26:R26" si="6">SUM(M27:M28)</f>
        <v>0</v>
      </c>
      <c r="N26" s="98">
        <f t="shared" si="6"/>
        <v>0</v>
      </c>
      <c r="O26" s="98">
        <f t="shared" si="6"/>
        <v>0</v>
      </c>
      <c r="P26" s="98">
        <f t="shared" si="6"/>
        <v>0</v>
      </c>
      <c r="Q26" s="98">
        <f t="shared" si="6"/>
        <v>0</v>
      </c>
      <c r="R26" s="98">
        <f t="shared" si="6"/>
        <v>0</v>
      </c>
      <c r="S26" s="98">
        <f t="shared" si="1"/>
        <v>0</v>
      </c>
      <c r="T26" s="98">
        <f t="shared" si="2"/>
        <v>20100</v>
      </c>
      <c r="U26" s="161">
        <f t="shared" si="3"/>
        <v>0</v>
      </c>
      <c r="V26" s="98"/>
    </row>
    <row r="27" spans="1:22" ht="16.5" thickBot="1">
      <c r="A27" s="72" t="s">
        <v>204</v>
      </c>
      <c r="B27" s="6" t="s">
        <v>159</v>
      </c>
      <c r="C27" s="6" t="s">
        <v>97</v>
      </c>
      <c r="D27" s="10" t="s">
        <v>325</v>
      </c>
      <c r="E27" s="13">
        <v>0</v>
      </c>
      <c r="F27" s="13">
        <f>1000*3</f>
        <v>3000</v>
      </c>
      <c r="G27" s="13">
        <f>1000*3</f>
        <v>3000</v>
      </c>
      <c r="H27" s="13">
        <f>1000*3 + 1000*3</f>
        <v>6000</v>
      </c>
      <c r="I27" s="13">
        <v>0</v>
      </c>
      <c r="J27" s="2"/>
      <c r="K27" s="28">
        <v>12000</v>
      </c>
      <c r="M27" s="114">
        <f>SUMIF(DTRQ1!$A$12:$A$422,'DETAILED REPROT Q1'!A27:A142,DTRQ1!$J$12:$J$422)</f>
        <v>0</v>
      </c>
      <c r="N27" s="114"/>
      <c r="O27" s="114"/>
      <c r="P27" s="114"/>
      <c r="Q27" s="114"/>
      <c r="R27" s="114"/>
      <c r="S27" s="97">
        <f t="shared" si="1"/>
        <v>0</v>
      </c>
      <c r="T27" s="97">
        <f t="shared" si="2"/>
        <v>12000</v>
      </c>
      <c r="U27" s="160">
        <f t="shared" si="3"/>
        <v>0</v>
      </c>
      <c r="V27" s="97"/>
    </row>
    <row r="28" spans="1:22" ht="16.5" thickBot="1">
      <c r="A28" s="72" t="s">
        <v>205</v>
      </c>
      <c r="B28" s="6" t="s">
        <v>160</v>
      </c>
      <c r="C28" s="6" t="s">
        <v>98</v>
      </c>
      <c r="D28" s="2" t="s">
        <v>326</v>
      </c>
      <c r="E28" s="13">
        <f>7*300+ 6000</f>
        <v>8100</v>
      </c>
      <c r="F28" s="13">
        <v>0</v>
      </c>
      <c r="G28" s="13">
        <v>0</v>
      </c>
      <c r="H28" s="13">
        <v>0</v>
      </c>
      <c r="I28" s="13">
        <v>0</v>
      </c>
      <c r="J28" s="2"/>
      <c r="K28" s="28">
        <v>8100</v>
      </c>
      <c r="M28" s="114">
        <f>SUMIF(DTRQ1!$A$12:$A$422,'DETAILED REPROT Q1'!A28:A142,DTRQ1!$J$12:$J$422)</f>
        <v>0</v>
      </c>
      <c r="N28" s="114"/>
      <c r="O28" s="114"/>
      <c r="P28" s="114"/>
      <c r="Q28" s="114"/>
      <c r="R28" s="114"/>
      <c r="S28" s="97">
        <f t="shared" si="1"/>
        <v>0</v>
      </c>
      <c r="T28" s="97">
        <f t="shared" si="2"/>
        <v>8100</v>
      </c>
      <c r="U28" s="160">
        <f t="shared" si="3"/>
        <v>0</v>
      </c>
      <c r="V28" s="97"/>
    </row>
    <row r="29" spans="1:22" ht="32.25" thickBot="1">
      <c r="A29" s="72" t="s">
        <v>206</v>
      </c>
      <c r="B29" s="2" t="s">
        <v>26</v>
      </c>
      <c r="C29" s="10" t="s">
        <v>21</v>
      </c>
      <c r="D29" s="10" t="s">
        <v>325</v>
      </c>
      <c r="E29" s="13"/>
      <c r="F29" s="13">
        <f>1000*6</f>
        <v>6000</v>
      </c>
      <c r="G29" s="13">
        <f>1000*6</f>
        <v>6000</v>
      </c>
      <c r="H29" s="13">
        <f>1000*6+1000*6</f>
        <v>12000</v>
      </c>
      <c r="I29" s="13">
        <v>0</v>
      </c>
      <c r="J29" s="2"/>
      <c r="K29" s="28">
        <v>24000</v>
      </c>
      <c r="M29" s="114">
        <f>SUMIF(DTRQ1!$A$12:$A$422,'DETAILED REPROT Q1'!A29:A142,DTRQ1!$J$12:$J$422)</f>
        <v>0</v>
      </c>
      <c r="N29" s="114"/>
      <c r="O29" s="114"/>
      <c r="P29" s="114"/>
      <c r="Q29" s="114"/>
      <c r="R29" s="114"/>
      <c r="S29" s="97">
        <f t="shared" si="1"/>
        <v>0</v>
      </c>
      <c r="T29" s="97">
        <f t="shared" si="2"/>
        <v>24000</v>
      </c>
      <c r="U29" s="160">
        <f t="shared" si="3"/>
        <v>0</v>
      </c>
      <c r="V29" s="97"/>
    </row>
    <row r="30" spans="1:22" ht="32.25" thickBot="1">
      <c r="A30" s="72" t="s">
        <v>207</v>
      </c>
      <c r="B30" s="2" t="s">
        <v>27</v>
      </c>
      <c r="C30" s="10" t="s">
        <v>22</v>
      </c>
      <c r="D30" s="10" t="s">
        <v>325</v>
      </c>
      <c r="E30" s="13">
        <v>0</v>
      </c>
      <c r="F30" s="13">
        <f>1200*5</f>
        <v>6000</v>
      </c>
      <c r="G30" s="13">
        <f>1200*5</f>
        <v>6000</v>
      </c>
      <c r="H30" s="13">
        <f>1200*5 + 1200*5</f>
        <v>12000</v>
      </c>
      <c r="I30" s="13">
        <v>0</v>
      </c>
      <c r="J30" s="2"/>
      <c r="K30" s="28">
        <v>24000</v>
      </c>
      <c r="M30" s="114">
        <f>SUMIF(DTRQ1!$A$12:$A$422,'DETAILED REPROT Q1'!A30:A142,DTRQ1!$J$12:$J$422)</f>
        <v>0</v>
      </c>
      <c r="N30" s="114"/>
      <c r="O30" s="114"/>
      <c r="P30" s="114"/>
      <c r="Q30" s="114"/>
      <c r="R30" s="114"/>
      <c r="S30" s="97">
        <f t="shared" si="1"/>
        <v>0</v>
      </c>
      <c r="T30" s="97">
        <f t="shared" si="2"/>
        <v>24000</v>
      </c>
      <c r="U30" s="160">
        <f t="shared" si="3"/>
        <v>0</v>
      </c>
      <c r="V30" s="97"/>
    </row>
    <row r="31" spans="1:22" ht="48" thickBot="1">
      <c r="A31" s="72" t="s">
        <v>208</v>
      </c>
      <c r="B31" s="2" t="s">
        <v>28</v>
      </c>
      <c r="C31" s="10" t="s">
        <v>24</v>
      </c>
      <c r="D31" s="10" t="s">
        <v>325</v>
      </c>
      <c r="E31" s="13">
        <v>0</v>
      </c>
      <c r="F31" s="13">
        <f>3000*5</f>
        <v>15000</v>
      </c>
      <c r="G31" s="13">
        <v>0</v>
      </c>
      <c r="H31" s="13">
        <v>0</v>
      </c>
      <c r="I31" s="13">
        <v>0</v>
      </c>
      <c r="J31" s="2"/>
      <c r="K31" s="28">
        <v>15000</v>
      </c>
      <c r="M31" s="114">
        <f>SUMIF(DTRQ1!$A$12:$A$422,'DETAILED REPROT Q1'!A31:A143,DTRQ1!$J$12:$J$422)</f>
        <v>0</v>
      </c>
      <c r="N31" s="114"/>
      <c r="O31" s="114"/>
      <c r="P31" s="114"/>
      <c r="Q31" s="114"/>
      <c r="R31" s="114"/>
      <c r="S31" s="97">
        <f t="shared" si="1"/>
        <v>0</v>
      </c>
      <c r="T31" s="97">
        <f t="shared" si="2"/>
        <v>15000</v>
      </c>
      <c r="U31" s="160">
        <f t="shared" si="3"/>
        <v>0</v>
      </c>
      <c r="V31" s="97"/>
    </row>
    <row r="32" spans="1:22" ht="48" thickBot="1">
      <c r="A32" s="72" t="s">
        <v>209</v>
      </c>
      <c r="B32" s="2" t="s">
        <v>30</v>
      </c>
      <c r="C32" s="10" t="s">
        <v>29</v>
      </c>
      <c r="D32" s="2" t="s">
        <v>326</v>
      </c>
      <c r="E32" s="13">
        <f>(300*15)+2000</f>
        <v>6500</v>
      </c>
      <c r="F32" s="13">
        <v>0</v>
      </c>
      <c r="G32" s="13">
        <v>0</v>
      </c>
      <c r="H32" s="13">
        <v>0</v>
      </c>
      <c r="I32" s="13">
        <v>0</v>
      </c>
      <c r="J32" s="2"/>
      <c r="K32" s="28">
        <v>6500</v>
      </c>
      <c r="M32" s="114">
        <f>SUMIF(DTRQ1!$A$12:$A$422,'DETAILED REPROT Q1'!A32:A144,DTRQ1!$J$12:$J$422)</f>
        <v>0</v>
      </c>
      <c r="N32" s="114"/>
      <c r="O32" s="114"/>
      <c r="P32" s="114"/>
      <c r="Q32" s="114"/>
      <c r="R32" s="114"/>
      <c r="S32" s="97">
        <f t="shared" si="1"/>
        <v>0</v>
      </c>
      <c r="T32" s="97">
        <f t="shared" si="2"/>
        <v>6500</v>
      </c>
      <c r="U32" s="160">
        <f t="shared" si="3"/>
        <v>0</v>
      </c>
      <c r="V32" s="97"/>
    </row>
    <row r="33" spans="1:22" ht="79.5" thickBot="1">
      <c r="A33" s="73"/>
      <c r="B33" s="29" t="s">
        <v>32</v>
      </c>
      <c r="C33" s="29" t="s">
        <v>31</v>
      </c>
      <c r="D33" s="29"/>
      <c r="E33" s="30">
        <f>E34</f>
        <v>3524</v>
      </c>
      <c r="F33" s="30">
        <f>F34</f>
        <v>6000</v>
      </c>
      <c r="G33" s="30">
        <f>G34</f>
        <v>6000</v>
      </c>
      <c r="H33" s="30">
        <f>H34</f>
        <v>12000</v>
      </c>
      <c r="I33" s="31">
        <v>0</v>
      </c>
      <c r="J33" s="32"/>
      <c r="K33" s="33">
        <v>27524</v>
      </c>
      <c r="M33" s="96">
        <f t="shared" ref="M33:R33" si="7">M34</f>
        <v>0</v>
      </c>
      <c r="N33" s="96">
        <f t="shared" si="7"/>
        <v>0</v>
      </c>
      <c r="O33" s="96">
        <f t="shared" si="7"/>
        <v>0</v>
      </c>
      <c r="P33" s="96">
        <f t="shared" si="7"/>
        <v>0</v>
      </c>
      <c r="Q33" s="96">
        <f t="shared" si="7"/>
        <v>0</v>
      </c>
      <c r="R33" s="96">
        <f t="shared" si="7"/>
        <v>0</v>
      </c>
      <c r="S33" s="96">
        <f t="shared" si="1"/>
        <v>0</v>
      </c>
      <c r="T33" s="96">
        <f t="shared" si="2"/>
        <v>27524</v>
      </c>
      <c r="U33" s="159">
        <f t="shared" si="3"/>
        <v>0</v>
      </c>
      <c r="V33" s="96"/>
    </row>
    <row r="34" spans="1:22" ht="79.5" thickBot="1">
      <c r="A34" s="73"/>
      <c r="B34" s="36" t="s">
        <v>34</v>
      </c>
      <c r="C34" s="34" t="s">
        <v>33</v>
      </c>
      <c r="D34" s="34"/>
      <c r="E34" s="35">
        <f>SUM(E35:E36)</f>
        <v>3524</v>
      </c>
      <c r="F34" s="35">
        <f>SUM(F35:F36)</f>
        <v>6000</v>
      </c>
      <c r="G34" s="35">
        <f>SUM(G35:G36)</f>
        <v>6000</v>
      </c>
      <c r="H34" s="35">
        <f>SUM(H35:H36)</f>
        <v>12000</v>
      </c>
      <c r="I34" s="35">
        <v>0</v>
      </c>
      <c r="J34" s="36"/>
      <c r="K34" s="37">
        <v>27524</v>
      </c>
      <c r="M34" s="98">
        <f t="shared" ref="M34:R34" si="8">SUM(M35:M36)</f>
        <v>0</v>
      </c>
      <c r="N34" s="98">
        <f t="shared" si="8"/>
        <v>0</v>
      </c>
      <c r="O34" s="98">
        <f t="shared" si="8"/>
        <v>0</v>
      </c>
      <c r="P34" s="98">
        <f t="shared" si="8"/>
        <v>0</v>
      </c>
      <c r="Q34" s="98">
        <f t="shared" si="8"/>
        <v>0</v>
      </c>
      <c r="R34" s="98">
        <f t="shared" si="8"/>
        <v>0</v>
      </c>
      <c r="S34" s="98">
        <f t="shared" si="1"/>
        <v>0</v>
      </c>
      <c r="T34" s="98">
        <f t="shared" si="2"/>
        <v>27524</v>
      </c>
      <c r="U34" s="161">
        <f t="shared" si="3"/>
        <v>0</v>
      </c>
      <c r="V34" s="98"/>
    </row>
    <row r="35" spans="1:22" ht="32.25" thickBot="1">
      <c r="A35" s="72" t="s">
        <v>210</v>
      </c>
      <c r="B35" s="6" t="s">
        <v>161</v>
      </c>
      <c r="C35" s="6" t="s">
        <v>99</v>
      </c>
      <c r="D35" s="2" t="s">
        <v>326</v>
      </c>
      <c r="E35" s="13">
        <f>300*10+524</f>
        <v>3524</v>
      </c>
      <c r="F35" s="12">
        <v>0</v>
      </c>
      <c r="G35" s="12">
        <v>0</v>
      </c>
      <c r="H35" s="12">
        <v>0</v>
      </c>
      <c r="I35" s="13">
        <v>0</v>
      </c>
      <c r="J35" s="2"/>
      <c r="K35" s="28">
        <v>3524</v>
      </c>
      <c r="M35" s="114">
        <f>SUMIF(DTRQ1!$A$12:$A$422,'DETAILED REPROT Q1'!A35:A147,DTRQ1!$J$12:$J$422)</f>
        <v>0</v>
      </c>
      <c r="N35" s="114"/>
      <c r="O35" s="114"/>
      <c r="P35" s="114"/>
      <c r="Q35" s="114"/>
      <c r="R35" s="114"/>
      <c r="S35" s="73">
        <f t="shared" si="1"/>
        <v>0</v>
      </c>
      <c r="T35" s="73">
        <f t="shared" si="2"/>
        <v>3524</v>
      </c>
      <c r="U35" s="162">
        <f t="shared" si="3"/>
        <v>0</v>
      </c>
      <c r="V35" s="73"/>
    </row>
    <row r="36" spans="1:22" ht="16.5" thickBot="1">
      <c r="A36" s="72" t="s">
        <v>211</v>
      </c>
      <c r="B36" s="6" t="s">
        <v>162</v>
      </c>
      <c r="C36" s="6" t="s">
        <v>100</v>
      </c>
      <c r="D36" s="10" t="s">
        <v>325</v>
      </c>
      <c r="E36" s="13">
        <v>0</v>
      </c>
      <c r="F36" s="13">
        <f>6000</f>
        <v>6000</v>
      </c>
      <c r="G36" s="13">
        <f>6000</f>
        <v>6000</v>
      </c>
      <c r="H36" s="13">
        <f>6000 + 6000</f>
        <v>12000</v>
      </c>
      <c r="I36" s="13">
        <v>0</v>
      </c>
      <c r="J36" s="2"/>
      <c r="K36" s="28">
        <v>24000</v>
      </c>
      <c r="M36" s="114">
        <f>SUMIF(DTRQ1!$A$12:$A$422,'DETAILED REPROT Q1'!A36:A148,DTRQ1!$J$12:$J$422)</f>
        <v>0</v>
      </c>
      <c r="N36" s="114"/>
      <c r="O36" s="114"/>
      <c r="P36" s="114"/>
      <c r="Q36" s="114"/>
      <c r="R36" s="114"/>
      <c r="S36" s="73">
        <f t="shared" si="1"/>
        <v>0</v>
      </c>
      <c r="T36" s="73">
        <f t="shared" si="2"/>
        <v>24000</v>
      </c>
      <c r="U36" s="162">
        <f t="shared" si="3"/>
        <v>0</v>
      </c>
      <c r="V36" s="73"/>
    </row>
    <row r="37" spans="1:22" ht="16.5" thickBot="1">
      <c r="A37" s="73"/>
      <c r="B37" s="39" t="s">
        <v>151</v>
      </c>
      <c r="C37" s="38">
        <f>SUM(E37:H37)</f>
        <v>148124</v>
      </c>
      <c r="D37" s="38"/>
      <c r="E37" s="38">
        <f>E18+E33</f>
        <v>27124</v>
      </c>
      <c r="F37" s="38">
        <f>F18+F33</f>
        <v>41500</v>
      </c>
      <c r="G37" s="38">
        <f>G18+G33</f>
        <v>26500</v>
      </c>
      <c r="H37" s="38">
        <f>H18+H33</f>
        <v>53000</v>
      </c>
      <c r="I37" s="39"/>
      <c r="J37" s="39"/>
      <c r="K37" s="40">
        <v>148124</v>
      </c>
      <c r="M37" s="99">
        <f t="shared" ref="M37:R37" si="9">M18+M33</f>
        <v>0</v>
      </c>
      <c r="N37" s="99">
        <f t="shared" si="9"/>
        <v>0</v>
      </c>
      <c r="O37" s="99">
        <f t="shared" si="9"/>
        <v>0</v>
      </c>
      <c r="P37" s="99">
        <f t="shared" si="9"/>
        <v>0</v>
      </c>
      <c r="Q37" s="99">
        <f t="shared" si="9"/>
        <v>0</v>
      </c>
      <c r="R37" s="99">
        <f t="shared" si="9"/>
        <v>0</v>
      </c>
      <c r="S37" s="99">
        <f t="shared" si="1"/>
        <v>0</v>
      </c>
      <c r="T37" s="99">
        <f t="shared" si="2"/>
        <v>148124</v>
      </c>
      <c r="U37" s="163">
        <f t="shared" si="3"/>
        <v>0</v>
      </c>
      <c r="V37" s="99"/>
    </row>
    <row r="38" spans="1:22" ht="16.5" customHeight="1" thickBot="1">
      <c r="A38" s="73"/>
      <c r="B38" s="42" t="s">
        <v>192</v>
      </c>
      <c r="C38" s="42"/>
      <c r="D38" s="42"/>
      <c r="E38" s="42"/>
      <c r="F38" s="42"/>
      <c r="G38" s="42"/>
      <c r="H38" s="42"/>
      <c r="I38" s="42"/>
      <c r="J38" s="42"/>
      <c r="K38" s="42"/>
      <c r="M38" s="100"/>
      <c r="N38" s="100"/>
      <c r="O38" s="100"/>
      <c r="P38" s="100"/>
      <c r="Q38" s="100"/>
      <c r="R38" s="100"/>
      <c r="S38" s="100"/>
      <c r="T38" s="100"/>
      <c r="U38" s="164"/>
      <c r="V38" s="100"/>
    </row>
    <row r="39" spans="1:22" ht="16.5" thickBot="1">
      <c r="A39" s="73"/>
      <c r="B39" s="29" t="s">
        <v>41</v>
      </c>
      <c r="C39" s="29" t="s">
        <v>35</v>
      </c>
      <c r="D39" s="29"/>
      <c r="E39" s="30">
        <f>E40+E43+E46+E49</f>
        <v>4500</v>
      </c>
      <c r="F39" s="30">
        <f>F40+F43+F46+F49+F52</f>
        <v>13783.2</v>
      </c>
      <c r="G39" s="30">
        <f>G40+G43+G46+G49+G52</f>
        <v>18283.2</v>
      </c>
      <c r="H39" s="30">
        <f>H40+H43+H46+H49+H52</f>
        <v>27566.400000000001</v>
      </c>
      <c r="I39" s="31">
        <v>0.5</v>
      </c>
      <c r="J39" s="32"/>
      <c r="K39" s="33">
        <v>64132.800000000003</v>
      </c>
      <c r="M39" s="96">
        <f t="shared" ref="M39:R39" si="10">M40+M43+M46+M49+M52</f>
        <v>0</v>
      </c>
      <c r="N39" s="96">
        <f t="shared" si="10"/>
        <v>0</v>
      </c>
      <c r="O39" s="96">
        <f t="shared" si="10"/>
        <v>0</v>
      </c>
      <c r="P39" s="96">
        <f t="shared" si="10"/>
        <v>0</v>
      </c>
      <c r="Q39" s="96">
        <f t="shared" si="10"/>
        <v>0</v>
      </c>
      <c r="R39" s="96">
        <f t="shared" si="10"/>
        <v>0</v>
      </c>
      <c r="S39" s="96">
        <f t="shared" si="1"/>
        <v>0</v>
      </c>
      <c r="T39" s="96">
        <f t="shared" si="2"/>
        <v>64132.800000000003</v>
      </c>
      <c r="U39" s="159">
        <f t="shared" si="3"/>
        <v>0</v>
      </c>
      <c r="V39" s="96"/>
    </row>
    <row r="40" spans="1:22" ht="32.25" thickBot="1">
      <c r="A40" s="73"/>
      <c r="B40" s="66" t="s">
        <v>42</v>
      </c>
      <c r="C40" s="34" t="s">
        <v>36</v>
      </c>
      <c r="D40" s="34"/>
      <c r="E40" s="35">
        <f>SUM(E41:E42)</f>
        <v>1500</v>
      </c>
      <c r="F40" s="35">
        <f>SUM(F41:F42)</f>
        <v>0</v>
      </c>
      <c r="G40" s="35">
        <f>SUM(G41:G42)</f>
        <v>4500</v>
      </c>
      <c r="H40" s="35">
        <f>SUM(H41:H42)</f>
        <v>0</v>
      </c>
      <c r="I40" s="35">
        <v>0</v>
      </c>
      <c r="J40" s="36"/>
      <c r="K40" s="37">
        <v>6000</v>
      </c>
      <c r="M40" s="98">
        <f t="shared" ref="M40:R40" si="11">SUM(M41:M42)</f>
        <v>0</v>
      </c>
      <c r="N40" s="98">
        <f t="shared" si="11"/>
        <v>0</v>
      </c>
      <c r="O40" s="98">
        <f t="shared" si="11"/>
        <v>0</v>
      </c>
      <c r="P40" s="98">
        <f t="shared" si="11"/>
        <v>0</v>
      </c>
      <c r="Q40" s="98">
        <f t="shared" si="11"/>
        <v>0</v>
      </c>
      <c r="R40" s="98">
        <f t="shared" si="11"/>
        <v>0</v>
      </c>
      <c r="S40" s="98">
        <f t="shared" si="1"/>
        <v>0</v>
      </c>
      <c r="T40" s="98">
        <f t="shared" si="2"/>
        <v>6000</v>
      </c>
      <c r="U40" s="161">
        <f t="shared" si="3"/>
        <v>0</v>
      </c>
      <c r="V40" s="98"/>
    </row>
    <row r="41" spans="1:22" ht="16.5" thickBot="1">
      <c r="A41" s="72" t="s">
        <v>212</v>
      </c>
      <c r="B41" s="67" t="s">
        <v>163</v>
      </c>
      <c r="C41" s="6" t="s">
        <v>101</v>
      </c>
      <c r="D41" s="2" t="s">
        <v>326</v>
      </c>
      <c r="E41" s="13">
        <f>300*5</f>
        <v>1500</v>
      </c>
      <c r="F41" s="13">
        <v>0</v>
      </c>
      <c r="G41" s="13">
        <v>0</v>
      </c>
      <c r="H41" s="13">
        <v>0</v>
      </c>
      <c r="I41" s="13">
        <v>0</v>
      </c>
      <c r="J41" s="2"/>
      <c r="K41" s="28">
        <v>1500</v>
      </c>
      <c r="M41" s="114">
        <f>SUMIF(DTRQ1!$A$12:$A$422,'DETAILED REPROT Q1'!A41:A153,DTRQ1!$J$12:$J$422)</f>
        <v>0</v>
      </c>
      <c r="N41" s="114"/>
      <c r="O41" s="114"/>
      <c r="P41" s="114"/>
      <c r="Q41" s="114"/>
      <c r="R41" s="114"/>
      <c r="S41" s="73">
        <f t="shared" si="1"/>
        <v>0</v>
      </c>
      <c r="T41" s="73">
        <f t="shared" si="2"/>
        <v>1500</v>
      </c>
      <c r="U41" s="162">
        <f t="shared" si="3"/>
        <v>0</v>
      </c>
      <c r="V41" s="73"/>
    </row>
    <row r="42" spans="1:22" ht="16.5" thickBot="1">
      <c r="A42" s="72" t="s">
        <v>213</v>
      </c>
      <c r="B42" s="67" t="s">
        <v>164</v>
      </c>
      <c r="C42" s="6" t="s">
        <v>102</v>
      </c>
      <c r="D42" s="10" t="s">
        <v>325</v>
      </c>
      <c r="E42" s="13">
        <v>0</v>
      </c>
      <c r="F42" s="13">
        <v>0</v>
      </c>
      <c r="G42" s="13">
        <f>4500</f>
        <v>4500</v>
      </c>
      <c r="H42" s="13">
        <v>0</v>
      </c>
      <c r="I42" s="13">
        <v>0</v>
      </c>
      <c r="J42" s="2"/>
      <c r="K42" s="28">
        <v>4500</v>
      </c>
      <c r="M42" s="114">
        <f>SUMIF(DTRQ1!$A$12:$A$422,'DETAILED REPROT Q1'!A42:A154,DTRQ1!$J$12:$J$422)</f>
        <v>0</v>
      </c>
      <c r="N42" s="114"/>
      <c r="O42" s="114"/>
      <c r="P42" s="114"/>
      <c r="Q42" s="114"/>
      <c r="R42" s="114"/>
      <c r="S42" s="73">
        <f t="shared" si="1"/>
        <v>0</v>
      </c>
      <c r="T42" s="73">
        <f t="shared" si="2"/>
        <v>4500</v>
      </c>
      <c r="U42" s="162">
        <f t="shared" si="3"/>
        <v>0</v>
      </c>
      <c r="V42" s="73"/>
    </row>
    <row r="43" spans="1:22" ht="32.25" thickBot="1">
      <c r="A43" s="73"/>
      <c r="B43" s="66" t="s">
        <v>43</v>
      </c>
      <c r="C43" s="34" t="s">
        <v>37</v>
      </c>
      <c r="D43" s="34"/>
      <c r="E43" s="35">
        <f>SUM(E44:E45)</f>
        <v>0</v>
      </c>
      <c r="F43" s="35">
        <f>SUM(F44:F45)</f>
        <v>3333.2</v>
      </c>
      <c r="G43" s="35">
        <f>SUM(G44:G45)</f>
        <v>3333.2</v>
      </c>
      <c r="H43" s="35">
        <f>SUM(H44:H45)</f>
        <v>6666.4</v>
      </c>
      <c r="I43" s="35">
        <v>0</v>
      </c>
      <c r="J43" s="36"/>
      <c r="K43" s="37">
        <v>13332.8</v>
      </c>
      <c r="M43" s="98">
        <f t="shared" ref="M43:R43" si="12">SUM(M44:M45)</f>
        <v>0</v>
      </c>
      <c r="N43" s="98">
        <f t="shared" si="12"/>
        <v>0</v>
      </c>
      <c r="O43" s="98">
        <f t="shared" si="12"/>
        <v>0</v>
      </c>
      <c r="P43" s="98">
        <f t="shared" si="12"/>
        <v>0</v>
      </c>
      <c r="Q43" s="98">
        <f t="shared" si="12"/>
        <v>0</v>
      </c>
      <c r="R43" s="98">
        <f t="shared" si="12"/>
        <v>0</v>
      </c>
      <c r="S43" s="98">
        <f t="shared" si="1"/>
        <v>0</v>
      </c>
      <c r="T43" s="98">
        <f t="shared" si="2"/>
        <v>13332.8</v>
      </c>
      <c r="U43" s="161">
        <f t="shared" si="3"/>
        <v>0</v>
      </c>
      <c r="V43" s="98"/>
    </row>
    <row r="44" spans="1:22" ht="16.5" thickBot="1">
      <c r="A44" s="72" t="s">
        <v>214</v>
      </c>
      <c r="B44" s="67" t="s">
        <v>165</v>
      </c>
      <c r="C44" s="6" t="s">
        <v>103</v>
      </c>
      <c r="D44" s="10" t="s">
        <v>325</v>
      </c>
      <c r="E44" s="13">
        <v>0</v>
      </c>
      <c r="F44" s="13">
        <f>666.6*2</f>
        <v>1333.2</v>
      </c>
      <c r="G44" s="13">
        <f>666.6*2</f>
        <v>1333.2</v>
      </c>
      <c r="H44" s="13">
        <f>666.6*2 + 666.6*2</f>
        <v>2666.4</v>
      </c>
      <c r="I44" s="13">
        <v>0</v>
      </c>
      <c r="J44" s="2"/>
      <c r="K44" s="28">
        <v>5332.8</v>
      </c>
      <c r="M44" s="114">
        <f>SUMIF(DTRQ1!$A$12:$A$422,'DETAILED REPROT Q1'!A44:A156,DTRQ1!$J$12:$J$422)</f>
        <v>0</v>
      </c>
      <c r="N44" s="114"/>
      <c r="O44" s="114"/>
      <c r="P44" s="114"/>
      <c r="Q44" s="114"/>
      <c r="R44" s="114"/>
      <c r="S44" s="73">
        <f t="shared" si="1"/>
        <v>0</v>
      </c>
      <c r="T44" s="73">
        <f t="shared" si="2"/>
        <v>5332.8</v>
      </c>
      <c r="U44" s="162">
        <f t="shared" si="3"/>
        <v>0</v>
      </c>
      <c r="V44" s="73"/>
    </row>
    <row r="45" spans="1:22" ht="32.25" thickBot="1">
      <c r="A45" s="72" t="s">
        <v>215</v>
      </c>
      <c r="B45" s="67" t="s">
        <v>166</v>
      </c>
      <c r="C45" s="6" t="s">
        <v>104</v>
      </c>
      <c r="D45" s="10" t="s">
        <v>325</v>
      </c>
      <c r="E45" s="13">
        <v>0</v>
      </c>
      <c r="F45" s="13">
        <f>5*100*4</f>
        <v>2000</v>
      </c>
      <c r="G45" s="13">
        <f>5*100*4</f>
        <v>2000</v>
      </c>
      <c r="H45" s="13">
        <f>(5*100*4)+(5*100*4)</f>
        <v>4000</v>
      </c>
      <c r="I45" s="13">
        <v>0</v>
      </c>
      <c r="J45" s="2"/>
      <c r="K45" s="28">
        <v>8000</v>
      </c>
      <c r="M45" s="114">
        <f>SUMIF(DTRQ1!$A$12:$A$422,'DETAILED REPROT Q1'!A45:A157,DTRQ1!$J$12:$J$422)</f>
        <v>0</v>
      </c>
      <c r="N45" s="114"/>
      <c r="O45" s="114"/>
      <c r="P45" s="114"/>
      <c r="Q45" s="114"/>
      <c r="R45" s="114"/>
      <c r="S45" s="73">
        <f t="shared" si="1"/>
        <v>0</v>
      </c>
      <c r="T45" s="73">
        <f t="shared" si="2"/>
        <v>8000</v>
      </c>
      <c r="U45" s="162">
        <f t="shared" si="3"/>
        <v>0</v>
      </c>
      <c r="V45" s="73"/>
    </row>
    <row r="46" spans="1:22" ht="16.5" thickBot="1">
      <c r="A46" s="73"/>
      <c r="B46" s="66" t="s">
        <v>45</v>
      </c>
      <c r="C46" s="34" t="s">
        <v>38</v>
      </c>
      <c r="D46" s="34"/>
      <c r="E46" s="35">
        <f>SUM(E47:E48)</f>
        <v>3000</v>
      </c>
      <c r="F46" s="35">
        <f>SUM(F47:F48)</f>
        <v>1050</v>
      </c>
      <c r="G46" s="35">
        <f>SUM(G47:G48)</f>
        <v>1050</v>
      </c>
      <c r="H46" s="35">
        <f>SUM(H47:H48)</f>
        <v>2100</v>
      </c>
      <c r="I46" s="36"/>
      <c r="J46" s="36"/>
      <c r="K46" s="37">
        <v>7200</v>
      </c>
      <c r="M46" s="98">
        <f t="shared" ref="M46:R46" si="13">SUM(M47:M48)</f>
        <v>0</v>
      </c>
      <c r="N46" s="98">
        <f t="shared" si="13"/>
        <v>0</v>
      </c>
      <c r="O46" s="98">
        <f t="shared" si="13"/>
        <v>0</v>
      </c>
      <c r="P46" s="98">
        <f t="shared" si="13"/>
        <v>0</v>
      </c>
      <c r="Q46" s="98">
        <f t="shared" si="13"/>
        <v>0</v>
      </c>
      <c r="R46" s="98">
        <f t="shared" si="13"/>
        <v>0</v>
      </c>
      <c r="S46" s="98">
        <f t="shared" si="1"/>
        <v>0</v>
      </c>
      <c r="T46" s="98">
        <f t="shared" si="2"/>
        <v>7200</v>
      </c>
      <c r="U46" s="161">
        <f t="shared" si="3"/>
        <v>0</v>
      </c>
      <c r="V46" s="98"/>
    </row>
    <row r="47" spans="1:22" ht="16.5" thickBot="1">
      <c r="A47" s="72" t="s">
        <v>216</v>
      </c>
      <c r="B47" s="67" t="s">
        <v>167</v>
      </c>
      <c r="C47" s="6" t="s">
        <v>116</v>
      </c>
      <c r="D47" s="2" t="s">
        <v>326</v>
      </c>
      <c r="E47" s="13">
        <f>300*10</f>
        <v>3000</v>
      </c>
      <c r="F47" s="13">
        <v>0</v>
      </c>
      <c r="G47" s="13">
        <v>0</v>
      </c>
      <c r="H47" s="13">
        <v>0</v>
      </c>
      <c r="I47" s="13">
        <v>0</v>
      </c>
      <c r="J47" s="2"/>
      <c r="K47" s="28">
        <v>3000</v>
      </c>
      <c r="M47" s="114">
        <f>SUMIF(DTRQ1!$A$12:$A$422,'DETAILED REPROT Q1'!A47:A159,DTRQ1!$J$12:$J$422)</f>
        <v>0</v>
      </c>
      <c r="N47" s="114"/>
      <c r="O47" s="114"/>
      <c r="P47" s="114"/>
      <c r="Q47" s="114"/>
      <c r="R47" s="114"/>
      <c r="S47" s="73">
        <f t="shared" si="1"/>
        <v>0</v>
      </c>
      <c r="T47" s="73">
        <f t="shared" si="2"/>
        <v>3000</v>
      </c>
      <c r="U47" s="162">
        <f t="shared" si="3"/>
        <v>0</v>
      </c>
      <c r="V47" s="73"/>
    </row>
    <row r="48" spans="1:22" ht="16.5" thickBot="1">
      <c r="A48" s="72" t="s">
        <v>217</v>
      </c>
      <c r="B48" s="67" t="s">
        <v>168</v>
      </c>
      <c r="C48" s="6" t="s">
        <v>102</v>
      </c>
      <c r="D48" s="10" t="s">
        <v>325</v>
      </c>
      <c r="E48" s="13">
        <v>0</v>
      </c>
      <c r="F48" s="13">
        <f>1050</f>
        <v>1050</v>
      </c>
      <c r="G48" s="13">
        <f>1050</f>
        <v>1050</v>
      </c>
      <c r="H48" s="13">
        <f>1050+1050</f>
        <v>2100</v>
      </c>
      <c r="I48" s="13">
        <v>0</v>
      </c>
      <c r="J48" s="2"/>
      <c r="K48" s="28">
        <v>4200</v>
      </c>
      <c r="M48" s="114">
        <f>SUMIF(DTRQ1!$A$12:$A$422,'DETAILED REPROT Q1'!A48:A160,DTRQ1!$J$12:$J$422)</f>
        <v>0</v>
      </c>
      <c r="N48" s="114"/>
      <c r="O48" s="114"/>
      <c r="P48" s="114"/>
      <c r="Q48" s="114"/>
      <c r="R48" s="114"/>
      <c r="S48" s="73">
        <f t="shared" si="1"/>
        <v>0</v>
      </c>
      <c r="T48" s="73">
        <f t="shared" si="2"/>
        <v>4200</v>
      </c>
      <c r="U48" s="162">
        <f t="shared" si="3"/>
        <v>0</v>
      </c>
      <c r="V48" s="73"/>
    </row>
    <row r="49" spans="1:22" ht="16.5" thickBot="1">
      <c r="A49" s="73"/>
      <c r="B49" s="66" t="s">
        <v>46</v>
      </c>
      <c r="C49" s="34" t="s">
        <v>11</v>
      </c>
      <c r="D49" s="34"/>
      <c r="E49" s="35">
        <f>SUM(E50:E51)</f>
        <v>0</v>
      </c>
      <c r="F49" s="35">
        <f>SUM(F50:F51)</f>
        <v>8400</v>
      </c>
      <c r="G49" s="35">
        <f>SUM(G50:G51)</f>
        <v>8400</v>
      </c>
      <c r="H49" s="35">
        <f>SUM(H50:H51)</f>
        <v>16800</v>
      </c>
      <c r="I49" s="35">
        <v>0</v>
      </c>
      <c r="J49" s="36"/>
      <c r="K49" s="37">
        <v>33600</v>
      </c>
      <c r="M49" s="98">
        <f t="shared" ref="M49:R49" si="14">SUM(M50:M51)</f>
        <v>0</v>
      </c>
      <c r="N49" s="98">
        <f t="shared" si="14"/>
        <v>0</v>
      </c>
      <c r="O49" s="98">
        <f t="shared" si="14"/>
        <v>0</v>
      </c>
      <c r="P49" s="98">
        <f t="shared" si="14"/>
        <v>0</v>
      </c>
      <c r="Q49" s="98">
        <f t="shared" si="14"/>
        <v>0</v>
      </c>
      <c r="R49" s="98">
        <f t="shared" si="14"/>
        <v>0</v>
      </c>
      <c r="S49" s="98">
        <f t="shared" si="1"/>
        <v>0</v>
      </c>
      <c r="T49" s="98">
        <f t="shared" si="2"/>
        <v>33600</v>
      </c>
      <c r="U49" s="161">
        <f t="shared" si="3"/>
        <v>0</v>
      </c>
      <c r="V49" s="98"/>
    </row>
    <row r="50" spans="1:22" ht="16.5" thickBot="1">
      <c r="A50" s="72" t="s">
        <v>218</v>
      </c>
      <c r="B50" s="67" t="s">
        <v>169</v>
      </c>
      <c r="C50" s="6" t="s">
        <v>105</v>
      </c>
      <c r="D50" s="10" t="s">
        <v>325</v>
      </c>
      <c r="E50" s="13">
        <v>0</v>
      </c>
      <c r="F50" s="13">
        <f>2*3*14*50</f>
        <v>4200</v>
      </c>
      <c r="G50" s="13">
        <f>2*3*14*50</f>
        <v>4200</v>
      </c>
      <c r="H50" s="13">
        <f>(2*3*14*50)*2</f>
        <v>8400</v>
      </c>
      <c r="I50" s="13">
        <v>0</v>
      </c>
      <c r="J50" s="2"/>
      <c r="K50" s="28">
        <v>16800</v>
      </c>
      <c r="M50" s="114">
        <f>SUMIF(DTRQ1!$A$12:$A$422,'DETAILED REPROT Q1'!A50:A162,DTRQ1!$J$12:$J$422)</f>
        <v>0</v>
      </c>
      <c r="N50" s="114"/>
      <c r="O50" s="114"/>
      <c r="P50" s="114"/>
      <c r="Q50" s="114"/>
      <c r="R50" s="114"/>
      <c r="S50" s="73">
        <f t="shared" si="1"/>
        <v>0</v>
      </c>
      <c r="T50" s="73">
        <f t="shared" si="2"/>
        <v>16800</v>
      </c>
      <c r="U50" s="162">
        <f t="shared" si="3"/>
        <v>0</v>
      </c>
      <c r="V50" s="73"/>
    </row>
    <row r="51" spans="1:22" ht="16.5" thickBot="1">
      <c r="A51" s="72" t="s">
        <v>219</v>
      </c>
      <c r="B51" s="67" t="s">
        <v>170</v>
      </c>
      <c r="C51" s="6" t="s">
        <v>106</v>
      </c>
      <c r="D51" s="10" t="s">
        <v>325</v>
      </c>
      <c r="E51" s="13">
        <v>0</v>
      </c>
      <c r="F51" s="13">
        <f>42*50*2</f>
        <v>4200</v>
      </c>
      <c r="G51" s="13">
        <f>42*50*2</f>
        <v>4200</v>
      </c>
      <c r="H51" s="13">
        <f>(42*50*2)*2</f>
        <v>8400</v>
      </c>
      <c r="I51" s="13">
        <v>0</v>
      </c>
      <c r="J51" s="2"/>
      <c r="K51" s="28">
        <v>16800</v>
      </c>
      <c r="M51" s="114">
        <f>SUMIF(DTRQ1!$A$12:$A$422,'DETAILED REPROT Q1'!A51:A163,DTRQ1!$J$12:$J$422)</f>
        <v>0</v>
      </c>
      <c r="N51" s="114"/>
      <c r="O51" s="114"/>
      <c r="P51" s="114"/>
      <c r="Q51" s="114"/>
      <c r="R51" s="114"/>
      <c r="S51" s="73">
        <f t="shared" si="1"/>
        <v>0</v>
      </c>
      <c r="T51" s="73">
        <f t="shared" si="2"/>
        <v>16800</v>
      </c>
      <c r="U51" s="162">
        <f t="shared" si="3"/>
        <v>0</v>
      </c>
      <c r="V51" s="73"/>
    </row>
    <row r="52" spans="1:22" ht="16.5" thickBot="1">
      <c r="A52" s="72" t="s">
        <v>220</v>
      </c>
      <c r="B52" s="68" t="s">
        <v>188</v>
      </c>
      <c r="C52" s="10" t="s">
        <v>189</v>
      </c>
      <c r="D52" s="10" t="s">
        <v>325</v>
      </c>
      <c r="E52" s="13">
        <v>0</v>
      </c>
      <c r="F52" s="13">
        <v>1000</v>
      </c>
      <c r="G52" s="13">
        <v>1000</v>
      </c>
      <c r="H52" s="13">
        <f>2*1000</f>
        <v>2000</v>
      </c>
      <c r="I52" s="13"/>
      <c r="J52" s="2"/>
      <c r="K52" s="28">
        <v>4000</v>
      </c>
      <c r="M52" s="114">
        <f>SUMIF(DTRQ1!$A$12:$A$422,'DETAILED REPROT Q1'!A52:A164,DTRQ1!$J$12:$J$422)</f>
        <v>0</v>
      </c>
      <c r="N52" s="114"/>
      <c r="O52" s="114"/>
      <c r="P52" s="114"/>
      <c r="Q52" s="114"/>
      <c r="R52" s="114"/>
      <c r="S52" s="73">
        <f t="shared" si="1"/>
        <v>0</v>
      </c>
      <c r="T52" s="73">
        <f t="shared" si="2"/>
        <v>4000</v>
      </c>
      <c r="U52" s="162">
        <f t="shared" si="3"/>
        <v>0</v>
      </c>
      <c r="V52" s="73"/>
    </row>
    <row r="53" spans="1:22" ht="16.5" thickBot="1">
      <c r="A53" s="73"/>
      <c r="B53" s="29" t="s">
        <v>47</v>
      </c>
      <c r="C53" s="29" t="s">
        <v>39</v>
      </c>
      <c r="D53" s="29"/>
      <c r="E53" s="30">
        <f>E54+E57+E60+E63+E64</f>
        <v>7800</v>
      </c>
      <c r="F53" s="30">
        <f>F54+F57+F60+F63+F64</f>
        <v>19437</v>
      </c>
      <c r="G53" s="30">
        <f>G54+G57+G60+G63+G64</f>
        <v>2613</v>
      </c>
      <c r="H53" s="30">
        <f>H54+H57+H60+H63+H64</f>
        <v>5226</v>
      </c>
      <c r="I53" s="31">
        <v>0.5</v>
      </c>
      <c r="J53" s="32"/>
      <c r="K53" s="33">
        <v>35076</v>
      </c>
      <c r="M53" s="96">
        <f t="shared" ref="M53:R53" si="15">M54+M57+M60+M63+M64</f>
        <v>0</v>
      </c>
      <c r="N53" s="96">
        <f t="shared" si="15"/>
        <v>0</v>
      </c>
      <c r="O53" s="96">
        <f t="shared" si="15"/>
        <v>0</v>
      </c>
      <c r="P53" s="96">
        <f t="shared" si="15"/>
        <v>0</v>
      </c>
      <c r="Q53" s="96">
        <f t="shared" si="15"/>
        <v>0</v>
      </c>
      <c r="R53" s="96">
        <f t="shared" si="15"/>
        <v>0</v>
      </c>
      <c r="S53" s="96">
        <f t="shared" si="1"/>
        <v>0</v>
      </c>
      <c r="T53" s="96">
        <f t="shared" si="2"/>
        <v>35076</v>
      </c>
      <c r="U53" s="159">
        <f t="shared" si="3"/>
        <v>0</v>
      </c>
      <c r="V53" s="96"/>
    </row>
    <row r="54" spans="1:22" ht="32.25" thickBot="1">
      <c r="A54" s="73"/>
      <c r="B54" s="66" t="s">
        <v>49</v>
      </c>
      <c r="C54" s="34" t="s">
        <v>40</v>
      </c>
      <c r="D54" s="34"/>
      <c r="E54" s="35">
        <f>SUM(E55:E56)</f>
        <v>6900</v>
      </c>
      <c r="F54" s="35">
        <f>SUM(F55:F56)</f>
        <v>0</v>
      </c>
      <c r="G54" s="35">
        <f>SUM(G55:G56)</f>
        <v>0</v>
      </c>
      <c r="H54" s="35">
        <f>SUM(H55:H56)</f>
        <v>0</v>
      </c>
      <c r="I54" s="35">
        <v>0</v>
      </c>
      <c r="J54" s="36"/>
      <c r="K54" s="37">
        <v>6900</v>
      </c>
      <c r="M54" s="98">
        <f t="shared" ref="M54:R54" si="16">SUM(M55:M56)</f>
        <v>0</v>
      </c>
      <c r="N54" s="98">
        <f t="shared" si="16"/>
        <v>0</v>
      </c>
      <c r="O54" s="98">
        <f t="shared" si="16"/>
        <v>0</v>
      </c>
      <c r="P54" s="98">
        <f t="shared" si="16"/>
        <v>0</v>
      </c>
      <c r="Q54" s="98">
        <f t="shared" si="16"/>
        <v>0</v>
      </c>
      <c r="R54" s="98">
        <f t="shared" si="16"/>
        <v>0</v>
      </c>
      <c r="S54" s="98">
        <f t="shared" si="1"/>
        <v>0</v>
      </c>
      <c r="T54" s="98">
        <f t="shared" si="2"/>
        <v>6900</v>
      </c>
      <c r="U54" s="161">
        <f t="shared" si="3"/>
        <v>0</v>
      </c>
      <c r="V54" s="98"/>
    </row>
    <row r="55" spans="1:22" ht="16.5" thickBot="1">
      <c r="A55" s="74" t="s">
        <v>221</v>
      </c>
      <c r="B55" s="67" t="s">
        <v>171</v>
      </c>
      <c r="C55" s="6" t="s">
        <v>116</v>
      </c>
      <c r="D55" s="2" t="s">
        <v>326</v>
      </c>
      <c r="E55" s="13">
        <f>300*5</f>
        <v>1500</v>
      </c>
      <c r="F55" s="13">
        <v>0</v>
      </c>
      <c r="G55" s="13">
        <v>0</v>
      </c>
      <c r="H55" s="13">
        <v>0</v>
      </c>
      <c r="I55" s="13">
        <v>0</v>
      </c>
      <c r="J55" s="2"/>
      <c r="K55" s="28">
        <v>1500</v>
      </c>
      <c r="M55" s="114">
        <f>SUMIF(DTRQ1!$A$12:$A$422,'DETAILED REPROT Q1'!A55:A167,DTRQ1!$J$12:$J$422)</f>
        <v>0</v>
      </c>
      <c r="N55" s="114"/>
      <c r="O55" s="114"/>
      <c r="P55" s="114"/>
      <c r="Q55" s="114"/>
      <c r="R55" s="114"/>
      <c r="S55" s="73">
        <f t="shared" si="1"/>
        <v>0</v>
      </c>
      <c r="T55" s="73">
        <f t="shared" si="2"/>
        <v>1500</v>
      </c>
      <c r="U55" s="162">
        <f t="shared" si="3"/>
        <v>0</v>
      </c>
      <c r="V55" s="73"/>
    </row>
    <row r="56" spans="1:22" ht="16.5" thickBot="1">
      <c r="A56" s="74" t="s">
        <v>222</v>
      </c>
      <c r="B56" s="67" t="s">
        <v>172</v>
      </c>
      <c r="C56" s="6" t="s">
        <v>102</v>
      </c>
      <c r="D56" s="2" t="s">
        <v>326</v>
      </c>
      <c r="E56" s="13">
        <f>4500+300*3</f>
        <v>5400</v>
      </c>
      <c r="F56" s="13">
        <v>0</v>
      </c>
      <c r="G56" s="13">
        <v>0</v>
      </c>
      <c r="H56" s="13">
        <v>0</v>
      </c>
      <c r="I56" s="13">
        <v>0</v>
      </c>
      <c r="J56" s="2"/>
      <c r="K56" s="28">
        <v>5400</v>
      </c>
      <c r="M56" s="114">
        <f>SUMIF(DTRQ1!$A$12:$A$422,'DETAILED REPROT Q1'!A56:A168,DTRQ1!$J$12:$J$422)</f>
        <v>0</v>
      </c>
      <c r="N56" s="114"/>
      <c r="O56" s="114"/>
      <c r="P56" s="114"/>
      <c r="Q56" s="114"/>
      <c r="R56" s="114"/>
      <c r="S56" s="73">
        <f t="shared" si="1"/>
        <v>0</v>
      </c>
      <c r="T56" s="73">
        <f t="shared" si="2"/>
        <v>5400</v>
      </c>
      <c r="U56" s="162">
        <f t="shared" si="3"/>
        <v>0</v>
      </c>
      <c r="V56" s="73"/>
    </row>
    <row r="57" spans="1:22" ht="16.5" thickBot="1">
      <c r="A57" s="73"/>
      <c r="B57" s="66" t="s">
        <v>107</v>
      </c>
      <c r="C57" s="34" t="s">
        <v>44</v>
      </c>
      <c r="D57" s="34"/>
      <c r="E57" s="35">
        <f>SUM(E58:E59)</f>
        <v>0</v>
      </c>
      <c r="F57" s="35">
        <f>SUM(F58:F59)</f>
        <v>2025</v>
      </c>
      <c r="G57" s="35">
        <f>SUM(G58:G59)</f>
        <v>2025</v>
      </c>
      <c r="H57" s="35">
        <f>SUM(H58:H59)</f>
        <v>4050</v>
      </c>
      <c r="I57" s="35">
        <v>0</v>
      </c>
      <c r="J57" s="36"/>
      <c r="K57" s="37">
        <v>8100</v>
      </c>
      <c r="M57" s="98">
        <f t="shared" ref="M57:R57" si="17">SUM(M58:M59)</f>
        <v>0</v>
      </c>
      <c r="N57" s="98">
        <f t="shared" si="17"/>
        <v>0</v>
      </c>
      <c r="O57" s="98">
        <f t="shared" si="17"/>
        <v>0</v>
      </c>
      <c r="P57" s="98">
        <f t="shared" si="17"/>
        <v>0</v>
      </c>
      <c r="Q57" s="98">
        <f t="shared" si="17"/>
        <v>0</v>
      </c>
      <c r="R57" s="98">
        <f t="shared" si="17"/>
        <v>0</v>
      </c>
      <c r="S57" s="98">
        <f t="shared" si="1"/>
        <v>0</v>
      </c>
      <c r="T57" s="98">
        <f t="shared" si="2"/>
        <v>8100</v>
      </c>
      <c r="U57" s="161">
        <f t="shared" si="3"/>
        <v>0</v>
      </c>
      <c r="V57" s="98"/>
    </row>
    <row r="58" spans="1:22" ht="32.25" thickBot="1">
      <c r="A58" s="72" t="s">
        <v>223</v>
      </c>
      <c r="B58" s="67" t="s">
        <v>173</v>
      </c>
      <c r="C58" s="6" t="s">
        <v>108</v>
      </c>
      <c r="D58" s="10" t="s">
        <v>325</v>
      </c>
      <c r="E58" s="13">
        <v>0</v>
      </c>
      <c r="F58" s="13">
        <f>175*3</f>
        <v>525</v>
      </c>
      <c r="G58" s="13">
        <f>175*3</f>
        <v>525</v>
      </c>
      <c r="H58" s="13">
        <f>175*3+175*3</f>
        <v>1050</v>
      </c>
      <c r="I58" s="13">
        <v>0</v>
      </c>
      <c r="J58" s="2"/>
      <c r="K58" s="28">
        <v>2100</v>
      </c>
      <c r="M58" s="114">
        <f>SUMIF(DTRQ1!$A$12:$A$422,'DETAILED REPROT Q1'!A58:A170,DTRQ1!$J$12:$J$422)</f>
        <v>0</v>
      </c>
      <c r="N58" s="114"/>
      <c r="O58" s="114"/>
      <c r="P58" s="114"/>
      <c r="Q58" s="114"/>
      <c r="R58" s="114"/>
      <c r="S58" s="73">
        <f t="shared" si="1"/>
        <v>0</v>
      </c>
      <c r="T58" s="73">
        <f t="shared" si="2"/>
        <v>2100</v>
      </c>
      <c r="U58" s="162">
        <f t="shared" si="3"/>
        <v>0</v>
      </c>
      <c r="V58" s="73"/>
    </row>
    <row r="59" spans="1:22" ht="32.25" thickBot="1">
      <c r="A59" s="72" t="s">
        <v>224</v>
      </c>
      <c r="B59" s="67" t="s">
        <v>174</v>
      </c>
      <c r="C59" s="6" t="s">
        <v>109</v>
      </c>
      <c r="D59" s="10" t="s">
        <v>325</v>
      </c>
      <c r="E59" s="13">
        <v>0</v>
      </c>
      <c r="F59" s="13">
        <f>5*100*3</f>
        <v>1500</v>
      </c>
      <c r="G59" s="13">
        <f>5*100*3</f>
        <v>1500</v>
      </c>
      <c r="H59" s="13">
        <f>(5*100*3)+(5*100*3)</f>
        <v>3000</v>
      </c>
      <c r="I59" s="13">
        <v>0</v>
      </c>
      <c r="J59" s="2"/>
      <c r="K59" s="28">
        <v>6000</v>
      </c>
      <c r="M59" s="114">
        <f>SUMIF(DTRQ1!$A$12:$A$422,'DETAILED REPROT Q1'!A59:A171,DTRQ1!$J$12:$J$422)</f>
        <v>0</v>
      </c>
      <c r="N59" s="114"/>
      <c r="O59" s="114"/>
      <c r="P59" s="114"/>
      <c r="Q59" s="114"/>
      <c r="R59" s="114"/>
      <c r="S59" s="73">
        <f t="shared" si="1"/>
        <v>0</v>
      </c>
      <c r="T59" s="73">
        <f t="shared" si="2"/>
        <v>6000</v>
      </c>
      <c r="U59" s="162">
        <f t="shared" si="3"/>
        <v>0</v>
      </c>
      <c r="V59" s="73"/>
    </row>
    <row r="60" spans="1:22" ht="48" thickBot="1">
      <c r="A60" s="73"/>
      <c r="B60" s="66" t="s">
        <v>50</v>
      </c>
      <c r="C60" s="34" t="s">
        <v>48</v>
      </c>
      <c r="D60" s="34"/>
      <c r="E60" s="35">
        <f>SUM(E61:E62)</f>
        <v>900</v>
      </c>
      <c r="F60" s="35">
        <f>SUM(F61:F62)</f>
        <v>12000</v>
      </c>
      <c r="G60" s="35">
        <f>SUM(G61:G62)</f>
        <v>0</v>
      </c>
      <c r="H60" s="35">
        <f>SUM(H61:H62)</f>
        <v>0</v>
      </c>
      <c r="I60" s="35">
        <v>0</v>
      </c>
      <c r="J60" s="36"/>
      <c r="K60" s="37">
        <v>12900</v>
      </c>
      <c r="M60" s="98">
        <f t="shared" ref="M60:R60" si="18">SUM(M61:M62)</f>
        <v>0</v>
      </c>
      <c r="N60" s="98">
        <f t="shared" si="18"/>
        <v>0</v>
      </c>
      <c r="O60" s="98">
        <f t="shared" si="18"/>
        <v>0</v>
      </c>
      <c r="P60" s="98">
        <f t="shared" si="18"/>
        <v>0</v>
      </c>
      <c r="Q60" s="98">
        <f t="shared" si="18"/>
        <v>0</v>
      </c>
      <c r="R60" s="98">
        <f t="shared" si="18"/>
        <v>0</v>
      </c>
      <c r="S60" s="98">
        <f t="shared" si="1"/>
        <v>0</v>
      </c>
      <c r="T60" s="98">
        <f t="shared" si="2"/>
        <v>12900</v>
      </c>
      <c r="U60" s="161">
        <f t="shared" si="3"/>
        <v>0</v>
      </c>
      <c r="V60" s="98"/>
    </row>
    <row r="61" spans="1:22" ht="16.5" thickBot="1">
      <c r="A61" s="72" t="s">
        <v>225</v>
      </c>
      <c r="B61" s="67" t="s">
        <v>175</v>
      </c>
      <c r="C61" s="6" t="s">
        <v>110</v>
      </c>
      <c r="D61" s="2" t="s">
        <v>326</v>
      </c>
      <c r="E61" s="13">
        <f>300*3</f>
        <v>900</v>
      </c>
      <c r="F61" s="13">
        <v>0</v>
      </c>
      <c r="G61" s="13">
        <v>0</v>
      </c>
      <c r="H61" s="13">
        <v>0</v>
      </c>
      <c r="I61" s="13">
        <v>0</v>
      </c>
      <c r="J61" s="2"/>
      <c r="K61" s="28">
        <v>900</v>
      </c>
      <c r="M61" s="114">
        <f>SUMIF(DTRQ1!$A$12:$A$422,'DETAILED REPROT Q1'!A61:A173,DTRQ1!$J$12:$J$422)</f>
        <v>0</v>
      </c>
      <c r="N61" s="114"/>
      <c r="O61" s="114"/>
      <c r="P61" s="114"/>
      <c r="Q61" s="114"/>
      <c r="R61" s="114"/>
      <c r="S61" s="101">
        <f t="shared" si="1"/>
        <v>0</v>
      </c>
      <c r="T61" s="101">
        <f t="shared" si="2"/>
        <v>900</v>
      </c>
      <c r="U61" s="160">
        <f t="shared" si="3"/>
        <v>0</v>
      </c>
      <c r="V61" s="101"/>
    </row>
    <row r="62" spans="1:22" ht="16.5" thickBot="1">
      <c r="A62" s="72" t="s">
        <v>226</v>
      </c>
      <c r="B62" s="67" t="s">
        <v>176</v>
      </c>
      <c r="C62" s="6" t="s">
        <v>111</v>
      </c>
      <c r="D62" s="10" t="s">
        <v>325</v>
      </c>
      <c r="E62" s="13">
        <v>0</v>
      </c>
      <c r="F62" s="13">
        <f>4500*2+ 300*10</f>
        <v>12000</v>
      </c>
      <c r="G62" s="13">
        <v>0</v>
      </c>
      <c r="H62" s="13">
        <v>0</v>
      </c>
      <c r="I62" s="13">
        <v>0</v>
      </c>
      <c r="J62" s="2"/>
      <c r="K62" s="28">
        <v>12000</v>
      </c>
      <c r="M62" s="114">
        <f>SUMIF(DTRQ1!$A$12:$A$422,'DETAILED REPROT Q1'!A62:A174,DTRQ1!$J$12:$J$422)</f>
        <v>0</v>
      </c>
      <c r="N62" s="114"/>
      <c r="O62" s="114"/>
      <c r="P62" s="114"/>
      <c r="Q62" s="114"/>
      <c r="R62" s="114"/>
      <c r="S62" s="101">
        <f t="shared" si="1"/>
        <v>0</v>
      </c>
      <c r="T62" s="101">
        <f t="shared" si="2"/>
        <v>12000</v>
      </c>
      <c r="U62" s="160">
        <f t="shared" si="3"/>
        <v>0</v>
      </c>
      <c r="V62" s="101"/>
    </row>
    <row r="63" spans="1:22" ht="32.25" thickBot="1">
      <c r="A63" s="72" t="s">
        <v>227</v>
      </c>
      <c r="B63" s="68" t="s">
        <v>52</v>
      </c>
      <c r="C63" s="10" t="s">
        <v>51</v>
      </c>
      <c r="D63" s="10" t="s">
        <v>325</v>
      </c>
      <c r="E63" s="13">
        <v>0</v>
      </c>
      <c r="F63" s="13">
        <f>3024+300*6</f>
        <v>4824</v>
      </c>
      <c r="G63" s="13">
        <v>0</v>
      </c>
      <c r="H63" s="13">
        <v>0</v>
      </c>
      <c r="I63" s="13">
        <v>0</v>
      </c>
      <c r="J63" s="2"/>
      <c r="K63" s="28">
        <v>4824</v>
      </c>
      <c r="M63" s="114">
        <f>SUMIF(DTRQ1!$A$12:$A$422,'DETAILED REPROT Q1'!A63:A175,DTRQ1!$J$12:$J$422)</f>
        <v>0</v>
      </c>
      <c r="N63" s="114"/>
      <c r="O63" s="114"/>
      <c r="P63" s="114"/>
      <c r="Q63" s="114"/>
      <c r="R63" s="114"/>
      <c r="S63" s="101">
        <f t="shared" si="1"/>
        <v>0</v>
      </c>
      <c r="T63" s="101">
        <f t="shared" si="2"/>
        <v>4824</v>
      </c>
      <c r="U63" s="160">
        <f t="shared" si="3"/>
        <v>0</v>
      </c>
      <c r="V63" s="101"/>
    </row>
    <row r="64" spans="1:22" ht="16.5" thickBot="1">
      <c r="A64" s="74" t="s">
        <v>228</v>
      </c>
      <c r="B64" s="68" t="s">
        <v>54</v>
      </c>
      <c r="C64" s="10" t="s">
        <v>53</v>
      </c>
      <c r="D64" s="10" t="s">
        <v>325</v>
      </c>
      <c r="E64" s="13">
        <v>0</v>
      </c>
      <c r="F64" s="13">
        <f>42*14</f>
        <v>588</v>
      </c>
      <c r="G64" s="13">
        <f>42*14</f>
        <v>588</v>
      </c>
      <c r="H64" s="13">
        <f>(42*14)*2</f>
        <v>1176</v>
      </c>
      <c r="I64" s="13">
        <v>0</v>
      </c>
      <c r="J64" s="2"/>
      <c r="K64" s="28">
        <v>2352</v>
      </c>
      <c r="M64" s="114">
        <f>SUMIF(DTRQ1!$A$12:$A$422,'DETAILED REPROT Q1'!A64:A176,DTRQ1!$J$12:$J$422)</f>
        <v>0</v>
      </c>
      <c r="N64" s="114"/>
      <c r="O64" s="114"/>
      <c r="P64" s="114"/>
      <c r="Q64" s="114"/>
      <c r="R64" s="114"/>
      <c r="S64" s="101">
        <f t="shared" si="1"/>
        <v>0</v>
      </c>
      <c r="T64" s="101">
        <f t="shared" si="2"/>
        <v>2352</v>
      </c>
      <c r="U64" s="160">
        <f t="shared" si="3"/>
        <v>0</v>
      </c>
      <c r="V64" s="101"/>
    </row>
    <row r="65" spans="1:22" ht="32.25" thickBot="1">
      <c r="A65" s="73"/>
      <c r="B65" s="29" t="s">
        <v>56</v>
      </c>
      <c r="C65" s="29" t="s">
        <v>55</v>
      </c>
      <c r="D65" s="29"/>
      <c r="E65" s="30">
        <f>E66+E67+E68</f>
        <v>0</v>
      </c>
      <c r="F65" s="30">
        <f>F66+F67+F68</f>
        <v>26800</v>
      </c>
      <c r="G65" s="30">
        <f>G66+G67+G68</f>
        <v>26800</v>
      </c>
      <c r="H65" s="30">
        <f>H66+H67+H68</f>
        <v>53600</v>
      </c>
      <c r="I65" s="31">
        <v>0.5</v>
      </c>
      <c r="J65" s="32"/>
      <c r="K65" s="33">
        <v>107200</v>
      </c>
      <c r="M65" s="96">
        <f t="shared" ref="M65:R65" si="19">M66+M67+M68</f>
        <v>0</v>
      </c>
      <c r="N65" s="96">
        <f t="shared" si="19"/>
        <v>0</v>
      </c>
      <c r="O65" s="96">
        <f t="shared" si="19"/>
        <v>0</v>
      </c>
      <c r="P65" s="96">
        <f t="shared" si="19"/>
        <v>0</v>
      </c>
      <c r="Q65" s="96">
        <f t="shared" si="19"/>
        <v>0</v>
      </c>
      <c r="R65" s="96">
        <f t="shared" si="19"/>
        <v>0</v>
      </c>
      <c r="S65" s="96">
        <f t="shared" si="1"/>
        <v>0</v>
      </c>
      <c r="T65" s="96">
        <f t="shared" si="2"/>
        <v>107200</v>
      </c>
      <c r="U65" s="159">
        <f t="shared" si="3"/>
        <v>0</v>
      </c>
      <c r="V65" s="96"/>
    </row>
    <row r="66" spans="1:22" ht="32.25" thickBot="1">
      <c r="A66" s="74" t="s">
        <v>229</v>
      </c>
      <c r="B66" s="2" t="s">
        <v>12</v>
      </c>
      <c r="C66" s="10" t="s">
        <v>57</v>
      </c>
      <c r="D66" s="10" t="s">
        <v>325</v>
      </c>
      <c r="E66" s="13">
        <v>0</v>
      </c>
      <c r="F66" s="13">
        <f>400*4</f>
        <v>1600</v>
      </c>
      <c r="G66" s="13">
        <f>400*4</f>
        <v>1600</v>
      </c>
      <c r="H66" s="13">
        <f>400*4+400*4</f>
        <v>3200</v>
      </c>
      <c r="I66" s="13">
        <v>0</v>
      </c>
      <c r="J66" s="2"/>
      <c r="K66" s="28">
        <v>6400</v>
      </c>
      <c r="M66" s="114">
        <f>SUMIF(DTRQ1!$A$12:$A$422,'DETAILED REPROT Q1'!A66:A178,DTRQ1!$J$12:$J$422)</f>
        <v>0</v>
      </c>
      <c r="N66" s="114"/>
      <c r="O66" s="114"/>
      <c r="P66" s="114"/>
      <c r="Q66" s="114"/>
      <c r="R66" s="114"/>
      <c r="S66" s="101">
        <f t="shared" si="1"/>
        <v>0</v>
      </c>
      <c r="T66" s="101">
        <f t="shared" si="2"/>
        <v>6400</v>
      </c>
      <c r="U66" s="160">
        <f t="shared" si="3"/>
        <v>0</v>
      </c>
      <c r="V66" s="101"/>
    </row>
    <row r="67" spans="1:22" ht="32.25" thickBot="1">
      <c r="A67" s="74" t="s">
        <v>230</v>
      </c>
      <c r="B67" s="2" t="s">
        <v>59</v>
      </c>
      <c r="C67" s="10" t="s">
        <v>58</v>
      </c>
      <c r="D67" s="10" t="s">
        <v>325</v>
      </c>
      <c r="E67" s="13">
        <v>0</v>
      </c>
      <c r="F67" s="13">
        <f>6000*3</f>
        <v>18000</v>
      </c>
      <c r="G67" s="13">
        <f>6000*3</f>
        <v>18000</v>
      </c>
      <c r="H67" s="13">
        <f>6000*3+6000*3</f>
        <v>36000</v>
      </c>
      <c r="I67" s="13">
        <v>0</v>
      </c>
      <c r="J67" s="2"/>
      <c r="K67" s="28">
        <v>72000</v>
      </c>
      <c r="M67" s="114">
        <f>SUMIF(DTRQ1!$A$12:$A$422,'DETAILED REPROT Q1'!A67:A179,DTRQ1!$J$12:$J$422)</f>
        <v>0</v>
      </c>
      <c r="N67" s="114"/>
      <c r="O67" s="114"/>
      <c r="P67" s="114"/>
      <c r="Q67" s="114"/>
      <c r="R67" s="114"/>
      <c r="S67" s="101">
        <f t="shared" si="1"/>
        <v>0</v>
      </c>
      <c r="T67" s="101">
        <f t="shared" si="2"/>
        <v>72000</v>
      </c>
      <c r="U67" s="160">
        <f t="shared" si="3"/>
        <v>0</v>
      </c>
      <c r="V67" s="101"/>
    </row>
    <row r="68" spans="1:22" ht="48" thickBot="1">
      <c r="A68" s="73"/>
      <c r="B68" s="66" t="s">
        <v>61</v>
      </c>
      <c r="C68" s="34" t="s">
        <v>60</v>
      </c>
      <c r="D68" s="34"/>
      <c r="E68" s="35">
        <v>0</v>
      </c>
      <c r="F68" s="35">
        <f>SUM(F69:F70)</f>
        <v>7200</v>
      </c>
      <c r="G68" s="35">
        <f>SUM(G69:G70)</f>
        <v>7200</v>
      </c>
      <c r="H68" s="35">
        <f>SUM(H69:H70)</f>
        <v>14400</v>
      </c>
      <c r="I68" s="35">
        <v>0</v>
      </c>
      <c r="J68" s="36"/>
      <c r="K68" s="37">
        <v>28800</v>
      </c>
      <c r="M68" s="98">
        <f t="shared" ref="M68:R68" si="20">SUM(M69:M70)</f>
        <v>0</v>
      </c>
      <c r="N68" s="98">
        <f t="shared" si="20"/>
        <v>0</v>
      </c>
      <c r="O68" s="98">
        <f t="shared" si="20"/>
        <v>0</v>
      </c>
      <c r="P68" s="98">
        <f t="shared" si="20"/>
        <v>0</v>
      </c>
      <c r="Q68" s="98">
        <f t="shared" si="20"/>
        <v>0</v>
      </c>
      <c r="R68" s="98">
        <f t="shared" si="20"/>
        <v>0</v>
      </c>
      <c r="S68" s="98">
        <f t="shared" si="1"/>
        <v>0</v>
      </c>
      <c r="T68" s="98">
        <f t="shared" si="2"/>
        <v>28800</v>
      </c>
      <c r="U68" s="161">
        <f t="shared" si="3"/>
        <v>0</v>
      </c>
      <c r="V68" s="98"/>
    </row>
    <row r="69" spans="1:22" ht="16.5" thickBot="1">
      <c r="A69" s="74" t="s">
        <v>231</v>
      </c>
      <c r="B69" s="67" t="s">
        <v>198</v>
      </c>
      <c r="C69" s="6" t="s">
        <v>112</v>
      </c>
      <c r="D69" s="10" t="s">
        <v>325</v>
      </c>
      <c r="E69" s="13">
        <v>0</v>
      </c>
      <c r="F69" s="13">
        <f>1200*3</f>
        <v>3600</v>
      </c>
      <c r="G69" s="13">
        <f>1200*3</f>
        <v>3600</v>
      </c>
      <c r="H69" s="13">
        <f>1200*3+1200*3</f>
        <v>7200</v>
      </c>
      <c r="I69" s="13">
        <v>0</v>
      </c>
      <c r="J69" s="2"/>
      <c r="K69" s="28">
        <v>14400</v>
      </c>
      <c r="M69" s="114">
        <f>SUMIF(DTRQ1!$A$12:$A$422,'DETAILED REPROT Q1'!A69:A181,DTRQ1!$J$12:$J$422)</f>
        <v>0</v>
      </c>
      <c r="N69" s="114"/>
      <c r="O69" s="114"/>
      <c r="P69" s="114"/>
      <c r="Q69" s="114"/>
      <c r="R69" s="114"/>
      <c r="S69" s="101">
        <f t="shared" si="1"/>
        <v>0</v>
      </c>
      <c r="T69" s="101">
        <f t="shared" si="2"/>
        <v>14400</v>
      </c>
      <c r="U69" s="160">
        <f t="shared" si="3"/>
        <v>0</v>
      </c>
      <c r="V69" s="101"/>
    </row>
    <row r="70" spans="1:22" ht="16.5" thickBot="1">
      <c r="A70" s="74" t="s">
        <v>232</v>
      </c>
      <c r="B70" s="67" t="s">
        <v>197</v>
      </c>
      <c r="C70" s="6" t="s">
        <v>113</v>
      </c>
      <c r="D70" s="10" t="s">
        <v>325</v>
      </c>
      <c r="E70" s="13">
        <v>0</v>
      </c>
      <c r="F70" s="13">
        <f>1200*3</f>
        <v>3600</v>
      </c>
      <c r="G70" s="13">
        <f>1200*3</f>
        <v>3600</v>
      </c>
      <c r="H70" s="13">
        <f>1200*3+1200*3</f>
        <v>7200</v>
      </c>
      <c r="I70" s="13">
        <v>0</v>
      </c>
      <c r="J70" s="2"/>
      <c r="K70" s="28">
        <v>14400</v>
      </c>
      <c r="M70" s="114">
        <f>SUMIF(DTRQ1!$A$12:$A$422,'DETAILED REPROT Q1'!A70:A182,DTRQ1!$J$12:$J$422)</f>
        <v>0</v>
      </c>
      <c r="N70" s="114"/>
      <c r="O70" s="114"/>
      <c r="P70" s="114"/>
      <c r="Q70" s="114"/>
      <c r="R70" s="114"/>
      <c r="S70" s="101">
        <f t="shared" si="1"/>
        <v>0</v>
      </c>
      <c r="T70" s="101">
        <f t="shared" si="2"/>
        <v>14400</v>
      </c>
      <c r="U70" s="160">
        <f t="shared" si="3"/>
        <v>0</v>
      </c>
      <c r="V70" s="101"/>
    </row>
    <row r="71" spans="1:22" ht="32.25" thickBot="1">
      <c r="A71" s="73"/>
      <c r="B71" s="29" t="s">
        <v>63</v>
      </c>
      <c r="C71" s="29" t="s">
        <v>62</v>
      </c>
      <c r="D71" s="29"/>
      <c r="E71" s="30">
        <f>E72+E73+E74+E75</f>
        <v>0</v>
      </c>
      <c r="F71" s="30">
        <f>F72+F73+F74+F75</f>
        <v>47013.4</v>
      </c>
      <c r="G71" s="30">
        <f>G72+G73+G74+G75</f>
        <v>8089.7</v>
      </c>
      <c r="H71" s="30">
        <f>H72+H73+H74+H75</f>
        <v>0</v>
      </c>
      <c r="I71" s="31">
        <v>0</v>
      </c>
      <c r="J71" s="32"/>
      <c r="K71" s="33">
        <v>55103.1</v>
      </c>
      <c r="M71" s="96">
        <f t="shared" ref="M71:R71" si="21">M72+M73+M74+M75</f>
        <v>0</v>
      </c>
      <c r="N71" s="96">
        <f t="shared" si="21"/>
        <v>0</v>
      </c>
      <c r="O71" s="96">
        <f t="shared" si="21"/>
        <v>0</v>
      </c>
      <c r="P71" s="96">
        <f t="shared" si="21"/>
        <v>0</v>
      </c>
      <c r="Q71" s="96">
        <f t="shared" si="21"/>
        <v>0</v>
      </c>
      <c r="R71" s="96">
        <f t="shared" si="21"/>
        <v>0</v>
      </c>
      <c r="S71" s="96">
        <f t="shared" si="1"/>
        <v>0</v>
      </c>
      <c r="T71" s="96">
        <f t="shared" si="2"/>
        <v>55103.1</v>
      </c>
      <c r="U71" s="159">
        <f t="shared" si="3"/>
        <v>0</v>
      </c>
      <c r="V71" s="96"/>
    </row>
    <row r="72" spans="1:22" ht="16.5" thickBot="1">
      <c r="A72" s="74" t="s">
        <v>233</v>
      </c>
      <c r="B72" s="2" t="s">
        <v>66</v>
      </c>
      <c r="C72" s="10" t="s">
        <v>64</v>
      </c>
      <c r="D72" s="10" t="s">
        <v>325</v>
      </c>
      <c r="E72" s="13">
        <v>0</v>
      </c>
      <c r="F72" s="13">
        <f>2089.7*2</f>
        <v>4179.3999999999996</v>
      </c>
      <c r="G72" s="13">
        <v>2089.6999999999998</v>
      </c>
      <c r="H72" s="13">
        <v>0</v>
      </c>
      <c r="I72" s="13">
        <v>0</v>
      </c>
      <c r="J72" s="2"/>
      <c r="K72" s="28">
        <v>6269.0999999999995</v>
      </c>
      <c r="M72" s="114">
        <f>SUMIF(DTRQ1!$A$12:$A$422,'DETAILED REPROT Q1'!A72:A184,DTRQ1!$J$12:$J$422)</f>
        <v>0</v>
      </c>
      <c r="N72" s="114"/>
      <c r="O72" s="114"/>
      <c r="P72" s="114"/>
      <c r="Q72" s="114"/>
      <c r="R72" s="114"/>
      <c r="S72" s="101">
        <f t="shared" si="1"/>
        <v>0</v>
      </c>
      <c r="T72" s="101">
        <f t="shared" si="2"/>
        <v>6269.0999999999995</v>
      </c>
      <c r="U72" s="160">
        <f t="shared" si="3"/>
        <v>0</v>
      </c>
      <c r="V72" s="101"/>
    </row>
    <row r="73" spans="1:22" ht="32.25" thickBot="1">
      <c r="A73" s="74" t="s">
        <v>234</v>
      </c>
      <c r="B73" s="2" t="s">
        <v>68</v>
      </c>
      <c r="C73" s="10" t="s">
        <v>67</v>
      </c>
      <c r="D73" s="10" t="s">
        <v>325</v>
      </c>
      <c r="E73" s="13">
        <v>0</v>
      </c>
      <c r="F73" s="13">
        <v>16834</v>
      </c>
      <c r="G73" s="13"/>
      <c r="H73" s="13">
        <v>0</v>
      </c>
      <c r="I73" s="13">
        <v>0</v>
      </c>
      <c r="J73" s="2"/>
      <c r="K73" s="28">
        <v>16834</v>
      </c>
      <c r="M73" s="114">
        <f>SUMIF(DTRQ1!$A$12:$A$422,'DETAILED REPROT Q1'!A73:A185,DTRQ1!$J$12:$J$422)</f>
        <v>0</v>
      </c>
      <c r="N73" s="114"/>
      <c r="O73" s="114"/>
      <c r="P73" s="114"/>
      <c r="Q73" s="114"/>
      <c r="R73" s="114"/>
      <c r="S73" s="101">
        <f t="shared" si="1"/>
        <v>0</v>
      </c>
      <c r="T73" s="101">
        <f t="shared" si="2"/>
        <v>16834</v>
      </c>
      <c r="U73" s="160">
        <f t="shared" si="3"/>
        <v>0</v>
      </c>
      <c r="V73" s="101"/>
    </row>
    <row r="74" spans="1:22" ht="32.25" thickBot="1">
      <c r="A74" s="74" t="s">
        <v>235</v>
      </c>
      <c r="B74" s="2" t="s">
        <v>69</v>
      </c>
      <c r="C74" s="10" t="s">
        <v>65</v>
      </c>
      <c r="D74" s="10" t="s">
        <v>325</v>
      </c>
      <c r="E74" s="13">
        <v>0</v>
      </c>
      <c r="F74" s="13">
        <v>20000</v>
      </c>
      <c r="G74" s="13">
        <v>0</v>
      </c>
      <c r="H74" s="13">
        <v>0</v>
      </c>
      <c r="I74" s="13">
        <v>0</v>
      </c>
      <c r="J74" s="2"/>
      <c r="K74" s="28">
        <v>20000</v>
      </c>
      <c r="M74" s="114">
        <f>SUMIF(DTRQ1!$A$12:$A$422,'DETAILED REPROT Q1'!A74:A186,DTRQ1!$J$12:$J$422)</f>
        <v>0</v>
      </c>
      <c r="N74" s="114"/>
      <c r="O74" s="114"/>
      <c r="P74" s="114"/>
      <c r="Q74" s="114"/>
      <c r="R74" s="114"/>
      <c r="S74" s="101">
        <f t="shared" si="1"/>
        <v>0</v>
      </c>
      <c r="T74" s="101">
        <f t="shared" si="2"/>
        <v>20000</v>
      </c>
      <c r="U74" s="160">
        <f t="shared" si="3"/>
        <v>0</v>
      </c>
      <c r="V74" s="101"/>
    </row>
    <row r="75" spans="1:22" ht="32.25" thickBot="1">
      <c r="A75" s="74" t="s">
        <v>236</v>
      </c>
      <c r="B75" s="2" t="s">
        <v>71</v>
      </c>
      <c r="C75" s="10" t="s">
        <v>70</v>
      </c>
      <c r="D75" s="10" t="s">
        <v>325</v>
      </c>
      <c r="E75" s="13">
        <v>0</v>
      </c>
      <c r="F75" s="13">
        <v>6000</v>
      </c>
      <c r="G75" s="13">
        <f>6000</f>
        <v>6000</v>
      </c>
      <c r="H75" s="13">
        <v>0</v>
      </c>
      <c r="I75" s="13">
        <v>0</v>
      </c>
      <c r="J75" s="2"/>
      <c r="K75" s="28">
        <v>12000</v>
      </c>
      <c r="L75" s="86"/>
      <c r="M75" s="114">
        <f>SUMIF(DTRQ1!$A$12:$A$422,'DETAILED REPROT Q1'!A75:A187,DTRQ1!$J$12:$J$422)</f>
        <v>0</v>
      </c>
      <c r="N75" s="114"/>
      <c r="O75" s="114"/>
      <c r="P75" s="114"/>
      <c r="Q75" s="114"/>
      <c r="R75" s="114"/>
      <c r="S75" s="101">
        <f t="shared" si="1"/>
        <v>0</v>
      </c>
      <c r="T75" s="101">
        <f t="shared" si="2"/>
        <v>12000</v>
      </c>
      <c r="U75" s="160">
        <f t="shared" si="3"/>
        <v>0</v>
      </c>
      <c r="V75" s="101"/>
    </row>
    <row r="76" spans="1:22" ht="16.5" thickBot="1">
      <c r="A76" s="73"/>
      <c r="B76" s="42" t="s">
        <v>152</v>
      </c>
      <c r="C76" s="41">
        <f>SUM(E76:H76)</f>
        <v>261511.9</v>
      </c>
      <c r="D76" s="41"/>
      <c r="E76" s="41">
        <f>E71+E65+E53+E39</f>
        <v>12300</v>
      </c>
      <c r="F76" s="41">
        <f>F71+F65+F53+F39</f>
        <v>107033.59999999999</v>
      </c>
      <c r="G76" s="41">
        <f>G71+G65+G53+G39</f>
        <v>55785.899999999994</v>
      </c>
      <c r="H76" s="41">
        <f>H71+H65+H53+H39</f>
        <v>86392.4</v>
      </c>
      <c r="I76" s="42"/>
      <c r="J76" s="42"/>
      <c r="K76" s="43">
        <v>261511.9</v>
      </c>
      <c r="M76" s="102">
        <f t="shared" ref="M76:R76" si="22">M71+M65+M53+M39</f>
        <v>0</v>
      </c>
      <c r="N76" s="102">
        <f t="shared" si="22"/>
        <v>0</v>
      </c>
      <c r="O76" s="102">
        <f t="shared" si="22"/>
        <v>0</v>
      </c>
      <c r="P76" s="102">
        <f t="shared" si="22"/>
        <v>0</v>
      </c>
      <c r="Q76" s="102">
        <f t="shared" si="22"/>
        <v>0</v>
      </c>
      <c r="R76" s="102">
        <f t="shared" si="22"/>
        <v>0</v>
      </c>
      <c r="S76" s="102">
        <f t="shared" si="1"/>
        <v>0</v>
      </c>
      <c r="T76" s="102">
        <f t="shared" si="2"/>
        <v>261511.9</v>
      </c>
      <c r="U76" s="164">
        <f t="shared" si="3"/>
        <v>0</v>
      </c>
      <c r="V76" s="102"/>
    </row>
    <row r="77" spans="1:22" ht="16.5" customHeight="1" thickBot="1">
      <c r="A77" s="73"/>
      <c r="B77" s="116" t="s">
        <v>191</v>
      </c>
      <c r="C77" s="116"/>
      <c r="D77" s="116"/>
      <c r="E77" s="116"/>
      <c r="F77" s="116"/>
      <c r="G77" s="116"/>
      <c r="H77" s="116"/>
      <c r="I77" s="117"/>
      <c r="J77" s="44"/>
      <c r="K77" s="45">
        <v>0</v>
      </c>
      <c r="M77" s="103"/>
      <c r="N77" s="103"/>
      <c r="O77" s="103"/>
      <c r="P77" s="103"/>
      <c r="Q77" s="103"/>
      <c r="R77" s="103"/>
      <c r="S77" s="103">
        <f t="shared" si="1"/>
        <v>0</v>
      </c>
      <c r="T77" s="103"/>
      <c r="U77" s="165"/>
      <c r="V77" s="103"/>
    </row>
    <row r="78" spans="1:22" ht="16.5" thickBot="1">
      <c r="A78" s="73"/>
      <c r="B78" s="29" t="s">
        <v>72</v>
      </c>
      <c r="C78" s="29" t="s">
        <v>190</v>
      </c>
      <c r="D78" s="29"/>
      <c r="E78" s="30">
        <f>E79+E80</f>
        <v>0</v>
      </c>
      <c r="F78" s="30">
        <f>F79+F80</f>
        <v>8150</v>
      </c>
      <c r="G78" s="30">
        <f>G79+G80</f>
        <v>8150</v>
      </c>
      <c r="H78" s="30">
        <f>H79+H80</f>
        <v>16300</v>
      </c>
      <c r="I78" s="31">
        <v>0.5</v>
      </c>
      <c r="J78" s="32"/>
      <c r="K78" s="33">
        <v>32600</v>
      </c>
      <c r="M78" s="96">
        <f t="shared" ref="M78:R78" si="23">M79+M80</f>
        <v>0</v>
      </c>
      <c r="N78" s="96">
        <f t="shared" si="23"/>
        <v>0</v>
      </c>
      <c r="O78" s="96">
        <f t="shared" si="23"/>
        <v>0</v>
      </c>
      <c r="P78" s="96">
        <f t="shared" si="23"/>
        <v>0</v>
      </c>
      <c r="Q78" s="96">
        <f t="shared" si="23"/>
        <v>0</v>
      </c>
      <c r="R78" s="96">
        <f t="shared" si="23"/>
        <v>0</v>
      </c>
      <c r="S78" s="96">
        <f t="shared" si="1"/>
        <v>0</v>
      </c>
      <c r="T78" s="96">
        <f t="shared" si="2"/>
        <v>32600</v>
      </c>
      <c r="U78" s="159">
        <f t="shared" si="3"/>
        <v>0</v>
      </c>
      <c r="V78" s="96"/>
    </row>
    <row r="79" spans="1:22" ht="48" thickBot="1">
      <c r="A79" s="72" t="s">
        <v>237</v>
      </c>
      <c r="B79" s="7" t="s">
        <v>74</v>
      </c>
      <c r="C79" s="7" t="s">
        <v>73</v>
      </c>
      <c r="D79" s="10" t="s">
        <v>325</v>
      </c>
      <c r="E79" s="14">
        <v>0</v>
      </c>
      <c r="F79" s="14">
        <f>2000</f>
        <v>2000</v>
      </c>
      <c r="G79" s="14">
        <f>2000</f>
        <v>2000</v>
      </c>
      <c r="H79" s="14">
        <f>2000*2</f>
        <v>4000</v>
      </c>
      <c r="I79" s="13">
        <v>0</v>
      </c>
      <c r="J79" s="7"/>
      <c r="K79" s="28">
        <v>8000</v>
      </c>
      <c r="M79" s="114">
        <f>SUMIF(DTRQ1!$A$12:$A$422,'DETAILED REPROT Q1'!A79:A191,DTRQ1!$J$12:$J$422)</f>
        <v>0</v>
      </c>
      <c r="N79" s="114"/>
      <c r="O79" s="114"/>
      <c r="P79" s="114"/>
      <c r="Q79" s="114"/>
      <c r="R79" s="114"/>
      <c r="S79" s="104">
        <f t="shared" si="1"/>
        <v>0</v>
      </c>
      <c r="T79" s="104">
        <f t="shared" si="2"/>
        <v>8000</v>
      </c>
      <c r="U79" s="166">
        <f t="shared" si="3"/>
        <v>0</v>
      </c>
      <c r="V79" s="104"/>
    </row>
    <row r="80" spans="1:22" ht="16.5" thickBot="1">
      <c r="A80" s="72" t="s">
        <v>238</v>
      </c>
      <c r="B80" s="2" t="s">
        <v>75</v>
      </c>
      <c r="C80" s="2" t="s">
        <v>117</v>
      </c>
      <c r="D80" s="10" t="s">
        <v>325</v>
      </c>
      <c r="E80" s="13">
        <v>0</v>
      </c>
      <c r="F80" s="13">
        <f>1230*5</f>
        <v>6150</v>
      </c>
      <c r="G80" s="13">
        <f>1230*5</f>
        <v>6150</v>
      </c>
      <c r="H80" s="13">
        <f>1230*5+1230*5</f>
        <v>12300</v>
      </c>
      <c r="I80" s="13">
        <v>0</v>
      </c>
      <c r="J80" s="2"/>
      <c r="K80" s="28">
        <v>24600</v>
      </c>
      <c r="M80" s="114">
        <f>SUMIF(DTRQ1!$A$12:$A$422,'DETAILED REPROT Q1'!A80:A192,DTRQ1!$J$12:$J$422)</f>
        <v>0</v>
      </c>
      <c r="N80" s="114"/>
      <c r="O80" s="114"/>
      <c r="P80" s="114"/>
      <c r="Q80" s="114"/>
      <c r="R80" s="114"/>
      <c r="S80" s="101">
        <f t="shared" si="1"/>
        <v>0</v>
      </c>
      <c r="T80" s="101">
        <f t="shared" si="2"/>
        <v>24600</v>
      </c>
      <c r="U80" s="160">
        <f t="shared" si="3"/>
        <v>0</v>
      </c>
      <c r="V80" s="101"/>
    </row>
    <row r="81" spans="1:22" ht="48" thickBot="1">
      <c r="A81" s="73"/>
      <c r="B81" s="29" t="s">
        <v>79</v>
      </c>
      <c r="C81" s="29" t="s">
        <v>78</v>
      </c>
      <c r="D81" s="29"/>
      <c r="E81" s="30">
        <f>SUM(E82+E83)</f>
        <v>0</v>
      </c>
      <c r="F81" s="30">
        <f>SUM(F82+F83)</f>
        <v>5500</v>
      </c>
      <c r="G81" s="30">
        <f>SUM(G82+G83)</f>
        <v>5500</v>
      </c>
      <c r="H81" s="30">
        <f>SUM(H82+H83)</f>
        <v>9750</v>
      </c>
      <c r="I81" s="31">
        <v>0</v>
      </c>
      <c r="J81" s="32"/>
      <c r="K81" s="33">
        <v>20750</v>
      </c>
      <c r="M81" s="96">
        <f t="shared" ref="M81:R81" si="24">SUM(M82+M83)</f>
        <v>0</v>
      </c>
      <c r="N81" s="96">
        <f t="shared" si="24"/>
        <v>0</v>
      </c>
      <c r="O81" s="96">
        <f t="shared" si="24"/>
        <v>0</v>
      </c>
      <c r="P81" s="96">
        <f t="shared" si="24"/>
        <v>0</v>
      </c>
      <c r="Q81" s="96">
        <f t="shared" si="24"/>
        <v>0</v>
      </c>
      <c r="R81" s="96">
        <f t="shared" si="24"/>
        <v>0</v>
      </c>
      <c r="S81" s="96">
        <f t="shared" si="1"/>
        <v>0</v>
      </c>
      <c r="T81" s="96">
        <f t="shared" si="2"/>
        <v>20750</v>
      </c>
      <c r="U81" s="159">
        <f t="shared" si="3"/>
        <v>0</v>
      </c>
      <c r="V81" s="96"/>
    </row>
    <row r="82" spans="1:22" ht="63.75" thickBot="1">
      <c r="A82" s="72" t="s">
        <v>239</v>
      </c>
      <c r="B82" s="2" t="s">
        <v>77</v>
      </c>
      <c r="C82" s="2" t="s">
        <v>76</v>
      </c>
      <c r="D82" s="10" t="s">
        <v>325</v>
      </c>
      <c r="E82" s="13">
        <v>0</v>
      </c>
      <c r="F82" s="13">
        <v>500</v>
      </c>
      <c r="G82" s="13">
        <v>500</v>
      </c>
      <c r="H82" s="13">
        <f>8750+500*2</f>
        <v>9750</v>
      </c>
      <c r="I82" s="13">
        <v>0</v>
      </c>
      <c r="J82" s="2"/>
      <c r="K82" s="28">
        <v>10750</v>
      </c>
      <c r="M82" s="114">
        <f>SUMIF(DTRQ1!$A$12:$A$422,'DETAILED REPROT Q1'!A82:A194,DTRQ1!$J$12:$J$422)</f>
        <v>0</v>
      </c>
      <c r="N82" s="114"/>
      <c r="O82" s="114"/>
      <c r="P82" s="114"/>
      <c r="Q82" s="114"/>
      <c r="R82" s="114"/>
      <c r="S82" s="101">
        <f t="shared" si="1"/>
        <v>0</v>
      </c>
      <c r="T82" s="101">
        <f t="shared" si="2"/>
        <v>10750</v>
      </c>
      <c r="U82" s="160">
        <f t="shared" si="3"/>
        <v>0</v>
      </c>
      <c r="V82" s="101"/>
    </row>
    <row r="83" spans="1:22" ht="32.25" thickBot="1">
      <c r="A83" s="72" t="s">
        <v>240</v>
      </c>
      <c r="B83" s="2" t="s">
        <v>81</v>
      </c>
      <c r="C83" s="2" t="s">
        <v>80</v>
      </c>
      <c r="D83" s="10" t="s">
        <v>325</v>
      </c>
      <c r="E83" s="13">
        <v>0</v>
      </c>
      <c r="F83" s="13">
        <v>5000</v>
      </c>
      <c r="G83" s="13">
        <v>5000</v>
      </c>
      <c r="H83" s="13">
        <v>0</v>
      </c>
      <c r="I83" s="13">
        <v>0</v>
      </c>
      <c r="J83" s="2"/>
      <c r="K83" s="28">
        <v>10000</v>
      </c>
      <c r="M83" s="114">
        <f>SUMIF(DTRQ1!$A$12:$A$422,'DETAILED REPROT Q1'!A83:A195,DTRQ1!$J$12:$J$422)</f>
        <v>0</v>
      </c>
      <c r="N83" s="114"/>
      <c r="O83" s="114"/>
      <c r="P83" s="114"/>
      <c r="Q83" s="114"/>
      <c r="R83" s="114"/>
      <c r="S83" s="101">
        <f t="shared" ref="S83:S141" si="25">M83+N83+O83+P83+Q83+R83</f>
        <v>0</v>
      </c>
      <c r="T83" s="101">
        <f t="shared" ref="T83:T141" si="26">K83-S83</f>
        <v>10000</v>
      </c>
      <c r="U83" s="160">
        <f t="shared" ref="U83:U141" si="27">S83/K83</f>
        <v>0</v>
      </c>
      <c r="V83" s="101"/>
    </row>
    <row r="84" spans="1:22" ht="32.25" thickBot="1">
      <c r="A84" s="73"/>
      <c r="B84" s="29" t="s">
        <v>82</v>
      </c>
      <c r="C84" s="29" t="s">
        <v>187</v>
      </c>
      <c r="D84" s="29"/>
      <c r="E84" s="30">
        <f>SUM(E85+E86+E87+E88+E89)</f>
        <v>0</v>
      </c>
      <c r="F84" s="30">
        <f>F85+F86+F89</f>
        <v>24866.54</v>
      </c>
      <c r="G84" s="30">
        <f>G85+G86+G89</f>
        <v>24866.54</v>
      </c>
      <c r="H84" s="30">
        <f>H85+H86+H89</f>
        <v>45733.08</v>
      </c>
      <c r="I84" s="31">
        <v>0</v>
      </c>
      <c r="J84" s="32"/>
      <c r="K84" s="33">
        <v>95466.16</v>
      </c>
      <c r="M84" s="96">
        <f t="shared" ref="M84:R84" si="28">M85+M86+M89</f>
        <v>0</v>
      </c>
      <c r="N84" s="96">
        <f t="shared" si="28"/>
        <v>0</v>
      </c>
      <c r="O84" s="96">
        <f t="shared" si="28"/>
        <v>0</v>
      </c>
      <c r="P84" s="96">
        <f t="shared" si="28"/>
        <v>0</v>
      </c>
      <c r="Q84" s="96">
        <f t="shared" si="28"/>
        <v>0</v>
      </c>
      <c r="R84" s="96">
        <f t="shared" si="28"/>
        <v>0</v>
      </c>
      <c r="S84" s="96">
        <f t="shared" si="25"/>
        <v>0</v>
      </c>
      <c r="T84" s="96">
        <f t="shared" si="26"/>
        <v>95466.16</v>
      </c>
      <c r="U84" s="159">
        <f t="shared" si="27"/>
        <v>0</v>
      </c>
      <c r="V84" s="96"/>
    </row>
    <row r="85" spans="1:22" ht="32.25" thickBot="1">
      <c r="A85" s="72" t="s">
        <v>241</v>
      </c>
      <c r="B85" s="69" t="s">
        <v>84</v>
      </c>
      <c r="C85" s="2" t="s">
        <v>83</v>
      </c>
      <c r="D85" s="10" t="s">
        <v>325</v>
      </c>
      <c r="E85" s="13">
        <v>0</v>
      </c>
      <c r="F85" s="13">
        <v>2000</v>
      </c>
      <c r="G85" s="13">
        <v>2000</v>
      </c>
      <c r="H85" s="13">
        <v>0</v>
      </c>
      <c r="I85" s="13">
        <v>0</v>
      </c>
      <c r="J85" s="2"/>
      <c r="K85" s="28">
        <v>4000</v>
      </c>
      <c r="M85" s="114">
        <f>SUMIF(DTRQ1!$A$12:$A$422,'DETAILED REPROT Q1'!A85:A197,DTRQ1!$J$12:$J$422)</f>
        <v>0</v>
      </c>
      <c r="N85" s="114"/>
      <c r="O85" s="114"/>
      <c r="P85" s="114"/>
      <c r="Q85" s="114"/>
      <c r="R85" s="114"/>
      <c r="S85" s="101">
        <f t="shared" si="25"/>
        <v>0</v>
      </c>
      <c r="T85" s="101">
        <f t="shared" si="26"/>
        <v>4000</v>
      </c>
      <c r="U85" s="160">
        <f t="shared" si="27"/>
        <v>0</v>
      </c>
      <c r="V85" s="101"/>
    </row>
    <row r="86" spans="1:22" ht="16.5" thickBot="1">
      <c r="A86" s="73"/>
      <c r="B86" s="66" t="s">
        <v>86</v>
      </c>
      <c r="C86" s="36" t="s">
        <v>85</v>
      </c>
      <c r="D86" s="36"/>
      <c r="E86" s="35">
        <f>E87+E88</f>
        <v>0</v>
      </c>
      <c r="F86" s="35">
        <f>F87+F88</f>
        <v>13000</v>
      </c>
      <c r="G86" s="35">
        <f>G87+G88</f>
        <v>13000</v>
      </c>
      <c r="H86" s="35">
        <f>H87+H88</f>
        <v>26000</v>
      </c>
      <c r="I86" s="35">
        <v>0</v>
      </c>
      <c r="J86" s="35"/>
      <c r="K86" s="37">
        <v>52000</v>
      </c>
      <c r="M86" s="98">
        <f t="shared" ref="M86:R86" si="29">M87+M88</f>
        <v>0</v>
      </c>
      <c r="N86" s="98">
        <f t="shared" si="29"/>
        <v>0</v>
      </c>
      <c r="O86" s="98">
        <f t="shared" si="29"/>
        <v>0</v>
      </c>
      <c r="P86" s="98">
        <f t="shared" si="29"/>
        <v>0</v>
      </c>
      <c r="Q86" s="98">
        <f t="shared" si="29"/>
        <v>0</v>
      </c>
      <c r="R86" s="98">
        <f t="shared" si="29"/>
        <v>0</v>
      </c>
      <c r="S86" s="98">
        <f t="shared" si="25"/>
        <v>0</v>
      </c>
      <c r="T86" s="98">
        <f t="shared" si="26"/>
        <v>52000</v>
      </c>
      <c r="U86" s="161">
        <f t="shared" si="27"/>
        <v>0</v>
      </c>
      <c r="V86" s="98"/>
    </row>
    <row r="87" spans="1:22" ht="32.25" thickBot="1">
      <c r="A87" s="72" t="s">
        <v>242</v>
      </c>
      <c r="B87" s="67" t="s">
        <v>177</v>
      </c>
      <c r="C87" s="6" t="s">
        <v>114</v>
      </c>
      <c r="D87" s="10" t="s">
        <v>325</v>
      </c>
      <c r="E87" s="13">
        <v>0</v>
      </c>
      <c r="F87" s="13">
        <f>1000</f>
        <v>1000</v>
      </c>
      <c r="G87" s="13">
        <f>1000</f>
        <v>1000</v>
      </c>
      <c r="H87" s="13">
        <f>1000+1000</f>
        <v>2000</v>
      </c>
      <c r="I87" s="13">
        <v>0</v>
      </c>
      <c r="J87" s="2"/>
      <c r="K87" s="28">
        <v>4000</v>
      </c>
      <c r="M87" s="114">
        <f>SUMIF(DTRQ1!$A$12:$A$422,'DETAILED REPROT Q1'!A87:A199,DTRQ1!$J$12:$J$422)</f>
        <v>0</v>
      </c>
      <c r="N87" s="114"/>
      <c r="O87" s="114"/>
      <c r="P87" s="114"/>
      <c r="Q87" s="114"/>
      <c r="R87" s="114"/>
      <c r="S87" s="101">
        <f t="shared" si="25"/>
        <v>0</v>
      </c>
      <c r="T87" s="101">
        <f t="shared" si="26"/>
        <v>4000</v>
      </c>
      <c r="U87" s="160">
        <f t="shared" si="27"/>
        <v>0</v>
      </c>
      <c r="V87" s="101"/>
    </row>
    <row r="88" spans="1:22" ht="16.5" thickBot="1">
      <c r="A88" s="72" t="s">
        <v>243</v>
      </c>
      <c r="B88" s="6" t="s">
        <v>178</v>
      </c>
      <c r="C88" s="6" t="s">
        <v>115</v>
      </c>
      <c r="D88" s="10" t="s">
        <v>325</v>
      </c>
      <c r="E88" s="13">
        <v>0</v>
      </c>
      <c r="F88" s="13">
        <f>6000*2</f>
        <v>12000</v>
      </c>
      <c r="G88" s="13">
        <f>6000*2</f>
        <v>12000</v>
      </c>
      <c r="H88" s="13">
        <f>6000*4</f>
        <v>24000</v>
      </c>
      <c r="I88" s="13">
        <v>0</v>
      </c>
      <c r="J88" s="2"/>
      <c r="K88" s="28">
        <v>48000</v>
      </c>
      <c r="M88" s="114">
        <f>SUMIF(DTRQ1!$A$12:$A$422,'DETAILED REPROT Q1'!A88:A200,DTRQ1!$J$12:$J$422)</f>
        <v>0</v>
      </c>
      <c r="N88" s="114"/>
      <c r="O88" s="114"/>
      <c r="P88" s="114"/>
      <c r="Q88" s="114"/>
      <c r="R88" s="114"/>
      <c r="S88" s="101">
        <f t="shared" si="25"/>
        <v>0</v>
      </c>
      <c r="T88" s="101">
        <f t="shared" si="26"/>
        <v>48000</v>
      </c>
      <c r="U88" s="160">
        <f t="shared" si="27"/>
        <v>0</v>
      </c>
      <c r="V88" s="101"/>
    </row>
    <row r="89" spans="1:22" ht="32.25" thickBot="1">
      <c r="A89" s="72" t="s">
        <v>244</v>
      </c>
      <c r="B89" s="7" t="s">
        <v>87</v>
      </c>
      <c r="C89" s="7" t="s">
        <v>88</v>
      </c>
      <c r="D89" s="10" t="s">
        <v>325</v>
      </c>
      <c r="E89" s="14">
        <v>0</v>
      </c>
      <c r="F89" s="14">
        <f>6000+3866.54</f>
        <v>9866.5400000000009</v>
      </c>
      <c r="G89" s="14">
        <f>6000+3866.54</f>
        <v>9866.5400000000009</v>
      </c>
      <c r="H89" s="14">
        <f>(6000+3866.54)*2</f>
        <v>19733.080000000002</v>
      </c>
      <c r="I89" s="13">
        <v>0</v>
      </c>
      <c r="J89" s="7"/>
      <c r="K89" s="28">
        <v>39466.160000000003</v>
      </c>
      <c r="M89" s="114">
        <f>SUMIF(DTRQ1!$A$12:$A$422,'DETAILED REPROT Q1'!A89:A201,DTRQ1!$J$12:$J$422)</f>
        <v>0</v>
      </c>
      <c r="N89" s="114"/>
      <c r="O89" s="114"/>
      <c r="P89" s="114"/>
      <c r="Q89" s="114"/>
      <c r="R89" s="114"/>
      <c r="S89" s="104">
        <f t="shared" si="25"/>
        <v>0</v>
      </c>
      <c r="T89" s="104">
        <f t="shared" si="26"/>
        <v>39466.160000000003</v>
      </c>
      <c r="U89" s="166">
        <f t="shared" si="27"/>
        <v>0</v>
      </c>
      <c r="V89" s="104"/>
    </row>
    <row r="90" spans="1:22" ht="16.5" thickBot="1">
      <c r="A90" s="73"/>
      <c r="B90" s="47" t="s">
        <v>153</v>
      </c>
      <c r="C90" s="46">
        <f>SUM(E90:H90)</f>
        <v>148816.16</v>
      </c>
      <c r="D90" s="46"/>
      <c r="E90" s="46">
        <f>E84+E81+E78</f>
        <v>0</v>
      </c>
      <c r="F90" s="46">
        <f>F84+F81+F78</f>
        <v>38516.54</v>
      </c>
      <c r="G90" s="46">
        <f>G84+G81+G78</f>
        <v>38516.54</v>
      </c>
      <c r="H90" s="46">
        <f>H84+H81+H78</f>
        <v>71783.08</v>
      </c>
      <c r="I90" s="47">
        <v>0</v>
      </c>
      <c r="J90" s="47">
        <v>0</v>
      </c>
      <c r="K90" s="45">
        <v>148816.16</v>
      </c>
      <c r="M90" s="105">
        <f t="shared" ref="M90:R90" si="30">M84+M81+M78</f>
        <v>0</v>
      </c>
      <c r="N90" s="105">
        <f t="shared" si="30"/>
        <v>0</v>
      </c>
      <c r="O90" s="105">
        <f t="shared" si="30"/>
        <v>0</v>
      </c>
      <c r="P90" s="105">
        <f t="shared" si="30"/>
        <v>0</v>
      </c>
      <c r="Q90" s="105">
        <f t="shared" si="30"/>
        <v>0</v>
      </c>
      <c r="R90" s="105">
        <f t="shared" si="30"/>
        <v>0</v>
      </c>
      <c r="S90" s="105">
        <f t="shared" si="25"/>
        <v>0</v>
      </c>
      <c r="T90" s="105">
        <f t="shared" si="26"/>
        <v>148816.16</v>
      </c>
      <c r="U90" s="167">
        <f t="shared" si="27"/>
        <v>0</v>
      </c>
      <c r="V90" s="105"/>
    </row>
    <row r="91" spans="1:22" ht="57" thickBot="1">
      <c r="A91" s="73"/>
      <c r="B91" s="70" t="s">
        <v>6</v>
      </c>
      <c r="C91" s="50" t="e">
        <f>SUM(E91:H91)</f>
        <v>#REF!</v>
      </c>
      <c r="D91" s="50"/>
      <c r="E91" s="50" t="e">
        <f>SUM(E93:E108)</f>
        <v>#REF!</v>
      </c>
      <c r="F91" s="50">
        <f>SUM(F93:F108)</f>
        <v>18400</v>
      </c>
      <c r="G91" s="50">
        <f>SUM(G93:G108)</f>
        <v>0</v>
      </c>
      <c r="H91" s="50">
        <f>SUM(H93:H108)</f>
        <v>18400</v>
      </c>
      <c r="I91" s="49"/>
      <c r="J91" s="49"/>
      <c r="K91" s="51">
        <v>355412.78865</v>
      </c>
      <c r="M91" s="106">
        <f t="shared" ref="M91:R91" si="31">SUM(M93:M108)</f>
        <v>29063.629999999997</v>
      </c>
      <c r="N91" s="106">
        <f t="shared" si="31"/>
        <v>0</v>
      </c>
      <c r="O91" s="106">
        <f t="shared" si="31"/>
        <v>0</v>
      </c>
      <c r="P91" s="106">
        <f t="shared" si="31"/>
        <v>0</v>
      </c>
      <c r="Q91" s="106">
        <f t="shared" si="31"/>
        <v>0</v>
      </c>
      <c r="R91" s="106">
        <f t="shared" si="31"/>
        <v>0</v>
      </c>
      <c r="S91" s="106">
        <f t="shared" si="25"/>
        <v>29063.629999999997</v>
      </c>
      <c r="T91" s="106">
        <f t="shared" si="26"/>
        <v>326349.15865</v>
      </c>
      <c r="U91" s="168">
        <f t="shared" si="27"/>
        <v>8.1774294364576172E-2</v>
      </c>
      <c r="V91" s="106"/>
    </row>
    <row r="92" spans="1:22" ht="16.5" thickBot="1">
      <c r="A92" s="73"/>
      <c r="B92" s="10"/>
      <c r="C92" s="15" t="s">
        <v>182</v>
      </c>
      <c r="D92" s="12"/>
      <c r="E92" s="12"/>
      <c r="F92" s="12"/>
      <c r="G92" s="15"/>
      <c r="H92" s="15"/>
      <c r="I92" s="1"/>
      <c r="J92" s="1"/>
      <c r="K92" s="28"/>
      <c r="M92" s="114"/>
      <c r="N92" s="114"/>
      <c r="O92" s="114"/>
      <c r="P92" s="114"/>
      <c r="Q92" s="114"/>
      <c r="R92" s="114"/>
      <c r="S92" s="107"/>
      <c r="T92" s="107"/>
      <c r="U92" s="169"/>
      <c r="V92" s="107"/>
    </row>
    <row r="93" spans="1:22" ht="16.5" thickBot="1">
      <c r="A93" s="72" t="s">
        <v>245</v>
      </c>
      <c r="B93" s="9" t="s">
        <v>118</v>
      </c>
      <c r="C93" s="22" t="e">
        <f>E93/#REF!</f>
        <v>#REF!</v>
      </c>
      <c r="D93" s="118" t="s">
        <v>327</v>
      </c>
      <c r="E93" s="14">
        <f>3819*20*100%</f>
        <v>76380</v>
      </c>
      <c r="F93" s="23"/>
      <c r="G93" s="24"/>
      <c r="H93" s="24"/>
      <c r="I93" s="25"/>
      <c r="J93" s="25"/>
      <c r="K93" s="28">
        <v>76380</v>
      </c>
      <c r="M93" s="114">
        <f>SUMIF(DTRQ1!$A$12:$A$422,'DETAILED REPROT Q1'!A93:A205,DTRQ1!$J$12:$J$422)</f>
        <v>7351.16</v>
      </c>
      <c r="N93" s="114"/>
      <c r="O93" s="114"/>
      <c r="P93" s="114"/>
      <c r="Q93" s="114"/>
      <c r="R93" s="114"/>
      <c r="S93" s="104">
        <f t="shared" si="25"/>
        <v>7351.16</v>
      </c>
      <c r="T93" s="104">
        <f t="shared" si="26"/>
        <v>69028.84</v>
      </c>
      <c r="U93" s="166">
        <f t="shared" si="27"/>
        <v>9.6244566640481796E-2</v>
      </c>
      <c r="V93" s="104"/>
    </row>
    <row r="94" spans="1:22" ht="16.5" thickBot="1">
      <c r="A94" s="72" t="s">
        <v>246</v>
      </c>
      <c r="B94" s="9" t="s">
        <v>129</v>
      </c>
      <c r="C94" s="22">
        <v>1</v>
      </c>
      <c r="D94" s="118" t="s">
        <v>327</v>
      </c>
      <c r="E94" s="14"/>
      <c r="F94" s="14">
        <f>(920*20)*100%</f>
        <v>18400</v>
      </c>
      <c r="G94" s="14"/>
      <c r="H94" s="14">
        <f>(920*20)*100%</f>
        <v>18400</v>
      </c>
      <c r="I94" s="25"/>
      <c r="J94" s="25"/>
      <c r="K94" s="28">
        <v>36800</v>
      </c>
      <c r="M94" s="114">
        <f>SUMIF(DTRQ1!$A$12:$A$422,'DETAILED REPROT Q1'!A94:A206,DTRQ1!$J$12:$J$422)</f>
        <v>0</v>
      </c>
      <c r="N94" s="114"/>
      <c r="O94" s="114"/>
      <c r="P94" s="114"/>
      <c r="Q94" s="114"/>
      <c r="R94" s="114"/>
      <c r="S94" s="104">
        <f t="shared" si="25"/>
        <v>0</v>
      </c>
      <c r="T94" s="104">
        <f t="shared" si="26"/>
        <v>36800</v>
      </c>
      <c r="U94" s="166">
        <f t="shared" si="27"/>
        <v>0</v>
      </c>
      <c r="V94" s="104"/>
    </row>
    <row r="95" spans="1:22" ht="16.5" thickBot="1">
      <c r="A95" s="72" t="s">
        <v>247</v>
      </c>
      <c r="B95" s="9" t="s">
        <v>119</v>
      </c>
      <c r="C95" s="20">
        <v>0.05</v>
      </c>
      <c r="D95" s="118" t="s">
        <v>327</v>
      </c>
      <c r="E95" s="13" t="e">
        <f>#REF!*C95</f>
        <v>#REF!</v>
      </c>
      <c r="F95" s="16"/>
      <c r="G95" s="16"/>
      <c r="H95" s="16"/>
      <c r="I95" s="19"/>
      <c r="J95" s="5"/>
      <c r="K95" s="28">
        <v>8453.7000000000007</v>
      </c>
      <c r="M95" s="114">
        <f>SUMIF(DTRQ1!$A$12:$A$422,'DETAILED REPROT Q1'!A95:A207,DTRQ1!$J$12:$J$422)</f>
        <v>1022.9900000000001</v>
      </c>
      <c r="N95" s="114"/>
      <c r="O95" s="114"/>
      <c r="P95" s="114"/>
      <c r="Q95" s="114"/>
      <c r="R95" s="114"/>
      <c r="S95" s="101">
        <f t="shared" si="25"/>
        <v>1022.9900000000001</v>
      </c>
      <c r="T95" s="101">
        <f t="shared" si="26"/>
        <v>7430.7100000000009</v>
      </c>
      <c r="U95" s="160">
        <f t="shared" si="27"/>
        <v>0.1210109182961307</v>
      </c>
      <c r="V95" s="101"/>
    </row>
    <row r="96" spans="1:22" ht="32.25" thickBot="1">
      <c r="A96" s="72" t="s">
        <v>248</v>
      </c>
      <c r="B96" s="9" t="s">
        <v>120</v>
      </c>
      <c r="C96" s="20">
        <v>4.9999962247425839E-2</v>
      </c>
      <c r="D96" s="118" t="s">
        <v>327</v>
      </c>
      <c r="E96" s="13" t="e">
        <f>#REF!*C96</f>
        <v>#REF!</v>
      </c>
      <c r="F96" s="13"/>
      <c r="G96" s="16"/>
      <c r="H96" s="16"/>
      <c r="I96" s="5"/>
      <c r="J96" s="5"/>
      <c r="K96" s="28">
        <v>9933.09</v>
      </c>
      <c r="M96" s="114">
        <f>SUMIF(DTRQ1!$A$12:$A$422,'DETAILED REPROT Q1'!A96:A208,DTRQ1!$J$12:$J$422)</f>
        <v>1488.0100000000002</v>
      </c>
      <c r="N96" s="114"/>
      <c r="O96" s="114"/>
      <c r="P96" s="114"/>
      <c r="Q96" s="114"/>
      <c r="R96" s="114"/>
      <c r="S96" s="101">
        <f t="shared" si="25"/>
        <v>1488.0100000000002</v>
      </c>
      <c r="T96" s="101">
        <f t="shared" si="26"/>
        <v>8445.08</v>
      </c>
      <c r="U96" s="160">
        <f t="shared" si="27"/>
        <v>0.14980333410852012</v>
      </c>
      <c r="V96" s="101"/>
    </row>
    <row r="97" spans="1:22" ht="16.5" thickBot="1">
      <c r="A97" s="72" t="s">
        <v>249</v>
      </c>
      <c r="B97" s="9" t="s">
        <v>121</v>
      </c>
      <c r="C97" s="20">
        <v>7.0000000000000007E-2</v>
      </c>
      <c r="D97" s="118" t="s">
        <v>327</v>
      </c>
      <c r="E97" s="13" t="e">
        <f>#REF!*C97</f>
        <v>#REF!</v>
      </c>
      <c r="F97" s="13"/>
      <c r="G97" s="16"/>
      <c r="H97" s="16"/>
      <c r="I97" s="5"/>
      <c r="J97" s="5"/>
      <c r="K97" s="28">
        <v>16963.758000000002</v>
      </c>
      <c r="M97" s="114">
        <f>SUMIF(DTRQ1!$A$12:$A$422,'DETAILED REPROT Q1'!A97:A209,DTRQ1!$J$12:$J$422)</f>
        <v>771.37999999999988</v>
      </c>
      <c r="N97" s="114"/>
      <c r="O97" s="114"/>
      <c r="P97" s="114"/>
      <c r="Q97" s="114"/>
      <c r="R97" s="114"/>
      <c r="S97" s="101">
        <f t="shared" si="25"/>
        <v>771.37999999999988</v>
      </c>
      <c r="T97" s="101">
        <f t="shared" si="26"/>
        <v>16192.378000000002</v>
      </c>
      <c r="U97" s="160">
        <f t="shared" si="27"/>
        <v>4.54722355742165E-2</v>
      </c>
      <c r="V97" s="101"/>
    </row>
    <row r="98" spans="1:22" ht="16.5" thickBot="1">
      <c r="A98" s="72" t="s">
        <v>250</v>
      </c>
      <c r="B98" s="9" t="s">
        <v>122</v>
      </c>
      <c r="C98" s="20">
        <v>0.09</v>
      </c>
      <c r="D98" s="118" t="s">
        <v>327</v>
      </c>
      <c r="E98" s="13" t="e">
        <f>#REF!*C98</f>
        <v>#REF!</v>
      </c>
      <c r="F98" s="13"/>
      <c r="G98" s="16"/>
      <c r="H98" s="16"/>
      <c r="I98" s="5"/>
      <c r="J98" s="5"/>
      <c r="K98" s="28">
        <v>12540.518549999999</v>
      </c>
      <c r="M98" s="114">
        <f>SUMIF(DTRQ1!$A$12:$A$422,'DETAILED REPROT Q1'!A98:A210,DTRQ1!$J$12:$J$422)</f>
        <v>615.3599999999999</v>
      </c>
      <c r="N98" s="114"/>
      <c r="O98" s="114"/>
      <c r="P98" s="114"/>
      <c r="Q98" s="114"/>
      <c r="R98" s="114"/>
      <c r="S98" s="101">
        <f t="shared" si="25"/>
        <v>615.3599999999999</v>
      </c>
      <c r="T98" s="101">
        <f t="shared" si="26"/>
        <v>11925.158549999998</v>
      </c>
      <c r="U98" s="160">
        <f t="shared" si="27"/>
        <v>4.9069741218954611E-2</v>
      </c>
      <c r="V98" s="101"/>
    </row>
    <row r="99" spans="1:22" ht="16.5" thickBot="1">
      <c r="A99" s="72" t="s">
        <v>251</v>
      </c>
      <c r="B99" s="9" t="s">
        <v>123</v>
      </c>
      <c r="C99" s="20">
        <v>0.09</v>
      </c>
      <c r="D99" s="118" t="s">
        <v>327</v>
      </c>
      <c r="E99" s="13" t="e">
        <f>#REF!*C99</f>
        <v>#REF!</v>
      </c>
      <c r="F99" s="13"/>
      <c r="G99" s="16"/>
      <c r="H99" s="16"/>
      <c r="I99" s="5"/>
      <c r="J99" s="5"/>
      <c r="K99" s="28">
        <v>10839.552299999999</v>
      </c>
      <c r="M99" s="114">
        <f>SUMIF(DTRQ1!$A$12:$A$422,'DETAILED REPROT Q1'!A99:A211,DTRQ1!$J$12:$J$422)</f>
        <v>809.3</v>
      </c>
      <c r="N99" s="114"/>
      <c r="O99" s="114"/>
      <c r="P99" s="114"/>
      <c r="Q99" s="114"/>
      <c r="R99" s="114"/>
      <c r="S99" s="101">
        <f t="shared" si="25"/>
        <v>809.3</v>
      </c>
      <c r="T99" s="101">
        <f t="shared" si="26"/>
        <v>10030.2523</v>
      </c>
      <c r="U99" s="160">
        <f t="shared" si="27"/>
        <v>7.4661755172305416E-2</v>
      </c>
      <c r="V99" s="101"/>
    </row>
    <row r="100" spans="1:22" ht="16.5" thickBot="1">
      <c r="A100" s="72" t="s">
        <v>252</v>
      </c>
      <c r="B100" s="9" t="s">
        <v>186</v>
      </c>
      <c r="C100" s="20">
        <v>0.09</v>
      </c>
      <c r="D100" s="118" t="s">
        <v>327</v>
      </c>
      <c r="E100" s="13" t="e">
        <f>#REF!*C100</f>
        <v>#REF!</v>
      </c>
      <c r="F100" s="13"/>
      <c r="G100" s="16"/>
      <c r="H100" s="16"/>
      <c r="I100" s="5"/>
      <c r="J100" s="5"/>
      <c r="K100" s="28">
        <v>6660.7199999999993</v>
      </c>
      <c r="M100" s="114">
        <f>SUMIF(DTRQ1!$A$12:$A$422,'DETAILED REPROT Q1'!A100:A212,DTRQ1!$J$12:$J$422)</f>
        <v>984.9899999999999</v>
      </c>
      <c r="N100" s="114"/>
      <c r="O100" s="114"/>
      <c r="P100" s="114"/>
      <c r="Q100" s="114"/>
      <c r="R100" s="114"/>
      <c r="S100" s="101">
        <f t="shared" si="25"/>
        <v>984.9899999999999</v>
      </c>
      <c r="T100" s="101">
        <f t="shared" si="26"/>
        <v>5675.73</v>
      </c>
      <c r="U100" s="160">
        <f t="shared" si="27"/>
        <v>0.14788040932511801</v>
      </c>
      <c r="V100" s="101"/>
    </row>
    <row r="101" spans="1:22" ht="32.25" thickBot="1">
      <c r="A101" s="72" t="s">
        <v>253</v>
      </c>
      <c r="B101" s="9" t="s">
        <v>124</v>
      </c>
      <c r="C101" s="20">
        <v>0.09</v>
      </c>
      <c r="D101" s="118" t="s">
        <v>327</v>
      </c>
      <c r="E101" s="13" t="e">
        <f>#REF!*C101</f>
        <v>#REF!</v>
      </c>
      <c r="F101" s="13"/>
      <c r="G101" s="16"/>
      <c r="H101" s="16"/>
      <c r="I101" s="5"/>
      <c r="J101" s="5"/>
      <c r="K101" s="28">
        <v>9591.9498000000003</v>
      </c>
      <c r="M101" s="114">
        <f>SUMIF(DTRQ1!$A$12:$A$422,'DETAILED REPROT Q1'!A101:A213,DTRQ1!$J$12:$J$422)</f>
        <v>0</v>
      </c>
      <c r="N101" s="114"/>
      <c r="O101" s="114"/>
      <c r="P101" s="114"/>
      <c r="Q101" s="114"/>
      <c r="R101" s="114"/>
      <c r="S101" s="101">
        <f t="shared" si="25"/>
        <v>0</v>
      </c>
      <c r="T101" s="101">
        <f t="shared" si="26"/>
        <v>9591.9498000000003</v>
      </c>
      <c r="U101" s="160">
        <f t="shared" si="27"/>
        <v>0</v>
      </c>
      <c r="V101" s="101"/>
    </row>
    <row r="102" spans="1:22" ht="32.25" thickBot="1">
      <c r="A102" s="72" t="s">
        <v>254</v>
      </c>
      <c r="B102" s="9" t="s">
        <v>183</v>
      </c>
      <c r="C102" s="20">
        <v>0.15</v>
      </c>
      <c r="D102" s="118" t="s">
        <v>327</v>
      </c>
      <c r="E102" s="13" t="e">
        <f>#REF!*C102</f>
        <v>#REF!</v>
      </c>
      <c r="F102" s="13"/>
      <c r="G102" s="16"/>
      <c r="H102" s="16"/>
      <c r="I102" s="5"/>
      <c r="J102" s="5"/>
      <c r="K102" s="28">
        <v>42150</v>
      </c>
      <c r="M102" s="114">
        <f>SUMIF(DTRQ1!$A$12:$A$422,'DETAILED REPROT Q1'!A102:A214,DTRQ1!$J$12:$J$422)</f>
        <v>2777.45</v>
      </c>
      <c r="N102" s="114"/>
      <c r="O102" s="114"/>
      <c r="P102" s="114"/>
      <c r="Q102" s="114"/>
      <c r="R102" s="114"/>
      <c r="S102" s="101">
        <f t="shared" si="25"/>
        <v>2777.45</v>
      </c>
      <c r="T102" s="101">
        <f t="shared" si="26"/>
        <v>39372.550000000003</v>
      </c>
      <c r="U102" s="160">
        <f t="shared" si="27"/>
        <v>6.5894424673784105E-2</v>
      </c>
      <c r="V102" s="101"/>
    </row>
    <row r="103" spans="1:22" ht="32.25" thickBot="1">
      <c r="A103" s="72" t="s">
        <v>255</v>
      </c>
      <c r="B103" s="9" t="s">
        <v>184</v>
      </c>
      <c r="C103" s="20">
        <v>0.15</v>
      </c>
      <c r="D103" s="118" t="s">
        <v>327</v>
      </c>
      <c r="E103" s="13" t="e">
        <f>#REF!*C103</f>
        <v>#REF!</v>
      </c>
      <c r="F103" s="13"/>
      <c r="G103" s="16"/>
      <c r="H103" s="16"/>
      <c r="I103" s="5"/>
      <c r="J103" s="5"/>
      <c r="K103" s="28">
        <v>45750</v>
      </c>
      <c r="M103" s="114">
        <f>SUMIF(DTRQ1!$A$12:$A$422,'DETAILED REPROT Q1'!A103:A215,DTRQ1!$J$12:$J$422)</f>
        <v>9616.7599999999966</v>
      </c>
      <c r="N103" s="114"/>
      <c r="O103" s="114"/>
      <c r="P103" s="114"/>
      <c r="Q103" s="114"/>
      <c r="R103" s="114"/>
      <c r="S103" s="101">
        <f t="shared" si="25"/>
        <v>9616.7599999999966</v>
      </c>
      <c r="T103" s="101">
        <f t="shared" si="26"/>
        <v>36133.240000000005</v>
      </c>
      <c r="U103" s="160">
        <f t="shared" si="27"/>
        <v>0.21020240437158463</v>
      </c>
      <c r="V103" s="101"/>
    </row>
    <row r="104" spans="1:22" ht="16.5" thickBot="1">
      <c r="A104" s="72" t="s">
        <v>256</v>
      </c>
      <c r="B104" s="9" t="s">
        <v>125</v>
      </c>
      <c r="C104" s="20">
        <v>0.4</v>
      </c>
      <c r="D104" s="118" t="s">
        <v>327</v>
      </c>
      <c r="E104" s="13" t="e">
        <f>#REF!*C104</f>
        <v>#REF!</v>
      </c>
      <c r="F104" s="13"/>
      <c r="G104" s="16"/>
      <c r="H104" s="16"/>
      <c r="I104" s="5"/>
      <c r="J104" s="5"/>
      <c r="K104" s="28">
        <v>36000</v>
      </c>
      <c r="M104" s="114">
        <f>SUMIF(DTRQ1!$A$12:$A$422,'DETAILED REPROT Q1'!A104:A216,DTRQ1!$J$12:$J$422)</f>
        <v>729.97</v>
      </c>
      <c r="N104" s="114"/>
      <c r="O104" s="114"/>
      <c r="P104" s="114"/>
      <c r="Q104" s="114"/>
      <c r="R104" s="114"/>
      <c r="S104" s="101">
        <f t="shared" si="25"/>
        <v>729.97</v>
      </c>
      <c r="T104" s="101">
        <f t="shared" si="26"/>
        <v>35270.03</v>
      </c>
      <c r="U104" s="160">
        <f t="shared" si="27"/>
        <v>2.0276944444444445E-2</v>
      </c>
      <c r="V104" s="101"/>
    </row>
    <row r="105" spans="1:22" ht="16.5" thickBot="1">
      <c r="A105" s="72" t="s">
        <v>257</v>
      </c>
      <c r="B105" s="9" t="s">
        <v>194</v>
      </c>
      <c r="C105" s="20">
        <v>1</v>
      </c>
      <c r="D105" s="118" t="s">
        <v>327</v>
      </c>
      <c r="E105" s="13">
        <v>14300</v>
      </c>
      <c r="F105" s="13"/>
      <c r="G105" s="16"/>
      <c r="H105" s="16"/>
      <c r="I105" s="5"/>
      <c r="J105" s="5"/>
      <c r="K105" s="28">
        <v>14300</v>
      </c>
      <c r="M105" s="114">
        <f>SUMIF(DTRQ1!$A$12:$A$422,'DETAILED REPROT Q1'!A105:A217,DTRQ1!$J$12:$J$422)</f>
        <v>0</v>
      </c>
      <c r="N105" s="114"/>
      <c r="O105" s="114"/>
      <c r="P105" s="114"/>
      <c r="Q105" s="114"/>
      <c r="R105" s="114"/>
      <c r="S105" s="101">
        <f t="shared" si="25"/>
        <v>0</v>
      </c>
      <c r="T105" s="101">
        <f t="shared" si="26"/>
        <v>14300</v>
      </c>
      <c r="U105" s="160">
        <f t="shared" si="27"/>
        <v>0</v>
      </c>
      <c r="V105" s="101"/>
    </row>
    <row r="106" spans="1:22" ht="16.5" thickBot="1">
      <c r="A106" s="72" t="s">
        <v>258</v>
      </c>
      <c r="B106" s="9" t="s">
        <v>126</v>
      </c>
      <c r="C106" s="20">
        <v>1</v>
      </c>
      <c r="D106" s="118" t="s">
        <v>327</v>
      </c>
      <c r="E106" s="13" t="e">
        <f>#REF!*C106</f>
        <v>#REF!</v>
      </c>
      <c r="F106" s="13"/>
      <c r="G106" s="16"/>
      <c r="H106" s="16"/>
      <c r="I106" s="5"/>
      <c r="J106" s="5"/>
      <c r="K106" s="28">
        <v>8120</v>
      </c>
      <c r="M106" s="114">
        <f>SUMIF(DTRQ1!$A$12:$A$422,'DETAILED REPROT Q1'!A106:A218,DTRQ1!$J$12:$J$422)</f>
        <v>2283.0100000000002</v>
      </c>
      <c r="N106" s="114"/>
      <c r="O106" s="114"/>
      <c r="P106" s="114"/>
      <c r="Q106" s="114"/>
      <c r="R106" s="114"/>
      <c r="S106" s="101">
        <f t="shared" si="25"/>
        <v>2283.0100000000002</v>
      </c>
      <c r="T106" s="101">
        <f t="shared" si="26"/>
        <v>5836.99</v>
      </c>
      <c r="U106" s="160">
        <f t="shared" si="27"/>
        <v>0.28115886699507392</v>
      </c>
      <c r="V106" s="101"/>
    </row>
    <row r="107" spans="1:22" ht="32.25" thickBot="1">
      <c r="A107" s="72" t="s">
        <v>259</v>
      </c>
      <c r="B107" s="9" t="s">
        <v>127</v>
      </c>
      <c r="C107" s="20">
        <v>0.09</v>
      </c>
      <c r="D107" s="118" t="s">
        <v>327</v>
      </c>
      <c r="E107" s="13" t="e">
        <f>#REF!*C107</f>
        <v>#REF!</v>
      </c>
      <c r="F107" s="13"/>
      <c r="G107" s="16"/>
      <c r="H107" s="16"/>
      <c r="I107" s="5"/>
      <c r="J107" s="5"/>
      <c r="K107" s="28">
        <v>16362</v>
      </c>
      <c r="M107" s="114">
        <f>SUMIF(DTRQ1!$A$12:$A$422,'DETAILED REPROT Q1'!A107:A219,DTRQ1!$J$12:$J$422)</f>
        <v>613.25</v>
      </c>
      <c r="N107" s="114"/>
      <c r="O107" s="114"/>
      <c r="P107" s="114"/>
      <c r="Q107" s="114"/>
      <c r="R107" s="114"/>
      <c r="S107" s="101">
        <f t="shared" si="25"/>
        <v>613.25</v>
      </c>
      <c r="T107" s="101">
        <f t="shared" si="26"/>
        <v>15748.75</v>
      </c>
      <c r="U107" s="160">
        <f t="shared" si="27"/>
        <v>3.7480136902579148E-2</v>
      </c>
      <c r="V107" s="101"/>
    </row>
    <row r="108" spans="1:22" ht="48" thickBot="1">
      <c r="A108" s="72" t="s">
        <v>260</v>
      </c>
      <c r="B108" s="9" t="s">
        <v>128</v>
      </c>
      <c r="C108" s="20">
        <v>0.09</v>
      </c>
      <c r="D108" s="118" t="s">
        <v>327</v>
      </c>
      <c r="E108" s="13" t="e">
        <f>#REF!*C108</f>
        <v>#REF!</v>
      </c>
      <c r="F108" s="13"/>
      <c r="G108" s="16"/>
      <c r="H108" s="16"/>
      <c r="I108" s="5"/>
      <c r="J108" s="5"/>
      <c r="K108" s="28">
        <v>4567.5</v>
      </c>
      <c r="M108" s="114">
        <f>SUMIF(DTRQ1!$A$12:$A$422,'DETAILED REPROT Q1'!A108:A220,DTRQ1!$J$12:$J$422)</f>
        <v>0</v>
      </c>
      <c r="N108" s="114"/>
      <c r="O108" s="114"/>
      <c r="P108" s="114"/>
      <c r="Q108" s="114"/>
      <c r="R108" s="114"/>
      <c r="S108" s="101">
        <f t="shared" si="25"/>
        <v>0</v>
      </c>
      <c r="T108" s="101">
        <f t="shared" si="26"/>
        <v>4567.5</v>
      </c>
      <c r="U108" s="160">
        <f t="shared" si="27"/>
        <v>0</v>
      </c>
      <c r="V108" s="101"/>
    </row>
    <row r="109" spans="1:22" ht="32.25" thickBot="1">
      <c r="A109" s="73"/>
      <c r="B109" s="71" t="s">
        <v>7</v>
      </c>
      <c r="C109" s="53">
        <f>SUM(E109:H109)</f>
        <v>253587.815</v>
      </c>
      <c r="D109" s="53"/>
      <c r="E109" s="53">
        <f>SUM(E110:E122)</f>
        <v>123830.8</v>
      </c>
      <c r="F109" s="53">
        <f>SUM(F110:F123)</f>
        <v>46762.534999999996</v>
      </c>
      <c r="G109" s="53">
        <f>SUM(G110:G123)</f>
        <v>30200.61</v>
      </c>
      <c r="H109" s="53">
        <f>SUM(H110:H123)</f>
        <v>52793.869999999995</v>
      </c>
      <c r="I109" s="52"/>
      <c r="J109" s="52"/>
      <c r="K109" s="54">
        <v>253587.815</v>
      </c>
      <c r="M109" s="108">
        <f t="shared" ref="M109:R109" si="32">SUM(M110:M122)</f>
        <v>4889.1100000000006</v>
      </c>
      <c r="N109" s="108">
        <f t="shared" si="32"/>
        <v>0</v>
      </c>
      <c r="O109" s="108">
        <f t="shared" si="32"/>
        <v>0</v>
      </c>
      <c r="P109" s="108">
        <f t="shared" si="32"/>
        <v>0</v>
      </c>
      <c r="Q109" s="108">
        <f t="shared" si="32"/>
        <v>0</v>
      </c>
      <c r="R109" s="108">
        <f t="shared" si="32"/>
        <v>0</v>
      </c>
      <c r="S109" s="108">
        <f t="shared" si="25"/>
        <v>4889.1100000000006</v>
      </c>
      <c r="T109" s="108">
        <f t="shared" si="26"/>
        <v>248698.70500000002</v>
      </c>
      <c r="U109" s="170">
        <f t="shared" si="27"/>
        <v>1.927975127669285E-2</v>
      </c>
      <c r="V109" s="108"/>
    </row>
    <row r="110" spans="1:22" ht="32.25" thickBot="1">
      <c r="A110" s="72" t="s">
        <v>261</v>
      </c>
      <c r="B110" s="2" t="s">
        <v>130</v>
      </c>
      <c r="C110" s="13"/>
      <c r="D110" s="13" t="s">
        <v>328</v>
      </c>
      <c r="E110" s="13">
        <v>9999</v>
      </c>
      <c r="F110" s="12"/>
      <c r="G110" s="12"/>
      <c r="H110" s="12"/>
      <c r="I110" s="10"/>
      <c r="J110" s="10"/>
      <c r="K110" s="28">
        <v>9999</v>
      </c>
      <c r="M110" s="114">
        <f>SUMIF(DTRQ1!$A$12:$A$422,'DETAILED REPROT Q1'!A110:A222,DTRQ1!$J$12:$J$422)</f>
        <v>50.49</v>
      </c>
      <c r="N110" s="114"/>
      <c r="O110" s="114"/>
      <c r="P110" s="114"/>
      <c r="Q110" s="114"/>
      <c r="R110" s="114"/>
      <c r="S110" s="101">
        <f t="shared" si="25"/>
        <v>50.49</v>
      </c>
      <c r="T110" s="101">
        <f t="shared" si="26"/>
        <v>9948.51</v>
      </c>
      <c r="U110" s="160">
        <f t="shared" si="27"/>
        <v>5.0495049504950497E-3</v>
      </c>
      <c r="V110" s="101"/>
    </row>
    <row r="111" spans="1:22" ht="48" thickBot="1">
      <c r="A111" s="74" t="s">
        <v>262</v>
      </c>
      <c r="B111" s="2" t="s">
        <v>131</v>
      </c>
      <c r="C111" s="13"/>
      <c r="D111" s="13" t="s">
        <v>328</v>
      </c>
      <c r="E111" s="13">
        <v>9090</v>
      </c>
      <c r="F111" s="12"/>
      <c r="G111" s="12"/>
      <c r="H111" s="12"/>
      <c r="I111" s="10"/>
      <c r="J111" s="10"/>
      <c r="K111" s="28">
        <v>9090</v>
      </c>
      <c r="M111" s="114">
        <f>SUMIF(DTRQ1!$A$12:$A$422,'DETAILED REPROT Q1'!A111:A223,DTRQ1!$J$12:$J$422)</f>
        <v>0</v>
      </c>
      <c r="N111" s="114"/>
      <c r="O111" s="114"/>
      <c r="P111" s="114"/>
      <c r="Q111" s="114"/>
      <c r="R111" s="114"/>
      <c r="S111" s="101">
        <f t="shared" si="25"/>
        <v>0</v>
      </c>
      <c r="T111" s="101">
        <f t="shared" si="26"/>
        <v>9090</v>
      </c>
      <c r="U111" s="160">
        <f t="shared" si="27"/>
        <v>0</v>
      </c>
      <c r="V111" s="101"/>
    </row>
    <row r="112" spans="1:22" ht="16.5" thickBot="1">
      <c r="A112" s="74" t="s">
        <v>263</v>
      </c>
      <c r="B112" s="2" t="s">
        <v>132</v>
      </c>
      <c r="C112" s="13"/>
      <c r="D112" s="13" t="s">
        <v>329</v>
      </c>
      <c r="E112" s="13">
        <v>24360</v>
      </c>
      <c r="F112" s="12"/>
      <c r="G112" s="12"/>
      <c r="H112" s="12"/>
      <c r="I112" s="10"/>
      <c r="J112" s="10"/>
      <c r="K112" s="28">
        <v>24360</v>
      </c>
      <c r="M112" s="114">
        <f>SUMIF(DTRQ1!$A$12:$A$422,'DETAILED REPROT Q1'!A112:A224,DTRQ1!$J$12:$J$422)</f>
        <v>0</v>
      </c>
      <c r="N112" s="114"/>
      <c r="O112" s="114"/>
      <c r="P112" s="114"/>
      <c r="Q112" s="114"/>
      <c r="R112" s="114"/>
      <c r="S112" s="101">
        <f t="shared" si="25"/>
        <v>0</v>
      </c>
      <c r="T112" s="101">
        <f t="shared" si="26"/>
        <v>24360</v>
      </c>
      <c r="U112" s="160">
        <f t="shared" si="27"/>
        <v>0</v>
      </c>
      <c r="V112" s="101"/>
    </row>
    <row r="113" spans="1:22" ht="16.5" thickBot="1">
      <c r="A113" s="74" t="s">
        <v>264</v>
      </c>
      <c r="B113" s="2" t="s">
        <v>133</v>
      </c>
      <c r="C113" s="13"/>
      <c r="D113" s="13" t="s">
        <v>330</v>
      </c>
      <c r="E113" s="13">
        <v>18000</v>
      </c>
      <c r="F113" s="12"/>
      <c r="G113" s="12"/>
      <c r="H113" s="12"/>
      <c r="I113" s="10"/>
      <c r="J113" s="10"/>
      <c r="K113" s="28">
        <v>18000</v>
      </c>
      <c r="M113" s="114">
        <f>SUMIF(DTRQ1!$A$12:$A$422,'DETAILED REPROT Q1'!A113:A225,DTRQ1!$J$12:$J$422)</f>
        <v>1056.31</v>
      </c>
      <c r="N113" s="114"/>
      <c r="O113" s="114"/>
      <c r="P113" s="114"/>
      <c r="Q113" s="114"/>
      <c r="R113" s="114"/>
      <c r="S113" s="101">
        <f t="shared" si="25"/>
        <v>1056.31</v>
      </c>
      <c r="T113" s="101">
        <f t="shared" si="26"/>
        <v>16943.689999999999</v>
      </c>
      <c r="U113" s="160">
        <f t="shared" si="27"/>
        <v>5.8683888888888883E-2</v>
      </c>
      <c r="V113" s="101"/>
    </row>
    <row r="114" spans="1:22" ht="32.25" thickBot="1">
      <c r="A114" s="74" t="s">
        <v>265</v>
      </c>
      <c r="B114" s="2" t="s">
        <v>134</v>
      </c>
      <c r="C114" s="13"/>
      <c r="D114" s="13" t="s">
        <v>331</v>
      </c>
      <c r="E114" s="13">
        <v>3636</v>
      </c>
      <c r="F114" s="12"/>
      <c r="G114" s="12"/>
      <c r="H114" s="12"/>
      <c r="I114" s="10"/>
      <c r="J114" s="10"/>
      <c r="K114" s="28">
        <v>3636</v>
      </c>
      <c r="M114" s="114">
        <f>SUMIF(DTRQ1!$A$12:$A$422,'DETAILED REPROT Q1'!A114:A226,DTRQ1!$J$12:$J$422)</f>
        <v>720</v>
      </c>
      <c r="N114" s="114"/>
      <c r="O114" s="114"/>
      <c r="P114" s="114"/>
      <c r="Q114" s="114"/>
      <c r="R114" s="114"/>
      <c r="S114" s="101">
        <f t="shared" si="25"/>
        <v>720</v>
      </c>
      <c r="T114" s="101">
        <f t="shared" si="26"/>
        <v>2916</v>
      </c>
      <c r="U114" s="160">
        <f t="shared" si="27"/>
        <v>0.19801980198019803</v>
      </c>
      <c r="V114" s="101"/>
    </row>
    <row r="115" spans="1:22" ht="16.5" thickBot="1">
      <c r="A115" s="74" t="s">
        <v>266</v>
      </c>
      <c r="B115" s="2" t="s">
        <v>135</v>
      </c>
      <c r="C115" s="13"/>
      <c r="D115" s="13" t="s">
        <v>328</v>
      </c>
      <c r="E115" s="13">
        <v>1000</v>
      </c>
      <c r="F115" s="12"/>
      <c r="G115" s="12"/>
      <c r="H115" s="12"/>
      <c r="I115" s="10"/>
      <c r="J115" s="10"/>
      <c r="K115" s="28">
        <v>1000</v>
      </c>
      <c r="M115" s="114">
        <f>SUMIF(DTRQ1!$A$12:$A$422,'DETAILED REPROT Q1'!A115:A227,DTRQ1!$J$12:$J$422)</f>
        <v>200</v>
      </c>
      <c r="N115" s="114"/>
      <c r="O115" s="114"/>
      <c r="P115" s="114"/>
      <c r="Q115" s="114"/>
      <c r="R115" s="114"/>
      <c r="S115" s="101">
        <f t="shared" si="25"/>
        <v>200</v>
      </c>
      <c r="T115" s="101">
        <f t="shared" si="26"/>
        <v>800</v>
      </c>
      <c r="U115" s="160">
        <f t="shared" si="27"/>
        <v>0.2</v>
      </c>
      <c r="V115" s="101"/>
    </row>
    <row r="116" spans="1:22" ht="48" thickBot="1">
      <c r="A116" s="74" t="s">
        <v>267</v>
      </c>
      <c r="B116" s="2" t="s">
        <v>136</v>
      </c>
      <c r="C116" s="13"/>
      <c r="D116" s="13" t="s">
        <v>329</v>
      </c>
      <c r="E116" s="13">
        <v>3636</v>
      </c>
      <c r="F116" s="12"/>
      <c r="G116" s="12"/>
      <c r="H116" s="12"/>
      <c r="I116" s="10"/>
      <c r="J116" s="10"/>
      <c r="K116" s="28">
        <v>3636</v>
      </c>
      <c r="M116" s="114">
        <f>SUMIF(DTRQ1!$A$12:$A$422,'DETAILED REPROT Q1'!A116:A228,DTRQ1!$J$12:$J$422)</f>
        <v>345</v>
      </c>
      <c r="N116" s="114"/>
      <c r="O116" s="114"/>
      <c r="P116" s="114"/>
      <c r="Q116" s="114"/>
      <c r="R116" s="114"/>
      <c r="S116" s="101">
        <f t="shared" si="25"/>
        <v>345</v>
      </c>
      <c r="T116" s="101">
        <f t="shared" si="26"/>
        <v>3291</v>
      </c>
      <c r="U116" s="160">
        <f t="shared" si="27"/>
        <v>9.4884488448844881E-2</v>
      </c>
      <c r="V116" s="101"/>
    </row>
    <row r="117" spans="1:22" ht="16.5" thickBot="1">
      <c r="A117" s="74" t="s">
        <v>268</v>
      </c>
      <c r="B117" s="2" t="s">
        <v>137</v>
      </c>
      <c r="C117" s="13"/>
      <c r="D117" s="13" t="s">
        <v>328</v>
      </c>
      <c r="E117" s="13">
        <v>14499</v>
      </c>
      <c r="F117" s="12"/>
      <c r="G117" s="12"/>
      <c r="H117" s="12"/>
      <c r="I117" s="10"/>
      <c r="J117" s="10"/>
      <c r="K117" s="28">
        <v>14499</v>
      </c>
      <c r="M117" s="114">
        <f>SUMIF(DTRQ1!$A$12:$A$422,'DETAILED REPROT Q1'!A117:A229,DTRQ1!$J$12:$J$422)</f>
        <v>480</v>
      </c>
      <c r="N117" s="114"/>
      <c r="O117" s="114"/>
      <c r="P117" s="114"/>
      <c r="Q117" s="114"/>
      <c r="R117" s="114"/>
      <c r="S117" s="101">
        <f t="shared" si="25"/>
        <v>480</v>
      </c>
      <c r="T117" s="101">
        <f t="shared" si="26"/>
        <v>14019</v>
      </c>
      <c r="U117" s="160">
        <f t="shared" si="27"/>
        <v>3.3105731429753774E-2</v>
      </c>
      <c r="V117" s="101"/>
    </row>
    <row r="118" spans="1:22" ht="32.25" thickBot="1">
      <c r="A118" s="74" t="s">
        <v>269</v>
      </c>
      <c r="B118" s="2" t="s">
        <v>138</v>
      </c>
      <c r="C118" s="13"/>
      <c r="D118" s="13" t="s">
        <v>328</v>
      </c>
      <c r="E118" s="13">
        <v>1636.2</v>
      </c>
      <c r="F118" s="12"/>
      <c r="G118" s="12"/>
      <c r="H118" s="12"/>
      <c r="I118" s="10"/>
      <c r="J118" s="10"/>
      <c r="K118" s="28">
        <v>1636.2</v>
      </c>
      <c r="M118" s="114">
        <f>SUMIF(DTRQ1!$A$12:$A$422,'DETAILED REPROT Q1'!A118:A230,DTRQ1!$J$12:$J$422)</f>
        <v>218.97</v>
      </c>
      <c r="N118" s="114"/>
      <c r="O118" s="114"/>
      <c r="P118" s="114"/>
      <c r="Q118" s="114"/>
      <c r="R118" s="114"/>
      <c r="S118" s="101">
        <f t="shared" si="25"/>
        <v>218.97</v>
      </c>
      <c r="T118" s="101">
        <f t="shared" si="26"/>
        <v>1417.23</v>
      </c>
      <c r="U118" s="160">
        <f t="shared" si="27"/>
        <v>0.13382838283828383</v>
      </c>
      <c r="V118" s="101"/>
    </row>
    <row r="119" spans="1:22" ht="32.25" thickBot="1">
      <c r="A119" s="74" t="s">
        <v>270</v>
      </c>
      <c r="B119" s="2" t="s">
        <v>139</v>
      </c>
      <c r="C119" s="13"/>
      <c r="D119" s="13" t="s">
        <v>328</v>
      </c>
      <c r="E119" s="13">
        <v>13332</v>
      </c>
      <c r="F119" s="12"/>
      <c r="G119" s="12"/>
      <c r="H119" s="12"/>
      <c r="I119" s="10"/>
      <c r="J119" s="10"/>
      <c r="K119" s="28">
        <v>13332</v>
      </c>
      <c r="M119" s="114">
        <f>SUMIF(DTRQ1!$A$12:$A$422,'DETAILED REPROT Q1'!A119:A231,DTRQ1!$J$12:$J$422)</f>
        <v>127.5</v>
      </c>
      <c r="N119" s="114"/>
      <c r="O119" s="114"/>
      <c r="P119" s="114"/>
      <c r="Q119" s="114"/>
      <c r="R119" s="114"/>
      <c r="S119" s="101">
        <f t="shared" si="25"/>
        <v>127.5</v>
      </c>
      <c r="T119" s="101">
        <f t="shared" si="26"/>
        <v>13204.5</v>
      </c>
      <c r="U119" s="160">
        <f t="shared" si="27"/>
        <v>9.5634563456345641E-3</v>
      </c>
      <c r="V119" s="101"/>
    </row>
    <row r="120" spans="1:22" ht="32.25" thickBot="1">
      <c r="A120" s="74" t="s">
        <v>271</v>
      </c>
      <c r="B120" s="2" t="s">
        <v>140</v>
      </c>
      <c r="C120" s="13"/>
      <c r="D120" s="13" t="s">
        <v>328</v>
      </c>
      <c r="E120" s="13">
        <v>5817.6</v>
      </c>
      <c r="F120" s="12"/>
      <c r="G120" s="12"/>
      <c r="H120" s="12"/>
      <c r="I120" s="10"/>
      <c r="J120" s="10"/>
      <c r="K120" s="28">
        <v>5817.6</v>
      </c>
      <c r="M120" s="114">
        <f>SUMIF(DTRQ1!$A$12:$A$422,'DETAILED REPROT Q1'!A120:A232,DTRQ1!$J$12:$J$422)</f>
        <v>52.23</v>
      </c>
      <c r="N120" s="114"/>
      <c r="O120" s="114"/>
      <c r="P120" s="114"/>
      <c r="Q120" s="114"/>
      <c r="R120" s="114"/>
      <c r="S120" s="101">
        <f t="shared" si="25"/>
        <v>52.23</v>
      </c>
      <c r="T120" s="101">
        <f t="shared" si="26"/>
        <v>5765.3700000000008</v>
      </c>
      <c r="U120" s="160">
        <f t="shared" si="27"/>
        <v>8.9779290429042886E-3</v>
      </c>
      <c r="V120" s="101"/>
    </row>
    <row r="121" spans="1:22" ht="32.25" thickBot="1">
      <c r="A121" s="74" t="s">
        <v>272</v>
      </c>
      <c r="B121" s="2" t="s">
        <v>141</v>
      </c>
      <c r="C121" s="13"/>
      <c r="D121" s="13" t="s">
        <v>328</v>
      </c>
      <c r="E121" s="13">
        <v>5630</v>
      </c>
      <c r="F121" s="12"/>
      <c r="G121" s="12"/>
      <c r="H121" s="12"/>
      <c r="I121" s="10"/>
      <c r="J121" s="10"/>
      <c r="K121" s="28">
        <v>5630</v>
      </c>
      <c r="M121" s="114">
        <f>SUMIF(DTRQ1!$A$12:$A$422,'DETAILED REPROT Q1'!A121:A233,DTRQ1!$J$12:$J$422)</f>
        <v>628.68000000000006</v>
      </c>
      <c r="N121" s="114"/>
      <c r="O121" s="114"/>
      <c r="P121" s="114"/>
      <c r="Q121" s="114"/>
      <c r="R121" s="114"/>
      <c r="S121" s="101">
        <f t="shared" si="25"/>
        <v>628.68000000000006</v>
      </c>
      <c r="T121" s="101">
        <f t="shared" si="26"/>
        <v>5001.32</v>
      </c>
      <c r="U121" s="160">
        <f t="shared" si="27"/>
        <v>0.11166607460035526</v>
      </c>
      <c r="V121" s="101"/>
    </row>
    <row r="122" spans="1:22" ht="16.5" thickBot="1">
      <c r="A122" s="74" t="s">
        <v>273</v>
      </c>
      <c r="B122" s="2" t="s">
        <v>142</v>
      </c>
      <c r="C122" s="13"/>
      <c r="D122" s="13" t="s">
        <v>328</v>
      </c>
      <c r="E122" s="13">
        <v>13195</v>
      </c>
      <c r="F122" s="12"/>
      <c r="G122" s="12"/>
      <c r="H122" s="12"/>
      <c r="I122" s="10"/>
      <c r="J122" s="10"/>
      <c r="K122" s="28">
        <v>13195</v>
      </c>
      <c r="M122" s="114">
        <f>SUMIF(DTRQ1!$A$12:$A$422,'DETAILED REPROT Q1'!A122:A234,DTRQ1!$J$12:$J$422)</f>
        <v>1009.9300000000001</v>
      </c>
      <c r="N122" s="114"/>
      <c r="O122" s="114"/>
      <c r="P122" s="114"/>
      <c r="Q122" s="114"/>
      <c r="R122" s="114"/>
      <c r="S122" s="101">
        <f t="shared" si="25"/>
        <v>1009.9300000000001</v>
      </c>
      <c r="T122" s="101">
        <f t="shared" si="26"/>
        <v>12185.07</v>
      </c>
      <c r="U122" s="160">
        <f t="shared" si="27"/>
        <v>7.6538840469874955E-2</v>
      </c>
      <c r="V122" s="101"/>
    </row>
    <row r="123" spans="1:22" ht="16.5" thickBot="1">
      <c r="A123" s="74" t="s">
        <v>274</v>
      </c>
      <c r="B123" s="2" t="s">
        <v>143</v>
      </c>
      <c r="C123" s="13"/>
      <c r="D123" s="10" t="s">
        <v>325</v>
      </c>
      <c r="E123" s="13"/>
      <c r="F123" s="13">
        <f>0.25*(F90+F76+F37)</f>
        <v>46762.534999999996</v>
      </c>
      <c r="G123" s="18">
        <f>0.25*(G90+G76+G37)</f>
        <v>30200.61</v>
      </c>
      <c r="H123" s="18">
        <f>0.25*(H90+H76+H37)</f>
        <v>52793.869999999995</v>
      </c>
      <c r="I123" s="2"/>
      <c r="J123" s="2"/>
      <c r="K123" s="28">
        <v>129757.01499999998</v>
      </c>
      <c r="M123" s="114">
        <f>SUMIF(DTRQ1!$A$12:$A$422,'DETAILED REPROT Q1'!A123:A235,DTRQ1!$J$12:$J$422)</f>
        <v>0</v>
      </c>
      <c r="N123" s="114"/>
      <c r="O123" s="114"/>
      <c r="P123" s="114"/>
      <c r="Q123" s="114"/>
      <c r="R123" s="114"/>
      <c r="S123" s="101">
        <f t="shared" si="25"/>
        <v>0</v>
      </c>
      <c r="T123" s="101">
        <f t="shared" si="26"/>
        <v>129757.01499999998</v>
      </c>
      <c r="U123" s="160">
        <f t="shared" si="27"/>
        <v>0</v>
      </c>
      <c r="V123" s="101"/>
    </row>
    <row r="124" spans="1:22" ht="16.5" thickBot="1">
      <c r="A124" s="73"/>
      <c r="B124" s="55" t="s">
        <v>8</v>
      </c>
      <c r="C124" s="56" t="e">
        <f>SUM(E124:H124)</f>
        <v>#REF!</v>
      </c>
      <c r="D124" s="56"/>
      <c r="E124" s="57" t="e">
        <f>SUM(E125:E137)</f>
        <v>#REF!</v>
      </c>
      <c r="F124" s="57"/>
      <c r="G124" s="57"/>
      <c r="H124" s="57"/>
      <c r="I124" s="58"/>
      <c r="J124" s="58"/>
      <c r="K124" s="59">
        <v>234416.49100000001</v>
      </c>
      <c r="M124" s="109">
        <f t="shared" ref="M124:R124" si="33">SUM(M125:M137)</f>
        <v>2960.02</v>
      </c>
      <c r="N124" s="109">
        <f t="shared" si="33"/>
        <v>0</v>
      </c>
      <c r="O124" s="109">
        <f t="shared" si="33"/>
        <v>0</v>
      </c>
      <c r="P124" s="109">
        <f t="shared" si="33"/>
        <v>0</v>
      </c>
      <c r="Q124" s="109">
        <f t="shared" si="33"/>
        <v>0</v>
      </c>
      <c r="R124" s="109">
        <f t="shared" si="33"/>
        <v>0</v>
      </c>
      <c r="S124" s="109">
        <f t="shared" si="25"/>
        <v>2960.02</v>
      </c>
      <c r="T124" s="109">
        <f t="shared" si="26"/>
        <v>231456.47100000002</v>
      </c>
      <c r="U124" s="171">
        <f t="shared" si="27"/>
        <v>1.2627183298294486E-2</v>
      </c>
      <c r="V124" s="109"/>
    </row>
    <row r="125" spans="1:22" ht="32.25" thickBot="1">
      <c r="A125" s="74" t="s">
        <v>275</v>
      </c>
      <c r="B125" s="2" t="s">
        <v>196</v>
      </c>
      <c r="C125" s="13"/>
      <c r="D125" s="2" t="s">
        <v>326</v>
      </c>
      <c r="E125" s="13">
        <v>20000</v>
      </c>
      <c r="F125" s="13"/>
      <c r="G125" s="13"/>
      <c r="H125" s="13"/>
      <c r="I125" s="2"/>
      <c r="J125" s="2"/>
      <c r="K125" s="28">
        <v>20000</v>
      </c>
      <c r="M125" s="114">
        <f>SUMIF(DTRQ1!$A$12:$A$422,'DETAILED REPROT Q1'!A125:A237,DTRQ1!$J$12:$J$422)</f>
        <v>0</v>
      </c>
      <c r="N125" s="114"/>
      <c r="O125" s="114"/>
      <c r="P125" s="114"/>
      <c r="Q125" s="114"/>
      <c r="R125" s="114"/>
      <c r="S125" s="101">
        <f t="shared" si="25"/>
        <v>0</v>
      </c>
      <c r="T125" s="101">
        <f t="shared" si="26"/>
        <v>20000</v>
      </c>
      <c r="U125" s="160">
        <f t="shared" si="27"/>
        <v>0</v>
      </c>
      <c r="V125" s="101"/>
    </row>
    <row r="126" spans="1:22" ht="16.5" thickBot="1">
      <c r="A126" s="74" t="s">
        <v>276</v>
      </c>
      <c r="B126" s="2" t="s">
        <v>185</v>
      </c>
      <c r="C126" s="13"/>
      <c r="D126" s="2" t="s">
        <v>326</v>
      </c>
      <c r="E126" s="13">
        <v>25000</v>
      </c>
      <c r="F126" s="13"/>
      <c r="G126" s="13"/>
      <c r="H126" s="13"/>
      <c r="I126" s="2"/>
      <c r="J126" s="2"/>
      <c r="K126" s="28">
        <v>25000</v>
      </c>
      <c r="M126" s="114">
        <f>SUMIF(DTRQ1!$A$12:$A$422,'DETAILED REPROT Q1'!A126:A238,DTRQ1!$J$12:$J$422)</f>
        <v>59.99</v>
      </c>
      <c r="N126" s="114"/>
      <c r="O126" s="114"/>
      <c r="P126" s="114"/>
      <c r="Q126" s="114"/>
      <c r="R126" s="114"/>
      <c r="S126" s="101">
        <f t="shared" si="25"/>
        <v>59.99</v>
      </c>
      <c r="T126" s="101">
        <f t="shared" si="26"/>
        <v>24940.01</v>
      </c>
      <c r="U126" s="160">
        <f t="shared" si="27"/>
        <v>2.3996E-3</v>
      </c>
      <c r="V126" s="101"/>
    </row>
    <row r="127" spans="1:22" ht="16.5" thickBot="1">
      <c r="A127" s="74" t="s">
        <v>277</v>
      </c>
      <c r="B127" s="2" t="s">
        <v>144</v>
      </c>
      <c r="C127" s="13"/>
      <c r="D127" s="2" t="s">
        <v>326</v>
      </c>
      <c r="E127" s="13">
        <v>30000</v>
      </c>
      <c r="F127" s="13"/>
      <c r="G127" s="13"/>
      <c r="H127" s="13"/>
      <c r="I127" s="2"/>
      <c r="J127" s="2"/>
      <c r="K127" s="28">
        <v>30000</v>
      </c>
      <c r="M127" s="114">
        <f>SUMIF(DTRQ1!$A$12:$A$422,'DETAILED REPROT Q1'!A127:A239,DTRQ1!$J$12:$J$422)</f>
        <v>927.99</v>
      </c>
      <c r="N127" s="114"/>
      <c r="O127" s="114"/>
      <c r="P127" s="114"/>
      <c r="Q127" s="114"/>
      <c r="R127" s="114"/>
      <c r="S127" s="101">
        <f t="shared" si="25"/>
        <v>927.99</v>
      </c>
      <c r="T127" s="101">
        <f t="shared" si="26"/>
        <v>29072.01</v>
      </c>
      <c r="U127" s="160">
        <f t="shared" si="27"/>
        <v>3.0932999999999999E-2</v>
      </c>
      <c r="V127" s="101"/>
    </row>
    <row r="128" spans="1:22" ht="16.5" thickBot="1">
      <c r="A128" s="74" t="s">
        <v>278</v>
      </c>
      <c r="B128" s="2" t="s">
        <v>145</v>
      </c>
      <c r="C128" s="13"/>
      <c r="D128" s="2" t="s">
        <v>326</v>
      </c>
      <c r="E128" s="13">
        <v>3000</v>
      </c>
      <c r="F128" s="13"/>
      <c r="G128" s="13"/>
      <c r="H128" s="13"/>
      <c r="I128" s="2"/>
      <c r="J128" s="2"/>
      <c r="K128" s="28">
        <v>3000</v>
      </c>
      <c r="L128" s="86"/>
      <c r="M128" s="114">
        <f>SUMIF(DTRQ1!$A$12:$A$422,'DETAILED REPROT Q1'!A128:A240,DTRQ1!$J$12:$J$422)</f>
        <v>0</v>
      </c>
      <c r="N128" s="114"/>
      <c r="O128" s="114"/>
      <c r="P128" s="114"/>
      <c r="Q128" s="114"/>
      <c r="R128" s="114"/>
      <c r="S128" s="101">
        <f t="shared" si="25"/>
        <v>0</v>
      </c>
      <c r="T128" s="101">
        <f t="shared" si="26"/>
        <v>3000</v>
      </c>
      <c r="U128" s="160">
        <f t="shared" si="27"/>
        <v>0</v>
      </c>
      <c r="V128" s="101"/>
    </row>
    <row r="129" spans="1:22" ht="16.5" thickBot="1">
      <c r="A129" s="74" t="s">
        <v>279</v>
      </c>
      <c r="B129" s="2" t="s">
        <v>146</v>
      </c>
      <c r="C129" s="13"/>
      <c r="D129" s="2" t="s">
        <v>326</v>
      </c>
      <c r="E129" s="13">
        <v>25000</v>
      </c>
      <c r="F129" s="13"/>
      <c r="G129" s="13"/>
      <c r="H129" s="13"/>
      <c r="I129" s="2"/>
      <c r="J129" s="2"/>
      <c r="K129" s="28">
        <v>25000</v>
      </c>
      <c r="L129" s="86"/>
      <c r="M129" s="114">
        <f>SUMIF(DTRQ1!$A$12:$A$422,'DETAILED REPROT Q1'!A129:A241,DTRQ1!$J$12:$J$422)</f>
        <v>0</v>
      </c>
      <c r="N129" s="114"/>
      <c r="O129" s="114"/>
      <c r="P129" s="114"/>
      <c r="Q129" s="114"/>
      <c r="R129" s="114"/>
      <c r="S129" s="101">
        <f t="shared" si="25"/>
        <v>0</v>
      </c>
      <c r="T129" s="101">
        <f t="shared" si="26"/>
        <v>25000</v>
      </c>
      <c r="U129" s="160">
        <f t="shared" si="27"/>
        <v>0</v>
      </c>
      <c r="V129" s="101"/>
    </row>
    <row r="130" spans="1:22" ht="32.25" thickBot="1">
      <c r="A130" s="74" t="s">
        <v>280</v>
      </c>
      <c r="B130" s="2" t="s">
        <v>147</v>
      </c>
      <c r="C130" s="13"/>
      <c r="D130" s="2" t="s">
        <v>326</v>
      </c>
      <c r="E130" s="13">
        <f>4800*6</f>
        <v>28800</v>
      </c>
      <c r="F130" s="13"/>
      <c r="G130" s="13"/>
      <c r="H130" s="13"/>
      <c r="I130" s="2"/>
      <c r="J130" s="2"/>
      <c r="K130" s="28">
        <v>28800</v>
      </c>
      <c r="L130" s="86"/>
      <c r="M130" s="114">
        <f>SUMIF(DTRQ1!$A$12:$A$422,'DETAILED REPROT Q1'!A130:A242,DTRQ1!$J$12:$J$422)</f>
        <v>0</v>
      </c>
      <c r="N130" s="114"/>
      <c r="O130" s="114"/>
      <c r="P130" s="114"/>
      <c r="Q130" s="114"/>
      <c r="R130" s="114"/>
      <c r="S130" s="101">
        <f t="shared" si="25"/>
        <v>0</v>
      </c>
      <c r="T130" s="101">
        <f t="shared" si="26"/>
        <v>28800</v>
      </c>
      <c r="U130" s="160">
        <f t="shared" si="27"/>
        <v>0</v>
      </c>
      <c r="V130" s="101"/>
    </row>
    <row r="131" spans="1:22" ht="32.25" thickBot="1">
      <c r="A131" s="74" t="s">
        <v>281</v>
      </c>
      <c r="B131" s="2" t="s">
        <v>193</v>
      </c>
      <c r="C131" s="13"/>
      <c r="D131" s="2" t="s">
        <v>326</v>
      </c>
      <c r="E131" s="13">
        <v>2000</v>
      </c>
      <c r="F131" s="13"/>
      <c r="G131" s="13"/>
      <c r="H131" s="13"/>
      <c r="I131" s="2"/>
      <c r="J131" s="2"/>
      <c r="K131" s="28">
        <v>2000</v>
      </c>
      <c r="M131" s="114">
        <f>SUMIF(DTRQ1!$A$12:$A$422,'DETAILED REPROT Q1'!A131:A243,DTRQ1!$J$12:$J$422)</f>
        <v>0</v>
      </c>
      <c r="N131" s="114"/>
      <c r="O131" s="114"/>
      <c r="P131" s="114"/>
      <c r="Q131" s="114"/>
      <c r="R131" s="114"/>
      <c r="S131" s="101">
        <f t="shared" si="25"/>
        <v>0</v>
      </c>
      <c r="T131" s="101">
        <f t="shared" si="26"/>
        <v>2000</v>
      </c>
      <c r="U131" s="160">
        <f t="shared" si="27"/>
        <v>0</v>
      </c>
      <c r="V131" s="101"/>
    </row>
    <row r="132" spans="1:22" ht="16.5" thickBot="1">
      <c r="A132" s="74" t="s">
        <v>282</v>
      </c>
      <c r="B132" s="2" t="s">
        <v>148</v>
      </c>
      <c r="C132" s="13"/>
      <c r="D132" s="2" t="s">
        <v>326</v>
      </c>
      <c r="E132" s="13">
        <v>30000</v>
      </c>
      <c r="F132" s="13"/>
      <c r="G132" s="13"/>
      <c r="H132" s="13"/>
      <c r="I132" s="2"/>
      <c r="J132" s="2"/>
      <c r="K132" s="28">
        <v>30000</v>
      </c>
      <c r="M132" s="114">
        <f>SUMIF(DTRQ1!$A$12:$A$422,'DETAILED REPROT Q1'!A132:A244,DTRQ1!$J$12:$J$422)</f>
        <v>0</v>
      </c>
      <c r="N132" s="114"/>
      <c r="O132" s="114"/>
      <c r="P132" s="114"/>
      <c r="Q132" s="114"/>
      <c r="R132" s="114"/>
      <c r="S132" s="101">
        <f t="shared" si="25"/>
        <v>0</v>
      </c>
      <c r="T132" s="101">
        <f t="shared" si="26"/>
        <v>30000</v>
      </c>
      <c r="U132" s="160">
        <f t="shared" si="27"/>
        <v>0</v>
      </c>
      <c r="V132" s="101"/>
    </row>
    <row r="133" spans="1:22" ht="16.5" thickBot="1">
      <c r="A133" s="74" t="s">
        <v>283</v>
      </c>
      <c r="B133" s="2" t="s">
        <v>149</v>
      </c>
      <c r="C133" s="13"/>
      <c r="D133" s="2" t="s">
        <v>326</v>
      </c>
      <c r="E133" s="13">
        <v>25000</v>
      </c>
      <c r="F133" s="13"/>
      <c r="G133" s="13"/>
      <c r="H133" s="13"/>
      <c r="I133" s="2"/>
      <c r="J133" s="2"/>
      <c r="K133" s="28">
        <v>25000</v>
      </c>
      <c r="M133" s="114">
        <f>SUMIF(DTRQ1!$A$12:$A$422,'DETAILED REPROT Q1'!A133:A245,DTRQ1!$J$12:$J$422)</f>
        <v>0</v>
      </c>
      <c r="N133" s="114"/>
      <c r="O133" s="114"/>
      <c r="P133" s="114"/>
      <c r="Q133" s="114"/>
      <c r="R133" s="114"/>
      <c r="S133" s="101">
        <f t="shared" si="25"/>
        <v>0</v>
      </c>
      <c r="T133" s="101">
        <f t="shared" si="26"/>
        <v>25000</v>
      </c>
      <c r="U133" s="160">
        <f t="shared" si="27"/>
        <v>0</v>
      </c>
      <c r="V133" s="101"/>
    </row>
    <row r="134" spans="1:22" ht="32.25" thickBot="1">
      <c r="A134" s="74" t="s">
        <v>284</v>
      </c>
      <c r="B134" s="2" t="s">
        <v>179</v>
      </c>
      <c r="C134" s="20">
        <v>0.15</v>
      </c>
      <c r="D134" s="118" t="s">
        <v>327</v>
      </c>
      <c r="E134" s="13" t="e">
        <f>#REF!*C134</f>
        <v>#REF!</v>
      </c>
      <c r="F134" s="13"/>
      <c r="G134" s="13"/>
      <c r="H134" s="13"/>
      <c r="I134" s="2"/>
      <c r="J134" s="2"/>
      <c r="K134" s="28">
        <v>11022</v>
      </c>
      <c r="M134" s="114">
        <f>SUMIF(DTRQ1!$A$12:$A$422,'DETAILED REPROT Q1'!A134:A246,DTRQ1!$J$12:$J$422)</f>
        <v>1088.7299999999998</v>
      </c>
      <c r="N134" s="114"/>
      <c r="O134" s="114"/>
      <c r="P134" s="114"/>
      <c r="Q134" s="114"/>
      <c r="R134" s="114"/>
      <c r="S134" s="101">
        <f t="shared" si="25"/>
        <v>1088.7299999999998</v>
      </c>
      <c r="T134" s="101">
        <f t="shared" si="26"/>
        <v>9933.27</v>
      </c>
      <c r="U134" s="160">
        <f t="shared" si="27"/>
        <v>9.8777898747958615E-2</v>
      </c>
      <c r="V134" s="101"/>
    </row>
    <row r="135" spans="1:22" ht="32.25" thickBot="1">
      <c r="A135" s="74" t="s">
        <v>285</v>
      </c>
      <c r="B135" s="2" t="s">
        <v>180</v>
      </c>
      <c r="C135" s="20">
        <v>0.3</v>
      </c>
      <c r="D135" s="118" t="s">
        <v>327</v>
      </c>
      <c r="E135" s="13" t="e">
        <f>#REF!*C135</f>
        <v>#REF!</v>
      </c>
      <c r="F135" s="13"/>
      <c r="G135" s="13"/>
      <c r="H135" s="13"/>
      <c r="I135" s="2"/>
      <c r="J135" s="2"/>
      <c r="K135" s="28">
        <v>8916.6</v>
      </c>
      <c r="M135" s="114">
        <f>SUMIF(DTRQ1!$A$12:$A$422,'DETAILED REPROT Q1'!A135:A247,DTRQ1!$J$12:$J$422)</f>
        <v>0</v>
      </c>
      <c r="N135" s="114"/>
      <c r="O135" s="114"/>
      <c r="P135" s="114"/>
      <c r="Q135" s="114"/>
      <c r="R135" s="114"/>
      <c r="S135" s="101">
        <f t="shared" si="25"/>
        <v>0</v>
      </c>
      <c r="T135" s="101">
        <f t="shared" si="26"/>
        <v>8916.6</v>
      </c>
      <c r="U135" s="160">
        <f t="shared" si="27"/>
        <v>0</v>
      </c>
      <c r="V135" s="101"/>
    </row>
    <row r="136" spans="1:22" ht="32.25" thickBot="1">
      <c r="A136" s="74" t="s">
        <v>286</v>
      </c>
      <c r="B136" s="2" t="s">
        <v>195</v>
      </c>
      <c r="C136" s="20">
        <v>0.06</v>
      </c>
      <c r="D136" s="118" t="s">
        <v>327</v>
      </c>
      <c r="E136" s="13">
        <f>7080*18*0.06</f>
        <v>7646.4</v>
      </c>
      <c r="F136" s="13"/>
      <c r="G136" s="13"/>
      <c r="H136" s="13"/>
      <c r="I136" s="2"/>
      <c r="J136" s="2"/>
      <c r="K136" s="28">
        <v>7646.4</v>
      </c>
      <c r="M136" s="114">
        <f>SUMIF(DTRQ1!$A$12:$A$422,'DETAILED REPROT Q1'!A136:A248,DTRQ1!$J$12:$J$422)</f>
        <v>0</v>
      </c>
      <c r="N136" s="114"/>
      <c r="O136" s="114"/>
      <c r="P136" s="114"/>
      <c r="Q136" s="114"/>
      <c r="R136" s="114"/>
      <c r="S136" s="101">
        <f t="shared" si="25"/>
        <v>0</v>
      </c>
      <c r="T136" s="101">
        <f t="shared" si="26"/>
        <v>7646.4</v>
      </c>
      <c r="U136" s="160">
        <f t="shared" si="27"/>
        <v>0</v>
      </c>
      <c r="V136" s="101"/>
    </row>
    <row r="137" spans="1:22" ht="63.75" thickBot="1">
      <c r="A137" s="74" t="s">
        <v>287</v>
      </c>
      <c r="B137" s="2" t="s">
        <v>181</v>
      </c>
      <c r="C137" s="20">
        <v>0.15</v>
      </c>
      <c r="D137" s="118" t="s">
        <v>327</v>
      </c>
      <c r="E137" s="13">
        <f>6678.33*18*15%</f>
        <v>18031.490999999998</v>
      </c>
      <c r="F137" s="13"/>
      <c r="G137" s="13"/>
      <c r="H137" s="18"/>
      <c r="I137" s="2"/>
      <c r="J137" s="2"/>
      <c r="K137" s="28">
        <v>18031.490999999998</v>
      </c>
      <c r="M137" s="114">
        <f>SUMIF(DTRQ1!$A$12:$A$422,'DETAILED REPROT Q1'!A137:A249,DTRQ1!$J$12:$J$422)</f>
        <v>883.31000000000006</v>
      </c>
      <c r="N137" s="114"/>
      <c r="O137" s="114"/>
      <c r="P137" s="114"/>
      <c r="Q137" s="114"/>
      <c r="R137" s="114"/>
      <c r="S137" s="101">
        <f t="shared" si="25"/>
        <v>883.31000000000006</v>
      </c>
      <c r="T137" s="101">
        <f t="shared" si="26"/>
        <v>17148.180999999997</v>
      </c>
      <c r="U137" s="160">
        <f t="shared" si="27"/>
        <v>4.8987074890257283E-2</v>
      </c>
      <c r="V137" s="101"/>
    </row>
    <row r="138" spans="1:22" ht="32.25" thickBot="1">
      <c r="A138" s="73"/>
      <c r="B138" s="61" t="s">
        <v>2</v>
      </c>
      <c r="C138" s="60"/>
      <c r="D138" s="60"/>
      <c r="E138" s="60" t="e">
        <f>E124+E109+E91+E90+E76+E37</f>
        <v>#REF!</v>
      </c>
      <c r="F138" s="60">
        <f>F124+F109+F91+F90+F76+F37</f>
        <v>252212.67499999999</v>
      </c>
      <c r="G138" s="60">
        <f>G124+G109+G91+G90+G76+G37</f>
        <v>151003.04999999999</v>
      </c>
      <c r="H138" s="60">
        <f>H124+H109+H91+H90+H76+H37</f>
        <v>282369.34999999998</v>
      </c>
      <c r="I138" s="61"/>
      <c r="J138" s="61"/>
      <c r="K138" s="48">
        <v>1401869.1546499999</v>
      </c>
      <c r="M138" s="110">
        <f t="shared" ref="M138:R138" si="34">M124+M109+M91+M90+M76+M37</f>
        <v>36912.759999999995</v>
      </c>
      <c r="N138" s="110">
        <f t="shared" si="34"/>
        <v>0</v>
      </c>
      <c r="O138" s="110">
        <f t="shared" si="34"/>
        <v>0</v>
      </c>
      <c r="P138" s="110">
        <f t="shared" si="34"/>
        <v>0</v>
      </c>
      <c r="Q138" s="110">
        <f t="shared" si="34"/>
        <v>0</v>
      </c>
      <c r="R138" s="110">
        <f t="shared" si="34"/>
        <v>0</v>
      </c>
      <c r="S138" s="110">
        <f t="shared" si="25"/>
        <v>36912.759999999995</v>
      </c>
      <c r="T138" s="110">
        <f t="shared" si="26"/>
        <v>1364956.3946499999</v>
      </c>
      <c r="U138" s="172">
        <f t="shared" si="27"/>
        <v>2.6331102212756714E-2</v>
      </c>
      <c r="V138" s="110"/>
    </row>
    <row r="139" spans="1:22" ht="16.5" thickBot="1">
      <c r="A139" s="74" t="s">
        <v>288</v>
      </c>
      <c r="B139" s="8" t="s">
        <v>150</v>
      </c>
      <c r="C139" s="27">
        <f>C138*7%</f>
        <v>0</v>
      </c>
      <c r="D139" s="27" t="s">
        <v>332</v>
      </c>
      <c r="E139" s="17"/>
      <c r="F139" s="17"/>
      <c r="G139" s="17"/>
      <c r="H139" s="17"/>
      <c r="I139" s="8"/>
      <c r="J139" s="8"/>
      <c r="K139" s="28">
        <v>98130.84082550001</v>
      </c>
      <c r="M139" s="114">
        <f>SUMIF(DTRQ1!$A$12:$A$422,'DETAILED REPROT Q1'!A139:A251,DTRQ1!$J$12:$J$422)</f>
        <v>2609.59</v>
      </c>
      <c r="N139" s="114"/>
      <c r="O139" s="114"/>
      <c r="P139" s="114"/>
      <c r="Q139" s="114"/>
      <c r="R139" s="114"/>
      <c r="S139" s="97">
        <f t="shared" si="25"/>
        <v>2609.59</v>
      </c>
      <c r="T139" s="97">
        <f t="shared" si="26"/>
        <v>95521.250825500014</v>
      </c>
      <c r="U139" s="160">
        <f t="shared" si="27"/>
        <v>2.6592964842118007E-2</v>
      </c>
      <c r="V139" s="97"/>
    </row>
    <row r="140" spans="1:22" ht="16.5" thickBot="1">
      <c r="A140" s="73"/>
      <c r="B140" s="8"/>
      <c r="C140" s="17"/>
      <c r="D140" s="17"/>
      <c r="E140" s="17"/>
      <c r="F140" s="17"/>
      <c r="G140" s="17"/>
      <c r="H140" s="17"/>
      <c r="I140" s="8"/>
      <c r="J140" s="8"/>
      <c r="K140" s="28">
        <v>0</v>
      </c>
      <c r="M140" s="97"/>
      <c r="N140" s="97"/>
      <c r="O140" s="97"/>
      <c r="P140" s="97"/>
      <c r="Q140" s="97"/>
      <c r="R140" s="97"/>
      <c r="S140" s="97"/>
      <c r="T140" s="97"/>
      <c r="U140" s="160"/>
      <c r="V140" s="97"/>
    </row>
    <row r="141" spans="1:22" ht="41.25" thickBot="1">
      <c r="A141" s="73"/>
      <c r="B141" s="64" t="s">
        <v>154</v>
      </c>
      <c r="C141" s="62">
        <f>C138+C139</f>
        <v>0</v>
      </c>
      <c r="D141" s="62"/>
      <c r="E141" s="63"/>
      <c r="F141" s="63"/>
      <c r="G141" s="63"/>
      <c r="H141" s="63"/>
      <c r="I141" s="64"/>
      <c r="J141" s="64"/>
      <c r="K141" s="65">
        <v>1499999.9954754999</v>
      </c>
      <c r="M141" s="112">
        <f t="shared" ref="M141:R141" si="35">M139+M138</f>
        <v>39522.349999999991</v>
      </c>
      <c r="N141" s="112">
        <f t="shared" si="35"/>
        <v>0</v>
      </c>
      <c r="O141" s="112">
        <f t="shared" si="35"/>
        <v>0</v>
      </c>
      <c r="P141" s="112">
        <f t="shared" si="35"/>
        <v>0</v>
      </c>
      <c r="Q141" s="112">
        <f t="shared" si="35"/>
        <v>0</v>
      </c>
      <c r="R141" s="112">
        <f t="shared" si="35"/>
        <v>0</v>
      </c>
      <c r="S141" s="111">
        <f t="shared" si="25"/>
        <v>39522.349999999991</v>
      </c>
      <c r="T141" s="111">
        <f t="shared" si="26"/>
        <v>1460477.6454754998</v>
      </c>
      <c r="U141" s="173">
        <f t="shared" si="27"/>
        <v>2.6348233412808383E-2</v>
      </c>
      <c r="V141" s="111"/>
    </row>
    <row r="142" spans="1:22">
      <c r="C142" s="21"/>
      <c r="D142" s="21"/>
      <c r="E142" s="11"/>
      <c r="F142" s="11"/>
      <c r="G142" s="11"/>
    </row>
    <row r="143" spans="1:22">
      <c r="E143" s="26"/>
      <c r="F143" s="26"/>
      <c r="M143" s="11"/>
    </row>
    <row r="144" spans="1:22">
      <c r="M144" s="176"/>
    </row>
    <row r="164" spans="12:12">
      <c r="L164" s="87"/>
    </row>
  </sheetData>
  <autoFilter ref="A16:W141" xr:uid="{00000000-0009-0000-0000-000004000000}"/>
  <mergeCells count="1">
    <mergeCell ref="M14:P14"/>
  </mergeCells>
  <dataValidations count="14">
    <dataValidation allowBlank="1" showErrorMessage="1" sqref="B123 B125:B137" xr:uid="{00000000-0002-0000-0400-000000000000}"/>
    <dataValidation operator="greaterThan" allowBlank="1" showInputMessage="1" showErrorMessage="1" promptTitle="Project Period" prompt="Please enter the project's implementation period into this cell._x000a_Please use the format MMM-YY-MMM-YY_x000a_Do NOT delete this row!" sqref="C11:D11" xr:uid="{00000000-0002-0000-0400-000001000000}"/>
    <dataValidation allowBlank="1" showInputMessage="1" showErrorMessage="1" promptTitle="Name Donor" prompt="Please fill in the name of the donor/funder._x000a_Do NOT delete this row or any other rows above row 30!" sqref="C1:D1" xr:uid="{00000000-0002-0000-0400-000002000000}"/>
    <dataValidation allowBlank="1" showInputMessage="1" showErrorMessage="1" promptTitle="Budget Holder" prompt="Name of the International Alert Budget Holder that holds the budget for this project._x000a_Please do NOT delete this row!" sqref="C9:D9" xr:uid="{00000000-0002-0000-0400-000003000000}"/>
    <dataValidation allowBlank="1" showInputMessage="1" showErrorMessage="1" promptTitle="Currency Rate (from table)" prompt="Please do not change the rate here!_x000a__x000a_Please fill in the countervalue of GBP 1 with an accuracy of up to 5 digits in the table to the extreme right (Starting at column IO)_x000a__x000a_Please do not delete this row or any row below row 30!" sqref="C4:D4" xr:uid="{00000000-0002-0000-0400-000004000000}"/>
    <dataValidation allowBlank="1" showInputMessage="1" showErrorMessage="1" promptTitle="Exchange Rate, Source and Policy" prompt="IA uses reliable sources, such as oanda.com and xe.com to base its exchange rates on._x000a_IA also takes into account factors such as the volatility of the currency exchange rate (against the GBP) over past periods with a duration comparable to the proposed." sqref="B4" xr:uid="{00000000-0002-0000-0400-000005000000}"/>
    <dataValidation allowBlank="1" showInputMessage="1" showErrorMessage="1" promptTitle="Base Currency" prompt="Please do not change Base Currency_x000a_Do NOT delete this row!" sqref="C2:D3" xr:uid="{00000000-0002-0000-0400-000006000000}"/>
    <dataValidation type="decimal" allowBlank="1" showInputMessage="1" showErrorMessage="1" promptTitle="General Overheads Contribution" prompt="Please fill in the General contribution to overheads as a percentage of the total budget -before overheads-_x000a_Do NOT delete this row!" sqref="C13:D13" xr:uid="{00000000-0002-0000-0400-000007000000}">
      <formula1>0.05</formula1>
      <formula2>0.4</formula2>
    </dataValidation>
    <dataValidation allowBlank="1" showInputMessage="1" showErrorMessage="1" promptTitle="Project Title" prompt="Name of the International Alert Project that is proposed to the donor with this budget._x000a_Please do NOT delete this row!" sqref="C10:D10" xr:uid="{00000000-0002-0000-0400-000008000000}"/>
    <dataValidation allowBlank="1" showInputMessage="1" showErrorMessage="1" promptTitle="Programme Manager" prompt="Name of the International Alert Programme manager that implements this project._x000a_Please do NOT delete this row!" sqref="C8:D8" xr:uid="{00000000-0002-0000-0400-000009000000}"/>
    <dataValidation allowBlank="1" showInputMessage="1" showErrorMessage="1" promptTitle="International Alert Programme" prompt="Please fill in the name of the International Alert Programme that carries out the project._x000a_Please do NOT delete the row!" sqref="C7:D7" xr:uid="{00000000-0002-0000-0400-00000A000000}"/>
    <dataValidation allowBlank="1" showInputMessage="1" showErrorMessage="1" promptTitle="Fund Code International Alert" prompt="Please fill in the allocated Fund Code after the project has been funded._x000a_During the application process this row can be grouped and collapsed._x000a_Please do NOT delete the row!" sqref="C6:D6" xr:uid="{00000000-0002-0000-0400-00000B000000}"/>
    <dataValidation allowBlank="1" showInputMessage="1" showErrorMessage="1" promptTitle="Project Code Funder" prompt="Usually allocated by the funder as part of the grant contract._x000a_During the application process this row can usually be grouped and collapsed._x000a_Please do NOT delete the row!" sqref="C5:D5" xr:uid="{00000000-0002-0000-0400-00000C000000}"/>
    <dataValidation type="textLength" errorStyle="information" allowBlank="1" showInputMessage="1" error="XLBVal:2=0_x000d__x000a_" sqref="M21:R22 M24:R25 M27:R32 M35:R36 M41:R42 M44:R45 M47:R48 M50:R52 M55:R56 M58:R59 M61:R64 M66:R67 M69:R70 M72:R75 M79:R80 M82:R83 M85:R85 M87:R89 M19:R19 M125:R137 M110:R123 M92:R108 M139:R139" xr:uid="{00000000-0002-0000-0400-00000D000000}">
      <formula1>0</formula1>
      <formula2>300</formula2>
    </dataValidation>
  </dataValidations>
  <pageMargins left="0.7" right="0.7" top="0.75" bottom="0.75" header="0.3" footer="0.3"/>
  <pageSetup scale="74" orientation="landscape" r:id="rId1"/>
  <rowBreaks count="1" manualBreakCount="1">
    <brk id="76"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699"/>
  <sheetViews>
    <sheetView topLeftCell="N1" workbookViewId="0">
      <selection activeCell="R3" sqref="R3"/>
    </sheetView>
  </sheetViews>
  <sheetFormatPr defaultRowHeight="15" outlineLevelRow="1"/>
  <cols>
    <col min="1" max="1" width="16.85546875" bestFit="1" customWidth="1"/>
    <col min="2" max="2" width="18.140625" bestFit="1" customWidth="1"/>
    <col min="3" max="3" width="17" bestFit="1" customWidth="1"/>
    <col min="4" max="4" width="31.140625" style="128" bestFit="1" customWidth="1"/>
    <col min="5" max="5" width="48" style="128" bestFit="1" customWidth="1"/>
    <col min="6" max="6" width="11.140625" style="129" bestFit="1" customWidth="1"/>
    <col min="7" max="7" width="19.28515625" bestFit="1" customWidth="1"/>
    <col min="8" max="8" width="20" bestFit="1" customWidth="1"/>
    <col min="9" max="9" width="14.7109375" bestFit="1" customWidth="1"/>
    <col min="10" max="10" width="21.42578125" bestFit="1" customWidth="1"/>
    <col min="11" max="11" width="14" bestFit="1" customWidth="1"/>
    <col min="12" max="12" width="19.7109375" bestFit="1" customWidth="1"/>
    <col min="13" max="13" width="19.5703125" bestFit="1" customWidth="1"/>
    <col min="14" max="14" width="13.85546875" bestFit="1" customWidth="1"/>
    <col min="15" max="15" width="13.42578125" bestFit="1" customWidth="1"/>
    <col min="16" max="16" width="10.140625" bestFit="1" customWidth="1"/>
    <col min="17" max="17" width="12.85546875" bestFit="1" customWidth="1"/>
    <col min="18" max="18" width="18.28515625" bestFit="1" customWidth="1"/>
    <col min="19" max="19" width="6.28515625" bestFit="1" customWidth="1"/>
    <col min="20" max="20" width="2.28515625" bestFit="1" customWidth="1"/>
    <col min="21" max="21" width="7.42578125" bestFit="1" customWidth="1"/>
    <col min="22" max="22" width="4" bestFit="1" customWidth="1"/>
  </cols>
  <sheetData>
    <row r="1" spans="1:22" ht="15.75" thickBot="1">
      <c r="A1" s="125"/>
      <c r="B1" s="126"/>
      <c r="C1" s="126"/>
      <c r="D1" s="127"/>
    </row>
    <row r="2" spans="1:22" ht="15.75" thickBot="1">
      <c r="A2" s="130"/>
      <c r="B2" s="131" t="s">
        <v>344</v>
      </c>
      <c r="C2" s="132" t="s">
        <v>345</v>
      </c>
      <c r="D2" s="133"/>
    </row>
    <row r="3" spans="1:22" ht="15.75" thickBot="1">
      <c r="A3" s="130"/>
      <c r="B3" s="131" t="s">
        <v>346</v>
      </c>
      <c r="C3" s="132" t="s">
        <v>347</v>
      </c>
      <c r="D3" s="133"/>
    </row>
    <row r="4" spans="1:22" ht="15.75" thickBot="1">
      <c r="A4" s="130"/>
      <c r="B4" s="131" t="s">
        <v>348</v>
      </c>
      <c r="C4" s="132" t="s">
        <v>349</v>
      </c>
      <c r="D4" s="133"/>
    </row>
    <row r="5" spans="1:22" ht="15.75" thickBot="1">
      <c r="A5" s="130"/>
      <c r="B5" s="131" t="s">
        <v>350</v>
      </c>
      <c r="C5" s="132">
        <v>4000</v>
      </c>
      <c r="D5" s="133"/>
    </row>
    <row r="6" spans="1:22" ht="15.75" thickBot="1">
      <c r="A6" s="130"/>
      <c r="B6" s="131" t="s">
        <v>351</v>
      </c>
      <c r="C6" s="132">
        <v>9999</v>
      </c>
      <c r="D6" s="133"/>
    </row>
    <row r="7" spans="1:22" ht="15.75" thickBot="1">
      <c r="A7" s="130"/>
      <c r="B7" s="131" t="s">
        <v>352</v>
      </c>
      <c r="C7" s="134" t="s">
        <v>309</v>
      </c>
      <c r="D7" s="133"/>
    </row>
    <row r="8" spans="1:22" ht="15.75" thickBot="1">
      <c r="A8" s="135"/>
      <c r="B8" s="136"/>
      <c r="C8" s="136"/>
      <c r="D8" s="137"/>
    </row>
    <row r="10" spans="1:22">
      <c r="A10" s="138" t="e">
        <f ca="1">[1]!AG_DTRT("0,Detail Report 1,1",$C$2,$C$5,$C$6,$C$3,$C$4,$C$7,$C$7)</f>
        <v>#NAME?</v>
      </c>
      <c r="B10" s="138"/>
      <c r="C10" s="138"/>
      <c r="D10" s="138"/>
      <c r="E10" s="139"/>
      <c r="F10" s="140"/>
      <c r="G10" s="141"/>
      <c r="H10" s="138"/>
      <c r="I10" s="138"/>
      <c r="J10" s="138"/>
      <c r="K10" s="138"/>
      <c r="L10" s="138"/>
      <c r="M10" s="142"/>
      <c r="N10" s="142"/>
      <c r="O10" s="138"/>
      <c r="P10" s="138"/>
      <c r="Q10" s="138"/>
      <c r="R10" s="138"/>
      <c r="S10" s="138"/>
      <c r="T10" s="138"/>
      <c r="U10" s="138"/>
      <c r="V10" s="138"/>
    </row>
    <row r="11" spans="1:22" s="147" customFormat="1" ht="25.5">
      <c r="A11" s="143" t="s">
        <v>353</v>
      </c>
      <c r="B11" s="143" t="s">
        <v>354</v>
      </c>
      <c r="C11" s="143" t="s">
        <v>355</v>
      </c>
      <c r="D11" s="143" t="s">
        <v>356</v>
      </c>
      <c r="E11" s="143" t="s">
        <v>357</v>
      </c>
      <c r="F11" s="144" t="s">
        <v>358</v>
      </c>
      <c r="G11" s="145" t="s">
        <v>359</v>
      </c>
      <c r="H11" s="143" t="s">
        <v>360</v>
      </c>
      <c r="I11" s="143" t="s">
        <v>361</v>
      </c>
      <c r="J11" s="143" t="s">
        <v>362</v>
      </c>
      <c r="K11" s="143" t="s">
        <v>363</v>
      </c>
      <c r="L11" s="143" t="s">
        <v>364</v>
      </c>
      <c r="M11" s="146" t="s">
        <v>365</v>
      </c>
      <c r="N11" s="143" t="s">
        <v>366</v>
      </c>
      <c r="O11" s="143" t="s">
        <v>367</v>
      </c>
      <c r="P11" s="143" t="s">
        <v>368</v>
      </c>
      <c r="Q11" s="143" t="s">
        <v>369</v>
      </c>
      <c r="R11" s="143" t="s">
        <v>370</v>
      </c>
      <c r="S11" s="143"/>
      <c r="T11" s="143"/>
      <c r="U11" s="143"/>
      <c r="V11" s="143"/>
    </row>
    <row r="12" spans="1:22" outlineLevel="1">
      <c r="A12" s="138"/>
      <c r="B12" s="138" t="s">
        <v>347</v>
      </c>
      <c r="C12" s="148">
        <v>43453</v>
      </c>
      <c r="D12" s="138" t="s">
        <v>371</v>
      </c>
      <c r="E12" s="139" t="s">
        <v>372</v>
      </c>
      <c r="F12" s="140">
        <v>74615</v>
      </c>
      <c r="G12" s="141">
        <v>-411435.27</v>
      </c>
      <c r="H12" s="138">
        <v>-525000</v>
      </c>
      <c r="I12" s="138" t="s">
        <v>292</v>
      </c>
      <c r="J12" s="149">
        <v>-525000</v>
      </c>
      <c r="K12" s="150" t="s">
        <v>373</v>
      </c>
      <c r="L12" s="151" t="s">
        <v>374</v>
      </c>
      <c r="M12" s="151" t="s">
        <v>309</v>
      </c>
      <c r="N12" s="151"/>
      <c r="O12" s="151" t="s">
        <v>375</v>
      </c>
      <c r="P12" s="151"/>
      <c r="Q12" s="151" t="s">
        <v>295</v>
      </c>
      <c r="R12" s="151"/>
      <c r="S12" s="138" t="s">
        <v>375</v>
      </c>
      <c r="T12" s="138"/>
      <c r="U12" s="138" t="s">
        <v>295</v>
      </c>
      <c r="V12" s="138"/>
    </row>
    <row r="13" spans="1:22" outlineLevel="1">
      <c r="A13" s="138"/>
      <c r="B13" s="138" t="s">
        <v>347</v>
      </c>
      <c r="C13" s="148">
        <v>43453</v>
      </c>
      <c r="D13" s="138" t="s">
        <v>376</v>
      </c>
      <c r="E13" s="139" t="s">
        <v>372</v>
      </c>
      <c r="F13" s="140">
        <v>74697</v>
      </c>
      <c r="G13" s="141">
        <v>-411435.27</v>
      </c>
      <c r="H13" s="138">
        <v>-525000</v>
      </c>
      <c r="I13" s="138" t="s">
        <v>292</v>
      </c>
      <c r="J13" s="149">
        <v>-525000</v>
      </c>
      <c r="K13" s="150" t="s">
        <v>373</v>
      </c>
      <c r="L13" s="151" t="s">
        <v>374</v>
      </c>
      <c r="M13" s="151" t="s">
        <v>309</v>
      </c>
      <c r="N13" s="151"/>
      <c r="O13" s="151" t="s">
        <v>375</v>
      </c>
      <c r="P13" s="151"/>
      <c r="Q13" s="151" t="s">
        <v>295</v>
      </c>
      <c r="R13" s="151"/>
      <c r="S13" s="138" t="s">
        <v>375</v>
      </c>
      <c r="T13" s="138"/>
      <c r="U13" s="138" t="s">
        <v>295</v>
      </c>
      <c r="V13" s="138"/>
    </row>
    <row r="14" spans="1:22" outlineLevel="1">
      <c r="A14" s="138"/>
      <c r="B14" s="138" t="s">
        <v>347</v>
      </c>
      <c r="C14" s="148">
        <v>43453</v>
      </c>
      <c r="D14" s="138" t="s">
        <v>377</v>
      </c>
      <c r="E14" s="139" t="s">
        <v>372</v>
      </c>
      <c r="F14" s="140">
        <v>74974</v>
      </c>
      <c r="G14" s="141">
        <v>411435.27</v>
      </c>
      <c r="H14" s="138">
        <v>525000</v>
      </c>
      <c r="I14" s="138" t="s">
        <v>292</v>
      </c>
      <c r="J14" s="149">
        <v>525000</v>
      </c>
      <c r="K14" s="150" t="s">
        <v>373</v>
      </c>
      <c r="L14" s="151" t="s">
        <v>374</v>
      </c>
      <c r="M14" s="151" t="s">
        <v>309</v>
      </c>
      <c r="N14" s="151"/>
      <c r="O14" s="151" t="s">
        <v>375</v>
      </c>
      <c r="P14" s="151"/>
      <c r="Q14" s="151" t="s">
        <v>295</v>
      </c>
      <c r="R14" s="151"/>
      <c r="S14" s="138" t="s">
        <v>375</v>
      </c>
      <c r="T14" s="138"/>
      <c r="U14" s="138" t="s">
        <v>295</v>
      </c>
      <c r="V14" s="138"/>
    </row>
    <row r="15" spans="1:22">
      <c r="A15" s="152" t="s">
        <v>378</v>
      </c>
      <c r="B15" s="152"/>
      <c r="C15" s="152"/>
      <c r="D15" s="152"/>
      <c r="E15" s="153"/>
      <c r="F15" s="154"/>
      <c r="G15" s="155">
        <f>SUM(G12:G14)</f>
        <v>-411435.27</v>
      </c>
      <c r="H15" s="156">
        <f>SUM(H12:H14)</f>
        <v>-525000</v>
      </c>
      <c r="I15" s="152"/>
      <c r="J15" s="156">
        <f>SUM(J12:J14)</f>
        <v>-525000</v>
      </c>
      <c r="K15" s="152"/>
      <c r="L15" s="152"/>
      <c r="M15" s="152"/>
      <c r="N15" s="152"/>
      <c r="O15" s="152"/>
      <c r="P15" s="152"/>
      <c r="Q15" s="152"/>
      <c r="R15" s="152"/>
      <c r="S15" s="138"/>
      <c r="T15" s="138"/>
      <c r="U15" s="138"/>
      <c r="V15" s="138"/>
    </row>
    <row r="16" spans="1:22" outlineLevel="1">
      <c r="A16" s="138" t="s">
        <v>379</v>
      </c>
      <c r="B16" s="138" t="s">
        <v>347</v>
      </c>
      <c r="C16" s="148">
        <v>43453</v>
      </c>
      <c r="D16" s="138" t="s">
        <v>376</v>
      </c>
      <c r="E16" s="139" t="s">
        <v>372</v>
      </c>
      <c r="F16" s="140">
        <v>74697</v>
      </c>
      <c r="G16" s="141">
        <v>7.1</v>
      </c>
      <c r="H16" s="138">
        <v>9.06</v>
      </c>
      <c r="I16" s="138" t="s">
        <v>292</v>
      </c>
      <c r="J16" s="149">
        <v>9.06</v>
      </c>
      <c r="K16" s="150" t="s">
        <v>380</v>
      </c>
      <c r="L16" s="151" t="s">
        <v>374</v>
      </c>
      <c r="M16" s="151" t="s">
        <v>309</v>
      </c>
      <c r="N16" s="151"/>
      <c r="O16" s="151"/>
      <c r="P16" s="151" t="s">
        <v>381</v>
      </c>
      <c r="Q16" s="151" t="s">
        <v>295</v>
      </c>
      <c r="R16" s="151" t="s">
        <v>379</v>
      </c>
      <c r="S16" s="138"/>
      <c r="T16" s="138" t="s">
        <v>381</v>
      </c>
      <c r="U16" s="138" t="s">
        <v>295</v>
      </c>
      <c r="V16" s="138" t="s">
        <v>379</v>
      </c>
    </row>
    <row r="17" spans="1:22" outlineLevel="1">
      <c r="A17" s="138" t="s">
        <v>379</v>
      </c>
      <c r="B17" s="138" t="s">
        <v>347</v>
      </c>
      <c r="C17" s="148">
        <v>43453</v>
      </c>
      <c r="D17" s="138" t="s">
        <v>376</v>
      </c>
      <c r="E17" s="139" t="s">
        <v>372</v>
      </c>
      <c r="F17" s="140">
        <v>74697</v>
      </c>
      <c r="G17" s="141">
        <v>-7.1</v>
      </c>
      <c r="H17" s="138">
        <v>-9.06</v>
      </c>
      <c r="I17" s="138" t="s">
        <v>292</v>
      </c>
      <c r="J17" s="149">
        <f>H17</f>
        <v>-9.06</v>
      </c>
      <c r="K17" s="150" t="s">
        <v>380</v>
      </c>
      <c r="L17" s="151" t="s">
        <v>374</v>
      </c>
      <c r="M17" s="151" t="s">
        <v>309</v>
      </c>
      <c r="N17" s="151"/>
      <c r="O17" s="151"/>
      <c r="P17" s="151" t="s">
        <v>381</v>
      </c>
      <c r="Q17" s="151" t="s">
        <v>295</v>
      </c>
      <c r="R17" s="151" t="s">
        <v>379</v>
      </c>
      <c r="S17" s="138"/>
      <c r="T17" s="138" t="s">
        <v>381</v>
      </c>
      <c r="U17" s="138" t="s">
        <v>295</v>
      </c>
      <c r="V17" s="138" t="s">
        <v>379</v>
      </c>
    </row>
    <row r="18" spans="1:22">
      <c r="A18" s="152" t="s">
        <v>378</v>
      </c>
      <c r="B18" s="152"/>
      <c r="C18" s="152"/>
      <c r="D18" s="152"/>
      <c r="E18" s="153"/>
      <c r="F18" s="154"/>
      <c r="G18" s="155">
        <f>SUM(G16:G17)</f>
        <v>0</v>
      </c>
      <c r="H18" s="156">
        <f>SUM(H16:H17)</f>
        <v>0</v>
      </c>
      <c r="I18" s="152"/>
      <c r="J18" s="156">
        <f>SUM(J16:J17)</f>
        <v>0</v>
      </c>
      <c r="K18" s="152"/>
      <c r="L18" s="152"/>
      <c r="M18" s="152"/>
      <c r="N18" s="152"/>
      <c r="O18" s="152"/>
      <c r="P18" s="152"/>
      <c r="Q18" s="152"/>
      <c r="R18" s="152"/>
      <c r="S18" s="138"/>
      <c r="T18" s="138"/>
      <c r="U18" s="138"/>
      <c r="V18" s="138"/>
    </row>
    <row r="19" spans="1:22" outlineLevel="1">
      <c r="A19" s="157" t="s">
        <v>199</v>
      </c>
      <c r="B19" s="138" t="s">
        <v>382</v>
      </c>
      <c r="C19" s="148">
        <v>43496</v>
      </c>
      <c r="D19" s="138" t="s">
        <v>383</v>
      </c>
      <c r="E19" s="139" t="s">
        <v>384</v>
      </c>
      <c r="F19" s="140">
        <v>75031</v>
      </c>
      <c r="G19" s="141">
        <v>289.64</v>
      </c>
      <c r="H19" s="138">
        <v>289.64</v>
      </c>
      <c r="I19" s="138" t="s">
        <v>293</v>
      </c>
      <c r="J19" s="149">
        <v>369.59</v>
      </c>
      <c r="K19" s="150" t="s">
        <v>385</v>
      </c>
      <c r="L19" s="151" t="s">
        <v>374</v>
      </c>
      <c r="M19" s="151" t="s">
        <v>309</v>
      </c>
      <c r="N19" s="151" t="s">
        <v>386</v>
      </c>
      <c r="O19" s="151"/>
      <c r="P19" s="151" t="s">
        <v>381</v>
      </c>
      <c r="Q19" s="151" t="s">
        <v>295</v>
      </c>
      <c r="R19" s="151" t="s">
        <v>379</v>
      </c>
      <c r="S19" s="138"/>
      <c r="T19" s="138" t="s">
        <v>381</v>
      </c>
      <c r="U19" s="138" t="s">
        <v>295</v>
      </c>
      <c r="V19" s="138" t="s">
        <v>379</v>
      </c>
    </row>
    <row r="20" spans="1:22" outlineLevel="1">
      <c r="A20" s="157" t="s">
        <v>199</v>
      </c>
      <c r="B20" s="138" t="s">
        <v>382</v>
      </c>
      <c r="C20" s="148">
        <v>43496</v>
      </c>
      <c r="D20" s="138" t="s">
        <v>383</v>
      </c>
      <c r="E20" s="139" t="s">
        <v>387</v>
      </c>
      <c r="F20" s="140">
        <v>75032</v>
      </c>
      <c r="G20" s="141">
        <v>14.48</v>
      </c>
      <c r="H20" s="138">
        <v>14.48</v>
      </c>
      <c r="I20" s="138" t="s">
        <v>293</v>
      </c>
      <c r="J20" s="149">
        <v>18.48</v>
      </c>
      <c r="K20" s="150" t="s">
        <v>385</v>
      </c>
      <c r="L20" s="151" t="s">
        <v>374</v>
      </c>
      <c r="M20" s="151" t="s">
        <v>309</v>
      </c>
      <c r="N20" s="151" t="s">
        <v>386</v>
      </c>
      <c r="O20" s="151"/>
      <c r="P20" s="151" t="s">
        <v>388</v>
      </c>
      <c r="Q20" s="151" t="s">
        <v>295</v>
      </c>
      <c r="R20" s="150" t="s">
        <v>199</v>
      </c>
      <c r="S20" s="138"/>
      <c r="T20" s="138" t="s">
        <v>388</v>
      </c>
      <c r="U20" s="138" t="s">
        <v>295</v>
      </c>
      <c r="V20" s="157" t="s">
        <v>199</v>
      </c>
    </row>
    <row r="21" spans="1:22" outlineLevel="1">
      <c r="A21" s="157" t="s">
        <v>199</v>
      </c>
      <c r="B21" s="138" t="s">
        <v>382</v>
      </c>
      <c r="C21" s="148">
        <v>43496</v>
      </c>
      <c r="D21" s="138" t="s">
        <v>383</v>
      </c>
      <c r="E21" s="139" t="s">
        <v>389</v>
      </c>
      <c r="F21" s="140">
        <v>75033</v>
      </c>
      <c r="G21" s="141">
        <v>4.34</v>
      </c>
      <c r="H21" s="138">
        <v>4.34</v>
      </c>
      <c r="I21" s="138" t="s">
        <v>293</v>
      </c>
      <c r="J21" s="149">
        <v>5.54</v>
      </c>
      <c r="K21" s="150" t="s">
        <v>385</v>
      </c>
      <c r="L21" s="151" t="s">
        <v>374</v>
      </c>
      <c r="M21" s="151" t="s">
        <v>309</v>
      </c>
      <c r="N21" s="151" t="s">
        <v>386</v>
      </c>
      <c r="O21" s="151"/>
      <c r="P21" s="151" t="s">
        <v>390</v>
      </c>
      <c r="Q21" s="151" t="s">
        <v>295</v>
      </c>
      <c r="R21" s="150" t="s">
        <v>379</v>
      </c>
      <c r="S21" s="138"/>
      <c r="T21" s="138" t="s">
        <v>390</v>
      </c>
      <c r="U21" s="138" t="s">
        <v>295</v>
      </c>
      <c r="V21" s="157" t="s">
        <v>379</v>
      </c>
    </row>
    <row r="22" spans="1:22" outlineLevel="1">
      <c r="A22" s="157" t="s">
        <v>199</v>
      </c>
      <c r="B22" s="138" t="s">
        <v>382</v>
      </c>
      <c r="C22" s="148">
        <v>43496</v>
      </c>
      <c r="D22" s="138" t="s">
        <v>383</v>
      </c>
      <c r="E22" s="139" t="s">
        <v>384</v>
      </c>
      <c r="F22" s="140">
        <v>75031</v>
      </c>
      <c r="G22" s="141">
        <v>28.96</v>
      </c>
      <c r="H22" s="138">
        <v>28.96</v>
      </c>
      <c r="I22" s="138" t="s">
        <v>293</v>
      </c>
      <c r="J22" s="149">
        <v>36.950000000000003</v>
      </c>
      <c r="K22" s="150" t="s">
        <v>391</v>
      </c>
      <c r="L22" s="151" t="s">
        <v>374</v>
      </c>
      <c r="M22" s="151" t="s">
        <v>309</v>
      </c>
      <c r="N22" s="151" t="s">
        <v>386</v>
      </c>
      <c r="O22" s="151"/>
      <c r="P22" s="151" t="s">
        <v>381</v>
      </c>
      <c r="Q22" s="151" t="s">
        <v>295</v>
      </c>
      <c r="R22" s="150" t="s">
        <v>379</v>
      </c>
      <c r="S22" s="138"/>
      <c r="T22" s="138" t="s">
        <v>381</v>
      </c>
      <c r="U22" s="138" t="s">
        <v>295</v>
      </c>
      <c r="V22" s="157" t="s">
        <v>379</v>
      </c>
    </row>
    <row r="23" spans="1:22" outlineLevel="1">
      <c r="A23" s="157" t="s">
        <v>199</v>
      </c>
      <c r="B23" s="138" t="s">
        <v>382</v>
      </c>
      <c r="C23" s="148">
        <v>43496</v>
      </c>
      <c r="D23" s="138" t="s">
        <v>383</v>
      </c>
      <c r="E23" s="139" t="s">
        <v>384</v>
      </c>
      <c r="F23" s="140">
        <v>75031</v>
      </c>
      <c r="G23" s="141">
        <v>35.130000000000003</v>
      </c>
      <c r="H23" s="138">
        <v>35.130000000000003</v>
      </c>
      <c r="I23" s="138" t="s">
        <v>293</v>
      </c>
      <c r="J23" s="149">
        <v>44.83</v>
      </c>
      <c r="K23" s="150" t="s">
        <v>392</v>
      </c>
      <c r="L23" s="151" t="s">
        <v>374</v>
      </c>
      <c r="M23" s="151" t="s">
        <v>309</v>
      </c>
      <c r="N23" s="151" t="s">
        <v>386</v>
      </c>
      <c r="O23" s="151"/>
      <c r="P23" s="151" t="s">
        <v>381</v>
      </c>
      <c r="Q23" s="151" t="s">
        <v>295</v>
      </c>
      <c r="R23" s="150" t="s">
        <v>379</v>
      </c>
      <c r="S23" s="138"/>
      <c r="T23" s="138" t="s">
        <v>381</v>
      </c>
      <c r="U23" s="138" t="s">
        <v>295</v>
      </c>
      <c r="V23" s="157" t="s">
        <v>379</v>
      </c>
    </row>
    <row r="24" spans="1:22" outlineLevel="1">
      <c r="A24" s="157" t="s">
        <v>199</v>
      </c>
      <c r="B24" s="138" t="s">
        <v>382</v>
      </c>
      <c r="C24" s="148">
        <v>43496</v>
      </c>
      <c r="D24" s="138" t="s">
        <v>383</v>
      </c>
      <c r="E24" s="139" t="s">
        <v>384</v>
      </c>
      <c r="F24" s="140">
        <v>75031</v>
      </c>
      <c r="G24" s="141">
        <v>-289.64</v>
      </c>
      <c r="H24" s="138">
        <v>-289.64</v>
      </c>
      <c r="I24" s="138" t="s">
        <v>293</v>
      </c>
      <c r="J24" s="149">
        <f>-J19</f>
        <v>-369.59</v>
      </c>
      <c r="K24" s="150" t="s">
        <v>385</v>
      </c>
      <c r="L24" s="151" t="s">
        <v>374</v>
      </c>
      <c r="M24" s="151" t="s">
        <v>309</v>
      </c>
      <c r="N24" s="151" t="s">
        <v>386</v>
      </c>
      <c r="O24" s="151"/>
      <c r="P24" s="151" t="s">
        <v>381</v>
      </c>
      <c r="Q24" s="151" t="s">
        <v>295</v>
      </c>
      <c r="R24" s="151" t="s">
        <v>379</v>
      </c>
      <c r="S24" s="138"/>
      <c r="T24" s="138" t="s">
        <v>381</v>
      </c>
      <c r="U24" s="138" t="s">
        <v>295</v>
      </c>
      <c r="V24" s="138" t="s">
        <v>379</v>
      </c>
    </row>
    <row r="25" spans="1:22" outlineLevel="1">
      <c r="A25" s="157" t="s">
        <v>199</v>
      </c>
      <c r="B25" s="138" t="s">
        <v>382</v>
      </c>
      <c r="C25" s="148">
        <v>43496</v>
      </c>
      <c r="D25" s="138" t="s">
        <v>383</v>
      </c>
      <c r="E25" s="139" t="s">
        <v>387</v>
      </c>
      <c r="F25" s="140">
        <v>75032</v>
      </c>
      <c r="G25" s="141">
        <v>-14.48</v>
      </c>
      <c r="H25" s="138">
        <v>-14.48</v>
      </c>
      <c r="I25" s="138" t="s">
        <v>293</v>
      </c>
      <c r="J25" s="149">
        <f>-J20</f>
        <v>-18.48</v>
      </c>
      <c r="K25" s="150" t="s">
        <v>385</v>
      </c>
      <c r="L25" s="151" t="s">
        <v>374</v>
      </c>
      <c r="M25" s="151" t="s">
        <v>309</v>
      </c>
      <c r="N25" s="151" t="s">
        <v>386</v>
      </c>
      <c r="O25" s="151"/>
      <c r="P25" s="151" t="s">
        <v>388</v>
      </c>
      <c r="Q25" s="151" t="s">
        <v>295</v>
      </c>
      <c r="R25" s="150" t="s">
        <v>199</v>
      </c>
      <c r="S25" s="138"/>
      <c r="T25" s="138" t="s">
        <v>388</v>
      </c>
      <c r="U25" s="138" t="s">
        <v>295</v>
      </c>
      <c r="V25" s="157" t="s">
        <v>199</v>
      </c>
    </row>
    <row r="26" spans="1:22" outlineLevel="1">
      <c r="A26" s="157" t="s">
        <v>199</v>
      </c>
      <c r="B26" s="138" t="s">
        <v>382</v>
      </c>
      <c r="C26" s="148">
        <v>43496</v>
      </c>
      <c r="D26" s="138" t="s">
        <v>383</v>
      </c>
      <c r="E26" s="139" t="s">
        <v>389</v>
      </c>
      <c r="F26" s="140">
        <v>75033</v>
      </c>
      <c r="G26" s="141">
        <v>-4.34</v>
      </c>
      <c r="H26" s="138">
        <v>-4.34</v>
      </c>
      <c r="I26" s="138" t="s">
        <v>293</v>
      </c>
      <c r="J26" s="149">
        <f>-J21</f>
        <v>-5.54</v>
      </c>
      <c r="K26" s="150" t="s">
        <v>385</v>
      </c>
      <c r="L26" s="151" t="s">
        <v>374</v>
      </c>
      <c r="M26" s="151" t="s">
        <v>309</v>
      </c>
      <c r="N26" s="151" t="s">
        <v>386</v>
      </c>
      <c r="O26" s="151"/>
      <c r="P26" s="151" t="s">
        <v>390</v>
      </c>
      <c r="Q26" s="151" t="s">
        <v>295</v>
      </c>
      <c r="R26" s="150" t="s">
        <v>379</v>
      </c>
      <c r="S26" s="138"/>
      <c r="T26" s="138" t="s">
        <v>390</v>
      </c>
      <c r="U26" s="138" t="s">
        <v>295</v>
      </c>
      <c r="V26" s="157" t="s">
        <v>379</v>
      </c>
    </row>
    <row r="27" spans="1:22" outlineLevel="1">
      <c r="A27" s="157" t="s">
        <v>199</v>
      </c>
      <c r="B27" s="138" t="s">
        <v>382</v>
      </c>
      <c r="C27" s="148">
        <v>43496</v>
      </c>
      <c r="D27" s="138" t="s">
        <v>383</v>
      </c>
      <c r="E27" s="139" t="s">
        <v>384</v>
      </c>
      <c r="F27" s="140">
        <v>75031</v>
      </c>
      <c r="G27" s="141">
        <v>-28.96</v>
      </c>
      <c r="H27" s="138">
        <v>-28.96</v>
      </c>
      <c r="I27" s="138" t="s">
        <v>293</v>
      </c>
      <c r="J27" s="149">
        <f>-J22</f>
        <v>-36.950000000000003</v>
      </c>
      <c r="K27" s="150" t="s">
        <v>391</v>
      </c>
      <c r="L27" s="151" t="s">
        <v>374</v>
      </c>
      <c r="M27" s="151" t="s">
        <v>309</v>
      </c>
      <c r="N27" s="151" t="s">
        <v>386</v>
      </c>
      <c r="O27" s="151"/>
      <c r="P27" s="151" t="s">
        <v>381</v>
      </c>
      <c r="Q27" s="151" t="s">
        <v>295</v>
      </c>
      <c r="R27" s="150" t="s">
        <v>379</v>
      </c>
      <c r="S27" s="138"/>
      <c r="T27" s="138" t="s">
        <v>381</v>
      </c>
      <c r="U27" s="138" t="s">
        <v>295</v>
      </c>
      <c r="V27" s="157" t="s">
        <v>379</v>
      </c>
    </row>
    <row r="28" spans="1:22" outlineLevel="1">
      <c r="A28" s="157" t="s">
        <v>199</v>
      </c>
      <c r="B28" s="138" t="s">
        <v>382</v>
      </c>
      <c r="C28" s="148">
        <v>43496</v>
      </c>
      <c r="D28" s="138" t="s">
        <v>383</v>
      </c>
      <c r="E28" s="139" t="s">
        <v>384</v>
      </c>
      <c r="F28" s="140">
        <v>75031</v>
      </c>
      <c r="G28" s="141">
        <v>-35.130000000000003</v>
      </c>
      <c r="H28" s="138">
        <v>-35.130000000000003</v>
      </c>
      <c r="I28" s="138" t="s">
        <v>293</v>
      </c>
      <c r="J28" s="149">
        <f>-J23</f>
        <v>-44.83</v>
      </c>
      <c r="K28" s="150" t="s">
        <v>392</v>
      </c>
      <c r="L28" s="151" t="s">
        <v>374</v>
      </c>
      <c r="M28" s="151" t="s">
        <v>309</v>
      </c>
      <c r="N28" s="151" t="s">
        <v>386</v>
      </c>
      <c r="O28" s="151"/>
      <c r="P28" s="151" t="s">
        <v>381</v>
      </c>
      <c r="Q28" s="151" t="s">
        <v>295</v>
      </c>
      <c r="R28" s="150" t="s">
        <v>379</v>
      </c>
      <c r="S28" s="138"/>
      <c r="T28" s="138" t="s">
        <v>381</v>
      </c>
      <c r="U28" s="138" t="s">
        <v>295</v>
      </c>
      <c r="V28" s="157" t="s">
        <v>379</v>
      </c>
    </row>
    <row r="29" spans="1:22">
      <c r="A29" s="152" t="s">
        <v>378</v>
      </c>
      <c r="B29" s="152"/>
      <c r="C29" s="152"/>
      <c r="D29" s="152"/>
      <c r="E29" s="153"/>
      <c r="F29" s="154"/>
      <c r="G29" s="155">
        <f>SUM(G19:G28)</f>
        <v>0</v>
      </c>
      <c r="H29" s="155">
        <f>SUM(H19:H28)</f>
        <v>0</v>
      </c>
      <c r="I29" s="152"/>
      <c r="J29" s="155">
        <f>SUM(J19:J28)</f>
        <v>0</v>
      </c>
      <c r="K29" s="152"/>
      <c r="L29" s="152"/>
      <c r="M29" s="152"/>
      <c r="N29" s="152"/>
      <c r="O29" s="152"/>
      <c r="P29" s="152"/>
      <c r="Q29" s="152"/>
      <c r="R29" s="152"/>
      <c r="S29" s="138"/>
      <c r="T29" s="138"/>
      <c r="U29" s="138"/>
      <c r="V29" s="138"/>
    </row>
    <row r="30" spans="1:22" outlineLevel="1">
      <c r="A30" s="157" t="s">
        <v>245</v>
      </c>
      <c r="B30" s="138" t="s">
        <v>393</v>
      </c>
      <c r="C30" s="148">
        <v>43523</v>
      </c>
      <c r="D30" s="138" t="s">
        <v>394</v>
      </c>
      <c r="E30" s="139" t="s">
        <v>395</v>
      </c>
      <c r="F30" s="140">
        <v>75030</v>
      </c>
      <c r="G30" s="141">
        <v>372.41</v>
      </c>
      <c r="H30" s="138">
        <v>489.14</v>
      </c>
      <c r="I30" s="138" t="s">
        <v>292</v>
      </c>
      <c r="J30" s="149">
        <v>489.14</v>
      </c>
      <c r="K30" s="150" t="s">
        <v>385</v>
      </c>
      <c r="L30" s="151" t="s">
        <v>396</v>
      </c>
      <c r="M30" s="151" t="s">
        <v>309</v>
      </c>
      <c r="N30" s="151" t="s">
        <v>397</v>
      </c>
      <c r="O30" s="151"/>
      <c r="P30" s="151" t="s">
        <v>381</v>
      </c>
      <c r="Q30" s="151" t="s">
        <v>295</v>
      </c>
      <c r="R30" s="150" t="s">
        <v>379</v>
      </c>
      <c r="S30" s="138"/>
      <c r="T30" s="138" t="s">
        <v>381</v>
      </c>
      <c r="U30" s="138" t="s">
        <v>295</v>
      </c>
      <c r="V30" s="157" t="s">
        <v>379</v>
      </c>
    </row>
    <row r="31" spans="1:22" outlineLevel="1">
      <c r="A31" s="157" t="s">
        <v>245</v>
      </c>
      <c r="B31" s="138" t="s">
        <v>393</v>
      </c>
      <c r="C31" s="148">
        <v>43523</v>
      </c>
      <c r="D31" s="138" t="s">
        <v>398</v>
      </c>
      <c r="E31" s="139" t="s">
        <v>399</v>
      </c>
      <c r="F31" s="140">
        <v>75040</v>
      </c>
      <c r="G31" s="141">
        <v>2102.31</v>
      </c>
      <c r="H31" s="138">
        <v>2761.29</v>
      </c>
      <c r="I31" s="138" t="s">
        <v>292</v>
      </c>
      <c r="J31" s="149">
        <v>2761.29</v>
      </c>
      <c r="K31" s="150" t="s">
        <v>385</v>
      </c>
      <c r="L31" s="151" t="s">
        <v>400</v>
      </c>
      <c r="M31" s="151" t="s">
        <v>309</v>
      </c>
      <c r="N31" s="151" t="s">
        <v>397</v>
      </c>
      <c r="O31" s="151"/>
      <c r="P31" s="151" t="s">
        <v>381</v>
      </c>
      <c r="Q31" s="151" t="s">
        <v>295</v>
      </c>
      <c r="R31" s="150" t="s">
        <v>379</v>
      </c>
      <c r="S31" s="138"/>
      <c r="T31" s="138" t="s">
        <v>381</v>
      </c>
      <c r="U31" s="138" t="s">
        <v>295</v>
      </c>
      <c r="V31" s="157" t="s">
        <v>379</v>
      </c>
    </row>
    <row r="32" spans="1:22" outlineLevel="1">
      <c r="A32" s="157" t="s">
        <v>245</v>
      </c>
      <c r="B32" s="138" t="s">
        <v>393</v>
      </c>
      <c r="C32" s="148">
        <v>43523</v>
      </c>
      <c r="D32" s="138" t="s">
        <v>401</v>
      </c>
      <c r="E32" s="139" t="s">
        <v>402</v>
      </c>
      <c r="F32" s="140">
        <v>75030</v>
      </c>
      <c r="G32" s="141">
        <v>189.29</v>
      </c>
      <c r="H32" s="138">
        <v>248.63</v>
      </c>
      <c r="I32" s="138" t="s">
        <v>292</v>
      </c>
      <c r="J32" s="149">
        <v>248.62</v>
      </c>
      <c r="K32" s="150" t="s">
        <v>391</v>
      </c>
      <c r="L32" s="151" t="s">
        <v>396</v>
      </c>
      <c r="M32" s="151" t="s">
        <v>309</v>
      </c>
      <c r="N32" s="151" t="s">
        <v>397</v>
      </c>
      <c r="O32" s="151"/>
      <c r="P32" s="151" t="s">
        <v>381</v>
      </c>
      <c r="Q32" s="151" t="s">
        <v>295</v>
      </c>
      <c r="R32" s="150" t="s">
        <v>379</v>
      </c>
      <c r="S32" s="138"/>
      <c r="T32" s="138" t="s">
        <v>381</v>
      </c>
      <c r="U32" s="138" t="s">
        <v>295</v>
      </c>
      <c r="V32" s="157" t="s">
        <v>379</v>
      </c>
    </row>
    <row r="33" spans="1:22" outlineLevel="1">
      <c r="A33" s="157" t="s">
        <v>245</v>
      </c>
      <c r="B33" s="138" t="s">
        <v>393</v>
      </c>
      <c r="C33" s="148">
        <v>43523</v>
      </c>
      <c r="D33" s="138" t="s">
        <v>403</v>
      </c>
      <c r="E33" s="139" t="s">
        <v>404</v>
      </c>
      <c r="F33" s="140">
        <v>75030</v>
      </c>
      <c r="G33" s="141">
        <v>56.79</v>
      </c>
      <c r="H33" s="138">
        <v>74.59</v>
      </c>
      <c r="I33" s="138" t="s">
        <v>292</v>
      </c>
      <c r="J33" s="149">
        <v>74.59</v>
      </c>
      <c r="K33" s="150" t="s">
        <v>405</v>
      </c>
      <c r="L33" s="151" t="s">
        <v>396</v>
      </c>
      <c r="M33" s="151" t="s">
        <v>309</v>
      </c>
      <c r="N33" s="151" t="s">
        <v>397</v>
      </c>
      <c r="O33" s="151"/>
      <c r="P33" s="151" t="s">
        <v>381</v>
      </c>
      <c r="Q33" s="151" t="s">
        <v>295</v>
      </c>
      <c r="R33" s="150" t="s">
        <v>379</v>
      </c>
      <c r="S33" s="138"/>
      <c r="T33" s="138" t="s">
        <v>381</v>
      </c>
      <c r="U33" s="138" t="s">
        <v>295</v>
      </c>
      <c r="V33" s="157" t="s">
        <v>379</v>
      </c>
    </row>
    <row r="34" spans="1:22" outlineLevel="1">
      <c r="A34" s="157" t="s">
        <v>245</v>
      </c>
      <c r="B34" s="138" t="s">
        <v>349</v>
      </c>
      <c r="C34" s="148">
        <v>43549</v>
      </c>
      <c r="D34" s="138" t="s">
        <v>406</v>
      </c>
      <c r="E34" s="139" t="s">
        <v>407</v>
      </c>
      <c r="F34" s="140">
        <v>75390</v>
      </c>
      <c r="G34" s="141">
        <v>2079.6</v>
      </c>
      <c r="H34" s="138">
        <v>2760.91</v>
      </c>
      <c r="I34" s="138" t="s">
        <v>292</v>
      </c>
      <c r="J34" s="149">
        <v>2760.91</v>
      </c>
      <c r="K34" s="150" t="s">
        <v>385</v>
      </c>
      <c r="L34" s="151" t="s">
        <v>396</v>
      </c>
      <c r="M34" s="151" t="s">
        <v>309</v>
      </c>
      <c r="N34" s="151" t="s">
        <v>397</v>
      </c>
      <c r="O34" s="151"/>
      <c r="P34" s="151" t="s">
        <v>381</v>
      </c>
      <c r="Q34" s="151" t="s">
        <v>295</v>
      </c>
      <c r="R34" s="150" t="s">
        <v>379</v>
      </c>
      <c r="S34" s="138"/>
      <c r="T34" s="138" t="s">
        <v>381</v>
      </c>
      <c r="U34" s="138" t="s">
        <v>295</v>
      </c>
      <c r="V34" s="157" t="s">
        <v>379</v>
      </c>
    </row>
    <row r="35" spans="1:22" outlineLevel="1">
      <c r="A35" s="157" t="s">
        <v>245</v>
      </c>
      <c r="B35" s="138" t="s">
        <v>349</v>
      </c>
      <c r="C35" s="148">
        <v>43549</v>
      </c>
      <c r="D35" s="138" t="s">
        <v>408</v>
      </c>
      <c r="E35" s="139" t="s">
        <v>409</v>
      </c>
      <c r="F35" s="140">
        <v>75390</v>
      </c>
      <c r="G35" s="141">
        <v>368.72</v>
      </c>
      <c r="H35" s="138">
        <v>489.52</v>
      </c>
      <c r="I35" s="138" t="s">
        <v>292</v>
      </c>
      <c r="J35" s="149">
        <v>489.52</v>
      </c>
      <c r="K35" s="150" t="s">
        <v>385</v>
      </c>
      <c r="L35" s="151" t="s">
        <v>396</v>
      </c>
      <c r="M35" s="151" t="s">
        <v>309</v>
      </c>
      <c r="N35" s="151" t="s">
        <v>397</v>
      </c>
      <c r="O35" s="151"/>
      <c r="P35" s="151" t="s">
        <v>381</v>
      </c>
      <c r="Q35" s="151" t="s">
        <v>295</v>
      </c>
      <c r="R35" s="150" t="s">
        <v>379</v>
      </c>
      <c r="S35" s="138"/>
      <c r="T35" s="138" t="s">
        <v>381</v>
      </c>
      <c r="U35" s="138" t="s">
        <v>295</v>
      </c>
      <c r="V35" s="157" t="s">
        <v>379</v>
      </c>
    </row>
    <row r="36" spans="1:22" outlineLevel="1">
      <c r="A36" s="157" t="s">
        <v>245</v>
      </c>
      <c r="B36" s="138" t="s">
        <v>349</v>
      </c>
      <c r="C36" s="148">
        <v>43549</v>
      </c>
      <c r="D36" s="138" t="s">
        <v>410</v>
      </c>
      <c r="E36" s="139" t="s">
        <v>411</v>
      </c>
      <c r="F36" s="140">
        <v>75390</v>
      </c>
      <c r="G36" s="141">
        <v>337.09</v>
      </c>
      <c r="H36" s="138">
        <v>447.53</v>
      </c>
      <c r="I36" s="138" t="s">
        <v>292</v>
      </c>
      <c r="J36" s="149">
        <v>447.53</v>
      </c>
      <c r="K36" s="150" t="s">
        <v>391</v>
      </c>
      <c r="L36" s="151" t="s">
        <v>396</v>
      </c>
      <c r="M36" s="151" t="s">
        <v>309</v>
      </c>
      <c r="N36" s="151" t="s">
        <v>397</v>
      </c>
      <c r="O36" s="151"/>
      <c r="P36" s="151" t="s">
        <v>381</v>
      </c>
      <c r="Q36" s="151" t="s">
        <v>295</v>
      </c>
      <c r="R36" s="150" t="s">
        <v>379</v>
      </c>
      <c r="S36" s="138"/>
      <c r="T36" s="138" t="s">
        <v>381</v>
      </c>
      <c r="U36" s="138" t="s">
        <v>295</v>
      </c>
      <c r="V36" s="157" t="s">
        <v>379</v>
      </c>
    </row>
    <row r="37" spans="1:22" outlineLevel="1">
      <c r="A37" s="157" t="s">
        <v>245</v>
      </c>
      <c r="B37" s="138" t="s">
        <v>349</v>
      </c>
      <c r="C37" s="148">
        <v>43528</v>
      </c>
      <c r="D37" s="138" t="s">
        <v>412</v>
      </c>
      <c r="E37" s="139" t="s">
        <v>413</v>
      </c>
      <c r="F37" s="140">
        <v>75390</v>
      </c>
      <c r="G37" s="141">
        <v>3.74</v>
      </c>
      <c r="H37" s="138">
        <v>4.97</v>
      </c>
      <c r="I37" s="138" t="s">
        <v>292</v>
      </c>
      <c r="J37" s="149">
        <v>4.97</v>
      </c>
      <c r="K37" s="150" t="s">
        <v>405</v>
      </c>
      <c r="L37" s="151" t="s">
        <v>396</v>
      </c>
      <c r="M37" s="151" t="s">
        <v>309</v>
      </c>
      <c r="N37" s="151" t="s">
        <v>397</v>
      </c>
      <c r="O37" s="151"/>
      <c r="P37" s="151" t="s">
        <v>381</v>
      </c>
      <c r="Q37" s="151" t="s">
        <v>295</v>
      </c>
      <c r="R37" s="150" t="s">
        <v>379</v>
      </c>
      <c r="S37" s="138"/>
      <c r="T37" s="138" t="s">
        <v>381</v>
      </c>
      <c r="U37" s="138" t="s">
        <v>295</v>
      </c>
      <c r="V37" s="157" t="s">
        <v>379</v>
      </c>
    </row>
    <row r="38" spans="1:22" outlineLevel="1">
      <c r="A38" s="157" t="s">
        <v>245</v>
      </c>
      <c r="B38" s="138" t="s">
        <v>349</v>
      </c>
      <c r="C38" s="148">
        <v>43549</v>
      </c>
      <c r="D38" s="138" t="s">
        <v>414</v>
      </c>
      <c r="E38" s="139" t="s">
        <v>415</v>
      </c>
      <c r="F38" s="140">
        <v>75390</v>
      </c>
      <c r="G38" s="141">
        <v>56.18</v>
      </c>
      <c r="H38" s="138">
        <v>74.59</v>
      </c>
      <c r="I38" s="138" t="s">
        <v>292</v>
      </c>
      <c r="J38" s="149">
        <v>74.59</v>
      </c>
      <c r="K38" s="150" t="s">
        <v>405</v>
      </c>
      <c r="L38" s="151" t="s">
        <v>396</v>
      </c>
      <c r="M38" s="151" t="s">
        <v>309</v>
      </c>
      <c r="N38" s="151" t="s">
        <v>397</v>
      </c>
      <c r="O38" s="151"/>
      <c r="P38" s="151" t="s">
        <v>381</v>
      </c>
      <c r="Q38" s="151" t="s">
        <v>295</v>
      </c>
      <c r="R38" s="150" t="s">
        <v>379</v>
      </c>
      <c r="S38" s="138"/>
      <c r="T38" s="138" t="s">
        <v>381</v>
      </c>
      <c r="U38" s="138" t="s">
        <v>295</v>
      </c>
      <c r="V38" s="157" t="s">
        <v>379</v>
      </c>
    </row>
    <row r="39" spans="1:22">
      <c r="A39" s="152" t="s">
        <v>378</v>
      </c>
      <c r="B39" s="152"/>
      <c r="C39" s="152"/>
      <c r="D39" s="152"/>
      <c r="E39" s="153"/>
      <c r="F39" s="154"/>
      <c r="G39" s="155">
        <f>SUM(G30:G38)</f>
        <v>5566.13</v>
      </c>
      <c r="H39" s="156">
        <f>SUM(H30:H38)</f>
        <v>7351.17</v>
      </c>
      <c r="I39" s="152"/>
      <c r="J39" s="156">
        <f>SUM(J30:J38)</f>
        <v>7351.16</v>
      </c>
      <c r="K39" s="152"/>
      <c r="L39" s="152"/>
      <c r="M39" s="152"/>
      <c r="N39" s="152"/>
      <c r="O39" s="152"/>
      <c r="P39" s="152"/>
      <c r="Q39" s="152"/>
      <c r="R39" s="152"/>
      <c r="S39" s="138"/>
      <c r="T39" s="138"/>
      <c r="U39" s="138"/>
      <c r="V39" s="138"/>
    </row>
    <row r="40" spans="1:22" outlineLevel="1">
      <c r="A40" s="157" t="s">
        <v>247</v>
      </c>
      <c r="B40" s="138" t="s">
        <v>382</v>
      </c>
      <c r="C40" s="148">
        <v>43496</v>
      </c>
      <c r="D40" s="138" t="s">
        <v>383</v>
      </c>
      <c r="E40" s="139" t="s">
        <v>389</v>
      </c>
      <c r="F40" s="140">
        <v>75033</v>
      </c>
      <c r="G40" s="141">
        <v>3.36</v>
      </c>
      <c r="H40" s="138">
        <v>3.36</v>
      </c>
      <c r="I40" s="138" t="s">
        <v>293</v>
      </c>
      <c r="J40" s="149">
        <v>4.29</v>
      </c>
      <c r="K40" s="150" t="s">
        <v>385</v>
      </c>
      <c r="L40" s="151" t="s">
        <v>374</v>
      </c>
      <c r="M40" s="151" t="s">
        <v>309</v>
      </c>
      <c r="N40" s="151" t="s">
        <v>345</v>
      </c>
      <c r="O40" s="151"/>
      <c r="P40" s="151" t="s">
        <v>390</v>
      </c>
      <c r="Q40" s="151" t="s">
        <v>295</v>
      </c>
      <c r="R40" s="150" t="s">
        <v>379</v>
      </c>
      <c r="S40" s="138"/>
      <c r="T40" s="138" t="s">
        <v>390</v>
      </c>
      <c r="U40" s="138" t="s">
        <v>295</v>
      </c>
      <c r="V40" s="157" t="s">
        <v>379</v>
      </c>
    </row>
    <row r="41" spans="1:22" outlineLevel="1">
      <c r="A41" s="157" t="s">
        <v>247</v>
      </c>
      <c r="B41" s="138" t="s">
        <v>382</v>
      </c>
      <c r="C41" s="148">
        <v>43496</v>
      </c>
      <c r="D41" s="138" t="s">
        <v>383</v>
      </c>
      <c r="E41" s="139" t="s">
        <v>416</v>
      </c>
      <c r="F41" s="140">
        <v>75031</v>
      </c>
      <c r="G41" s="141">
        <v>224.17</v>
      </c>
      <c r="H41" s="138">
        <v>224.17</v>
      </c>
      <c r="I41" s="138" t="s">
        <v>293</v>
      </c>
      <c r="J41" s="149">
        <v>286.05</v>
      </c>
      <c r="K41" s="150" t="s">
        <v>385</v>
      </c>
      <c r="L41" s="151" t="s">
        <v>374</v>
      </c>
      <c r="M41" s="151" t="s">
        <v>309</v>
      </c>
      <c r="N41" s="151" t="s">
        <v>345</v>
      </c>
      <c r="O41" s="151"/>
      <c r="P41" s="151" t="s">
        <v>381</v>
      </c>
      <c r="Q41" s="151" t="s">
        <v>295</v>
      </c>
      <c r="R41" s="150" t="s">
        <v>379</v>
      </c>
      <c r="S41" s="138"/>
      <c r="T41" s="138" t="s">
        <v>381</v>
      </c>
      <c r="U41" s="138" t="s">
        <v>295</v>
      </c>
      <c r="V41" s="157" t="s">
        <v>379</v>
      </c>
    </row>
    <row r="42" spans="1:22" outlineLevel="1">
      <c r="A42" s="157" t="s">
        <v>247</v>
      </c>
      <c r="B42" s="138" t="s">
        <v>382</v>
      </c>
      <c r="C42" s="148">
        <v>43496</v>
      </c>
      <c r="D42" s="138" t="s">
        <v>383</v>
      </c>
      <c r="E42" s="139" t="s">
        <v>387</v>
      </c>
      <c r="F42" s="140">
        <v>75032</v>
      </c>
      <c r="G42" s="141">
        <v>11.21</v>
      </c>
      <c r="H42" s="138">
        <v>11.21</v>
      </c>
      <c r="I42" s="138" t="s">
        <v>293</v>
      </c>
      <c r="J42" s="149">
        <v>14.3</v>
      </c>
      <c r="K42" s="150" t="s">
        <v>385</v>
      </c>
      <c r="L42" s="151" t="s">
        <v>374</v>
      </c>
      <c r="M42" s="151" t="s">
        <v>309</v>
      </c>
      <c r="N42" s="151" t="s">
        <v>345</v>
      </c>
      <c r="O42" s="151"/>
      <c r="P42" s="151" t="s">
        <v>388</v>
      </c>
      <c r="Q42" s="151" t="s">
        <v>295</v>
      </c>
      <c r="R42" s="150" t="s">
        <v>247</v>
      </c>
      <c r="S42" s="138"/>
      <c r="T42" s="138" t="s">
        <v>388</v>
      </c>
      <c r="U42" s="138" t="s">
        <v>295</v>
      </c>
      <c r="V42" s="157" t="s">
        <v>247</v>
      </c>
    </row>
    <row r="43" spans="1:22" outlineLevel="1">
      <c r="A43" s="157" t="s">
        <v>247</v>
      </c>
      <c r="B43" s="138" t="s">
        <v>382</v>
      </c>
      <c r="C43" s="148">
        <v>43496</v>
      </c>
      <c r="D43" s="138" t="s">
        <v>383</v>
      </c>
      <c r="E43" s="139" t="s">
        <v>416</v>
      </c>
      <c r="F43" s="140">
        <v>75031</v>
      </c>
      <c r="G43" s="141">
        <v>22.42</v>
      </c>
      <c r="H43" s="138">
        <v>22.42</v>
      </c>
      <c r="I43" s="138" t="s">
        <v>293</v>
      </c>
      <c r="J43" s="149">
        <v>28.61</v>
      </c>
      <c r="K43" s="150" t="s">
        <v>391</v>
      </c>
      <c r="L43" s="151" t="s">
        <v>374</v>
      </c>
      <c r="M43" s="151" t="s">
        <v>309</v>
      </c>
      <c r="N43" s="151" t="s">
        <v>345</v>
      </c>
      <c r="O43" s="151"/>
      <c r="P43" s="151" t="s">
        <v>381</v>
      </c>
      <c r="Q43" s="151" t="s">
        <v>295</v>
      </c>
      <c r="R43" s="150" t="s">
        <v>379</v>
      </c>
      <c r="S43" s="138"/>
      <c r="T43" s="138" t="s">
        <v>381</v>
      </c>
      <c r="U43" s="138" t="s">
        <v>295</v>
      </c>
      <c r="V43" s="157" t="s">
        <v>379</v>
      </c>
    </row>
    <row r="44" spans="1:22" outlineLevel="1">
      <c r="A44" s="157" t="s">
        <v>247</v>
      </c>
      <c r="B44" s="138" t="s">
        <v>393</v>
      </c>
      <c r="C44" s="148">
        <v>43524</v>
      </c>
      <c r="D44" s="138" t="s">
        <v>417</v>
      </c>
      <c r="E44" s="139" t="s">
        <v>416</v>
      </c>
      <c r="F44" s="140">
        <v>75059</v>
      </c>
      <c r="G44" s="141">
        <v>224.17</v>
      </c>
      <c r="H44" s="138">
        <v>224.17</v>
      </c>
      <c r="I44" s="138" t="s">
        <v>293</v>
      </c>
      <c r="J44" s="149">
        <v>294.44</v>
      </c>
      <c r="K44" s="150" t="s">
        <v>385</v>
      </c>
      <c r="L44" s="151" t="s">
        <v>374</v>
      </c>
      <c r="M44" s="151" t="s">
        <v>309</v>
      </c>
      <c r="N44" s="151" t="s">
        <v>345</v>
      </c>
      <c r="O44" s="151"/>
      <c r="P44" s="151" t="s">
        <v>381</v>
      </c>
      <c r="Q44" s="151" t="s">
        <v>295</v>
      </c>
      <c r="R44" s="150" t="s">
        <v>379</v>
      </c>
      <c r="S44" s="138"/>
      <c r="T44" s="138" t="s">
        <v>381</v>
      </c>
      <c r="U44" s="138" t="s">
        <v>295</v>
      </c>
      <c r="V44" s="157" t="s">
        <v>379</v>
      </c>
    </row>
    <row r="45" spans="1:22" outlineLevel="1">
      <c r="A45" s="157" t="s">
        <v>247</v>
      </c>
      <c r="B45" s="138" t="s">
        <v>393</v>
      </c>
      <c r="C45" s="148">
        <v>43524</v>
      </c>
      <c r="D45" s="138" t="s">
        <v>417</v>
      </c>
      <c r="E45" s="139" t="s">
        <v>418</v>
      </c>
      <c r="F45" s="140">
        <v>75060</v>
      </c>
      <c r="G45" s="141">
        <v>11.21</v>
      </c>
      <c r="H45" s="138">
        <v>11.21</v>
      </c>
      <c r="I45" s="138" t="s">
        <v>293</v>
      </c>
      <c r="J45" s="149">
        <v>14.72</v>
      </c>
      <c r="K45" s="150" t="s">
        <v>385</v>
      </c>
      <c r="L45" s="151" t="s">
        <v>374</v>
      </c>
      <c r="M45" s="151" t="s">
        <v>309</v>
      </c>
      <c r="N45" s="151" t="s">
        <v>345</v>
      </c>
      <c r="O45" s="151"/>
      <c r="P45" s="151" t="s">
        <v>388</v>
      </c>
      <c r="Q45" s="151" t="s">
        <v>295</v>
      </c>
      <c r="R45" s="150" t="s">
        <v>247</v>
      </c>
      <c r="S45" s="138"/>
      <c r="T45" s="138" t="s">
        <v>388</v>
      </c>
      <c r="U45" s="138" t="s">
        <v>295</v>
      </c>
      <c r="V45" s="157" t="s">
        <v>247</v>
      </c>
    </row>
    <row r="46" spans="1:22" outlineLevel="1">
      <c r="A46" s="157" t="s">
        <v>247</v>
      </c>
      <c r="B46" s="138" t="s">
        <v>393</v>
      </c>
      <c r="C46" s="148">
        <v>43524</v>
      </c>
      <c r="D46" s="138" t="s">
        <v>417</v>
      </c>
      <c r="E46" s="139" t="s">
        <v>419</v>
      </c>
      <c r="F46" s="140">
        <v>75061</v>
      </c>
      <c r="G46" s="141">
        <v>3.36</v>
      </c>
      <c r="H46" s="138">
        <v>3.36</v>
      </c>
      <c r="I46" s="138" t="s">
        <v>293</v>
      </c>
      <c r="J46" s="149">
        <v>4.41</v>
      </c>
      <c r="K46" s="150" t="s">
        <v>385</v>
      </c>
      <c r="L46" s="151" t="s">
        <v>374</v>
      </c>
      <c r="M46" s="151" t="s">
        <v>309</v>
      </c>
      <c r="N46" s="151" t="s">
        <v>345</v>
      </c>
      <c r="O46" s="151"/>
      <c r="P46" s="151" t="s">
        <v>390</v>
      </c>
      <c r="Q46" s="151" t="s">
        <v>295</v>
      </c>
      <c r="R46" s="150" t="s">
        <v>379</v>
      </c>
      <c r="S46" s="138"/>
      <c r="T46" s="138" t="s">
        <v>390</v>
      </c>
      <c r="U46" s="138" t="s">
        <v>295</v>
      </c>
      <c r="V46" s="157" t="s">
        <v>379</v>
      </c>
    </row>
    <row r="47" spans="1:22" outlineLevel="1">
      <c r="A47" s="157" t="s">
        <v>247</v>
      </c>
      <c r="B47" s="138" t="s">
        <v>393</v>
      </c>
      <c r="C47" s="148">
        <v>43524</v>
      </c>
      <c r="D47" s="138" t="s">
        <v>417</v>
      </c>
      <c r="E47" s="139" t="s">
        <v>416</v>
      </c>
      <c r="F47" s="140">
        <v>75059</v>
      </c>
      <c r="G47" s="141">
        <v>22.42</v>
      </c>
      <c r="H47" s="138">
        <v>22.42</v>
      </c>
      <c r="I47" s="138" t="s">
        <v>293</v>
      </c>
      <c r="J47" s="149">
        <v>29.45</v>
      </c>
      <c r="K47" s="150" t="s">
        <v>391</v>
      </c>
      <c r="L47" s="151" t="s">
        <v>374</v>
      </c>
      <c r="M47" s="151" t="s">
        <v>309</v>
      </c>
      <c r="N47" s="151" t="s">
        <v>345</v>
      </c>
      <c r="O47" s="151"/>
      <c r="P47" s="151" t="s">
        <v>381</v>
      </c>
      <c r="Q47" s="151" t="s">
        <v>295</v>
      </c>
      <c r="R47" s="150" t="s">
        <v>379</v>
      </c>
      <c r="S47" s="138"/>
      <c r="T47" s="138" t="s">
        <v>381</v>
      </c>
      <c r="U47" s="138" t="s">
        <v>295</v>
      </c>
      <c r="V47" s="157" t="s">
        <v>379</v>
      </c>
    </row>
    <row r="48" spans="1:22" outlineLevel="1">
      <c r="A48" s="157" t="s">
        <v>247</v>
      </c>
      <c r="B48" s="138" t="s">
        <v>349</v>
      </c>
      <c r="C48" s="148">
        <v>43555</v>
      </c>
      <c r="D48" s="138" t="s">
        <v>420</v>
      </c>
      <c r="E48" s="139" t="s">
        <v>416</v>
      </c>
      <c r="F48" s="140">
        <v>75372</v>
      </c>
      <c r="G48" s="141">
        <v>224.17</v>
      </c>
      <c r="H48" s="138">
        <v>224.17</v>
      </c>
      <c r="I48" s="138" t="s">
        <v>293</v>
      </c>
      <c r="J48" s="149">
        <v>297.61</v>
      </c>
      <c r="K48" s="150" t="s">
        <v>385</v>
      </c>
      <c r="L48" s="151" t="s">
        <v>374</v>
      </c>
      <c r="M48" s="151" t="s">
        <v>309</v>
      </c>
      <c r="N48" s="151" t="s">
        <v>345</v>
      </c>
      <c r="O48" s="151"/>
      <c r="P48" s="151" t="s">
        <v>381</v>
      </c>
      <c r="Q48" s="151" t="s">
        <v>295</v>
      </c>
      <c r="R48" s="150" t="s">
        <v>379</v>
      </c>
      <c r="S48" s="138"/>
      <c r="T48" s="138" t="s">
        <v>381</v>
      </c>
      <c r="U48" s="138" t="s">
        <v>295</v>
      </c>
      <c r="V48" s="157" t="s">
        <v>379</v>
      </c>
    </row>
    <row r="49" spans="1:22" outlineLevel="1">
      <c r="A49" s="157" t="s">
        <v>247</v>
      </c>
      <c r="B49" s="138" t="s">
        <v>349</v>
      </c>
      <c r="C49" s="148">
        <v>43555</v>
      </c>
      <c r="D49" s="138" t="s">
        <v>420</v>
      </c>
      <c r="E49" s="139" t="s">
        <v>421</v>
      </c>
      <c r="F49" s="140">
        <v>75373</v>
      </c>
      <c r="G49" s="141">
        <v>11.21</v>
      </c>
      <c r="H49" s="138">
        <v>11.21</v>
      </c>
      <c r="I49" s="138" t="s">
        <v>293</v>
      </c>
      <c r="J49" s="149">
        <v>14.88</v>
      </c>
      <c r="K49" s="150" t="s">
        <v>385</v>
      </c>
      <c r="L49" s="151" t="s">
        <v>374</v>
      </c>
      <c r="M49" s="151" t="s">
        <v>309</v>
      </c>
      <c r="N49" s="151" t="s">
        <v>345</v>
      </c>
      <c r="O49" s="151"/>
      <c r="P49" s="151" t="s">
        <v>388</v>
      </c>
      <c r="Q49" s="151" t="s">
        <v>295</v>
      </c>
      <c r="R49" s="150" t="s">
        <v>247</v>
      </c>
      <c r="S49" s="138"/>
      <c r="T49" s="138" t="s">
        <v>388</v>
      </c>
      <c r="U49" s="138" t="s">
        <v>295</v>
      </c>
      <c r="V49" s="157" t="s">
        <v>247</v>
      </c>
    </row>
    <row r="50" spans="1:22" outlineLevel="1">
      <c r="A50" s="157" t="s">
        <v>247</v>
      </c>
      <c r="B50" s="138" t="s">
        <v>349</v>
      </c>
      <c r="C50" s="148">
        <v>43555</v>
      </c>
      <c r="D50" s="138" t="s">
        <v>420</v>
      </c>
      <c r="E50" s="139" t="s">
        <v>422</v>
      </c>
      <c r="F50" s="140">
        <v>75374</v>
      </c>
      <c r="G50" s="141">
        <v>3.36</v>
      </c>
      <c r="H50" s="138">
        <v>3.36</v>
      </c>
      <c r="I50" s="138" t="s">
        <v>293</v>
      </c>
      <c r="J50" s="149">
        <v>4.46</v>
      </c>
      <c r="K50" s="150" t="s">
        <v>385</v>
      </c>
      <c r="L50" s="151" t="s">
        <v>374</v>
      </c>
      <c r="M50" s="151" t="s">
        <v>309</v>
      </c>
      <c r="N50" s="151" t="s">
        <v>345</v>
      </c>
      <c r="O50" s="151"/>
      <c r="P50" s="151" t="s">
        <v>390</v>
      </c>
      <c r="Q50" s="151" t="s">
        <v>295</v>
      </c>
      <c r="R50" s="150" t="s">
        <v>379</v>
      </c>
      <c r="S50" s="138"/>
      <c r="T50" s="138" t="s">
        <v>390</v>
      </c>
      <c r="U50" s="138" t="s">
        <v>295</v>
      </c>
      <c r="V50" s="157" t="s">
        <v>379</v>
      </c>
    </row>
    <row r="51" spans="1:22" outlineLevel="1">
      <c r="A51" s="157" t="s">
        <v>247</v>
      </c>
      <c r="B51" s="138" t="s">
        <v>349</v>
      </c>
      <c r="C51" s="148">
        <v>43555</v>
      </c>
      <c r="D51" s="138" t="s">
        <v>420</v>
      </c>
      <c r="E51" s="139" t="s">
        <v>416</v>
      </c>
      <c r="F51" s="140">
        <v>75372</v>
      </c>
      <c r="G51" s="141">
        <v>22.42</v>
      </c>
      <c r="H51" s="138">
        <v>22.42</v>
      </c>
      <c r="I51" s="138" t="s">
        <v>293</v>
      </c>
      <c r="J51" s="149">
        <v>29.77</v>
      </c>
      <c r="K51" s="150" t="s">
        <v>391</v>
      </c>
      <c r="L51" s="151" t="s">
        <v>374</v>
      </c>
      <c r="M51" s="151" t="s">
        <v>309</v>
      </c>
      <c r="N51" s="151" t="s">
        <v>345</v>
      </c>
      <c r="O51" s="151"/>
      <c r="P51" s="151" t="s">
        <v>381</v>
      </c>
      <c r="Q51" s="151" t="s">
        <v>295</v>
      </c>
      <c r="R51" s="150" t="s">
        <v>379</v>
      </c>
      <c r="S51" s="138"/>
      <c r="T51" s="138" t="s">
        <v>381</v>
      </c>
      <c r="U51" s="138" t="s">
        <v>295</v>
      </c>
      <c r="V51" s="157" t="s">
        <v>379</v>
      </c>
    </row>
    <row r="52" spans="1:22">
      <c r="A52" s="152" t="s">
        <v>378</v>
      </c>
      <c r="B52" s="152"/>
      <c r="C52" s="152"/>
      <c r="D52" s="152"/>
      <c r="E52" s="153"/>
      <c r="F52" s="154"/>
      <c r="G52" s="155">
        <f>SUM(G40:G51)</f>
        <v>783.48</v>
      </c>
      <c r="H52" s="156">
        <f>SUM(H40:H51)</f>
        <v>783.48</v>
      </c>
      <c r="I52" s="152"/>
      <c r="J52" s="156">
        <f>SUM(J40:J51)</f>
        <v>1022.9900000000001</v>
      </c>
      <c r="K52" s="152"/>
      <c r="L52" s="152"/>
      <c r="M52" s="152"/>
      <c r="N52" s="152"/>
      <c r="O52" s="152"/>
      <c r="P52" s="152"/>
      <c r="Q52" s="152"/>
      <c r="R52" s="152"/>
      <c r="S52" s="138"/>
      <c r="T52" s="138"/>
      <c r="U52" s="138"/>
      <c r="V52" s="138"/>
    </row>
    <row r="53" spans="1:22" outlineLevel="1">
      <c r="A53" s="157" t="s">
        <v>248</v>
      </c>
      <c r="B53" s="138" t="s">
        <v>382</v>
      </c>
      <c r="C53" s="148">
        <v>43496</v>
      </c>
      <c r="D53" s="138" t="s">
        <v>383</v>
      </c>
      <c r="E53" s="139" t="s">
        <v>384</v>
      </c>
      <c r="F53" s="140">
        <v>75031</v>
      </c>
      <c r="G53" s="141">
        <v>289.64</v>
      </c>
      <c r="H53" s="138">
        <v>289.64</v>
      </c>
      <c r="I53" s="138" t="s">
        <v>293</v>
      </c>
      <c r="J53" s="149">
        <v>369.59</v>
      </c>
      <c r="K53" s="150" t="s">
        <v>385</v>
      </c>
      <c r="L53" s="151" t="s">
        <v>374</v>
      </c>
      <c r="M53" s="151" t="s">
        <v>309</v>
      </c>
      <c r="N53" s="151" t="s">
        <v>386</v>
      </c>
      <c r="O53" s="151"/>
      <c r="P53" s="151" t="s">
        <v>381</v>
      </c>
      <c r="Q53" s="151" t="s">
        <v>295</v>
      </c>
      <c r="R53" s="151" t="s">
        <v>379</v>
      </c>
      <c r="S53" s="138"/>
      <c r="T53" s="138" t="s">
        <v>381</v>
      </c>
      <c r="U53" s="138" t="s">
        <v>295</v>
      </c>
      <c r="V53" s="138" t="s">
        <v>379</v>
      </c>
    </row>
    <row r="54" spans="1:22" outlineLevel="1">
      <c r="A54" s="157" t="s">
        <v>248</v>
      </c>
      <c r="B54" s="138" t="s">
        <v>382</v>
      </c>
      <c r="C54" s="148">
        <v>43496</v>
      </c>
      <c r="D54" s="138" t="s">
        <v>383</v>
      </c>
      <c r="E54" s="139" t="s">
        <v>387</v>
      </c>
      <c r="F54" s="140">
        <v>75032</v>
      </c>
      <c r="G54" s="141">
        <v>14.48</v>
      </c>
      <c r="H54" s="138">
        <v>14.48</v>
      </c>
      <c r="I54" s="138" t="s">
        <v>293</v>
      </c>
      <c r="J54" s="149">
        <v>18.48</v>
      </c>
      <c r="K54" s="150" t="s">
        <v>385</v>
      </c>
      <c r="L54" s="151" t="s">
        <v>374</v>
      </c>
      <c r="M54" s="151" t="s">
        <v>309</v>
      </c>
      <c r="N54" s="151" t="s">
        <v>386</v>
      </c>
      <c r="O54" s="151"/>
      <c r="P54" s="151" t="s">
        <v>388</v>
      </c>
      <c r="Q54" s="151" t="s">
        <v>295</v>
      </c>
      <c r="R54" s="150" t="s">
        <v>199</v>
      </c>
      <c r="S54" s="138"/>
      <c r="T54" s="138" t="s">
        <v>388</v>
      </c>
      <c r="U54" s="138" t="s">
        <v>295</v>
      </c>
      <c r="V54" s="157" t="s">
        <v>199</v>
      </c>
    </row>
    <row r="55" spans="1:22" outlineLevel="1">
      <c r="A55" s="157" t="s">
        <v>248</v>
      </c>
      <c r="B55" s="138" t="s">
        <v>382</v>
      </c>
      <c r="C55" s="148">
        <v>43496</v>
      </c>
      <c r="D55" s="138" t="s">
        <v>383</v>
      </c>
      <c r="E55" s="139" t="s">
        <v>389</v>
      </c>
      <c r="F55" s="140">
        <v>75033</v>
      </c>
      <c r="G55" s="141">
        <v>4.34</v>
      </c>
      <c r="H55" s="138">
        <v>4.34</v>
      </c>
      <c r="I55" s="138" t="s">
        <v>293</v>
      </c>
      <c r="J55" s="149">
        <v>5.54</v>
      </c>
      <c r="K55" s="150" t="s">
        <v>385</v>
      </c>
      <c r="L55" s="151" t="s">
        <v>374</v>
      </c>
      <c r="M55" s="151" t="s">
        <v>309</v>
      </c>
      <c r="N55" s="151" t="s">
        <v>386</v>
      </c>
      <c r="O55" s="151"/>
      <c r="P55" s="151" t="s">
        <v>390</v>
      </c>
      <c r="Q55" s="151" t="s">
        <v>295</v>
      </c>
      <c r="R55" s="150" t="s">
        <v>379</v>
      </c>
      <c r="S55" s="138"/>
      <c r="T55" s="138" t="s">
        <v>390</v>
      </c>
      <c r="U55" s="138" t="s">
        <v>295</v>
      </c>
      <c r="V55" s="157" t="s">
        <v>379</v>
      </c>
    </row>
    <row r="56" spans="1:22" outlineLevel="1">
      <c r="A56" s="157" t="s">
        <v>248</v>
      </c>
      <c r="B56" s="138" t="s">
        <v>382</v>
      </c>
      <c r="C56" s="148">
        <v>43496</v>
      </c>
      <c r="D56" s="138" t="s">
        <v>383</v>
      </c>
      <c r="E56" s="139" t="s">
        <v>384</v>
      </c>
      <c r="F56" s="140">
        <v>75031</v>
      </c>
      <c r="G56" s="141">
        <v>28.96</v>
      </c>
      <c r="H56" s="138">
        <v>28.96</v>
      </c>
      <c r="I56" s="138" t="s">
        <v>293</v>
      </c>
      <c r="J56" s="149">
        <v>36.950000000000003</v>
      </c>
      <c r="K56" s="150" t="s">
        <v>391</v>
      </c>
      <c r="L56" s="151" t="s">
        <v>374</v>
      </c>
      <c r="M56" s="151" t="s">
        <v>309</v>
      </c>
      <c r="N56" s="151" t="s">
        <v>386</v>
      </c>
      <c r="O56" s="151"/>
      <c r="P56" s="151" t="s">
        <v>381</v>
      </c>
      <c r="Q56" s="151" t="s">
        <v>295</v>
      </c>
      <c r="R56" s="150" t="s">
        <v>379</v>
      </c>
      <c r="S56" s="138"/>
      <c r="T56" s="138" t="s">
        <v>381</v>
      </c>
      <c r="U56" s="138" t="s">
        <v>295</v>
      </c>
      <c r="V56" s="157" t="s">
        <v>379</v>
      </c>
    </row>
    <row r="57" spans="1:22" outlineLevel="1">
      <c r="A57" s="157" t="s">
        <v>248</v>
      </c>
      <c r="B57" s="138" t="s">
        <v>382</v>
      </c>
      <c r="C57" s="148">
        <v>43496</v>
      </c>
      <c r="D57" s="138" t="s">
        <v>383</v>
      </c>
      <c r="E57" s="139" t="s">
        <v>384</v>
      </c>
      <c r="F57" s="140">
        <v>75031</v>
      </c>
      <c r="G57" s="141">
        <v>35.130000000000003</v>
      </c>
      <c r="H57" s="138">
        <v>35.130000000000003</v>
      </c>
      <c r="I57" s="138" t="s">
        <v>293</v>
      </c>
      <c r="J57" s="149">
        <v>44.83</v>
      </c>
      <c r="K57" s="150" t="s">
        <v>392</v>
      </c>
      <c r="L57" s="151" t="s">
        <v>374</v>
      </c>
      <c r="M57" s="151" t="s">
        <v>309</v>
      </c>
      <c r="N57" s="151" t="s">
        <v>386</v>
      </c>
      <c r="O57" s="151"/>
      <c r="P57" s="151" t="s">
        <v>381</v>
      </c>
      <c r="Q57" s="151" t="s">
        <v>295</v>
      </c>
      <c r="R57" s="150" t="s">
        <v>379</v>
      </c>
      <c r="S57" s="138"/>
      <c r="T57" s="138" t="s">
        <v>381</v>
      </c>
      <c r="U57" s="138" t="s">
        <v>295</v>
      </c>
      <c r="V57" s="157" t="s">
        <v>379</v>
      </c>
    </row>
    <row r="58" spans="1:22" outlineLevel="1">
      <c r="A58" s="157" t="s">
        <v>248</v>
      </c>
      <c r="B58" s="138" t="s">
        <v>393</v>
      </c>
      <c r="C58" s="148">
        <v>43524</v>
      </c>
      <c r="D58" s="138" t="s">
        <v>417</v>
      </c>
      <c r="E58" s="139" t="s">
        <v>419</v>
      </c>
      <c r="F58" s="140">
        <v>75061</v>
      </c>
      <c r="G58" s="141">
        <v>4.51</v>
      </c>
      <c r="H58" s="138">
        <v>4.51</v>
      </c>
      <c r="I58" s="138" t="s">
        <v>293</v>
      </c>
      <c r="J58" s="149">
        <v>5.92</v>
      </c>
      <c r="K58" s="150" t="s">
        <v>385</v>
      </c>
      <c r="L58" s="151" t="s">
        <v>374</v>
      </c>
      <c r="M58" s="151" t="s">
        <v>309</v>
      </c>
      <c r="N58" s="151" t="s">
        <v>386</v>
      </c>
      <c r="O58" s="151"/>
      <c r="P58" s="151" t="s">
        <v>390</v>
      </c>
      <c r="Q58" s="151" t="s">
        <v>295</v>
      </c>
      <c r="R58" s="150" t="s">
        <v>379</v>
      </c>
      <c r="S58" s="138"/>
      <c r="T58" s="138" t="s">
        <v>390</v>
      </c>
      <c r="U58" s="138" t="s">
        <v>295</v>
      </c>
      <c r="V58" s="157" t="s">
        <v>379</v>
      </c>
    </row>
    <row r="59" spans="1:22" outlineLevel="1">
      <c r="A59" s="157" t="s">
        <v>248</v>
      </c>
      <c r="B59" s="138" t="s">
        <v>393</v>
      </c>
      <c r="C59" s="148">
        <v>43524</v>
      </c>
      <c r="D59" s="138" t="s">
        <v>417</v>
      </c>
      <c r="E59" s="139" t="s">
        <v>384</v>
      </c>
      <c r="F59" s="140">
        <v>75059</v>
      </c>
      <c r="G59" s="141">
        <v>300.77999999999997</v>
      </c>
      <c r="H59" s="138">
        <v>300.77999999999997</v>
      </c>
      <c r="I59" s="138" t="s">
        <v>293</v>
      </c>
      <c r="J59" s="149">
        <v>395.06</v>
      </c>
      <c r="K59" s="150" t="s">
        <v>385</v>
      </c>
      <c r="L59" s="151" t="s">
        <v>374</v>
      </c>
      <c r="M59" s="151" t="s">
        <v>309</v>
      </c>
      <c r="N59" s="151" t="s">
        <v>386</v>
      </c>
      <c r="O59" s="151"/>
      <c r="P59" s="151" t="s">
        <v>381</v>
      </c>
      <c r="Q59" s="151" t="s">
        <v>295</v>
      </c>
      <c r="R59" s="150" t="s">
        <v>379</v>
      </c>
      <c r="S59" s="138"/>
      <c r="T59" s="138" t="s">
        <v>381</v>
      </c>
      <c r="U59" s="138" t="s">
        <v>295</v>
      </c>
      <c r="V59" s="157" t="s">
        <v>379</v>
      </c>
    </row>
    <row r="60" spans="1:22" outlineLevel="1">
      <c r="A60" s="157" t="s">
        <v>248</v>
      </c>
      <c r="B60" s="138" t="s">
        <v>393</v>
      </c>
      <c r="C60" s="148">
        <v>43524</v>
      </c>
      <c r="D60" s="138" t="s">
        <v>417</v>
      </c>
      <c r="E60" s="139" t="s">
        <v>418</v>
      </c>
      <c r="F60" s="140">
        <v>75060</v>
      </c>
      <c r="G60" s="141">
        <v>15.04</v>
      </c>
      <c r="H60" s="138">
        <v>15.04</v>
      </c>
      <c r="I60" s="138" t="s">
        <v>293</v>
      </c>
      <c r="J60" s="149">
        <v>19.75</v>
      </c>
      <c r="K60" s="150" t="s">
        <v>385</v>
      </c>
      <c r="L60" s="151" t="s">
        <v>374</v>
      </c>
      <c r="M60" s="151" t="s">
        <v>309</v>
      </c>
      <c r="N60" s="151" t="s">
        <v>386</v>
      </c>
      <c r="O60" s="151"/>
      <c r="P60" s="151" t="s">
        <v>388</v>
      </c>
      <c r="Q60" s="151" t="s">
        <v>295</v>
      </c>
      <c r="R60" s="150" t="s">
        <v>248</v>
      </c>
      <c r="S60" s="138"/>
      <c r="T60" s="138" t="s">
        <v>388</v>
      </c>
      <c r="U60" s="138" t="s">
        <v>295</v>
      </c>
      <c r="V60" s="157" t="s">
        <v>248</v>
      </c>
    </row>
    <row r="61" spans="1:22" outlineLevel="1">
      <c r="A61" s="157" t="s">
        <v>248</v>
      </c>
      <c r="B61" s="138" t="s">
        <v>393</v>
      </c>
      <c r="C61" s="148">
        <v>43524</v>
      </c>
      <c r="D61" s="138" t="s">
        <v>417</v>
      </c>
      <c r="E61" s="139" t="s">
        <v>384</v>
      </c>
      <c r="F61" s="140">
        <v>75059</v>
      </c>
      <c r="G61" s="141">
        <v>30.08</v>
      </c>
      <c r="H61" s="138">
        <v>30.08</v>
      </c>
      <c r="I61" s="138" t="s">
        <v>293</v>
      </c>
      <c r="J61" s="149">
        <v>39.51</v>
      </c>
      <c r="K61" s="150" t="s">
        <v>391</v>
      </c>
      <c r="L61" s="151" t="s">
        <v>374</v>
      </c>
      <c r="M61" s="151" t="s">
        <v>309</v>
      </c>
      <c r="N61" s="151" t="s">
        <v>386</v>
      </c>
      <c r="O61" s="151"/>
      <c r="P61" s="151" t="s">
        <v>381</v>
      </c>
      <c r="Q61" s="151" t="s">
        <v>295</v>
      </c>
      <c r="R61" s="150" t="s">
        <v>379</v>
      </c>
      <c r="S61" s="138"/>
      <c r="T61" s="138" t="s">
        <v>381</v>
      </c>
      <c r="U61" s="138" t="s">
        <v>295</v>
      </c>
      <c r="V61" s="157" t="s">
        <v>379</v>
      </c>
    </row>
    <row r="62" spans="1:22" outlineLevel="1">
      <c r="A62" s="157" t="s">
        <v>248</v>
      </c>
      <c r="B62" s="138" t="s">
        <v>393</v>
      </c>
      <c r="C62" s="148">
        <v>43524</v>
      </c>
      <c r="D62" s="138" t="s">
        <v>417</v>
      </c>
      <c r="E62" s="139" t="s">
        <v>384</v>
      </c>
      <c r="F62" s="140">
        <v>75059</v>
      </c>
      <c r="G62" s="141">
        <v>36.659999999999997</v>
      </c>
      <c r="H62" s="138">
        <v>36.659999999999997</v>
      </c>
      <c r="I62" s="138" t="s">
        <v>293</v>
      </c>
      <c r="J62" s="149">
        <v>48.15</v>
      </c>
      <c r="K62" s="150" t="s">
        <v>392</v>
      </c>
      <c r="L62" s="151" t="s">
        <v>374</v>
      </c>
      <c r="M62" s="151" t="s">
        <v>309</v>
      </c>
      <c r="N62" s="151" t="s">
        <v>386</v>
      </c>
      <c r="O62" s="151"/>
      <c r="P62" s="151" t="s">
        <v>381</v>
      </c>
      <c r="Q62" s="151" t="s">
        <v>295</v>
      </c>
      <c r="R62" s="150" t="s">
        <v>379</v>
      </c>
      <c r="S62" s="138"/>
      <c r="T62" s="138" t="s">
        <v>381</v>
      </c>
      <c r="U62" s="138" t="s">
        <v>295</v>
      </c>
      <c r="V62" s="157" t="s">
        <v>379</v>
      </c>
    </row>
    <row r="63" spans="1:22" outlineLevel="1">
      <c r="A63" s="157" t="s">
        <v>248</v>
      </c>
      <c r="B63" s="138" t="s">
        <v>349</v>
      </c>
      <c r="C63" s="148">
        <v>43555</v>
      </c>
      <c r="D63" s="138" t="s">
        <v>420</v>
      </c>
      <c r="E63" s="139" t="s">
        <v>384</v>
      </c>
      <c r="F63" s="140">
        <v>75372</v>
      </c>
      <c r="G63" s="141">
        <v>295.2</v>
      </c>
      <c r="H63" s="138">
        <v>295.2</v>
      </c>
      <c r="I63" s="138" t="s">
        <v>293</v>
      </c>
      <c r="J63" s="149">
        <v>391.91</v>
      </c>
      <c r="K63" s="150" t="s">
        <v>385</v>
      </c>
      <c r="L63" s="151" t="s">
        <v>374</v>
      </c>
      <c r="M63" s="151" t="s">
        <v>309</v>
      </c>
      <c r="N63" s="151" t="s">
        <v>386</v>
      </c>
      <c r="O63" s="151"/>
      <c r="P63" s="151" t="s">
        <v>381</v>
      </c>
      <c r="Q63" s="151" t="s">
        <v>295</v>
      </c>
      <c r="R63" s="150" t="s">
        <v>379</v>
      </c>
      <c r="S63" s="138"/>
      <c r="T63" s="138" t="s">
        <v>381</v>
      </c>
      <c r="U63" s="138" t="s">
        <v>295</v>
      </c>
      <c r="V63" s="157" t="s">
        <v>379</v>
      </c>
    </row>
    <row r="64" spans="1:22" outlineLevel="1">
      <c r="A64" s="157" t="s">
        <v>248</v>
      </c>
      <c r="B64" s="138" t="s">
        <v>349</v>
      </c>
      <c r="C64" s="148">
        <v>43555</v>
      </c>
      <c r="D64" s="138" t="s">
        <v>420</v>
      </c>
      <c r="E64" s="139" t="s">
        <v>421</v>
      </c>
      <c r="F64" s="140">
        <v>75373</v>
      </c>
      <c r="G64" s="141">
        <v>14.76</v>
      </c>
      <c r="H64" s="138">
        <v>14.76</v>
      </c>
      <c r="I64" s="138" t="s">
        <v>293</v>
      </c>
      <c r="J64" s="149">
        <v>19.600000000000001</v>
      </c>
      <c r="K64" s="150" t="s">
        <v>385</v>
      </c>
      <c r="L64" s="151" t="s">
        <v>374</v>
      </c>
      <c r="M64" s="151" t="s">
        <v>309</v>
      </c>
      <c r="N64" s="151" t="s">
        <v>386</v>
      </c>
      <c r="O64" s="151"/>
      <c r="P64" s="151" t="s">
        <v>388</v>
      </c>
      <c r="Q64" s="151" t="s">
        <v>295</v>
      </c>
      <c r="R64" s="150" t="s">
        <v>248</v>
      </c>
      <c r="S64" s="138"/>
      <c r="T64" s="138" t="s">
        <v>388</v>
      </c>
      <c r="U64" s="138" t="s">
        <v>295</v>
      </c>
      <c r="V64" s="157" t="s">
        <v>248</v>
      </c>
    </row>
    <row r="65" spans="1:22" outlineLevel="1">
      <c r="A65" s="157" t="s">
        <v>248</v>
      </c>
      <c r="B65" s="138" t="s">
        <v>349</v>
      </c>
      <c r="C65" s="148">
        <v>43555</v>
      </c>
      <c r="D65" s="138" t="s">
        <v>420</v>
      </c>
      <c r="E65" s="139" t="s">
        <v>422</v>
      </c>
      <c r="F65" s="140">
        <v>75374</v>
      </c>
      <c r="G65" s="141">
        <v>4.43</v>
      </c>
      <c r="H65" s="138">
        <v>4.43</v>
      </c>
      <c r="I65" s="138" t="s">
        <v>293</v>
      </c>
      <c r="J65" s="149">
        <v>5.88</v>
      </c>
      <c r="K65" s="150" t="s">
        <v>385</v>
      </c>
      <c r="L65" s="151" t="s">
        <v>374</v>
      </c>
      <c r="M65" s="151" t="s">
        <v>309</v>
      </c>
      <c r="N65" s="151" t="s">
        <v>386</v>
      </c>
      <c r="O65" s="151"/>
      <c r="P65" s="151" t="s">
        <v>390</v>
      </c>
      <c r="Q65" s="151" t="s">
        <v>295</v>
      </c>
      <c r="R65" s="150" t="s">
        <v>379</v>
      </c>
      <c r="S65" s="138"/>
      <c r="T65" s="138" t="s">
        <v>390</v>
      </c>
      <c r="U65" s="138" t="s">
        <v>295</v>
      </c>
      <c r="V65" s="157" t="s">
        <v>379</v>
      </c>
    </row>
    <row r="66" spans="1:22" outlineLevel="1">
      <c r="A66" s="157" t="s">
        <v>248</v>
      </c>
      <c r="B66" s="138" t="s">
        <v>349</v>
      </c>
      <c r="C66" s="148">
        <v>43555</v>
      </c>
      <c r="D66" s="138" t="s">
        <v>420</v>
      </c>
      <c r="E66" s="139" t="s">
        <v>384</v>
      </c>
      <c r="F66" s="140">
        <v>75372</v>
      </c>
      <c r="G66" s="141">
        <v>29.52</v>
      </c>
      <c r="H66" s="138">
        <v>29.52</v>
      </c>
      <c r="I66" s="138" t="s">
        <v>293</v>
      </c>
      <c r="J66" s="149">
        <v>39.19</v>
      </c>
      <c r="K66" s="150" t="s">
        <v>391</v>
      </c>
      <c r="L66" s="151" t="s">
        <v>374</v>
      </c>
      <c r="M66" s="151" t="s">
        <v>309</v>
      </c>
      <c r="N66" s="151" t="s">
        <v>386</v>
      </c>
      <c r="O66" s="151"/>
      <c r="P66" s="151" t="s">
        <v>381</v>
      </c>
      <c r="Q66" s="151" t="s">
        <v>295</v>
      </c>
      <c r="R66" s="150" t="s">
        <v>379</v>
      </c>
      <c r="S66" s="138"/>
      <c r="T66" s="138" t="s">
        <v>381</v>
      </c>
      <c r="U66" s="138" t="s">
        <v>295</v>
      </c>
      <c r="V66" s="157" t="s">
        <v>379</v>
      </c>
    </row>
    <row r="67" spans="1:22" outlineLevel="1">
      <c r="A67" s="157" t="s">
        <v>248</v>
      </c>
      <c r="B67" s="138" t="s">
        <v>349</v>
      </c>
      <c r="C67" s="148">
        <v>43555</v>
      </c>
      <c r="D67" s="138" t="s">
        <v>420</v>
      </c>
      <c r="E67" s="139" t="s">
        <v>384</v>
      </c>
      <c r="F67" s="140">
        <v>75372</v>
      </c>
      <c r="G67" s="141">
        <v>35.89</v>
      </c>
      <c r="H67" s="138">
        <v>35.89</v>
      </c>
      <c r="I67" s="138" t="s">
        <v>293</v>
      </c>
      <c r="J67" s="149">
        <v>47.65</v>
      </c>
      <c r="K67" s="150" t="s">
        <v>392</v>
      </c>
      <c r="L67" s="151" t="s">
        <v>374</v>
      </c>
      <c r="M67" s="151" t="s">
        <v>309</v>
      </c>
      <c r="N67" s="151" t="s">
        <v>386</v>
      </c>
      <c r="O67" s="151"/>
      <c r="P67" s="151" t="s">
        <v>381</v>
      </c>
      <c r="Q67" s="151" t="s">
        <v>295</v>
      </c>
      <c r="R67" s="150" t="s">
        <v>379</v>
      </c>
      <c r="S67" s="138"/>
      <c r="T67" s="138" t="s">
        <v>381</v>
      </c>
      <c r="U67" s="138" t="s">
        <v>295</v>
      </c>
      <c r="V67" s="157" t="s">
        <v>379</v>
      </c>
    </row>
    <row r="68" spans="1:22">
      <c r="A68" s="152" t="s">
        <v>378</v>
      </c>
      <c r="B68" s="152"/>
      <c r="C68" s="152"/>
      <c r="D68" s="152"/>
      <c r="E68" s="153"/>
      <c r="F68" s="154"/>
      <c r="G68" s="155">
        <f>SUM(G53:G67)</f>
        <v>1139.42</v>
      </c>
      <c r="H68" s="155">
        <f>SUM(H53:H67)</f>
        <v>1139.42</v>
      </c>
      <c r="I68" s="152"/>
      <c r="J68" s="155">
        <f>SUM(J53:J67)</f>
        <v>1488.0100000000002</v>
      </c>
      <c r="K68" s="152"/>
      <c r="L68" s="152"/>
      <c r="M68" s="152"/>
      <c r="N68" s="152"/>
      <c r="O68" s="152"/>
      <c r="P68" s="152"/>
      <c r="Q68" s="152"/>
      <c r="R68" s="152"/>
      <c r="S68" s="138"/>
      <c r="T68" s="138"/>
      <c r="U68" s="138"/>
      <c r="V68" s="138"/>
    </row>
    <row r="69" spans="1:22" outlineLevel="1">
      <c r="A69" s="157" t="s">
        <v>249</v>
      </c>
      <c r="B69" s="138" t="s">
        <v>382</v>
      </c>
      <c r="C69" s="148">
        <v>43496</v>
      </c>
      <c r="D69" s="138" t="s">
        <v>423</v>
      </c>
      <c r="E69" s="139" t="s">
        <v>424</v>
      </c>
      <c r="F69" s="140">
        <v>74791</v>
      </c>
      <c r="G69" s="141">
        <v>175.26</v>
      </c>
      <c r="H69" s="138">
        <v>223.64</v>
      </c>
      <c r="I69" s="138" t="s">
        <v>292</v>
      </c>
      <c r="J69" s="149">
        <v>223.64</v>
      </c>
      <c r="K69" s="150" t="s">
        <v>385</v>
      </c>
      <c r="L69" s="151" t="s">
        <v>400</v>
      </c>
      <c r="M69" s="151" t="s">
        <v>309</v>
      </c>
      <c r="N69" s="151" t="s">
        <v>425</v>
      </c>
      <c r="O69" s="151"/>
      <c r="P69" s="151" t="s">
        <v>381</v>
      </c>
      <c r="Q69" s="151" t="s">
        <v>295</v>
      </c>
      <c r="R69" s="150" t="s">
        <v>379</v>
      </c>
      <c r="S69" s="138"/>
      <c r="T69" s="138" t="s">
        <v>381</v>
      </c>
      <c r="U69" s="138" t="s">
        <v>295</v>
      </c>
      <c r="V69" s="157" t="s">
        <v>379</v>
      </c>
    </row>
    <row r="70" spans="1:22" outlineLevel="1">
      <c r="A70" s="157" t="s">
        <v>249</v>
      </c>
      <c r="B70" s="138" t="s">
        <v>382</v>
      </c>
      <c r="C70" s="148">
        <v>43496</v>
      </c>
      <c r="D70" s="138" t="s">
        <v>426</v>
      </c>
      <c r="E70" s="139" t="s">
        <v>427</v>
      </c>
      <c r="F70" s="140">
        <v>74791</v>
      </c>
      <c r="G70" s="141">
        <v>24.63</v>
      </c>
      <c r="H70" s="138">
        <v>31.43</v>
      </c>
      <c r="I70" s="138" t="s">
        <v>292</v>
      </c>
      <c r="J70" s="149">
        <v>31.43</v>
      </c>
      <c r="K70" s="150" t="s">
        <v>391</v>
      </c>
      <c r="L70" s="151" t="s">
        <v>400</v>
      </c>
      <c r="M70" s="151" t="s">
        <v>309</v>
      </c>
      <c r="N70" s="151" t="s">
        <v>425</v>
      </c>
      <c r="O70" s="151"/>
      <c r="P70" s="151" t="s">
        <v>381</v>
      </c>
      <c r="Q70" s="151" t="s">
        <v>295</v>
      </c>
      <c r="R70" s="150" t="s">
        <v>379</v>
      </c>
      <c r="S70" s="138"/>
      <c r="T70" s="138" t="s">
        <v>381</v>
      </c>
      <c r="U70" s="138" t="s">
        <v>295</v>
      </c>
      <c r="V70" s="157" t="s">
        <v>379</v>
      </c>
    </row>
    <row r="71" spans="1:22" outlineLevel="1">
      <c r="A71" s="157" t="s">
        <v>249</v>
      </c>
      <c r="B71" s="138" t="s">
        <v>382</v>
      </c>
      <c r="C71" s="148">
        <v>43495</v>
      </c>
      <c r="D71" s="138" t="s">
        <v>428</v>
      </c>
      <c r="E71" s="139" t="s">
        <v>429</v>
      </c>
      <c r="F71" s="140">
        <v>74791</v>
      </c>
      <c r="G71" s="141">
        <v>0.27</v>
      </c>
      <c r="H71" s="138">
        <v>0.35</v>
      </c>
      <c r="I71" s="138" t="s">
        <v>292</v>
      </c>
      <c r="J71" s="149">
        <v>0.34</v>
      </c>
      <c r="K71" s="150" t="s">
        <v>405</v>
      </c>
      <c r="L71" s="151" t="s">
        <v>400</v>
      </c>
      <c r="M71" s="151" t="s">
        <v>309</v>
      </c>
      <c r="N71" s="151" t="s">
        <v>425</v>
      </c>
      <c r="O71" s="151"/>
      <c r="P71" s="151" t="s">
        <v>381</v>
      </c>
      <c r="Q71" s="151" t="s">
        <v>295</v>
      </c>
      <c r="R71" s="150" t="s">
        <v>379</v>
      </c>
      <c r="S71" s="138"/>
      <c r="T71" s="138" t="s">
        <v>381</v>
      </c>
      <c r="U71" s="138" t="s">
        <v>295</v>
      </c>
      <c r="V71" s="157" t="s">
        <v>379</v>
      </c>
    </row>
    <row r="72" spans="1:22" outlineLevel="1">
      <c r="A72" s="157" t="s">
        <v>249</v>
      </c>
      <c r="B72" s="138" t="s">
        <v>382</v>
      </c>
      <c r="C72" s="148">
        <v>43496</v>
      </c>
      <c r="D72" s="138" t="s">
        <v>430</v>
      </c>
      <c r="E72" s="139" t="s">
        <v>431</v>
      </c>
      <c r="F72" s="140">
        <v>74791</v>
      </c>
      <c r="G72" s="141">
        <v>4.1100000000000003</v>
      </c>
      <c r="H72" s="138">
        <v>5.24</v>
      </c>
      <c r="I72" s="138" t="s">
        <v>292</v>
      </c>
      <c r="J72" s="149">
        <v>5.24</v>
      </c>
      <c r="K72" s="150" t="s">
        <v>405</v>
      </c>
      <c r="L72" s="151" t="s">
        <v>400</v>
      </c>
      <c r="M72" s="151" t="s">
        <v>309</v>
      </c>
      <c r="N72" s="151" t="s">
        <v>425</v>
      </c>
      <c r="O72" s="151"/>
      <c r="P72" s="151" t="s">
        <v>381</v>
      </c>
      <c r="Q72" s="151" t="s">
        <v>295</v>
      </c>
      <c r="R72" s="150" t="s">
        <v>379</v>
      </c>
      <c r="S72" s="138"/>
      <c r="T72" s="138" t="s">
        <v>381</v>
      </c>
      <c r="U72" s="138" t="s">
        <v>295</v>
      </c>
      <c r="V72" s="157" t="s">
        <v>379</v>
      </c>
    </row>
    <row r="73" spans="1:22" outlineLevel="1">
      <c r="A73" s="157" t="s">
        <v>249</v>
      </c>
      <c r="B73" s="138" t="s">
        <v>393</v>
      </c>
      <c r="C73" s="148">
        <v>43523</v>
      </c>
      <c r="D73" s="138" t="s">
        <v>432</v>
      </c>
      <c r="E73" s="139" t="s">
        <v>424</v>
      </c>
      <c r="F73" s="140">
        <v>75040</v>
      </c>
      <c r="G73" s="141">
        <v>160.94</v>
      </c>
      <c r="H73" s="138">
        <v>211.39</v>
      </c>
      <c r="I73" s="138" t="s">
        <v>292</v>
      </c>
      <c r="J73" s="149">
        <v>211.39</v>
      </c>
      <c r="K73" s="150" t="s">
        <v>385</v>
      </c>
      <c r="L73" s="151" t="s">
        <v>400</v>
      </c>
      <c r="M73" s="151" t="s">
        <v>309</v>
      </c>
      <c r="N73" s="151" t="s">
        <v>425</v>
      </c>
      <c r="O73" s="151"/>
      <c r="P73" s="151" t="s">
        <v>381</v>
      </c>
      <c r="Q73" s="151" t="s">
        <v>295</v>
      </c>
      <c r="R73" s="150" t="s">
        <v>379</v>
      </c>
      <c r="S73" s="138"/>
      <c r="T73" s="138" t="s">
        <v>381</v>
      </c>
      <c r="U73" s="138" t="s">
        <v>295</v>
      </c>
      <c r="V73" s="157" t="s">
        <v>379</v>
      </c>
    </row>
    <row r="74" spans="1:22" outlineLevel="1">
      <c r="A74" s="157" t="s">
        <v>249</v>
      </c>
      <c r="B74" s="138" t="s">
        <v>393</v>
      </c>
      <c r="C74" s="148">
        <v>43523</v>
      </c>
      <c r="D74" s="138" t="s">
        <v>433</v>
      </c>
      <c r="E74" s="139" t="s">
        <v>427</v>
      </c>
      <c r="F74" s="140">
        <v>75040</v>
      </c>
      <c r="G74" s="141">
        <v>23.93</v>
      </c>
      <c r="H74" s="138">
        <v>31.43</v>
      </c>
      <c r="I74" s="138" t="s">
        <v>292</v>
      </c>
      <c r="J74" s="149">
        <v>31.43</v>
      </c>
      <c r="K74" s="150" t="s">
        <v>391</v>
      </c>
      <c r="L74" s="151" t="s">
        <v>400</v>
      </c>
      <c r="M74" s="151" t="s">
        <v>309</v>
      </c>
      <c r="N74" s="151" t="s">
        <v>425</v>
      </c>
      <c r="O74" s="151"/>
      <c r="P74" s="151" t="s">
        <v>381</v>
      </c>
      <c r="Q74" s="151" t="s">
        <v>295</v>
      </c>
      <c r="R74" s="150" t="s">
        <v>379</v>
      </c>
      <c r="S74" s="138"/>
      <c r="T74" s="138" t="s">
        <v>381</v>
      </c>
      <c r="U74" s="138" t="s">
        <v>295</v>
      </c>
      <c r="V74" s="157" t="s">
        <v>379</v>
      </c>
    </row>
    <row r="75" spans="1:22" outlineLevel="1">
      <c r="A75" s="157" t="s">
        <v>249</v>
      </c>
      <c r="B75" s="138" t="s">
        <v>393</v>
      </c>
      <c r="C75" s="148">
        <v>43523</v>
      </c>
      <c r="D75" s="138" t="s">
        <v>434</v>
      </c>
      <c r="E75" s="139" t="s">
        <v>429</v>
      </c>
      <c r="F75" s="140">
        <v>75040</v>
      </c>
      <c r="G75" s="141">
        <v>0.26</v>
      </c>
      <c r="H75" s="138">
        <v>0.34</v>
      </c>
      <c r="I75" s="138" t="s">
        <v>292</v>
      </c>
      <c r="J75" s="149">
        <v>0.34</v>
      </c>
      <c r="K75" s="150" t="s">
        <v>405</v>
      </c>
      <c r="L75" s="151" t="s">
        <v>400</v>
      </c>
      <c r="M75" s="151" t="s">
        <v>309</v>
      </c>
      <c r="N75" s="151" t="s">
        <v>425</v>
      </c>
      <c r="O75" s="151"/>
      <c r="P75" s="151" t="s">
        <v>381</v>
      </c>
      <c r="Q75" s="151" t="s">
        <v>295</v>
      </c>
      <c r="R75" s="150" t="s">
        <v>379</v>
      </c>
      <c r="S75" s="138"/>
      <c r="T75" s="138" t="s">
        <v>381</v>
      </c>
      <c r="U75" s="138" t="s">
        <v>295</v>
      </c>
      <c r="V75" s="157" t="s">
        <v>379</v>
      </c>
    </row>
    <row r="76" spans="1:22" outlineLevel="1">
      <c r="A76" s="157" t="s">
        <v>249</v>
      </c>
      <c r="B76" s="138" t="s">
        <v>393</v>
      </c>
      <c r="C76" s="148">
        <v>43523</v>
      </c>
      <c r="D76" s="138" t="s">
        <v>435</v>
      </c>
      <c r="E76" s="139" t="s">
        <v>431</v>
      </c>
      <c r="F76" s="140">
        <v>75040</v>
      </c>
      <c r="G76" s="141">
        <v>3.99</v>
      </c>
      <c r="H76" s="138">
        <v>5.24</v>
      </c>
      <c r="I76" s="138" t="s">
        <v>292</v>
      </c>
      <c r="J76" s="149">
        <v>5.24</v>
      </c>
      <c r="K76" s="150" t="s">
        <v>405</v>
      </c>
      <c r="L76" s="151" t="s">
        <v>400</v>
      </c>
      <c r="M76" s="151" t="s">
        <v>309</v>
      </c>
      <c r="N76" s="151" t="s">
        <v>425</v>
      </c>
      <c r="O76" s="151"/>
      <c r="P76" s="151" t="s">
        <v>381</v>
      </c>
      <c r="Q76" s="151" t="s">
        <v>295</v>
      </c>
      <c r="R76" s="150" t="s">
        <v>379</v>
      </c>
      <c r="S76" s="138"/>
      <c r="T76" s="138" t="s">
        <v>381</v>
      </c>
      <c r="U76" s="138" t="s">
        <v>295</v>
      </c>
      <c r="V76" s="157" t="s">
        <v>379</v>
      </c>
    </row>
    <row r="77" spans="1:22" outlineLevel="1">
      <c r="A77" s="157" t="s">
        <v>249</v>
      </c>
      <c r="B77" s="138" t="s">
        <v>349</v>
      </c>
      <c r="C77" s="148">
        <v>43553</v>
      </c>
      <c r="D77" s="138" t="s">
        <v>436</v>
      </c>
      <c r="E77" s="139" t="s">
        <v>424</v>
      </c>
      <c r="F77" s="140">
        <v>75358</v>
      </c>
      <c r="G77" s="141">
        <v>169.72</v>
      </c>
      <c r="H77" s="138">
        <v>225.32</v>
      </c>
      <c r="I77" s="138" t="s">
        <v>292</v>
      </c>
      <c r="J77" s="149">
        <v>225.32</v>
      </c>
      <c r="K77" s="150" t="s">
        <v>385</v>
      </c>
      <c r="L77" s="151" t="s">
        <v>400</v>
      </c>
      <c r="M77" s="151" t="s">
        <v>309</v>
      </c>
      <c r="N77" s="151" t="s">
        <v>425</v>
      </c>
      <c r="O77" s="151"/>
      <c r="P77" s="151" t="s">
        <v>381</v>
      </c>
      <c r="Q77" s="151" t="s">
        <v>295</v>
      </c>
      <c r="R77" s="150" t="s">
        <v>379</v>
      </c>
      <c r="S77" s="138"/>
      <c r="T77" s="138" t="s">
        <v>381</v>
      </c>
      <c r="U77" s="138" t="s">
        <v>295</v>
      </c>
      <c r="V77" s="157" t="s">
        <v>379</v>
      </c>
    </row>
    <row r="78" spans="1:22" outlineLevel="1">
      <c r="A78" s="157" t="s">
        <v>249</v>
      </c>
      <c r="B78" s="138" t="s">
        <v>349</v>
      </c>
      <c r="C78" s="148">
        <v>43553</v>
      </c>
      <c r="D78" s="138" t="s">
        <v>437</v>
      </c>
      <c r="E78" s="139" t="s">
        <v>427</v>
      </c>
      <c r="F78" s="140">
        <v>75358</v>
      </c>
      <c r="G78" s="141">
        <v>23.67</v>
      </c>
      <c r="H78" s="138">
        <v>31.43</v>
      </c>
      <c r="I78" s="138" t="s">
        <v>292</v>
      </c>
      <c r="J78" s="149">
        <v>31.42</v>
      </c>
      <c r="K78" s="150" t="s">
        <v>391</v>
      </c>
      <c r="L78" s="151" t="s">
        <v>400</v>
      </c>
      <c r="M78" s="151" t="s">
        <v>309</v>
      </c>
      <c r="N78" s="151" t="s">
        <v>425</v>
      </c>
      <c r="O78" s="151"/>
      <c r="P78" s="151" t="s">
        <v>381</v>
      </c>
      <c r="Q78" s="151" t="s">
        <v>295</v>
      </c>
      <c r="R78" s="150" t="s">
        <v>379</v>
      </c>
      <c r="S78" s="138"/>
      <c r="T78" s="138" t="s">
        <v>381</v>
      </c>
      <c r="U78" s="138" t="s">
        <v>295</v>
      </c>
      <c r="V78" s="157" t="s">
        <v>379</v>
      </c>
    </row>
    <row r="79" spans="1:22" outlineLevel="1">
      <c r="A79" s="157" t="s">
        <v>249</v>
      </c>
      <c r="B79" s="138" t="s">
        <v>349</v>
      </c>
      <c r="C79" s="148">
        <v>43552</v>
      </c>
      <c r="D79" s="138" t="s">
        <v>438</v>
      </c>
      <c r="E79" s="139" t="s">
        <v>429</v>
      </c>
      <c r="F79" s="140">
        <v>75358</v>
      </c>
      <c r="G79" s="141">
        <v>0.26</v>
      </c>
      <c r="H79" s="138">
        <v>0.35</v>
      </c>
      <c r="I79" s="138" t="s">
        <v>292</v>
      </c>
      <c r="J79" s="149">
        <v>0.35</v>
      </c>
      <c r="K79" s="150" t="s">
        <v>405</v>
      </c>
      <c r="L79" s="151" t="s">
        <v>400</v>
      </c>
      <c r="M79" s="151" t="s">
        <v>309</v>
      </c>
      <c r="N79" s="151" t="s">
        <v>425</v>
      </c>
      <c r="O79" s="151"/>
      <c r="P79" s="151" t="s">
        <v>381</v>
      </c>
      <c r="Q79" s="151" t="s">
        <v>295</v>
      </c>
      <c r="R79" s="150" t="s">
        <v>379</v>
      </c>
      <c r="S79" s="138"/>
      <c r="T79" s="138" t="s">
        <v>381</v>
      </c>
      <c r="U79" s="138" t="s">
        <v>295</v>
      </c>
      <c r="V79" s="157" t="s">
        <v>379</v>
      </c>
    </row>
    <row r="80" spans="1:22" outlineLevel="1">
      <c r="A80" s="157" t="s">
        <v>249</v>
      </c>
      <c r="B80" s="138" t="s">
        <v>349</v>
      </c>
      <c r="C80" s="148">
        <v>43553</v>
      </c>
      <c r="D80" s="138" t="s">
        <v>439</v>
      </c>
      <c r="E80" s="139" t="s">
        <v>431</v>
      </c>
      <c r="F80" s="140">
        <v>75358</v>
      </c>
      <c r="G80" s="141">
        <v>3.95</v>
      </c>
      <c r="H80" s="138">
        <v>5.24</v>
      </c>
      <c r="I80" s="138" t="s">
        <v>292</v>
      </c>
      <c r="J80" s="149">
        <v>5.24</v>
      </c>
      <c r="K80" s="150" t="s">
        <v>405</v>
      </c>
      <c r="L80" s="151" t="s">
        <v>400</v>
      </c>
      <c r="M80" s="151" t="s">
        <v>309</v>
      </c>
      <c r="N80" s="151" t="s">
        <v>425</v>
      </c>
      <c r="O80" s="151"/>
      <c r="P80" s="151" t="s">
        <v>381</v>
      </c>
      <c r="Q80" s="151" t="s">
        <v>295</v>
      </c>
      <c r="R80" s="150" t="s">
        <v>379</v>
      </c>
      <c r="S80" s="138"/>
      <c r="T80" s="138" t="s">
        <v>381</v>
      </c>
      <c r="U80" s="138" t="s">
        <v>295</v>
      </c>
      <c r="V80" s="157" t="s">
        <v>379</v>
      </c>
    </row>
    <row r="81" spans="1:22">
      <c r="A81" s="152" t="s">
        <v>378</v>
      </c>
      <c r="B81" s="152"/>
      <c r="C81" s="152"/>
      <c r="D81" s="152"/>
      <c r="E81" s="153"/>
      <c r="F81" s="154"/>
      <c r="G81" s="155">
        <f>SUM(G69:G80)</f>
        <v>590.99</v>
      </c>
      <c r="H81" s="156">
        <f>SUM(H69:H80)</f>
        <v>771.39999999999986</v>
      </c>
      <c r="I81" s="152"/>
      <c r="J81" s="156">
        <f>SUM(J69:J80)</f>
        <v>771.37999999999988</v>
      </c>
      <c r="K81" s="152"/>
      <c r="L81" s="152"/>
      <c r="M81" s="152"/>
      <c r="N81" s="152"/>
      <c r="O81" s="152"/>
      <c r="P81" s="152"/>
      <c r="Q81" s="152"/>
      <c r="R81" s="152"/>
      <c r="S81" s="138"/>
      <c r="T81" s="138"/>
      <c r="U81" s="138"/>
      <c r="V81" s="138"/>
    </row>
    <row r="82" spans="1:22" outlineLevel="1">
      <c r="A82" s="157" t="s">
        <v>250</v>
      </c>
      <c r="B82" s="138" t="s">
        <v>382</v>
      </c>
      <c r="C82" s="148">
        <v>43496</v>
      </c>
      <c r="D82" s="138" t="s">
        <v>383</v>
      </c>
      <c r="E82" s="139" t="s">
        <v>387</v>
      </c>
      <c r="F82" s="140">
        <v>75032</v>
      </c>
      <c r="G82" s="141">
        <v>10.1</v>
      </c>
      <c r="H82" s="138">
        <v>10.1</v>
      </c>
      <c r="I82" s="138" t="s">
        <v>293</v>
      </c>
      <c r="J82" s="149">
        <v>12.89</v>
      </c>
      <c r="K82" s="150" t="s">
        <v>385</v>
      </c>
      <c r="L82" s="151" t="s">
        <v>374</v>
      </c>
      <c r="M82" s="151" t="s">
        <v>309</v>
      </c>
      <c r="N82" s="151" t="s">
        <v>440</v>
      </c>
      <c r="O82" s="151"/>
      <c r="P82" s="151" t="s">
        <v>388</v>
      </c>
      <c r="Q82" s="151" t="s">
        <v>295</v>
      </c>
      <c r="R82" s="150" t="s">
        <v>250</v>
      </c>
      <c r="S82" s="138"/>
      <c r="T82" s="138" t="s">
        <v>388</v>
      </c>
      <c r="U82" s="138" t="s">
        <v>295</v>
      </c>
      <c r="V82" s="157" t="s">
        <v>250</v>
      </c>
    </row>
    <row r="83" spans="1:22" outlineLevel="1">
      <c r="A83" s="157" t="s">
        <v>250</v>
      </c>
      <c r="B83" s="138" t="s">
        <v>382</v>
      </c>
      <c r="C83" s="148">
        <v>43496</v>
      </c>
      <c r="D83" s="138" t="s">
        <v>383</v>
      </c>
      <c r="E83" s="139" t="s">
        <v>441</v>
      </c>
      <c r="F83" s="140">
        <v>75031</v>
      </c>
      <c r="G83" s="141">
        <v>201.9</v>
      </c>
      <c r="H83" s="138">
        <v>201.9</v>
      </c>
      <c r="I83" s="138" t="s">
        <v>293</v>
      </c>
      <c r="J83" s="149">
        <v>257.63</v>
      </c>
      <c r="K83" s="150" t="s">
        <v>385</v>
      </c>
      <c r="L83" s="151" t="s">
        <v>374</v>
      </c>
      <c r="M83" s="151" t="s">
        <v>309</v>
      </c>
      <c r="N83" s="151" t="s">
        <v>440</v>
      </c>
      <c r="O83" s="151"/>
      <c r="P83" s="151" t="s">
        <v>381</v>
      </c>
      <c r="Q83" s="151" t="s">
        <v>295</v>
      </c>
      <c r="R83" s="150" t="s">
        <v>379</v>
      </c>
      <c r="S83" s="138"/>
      <c r="T83" s="138" t="s">
        <v>381</v>
      </c>
      <c r="U83" s="138" t="s">
        <v>295</v>
      </c>
      <c r="V83" s="157" t="s">
        <v>379</v>
      </c>
    </row>
    <row r="84" spans="1:22" outlineLevel="1">
      <c r="A84" s="157" t="s">
        <v>250</v>
      </c>
      <c r="B84" s="138" t="s">
        <v>382</v>
      </c>
      <c r="C84" s="148">
        <v>43496</v>
      </c>
      <c r="D84" s="138" t="s">
        <v>383</v>
      </c>
      <c r="E84" s="139" t="s">
        <v>389</v>
      </c>
      <c r="F84" s="140">
        <v>75033</v>
      </c>
      <c r="G84" s="141">
        <v>3.03</v>
      </c>
      <c r="H84" s="138">
        <v>3.03</v>
      </c>
      <c r="I84" s="138" t="s">
        <v>293</v>
      </c>
      <c r="J84" s="149">
        <v>3.87</v>
      </c>
      <c r="K84" s="150" t="s">
        <v>385</v>
      </c>
      <c r="L84" s="151" t="s">
        <v>374</v>
      </c>
      <c r="M84" s="151" t="s">
        <v>309</v>
      </c>
      <c r="N84" s="151" t="s">
        <v>440</v>
      </c>
      <c r="O84" s="151"/>
      <c r="P84" s="151" t="s">
        <v>390</v>
      </c>
      <c r="Q84" s="151" t="s">
        <v>295</v>
      </c>
      <c r="R84" s="150" t="s">
        <v>379</v>
      </c>
      <c r="S84" s="138"/>
      <c r="T84" s="138" t="s">
        <v>390</v>
      </c>
      <c r="U84" s="138" t="s">
        <v>295</v>
      </c>
      <c r="V84" s="157" t="s">
        <v>379</v>
      </c>
    </row>
    <row r="85" spans="1:22" outlineLevel="1">
      <c r="A85" s="157" t="s">
        <v>250</v>
      </c>
      <c r="B85" s="138" t="s">
        <v>382</v>
      </c>
      <c r="C85" s="148">
        <v>43496</v>
      </c>
      <c r="D85" s="138" t="s">
        <v>383</v>
      </c>
      <c r="E85" s="139" t="s">
        <v>441</v>
      </c>
      <c r="F85" s="140">
        <v>75031</v>
      </c>
      <c r="G85" s="141">
        <v>20.190000000000001</v>
      </c>
      <c r="H85" s="138">
        <v>20.190000000000001</v>
      </c>
      <c r="I85" s="138" t="s">
        <v>293</v>
      </c>
      <c r="J85" s="149">
        <v>25.76</v>
      </c>
      <c r="K85" s="150" t="s">
        <v>391</v>
      </c>
      <c r="L85" s="151" t="s">
        <v>374</v>
      </c>
      <c r="M85" s="151" t="s">
        <v>309</v>
      </c>
      <c r="N85" s="151" t="s">
        <v>440</v>
      </c>
      <c r="O85" s="151"/>
      <c r="P85" s="151" t="s">
        <v>381</v>
      </c>
      <c r="Q85" s="151" t="s">
        <v>295</v>
      </c>
      <c r="R85" s="150" t="s">
        <v>379</v>
      </c>
      <c r="S85" s="138"/>
      <c r="T85" s="138" t="s">
        <v>381</v>
      </c>
      <c r="U85" s="138" t="s">
        <v>295</v>
      </c>
      <c r="V85" s="157" t="s">
        <v>379</v>
      </c>
    </row>
    <row r="86" spans="1:22" outlineLevel="1">
      <c r="A86" s="157" t="s">
        <v>250</v>
      </c>
      <c r="B86" s="138" t="s">
        <v>393</v>
      </c>
      <c r="C86" s="148">
        <v>43524</v>
      </c>
      <c r="D86" s="138" t="s">
        <v>417</v>
      </c>
      <c r="E86" s="139" t="s">
        <v>419</v>
      </c>
      <c r="F86" s="140">
        <v>75061</v>
      </c>
      <c r="G86" s="141">
        <v>3.03</v>
      </c>
      <c r="H86" s="138">
        <v>3.03</v>
      </c>
      <c r="I86" s="138" t="s">
        <v>293</v>
      </c>
      <c r="J86" s="149">
        <v>3.98</v>
      </c>
      <c r="K86" s="150" t="s">
        <v>385</v>
      </c>
      <c r="L86" s="151" t="s">
        <v>374</v>
      </c>
      <c r="M86" s="151" t="s">
        <v>309</v>
      </c>
      <c r="N86" s="151" t="s">
        <v>440</v>
      </c>
      <c r="O86" s="151"/>
      <c r="P86" s="151" t="s">
        <v>390</v>
      </c>
      <c r="Q86" s="151" t="s">
        <v>295</v>
      </c>
      <c r="R86" s="150" t="s">
        <v>379</v>
      </c>
      <c r="S86" s="138"/>
      <c r="T86" s="138" t="s">
        <v>390</v>
      </c>
      <c r="U86" s="138" t="s">
        <v>295</v>
      </c>
      <c r="V86" s="157" t="s">
        <v>379</v>
      </c>
    </row>
    <row r="87" spans="1:22" outlineLevel="1">
      <c r="A87" s="157" t="s">
        <v>250</v>
      </c>
      <c r="B87" s="138" t="s">
        <v>393</v>
      </c>
      <c r="C87" s="148">
        <v>43524</v>
      </c>
      <c r="D87" s="138" t="s">
        <v>417</v>
      </c>
      <c r="E87" s="139" t="s">
        <v>418</v>
      </c>
      <c r="F87" s="140">
        <v>75060</v>
      </c>
      <c r="G87" s="141">
        <v>10.1</v>
      </c>
      <c r="H87" s="138">
        <v>10.1</v>
      </c>
      <c r="I87" s="138" t="s">
        <v>293</v>
      </c>
      <c r="J87" s="149">
        <v>13.27</v>
      </c>
      <c r="K87" s="150" t="s">
        <v>385</v>
      </c>
      <c r="L87" s="151" t="s">
        <v>374</v>
      </c>
      <c r="M87" s="151" t="s">
        <v>309</v>
      </c>
      <c r="N87" s="151" t="s">
        <v>440</v>
      </c>
      <c r="O87" s="151"/>
      <c r="P87" s="151" t="s">
        <v>388</v>
      </c>
      <c r="Q87" s="151" t="s">
        <v>295</v>
      </c>
      <c r="R87" s="150" t="s">
        <v>250</v>
      </c>
      <c r="S87" s="138"/>
      <c r="T87" s="138" t="s">
        <v>388</v>
      </c>
      <c r="U87" s="138" t="s">
        <v>295</v>
      </c>
      <c r="V87" s="157" t="s">
        <v>250</v>
      </c>
    </row>
    <row r="88" spans="1:22" outlineLevel="1">
      <c r="A88" s="157" t="s">
        <v>250</v>
      </c>
      <c r="B88" s="138" t="s">
        <v>393</v>
      </c>
      <c r="C88" s="148">
        <v>43524</v>
      </c>
      <c r="D88" s="138" t="s">
        <v>417</v>
      </c>
      <c r="E88" s="139" t="s">
        <v>441</v>
      </c>
      <c r="F88" s="140">
        <v>75059</v>
      </c>
      <c r="G88" s="141">
        <v>201.9</v>
      </c>
      <c r="H88" s="138">
        <v>201.9</v>
      </c>
      <c r="I88" s="138" t="s">
        <v>293</v>
      </c>
      <c r="J88" s="149">
        <v>265.19</v>
      </c>
      <c r="K88" s="150" t="s">
        <v>385</v>
      </c>
      <c r="L88" s="151" t="s">
        <v>374</v>
      </c>
      <c r="M88" s="151" t="s">
        <v>309</v>
      </c>
      <c r="N88" s="151" t="s">
        <v>440</v>
      </c>
      <c r="O88" s="151"/>
      <c r="P88" s="151" t="s">
        <v>381</v>
      </c>
      <c r="Q88" s="151" t="s">
        <v>295</v>
      </c>
      <c r="R88" s="150" t="s">
        <v>379</v>
      </c>
      <c r="S88" s="138"/>
      <c r="T88" s="138" t="s">
        <v>381</v>
      </c>
      <c r="U88" s="138" t="s">
        <v>295</v>
      </c>
      <c r="V88" s="157" t="s">
        <v>379</v>
      </c>
    </row>
    <row r="89" spans="1:22" outlineLevel="1">
      <c r="A89" s="157" t="s">
        <v>250</v>
      </c>
      <c r="B89" s="138" t="s">
        <v>393</v>
      </c>
      <c r="C89" s="148">
        <v>43524</v>
      </c>
      <c r="D89" s="138" t="s">
        <v>417</v>
      </c>
      <c r="E89" s="139" t="s">
        <v>441</v>
      </c>
      <c r="F89" s="140">
        <v>75059</v>
      </c>
      <c r="G89" s="141">
        <v>20.190000000000001</v>
      </c>
      <c r="H89" s="138">
        <v>20.190000000000001</v>
      </c>
      <c r="I89" s="138" t="s">
        <v>293</v>
      </c>
      <c r="J89" s="149">
        <v>26.52</v>
      </c>
      <c r="K89" s="150" t="s">
        <v>391</v>
      </c>
      <c r="L89" s="151" t="s">
        <v>374</v>
      </c>
      <c r="M89" s="151" t="s">
        <v>309</v>
      </c>
      <c r="N89" s="151" t="s">
        <v>440</v>
      </c>
      <c r="O89" s="151"/>
      <c r="P89" s="151" t="s">
        <v>381</v>
      </c>
      <c r="Q89" s="151" t="s">
        <v>295</v>
      </c>
      <c r="R89" s="150" t="s">
        <v>379</v>
      </c>
      <c r="S89" s="138"/>
      <c r="T89" s="138" t="s">
        <v>381</v>
      </c>
      <c r="U89" s="138" t="s">
        <v>295</v>
      </c>
      <c r="V89" s="157" t="s">
        <v>379</v>
      </c>
    </row>
    <row r="90" spans="1:22" outlineLevel="1">
      <c r="A90" s="157" t="s">
        <v>250</v>
      </c>
      <c r="B90" s="138" t="s">
        <v>393</v>
      </c>
      <c r="C90" s="148">
        <v>43504</v>
      </c>
      <c r="D90" s="138" t="s">
        <v>442</v>
      </c>
      <c r="E90" s="139" t="s">
        <v>443</v>
      </c>
      <c r="F90" s="140">
        <v>75040</v>
      </c>
      <c r="G90" s="141">
        <v>4.76</v>
      </c>
      <c r="H90" s="138">
        <v>6.25</v>
      </c>
      <c r="I90" s="138" t="s">
        <v>292</v>
      </c>
      <c r="J90" s="149">
        <v>6.25</v>
      </c>
      <c r="K90" s="150" t="s">
        <v>444</v>
      </c>
      <c r="L90" s="151" t="s">
        <v>400</v>
      </c>
      <c r="M90" s="151" t="s">
        <v>309</v>
      </c>
      <c r="N90" s="151"/>
      <c r="O90" s="151"/>
      <c r="P90" s="151" t="s">
        <v>381</v>
      </c>
      <c r="Q90" s="151" t="s">
        <v>295</v>
      </c>
      <c r="R90" s="150" t="s">
        <v>379</v>
      </c>
      <c r="S90" s="138"/>
      <c r="T90" s="138" t="s">
        <v>381</v>
      </c>
      <c r="U90" s="138" t="s">
        <v>295</v>
      </c>
      <c r="V90" s="157" t="s">
        <v>379</v>
      </c>
    </row>
    <row r="91" spans="1:22">
      <c r="A91" s="152" t="s">
        <v>378</v>
      </c>
      <c r="B91" s="152"/>
      <c r="C91" s="152"/>
      <c r="D91" s="152"/>
      <c r="E91" s="153"/>
      <c r="F91" s="154"/>
      <c r="G91" s="155">
        <f>SUM(G82:G90)</f>
        <v>475.2</v>
      </c>
      <c r="H91" s="156">
        <f>SUM(H82:H90)</f>
        <v>476.69</v>
      </c>
      <c r="I91" s="152"/>
      <c r="J91" s="156">
        <f>SUM(J82:J90)</f>
        <v>615.3599999999999</v>
      </c>
      <c r="K91" s="152"/>
      <c r="L91" s="152"/>
      <c r="M91" s="152"/>
      <c r="N91" s="152"/>
      <c r="O91" s="152"/>
      <c r="P91" s="152"/>
      <c r="Q91" s="152"/>
      <c r="R91" s="152"/>
      <c r="S91" s="138"/>
      <c r="T91" s="138"/>
      <c r="U91" s="138"/>
      <c r="V91" s="138"/>
    </row>
    <row r="92" spans="1:22" outlineLevel="1">
      <c r="A92" s="157" t="s">
        <v>251</v>
      </c>
      <c r="B92" s="138" t="s">
        <v>382</v>
      </c>
      <c r="C92" s="148">
        <v>43496</v>
      </c>
      <c r="D92" s="138" t="s">
        <v>383</v>
      </c>
      <c r="E92" s="139" t="s">
        <v>389</v>
      </c>
      <c r="F92" s="140">
        <v>75033</v>
      </c>
      <c r="G92" s="141">
        <v>2.66</v>
      </c>
      <c r="H92" s="138">
        <v>2.66</v>
      </c>
      <c r="I92" s="138" t="s">
        <v>293</v>
      </c>
      <c r="J92" s="149">
        <v>3.39</v>
      </c>
      <c r="K92" s="150" t="s">
        <v>385</v>
      </c>
      <c r="L92" s="151" t="s">
        <v>374</v>
      </c>
      <c r="M92" s="151" t="s">
        <v>309</v>
      </c>
      <c r="N92" s="151" t="s">
        <v>445</v>
      </c>
      <c r="O92" s="151"/>
      <c r="P92" s="151" t="s">
        <v>390</v>
      </c>
      <c r="Q92" s="151" t="s">
        <v>295</v>
      </c>
      <c r="R92" s="150" t="s">
        <v>379</v>
      </c>
      <c r="S92" s="138"/>
      <c r="T92" s="138" t="s">
        <v>390</v>
      </c>
      <c r="U92" s="138" t="s">
        <v>295</v>
      </c>
      <c r="V92" s="157" t="s">
        <v>379</v>
      </c>
    </row>
    <row r="93" spans="1:22" outlineLevel="1">
      <c r="A93" s="157" t="s">
        <v>251</v>
      </c>
      <c r="B93" s="138" t="s">
        <v>382</v>
      </c>
      <c r="C93" s="148">
        <v>43496</v>
      </c>
      <c r="D93" s="138" t="s">
        <v>383</v>
      </c>
      <c r="E93" s="139" t="s">
        <v>446</v>
      </c>
      <c r="F93" s="140">
        <v>75031</v>
      </c>
      <c r="G93" s="141">
        <v>177.34</v>
      </c>
      <c r="H93" s="138">
        <v>177.34</v>
      </c>
      <c r="I93" s="138" t="s">
        <v>293</v>
      </c>
      <c r="J93" s="149">
        <v>226.29</v>
      </c>
      <c r="K93" s="150" t="s">
        <v>385</v>
      </c>
      <c r="L93" s="151" t="s">
        <v>374</v>
      </c>
      <c r="M93" s="151" t="s">
        <v>309</v>
      </c>
      <c r="N93" s="151" t="s">
        <v>445</v>
      </c>
      <c r="O93" s="151"/>
      <c r="P93" s="151" t="s">
        <v>381</v>
      </c>
      <c r="Q93" s="151" t="s">
        <v>295</v>
      </c>
      <c r="R93" s="150" t="s">
        <v>379</v>
      </c>
      <c r="S93" s="138"/>
      <c r="T93" s="138" t="s">
        <v>381</v>
      </c>
      <c r="U93" s="138" t="s">
        <v>295</v>
      </c>
      <c r="V93" s="157" t="s">
        <v>379</v>
      </c>
    </row>
    <row r="94" spans="1:22" outlineLevel="1">
      <c r="A94" s="157" t="s">
        <v>251</v>
      </c>
      <c r="B94" s="138" t="s">
        <v>382</v>
      </c>
      <c r="C94" s="148">
        <v>43496</v>
      </c>
      <c r="D94" s="138" t="s">
        <v>383</v>
      </c>
      <c r="E94" s="139" t="s">
        <v>387</v>
      </c>
      <c r="F94" s="140">
        <v>75032</v>
      </c>
      <c r="G94" s="141">
        <v>8.8699999999999992</v>
      </c>
      <c r="H94" s="138">
        <v>8.8699999999999992</v>
      </c>
      <c r="I94" s="138" t="s">
        <v>293</v>
      </c>
      <c r="J94" s="149">
        <v>11.32</v>
      </c>
      <c r="K94" s="150" t="s">
        <v>385</v>
      </c>
      <c r="L94" s="151" t="s">
        <v>374</v>
      </c>
      <c r="M94" s="151" t="s">
        <v>309</v>
      </c>
      <c r="N94" s="151" t="s">
        <v>445</v>
      </c>
      <c r="O94" s="151"/>
      <c r="P94" s="151" t="s">
        <v>388</v>
      </c>
      <c r="Q94" s="151" t="s">
        <v>295</v>
      </c>
      <c r="R94" s="150" t="s">
        <v>251</v>
      </c>
      <c r="S94" s="138"/>
      <c r="T94" s="138" t="s">
        <v>388</v>
      </c>
      <c r="U94" s="138" t="s">
        <v>295</v>
      </c>
      <c r="V94" s="157" t="s">
        <v>251</v>
      </c>
    </row>
    <row r="95" spans="1:22" outlineLevel="1">
      <c r="A95" s="157" t="s">
        <v>251</v>
      </c>
      <c r="B95" s="138" t="s">
        <v>382</v>
      </c>
      <c r="C95" s="148">
        <v>43496</v>
      </c>
      <c r="D95" s="138" t="s">
        <v>383</v>
      </c>
      <c r="E95" s="139" t="s">
        <v>446</v>
      </c>
      <c r="F95" s="140">
        <v>75031</v>
      </c>
      <c r="G95" s="141">
        <v>17.739999999999998</v>
      </c>
      <c r="H95" s="138">
        <v>17.739999999999998</v>
      </c>
      <c r="I95" s="138" t="s">
        <v>293</v>
      </c>
      <c r="J95" s="149">
        <v>22.64</v>
      </c>
      <c r="K95" s="150" t="s">
        <v>391</v>
      </c>
      <c r="L95" s="151" t="s">
        <v>374</v>
      </c>
      <c r="M95" s="151" t="s">
        <v>309</v>
      </c>
      <c r="N95" s="151" t="s">
        <v>445</v>
      </c>
      <c r="O95" s="151"/>
      <c r="P95" s="151" t="s">
        <v>381</v>
      </c>
      <c r="Q95" s="151" t="s">
        <v>295</v>
      </c>
      <c r="R95" s="150" t="s">
        <v>379</v>
      </c>
      <c r="S95" s="138"/>
      <c r="T95" s="138" t="s">
        <v>381</v>
      </c>
      <c r="U95" s="138" t="s">
        <v>295</v>
      </c>
      <c r="V95" s="157" t="s">
        <v>379</v>
      </c>
    </row>
    <row r="96" spans="1:22" outlineLevel="1">
      <c r="A96" s="157" t="s">
        <v>251</v>
      </c>
      <c r="B96" s="138" t="s">
        <v>393</v>
      </c>
      <c r="C96" s="148">
        <v>43524</v>
      </c>
      <c r="D96" s="138" t="s">
        <v>417</v>
      </c>
      <c r="E96" s="139" t="s">
        <v>446</v>
      </c>
      <c r="F96" s="140">
        <v>75059</v>
      </c>
      <c r="G96" s="141">
        <v>177.34</v>
      </c>
      <c r="H96" s="138">
        <v>177.34</v>
      </c>
      <c r="I96" s="138" t="s">
        <v>293</v>
      </c>
      <c r="J96" s="149">
        <v>232.93</v>
      </c>
      <c r="K96" s="150" t="s">
        <v>385</v>
      </c>
      <c r="L96" s="151" t="s">
        <v>374</v>
      </c>
      <c r="M96" s="151" t="s">
        <v>309</v>
      </c>
      <c r="N96" s="151" t="s">
        <v>445</v>
      </c>
      <c r="O96" s="151"/>
      <c r="P96" s="151" t="s">
        <v>381</v>
      </c>
      <c r="Q96" s="151" t="s">
        <v>295</v>
      </c>
      <c r="R96" s="150" t="s">
        <v>379</v>
      </c>
      <c r="S96" s="138"/>
      <c r="T96" s="138" t="s">
        <v>381</v>
      </c>
      <c r="U96" s="138" t="s">
        <v>295</v>
      </c>
      <c r="V96" s="157" t="s">
        <v>379</v>
      </c>
    </row>
    <row r="97" spans="1:22" outlineLevel="1">
      <c r="A97" s="157" t="s">
        <v>251</v>
      </c>
      <c r="B97" s="138" t="s">
        <v>393</v>
      </c>
      <c r="C97" s="148">
        <v>43524</v>
      </c>
      <c r="D97" s="138" t="s">
        <v>417</v>
      </c>
      <c r="E97" s="139" t="s">
        <v>418</v>
      </c>
      <c r="F97" s="140">
        <v>75060</v>
      </c>
      <c r="G97" s="141">
        <v>8.8699999999999992</v>
      </c>
      <c r="H97" s="138">
        <v>8.8699999999999992</v>
      </c>
      <c r="I97" s="138" t="s">
        <v>293</v>
      </c>
      <c r="J97" s="149">
        <v>11.65</v>
      </c>
      <c r="K97" s="150" t="s">
        <v>385</v>
      </c>
      <c r="L97" s="151" t="s">
        <v>374</v>
      </c>
      <c r="M97" s="151" t="s">
        <v>309</v>
      </c>
      <c r="N97" s="151" t="s">
        <v>445</v>
      </c>
      <c r="O97" s="151"/>
      <c r="P97" s="151" t="s">
        <v>388</v>
      </c>
      <c r="Q97" s="151" t="s">
        <v>295</v>
      </c>
      <c r="R97" s="150" t="s">
        <v>251</v>
      </c>
      <c r="S97" s="138"/>
      <c r="T97" s="138" t="s">
        <v>388</v>
      </c>
      <c r="U97" s="138" t="s">
        <v>295</v>
      </c>
      <c r="V97" s="157" t="s">
        <v>251</v>
      </c>
    </row>
    <row r="98" spans="1:22" outlineLevel="1">
      <c r="A98" s="157" t="s">
        <v>251</v>
      </c>
      <c r="B98" s="138" t="s">
        <v>393</v>
      </c>
      <c r="C98" s="148">
        <v>43524</v>
      </c>
      <c r="D98" s="138" t="s">
        <v>417</v>
      </c>
      <c r="E98" s="139" t="s">
        <v>419</v>
      </c>
      <c r="F98" s="140">
        <v>75061</v>
      </c>
      <c r="G98" s="141">
        <v>2.66</v>
      </c>
      <c r="H98" s="138">
        <v>2.66</v>
      </c>
      <c r="I98" s="138" t="s">
        <v>293</v>
      </c>
      <c r="J98" s="149">
        <v>3.49</v>
      </c>
      <c r="K98" s="150" t="s">
        <v>385</v>
      </c>
      <c r="L98" s="151" t="s">
        <v>374</v>
      </c>
      <c r="M98" s="151" t="s">
        <v>309</v>
      </c>
      <c r="N98" s="151" t="s">
        <v>445</v>
      </c>
      <c r="O98" s="151"/>
      <c r="P98" s="151" t="s">
        <v>390</v>
      </c>
      <c r="Q98" s="151" t="s">
        <v>295</v>
      </c>
      <c r="R98" s="150" t="s">
        <v>379</v>
      </c>
      <c r="S98" s="138"/>
      <c r="T98" s="138" t="s">
        <v>390</v>
      </c>
      <c r="U98" s="138" t="s">
        <v>295</v>
      </c>
      <c r="V98" s="157" t="s">
        <v>379</v>
      </c>
    </row>
    <row r="99" spans="1:22" outlineLevel="1">
      <c r="A99" s="157" t="s">
        <v>251</v>
      </c>
      <c r="B99" s="138" t="s">
        <v>393</v>
      </c>
      <c r="C99" s="148">
        <v>43524</v>
      </c>
      <c r="D99" s="138" t="s">
        <v>417</v>
      </c>
      <c r="E99" s="139" t="s">
        <v>446</v>
      </c>
      <c r="F99" s="140">
        <v>75059</v>
      </c>
      <c r="G99" s="141">
        <v>17.739999999999998</v>
      </c>
      <c r="H99" s="138">
        <v>17.739999999999998</v>
      </c>
      <c r="I99" s="138" t="s">
        <v>293</v>
      </c>
      <c r="J99" s="149">
        <v>23.3</v>
      </c>
      <c r="K99" s="150" t="s">
        <v>391</v>
      </c>
      <c r="L99" s="151" t="s">
        <v>374</v>
      </c>
      <c r="M99" s="151" t="s">
        <v>309</v>
      </c>
      <c r="N99" s="151" t="s">
        <v>445</v>
      </c>
      <c r="O99" s="151"/>
      <c r="P99" s="151" t="s">
        <v>381</v>
      </c>
      <c r="Q99" s="151" t="s">
        <v>295</v>
      </c>
      <c r="R99" s="150" t="s">
        <v>379</v>
      </c>
      <c r="S99" s="138"/>
      <c r="T99" s="138" t="s">
        <v>381</v>
      </c>
      <c r="U99" s="138" t="s">
        <v>295</v>
      </c>
      <c r="V99" s="157" t="s">
        <v>379</v>
      </c>
    </row>
    <row r="100" spans="1:22" outlineLevel="1">
      <c r="A100" s="157" t="s">
        <v>251</v>
      </c>
      <c r="B100" s="138" t="s">
        <v>349</v>
      </c>
      <c r="C100" s="148">
        <v>43555</v>
      </c>
      <c r="D100" s="138" t="s">
        <v>420</v>
      </c>
      <c r="E100" s="139" t="s">
        <v>446</v>
      </c>
      <c r="F100" s="140">
        <v>75372</v>
      </c>
      <c r="G100" s="141">
        <v>177.34</v>
      </c>
      <c r="H100" s="138">
        <v>177.34</v>
      </c>
      <c r="I100" s="138" t="s">
        <v>293</v>
      </c>
      <c r="J100" s="149">
        <v>235.44</v>
      </c>
      <c r="K100" s="150" t="s">
        <v>385</v>
      </c>
      <c r="L100" s="151" t="s">
        <v>374</v>
      </c>
      <c r="M100" s="151" t="s">
        <v>309</v>
      </c>
      <c r="N100" s="151" t="s">
        <v>445</v>
      </c>
      <c r="O100" s="151"/>
      <c r="P100" s="151" t="s">
        <v>381</v>
      </c>
      <c r="Q100" s="151" t="s">
        <v>295</v>
      </c>
      <c r="R100" s="150" t="s">
        <v>379</v>
      </c>
      <c r="S100" s="138"/>
      <c r="T100" s="138" t="s">
        <v>381</v>
      </c>
      <c r="U100" s="138" t="s">
        <v>295</v>
      </c>
      <c r="V100" s="157" t="s">
        <v>379</v>
      </c>
    </row>
    <row r="101" spans="1:22" outlineLevel="1">
      <c r="A101" s="157" t="s">
        <v>251</v>
      </c>
      <c r="B101" s="138" t="s">
        <v>349</v>
      </c>
      <c r="C101" s="148">
        <v>43555</v>
      </c>
      <c r="D101" s="138" t="s">
        <v>420</v>
      </c>
      <c r="E101" s="139" t="s">
        <v>421</v>
      </c>
      <c r="F101" s="140">
        <v>75373</v>
      </c>
      <c r="G101" s="141">
        <v>8.8699999999999992</v>
      </c>
      <c r="H101" s="138">
        <v>8.8699999999999992</v>
      </c>
      <c r="I101" s="138" t="s">
        <v>293</v>
      </c>
      <c r="J101" s="149">
        <v>11.78</v>
      </c>
      <c r="K101" s="150" t="s">
        <v>385</v>
      </c>
      <c r="L101" s="151" t="s">
        <v>374</v>
      </c>
      <c r="M101" s="151" t="s">
        <v>309</v>
      </c>
      <c r="N101" s="151" t="s">
        <v>445</v>
      </c>
      <c r="O101" s="151"/>
      <c r="P101" s="151" t="s">
        <v>388</v>
      </c>
      <c r="Q101" s="151" t="s">
        <v>295</v>
      </c>
      <c r="R101" s="150" t="s">
        <v>251</v>
      </c>
      <c r="S101" s="138"/>
      <c r="T101" s="138" t="s">
        <v>388</v>
      </c>
      <c r="U101" s="138" t="s">
        <v>295</v>
      </c>
      <c r="V101" s="157" t="s">
        <v>251</v>
      </c>
    </row>
    <row r="102" spans="1:22" outlineLevel="1">
      <c r="A102" s="157" t="s">
        <v>251</v>
      </c>
      <c r="B102" s="138" t="s">
        <v>349</v>
      </c>
      <c r="C102" s="148">
        <v>43555</v>
      </c>
      <c r="D102" s="138" t="s">
        <v>420</v>
      </c>
      <c r="E102" s="139" t="s">
        <v>422</v>
      </c>
      <c r="F102" s="140">
        <v>75374</v>
      </c>
      <c r="G102" s="141">
        <v>2.66</v>
      </c>
      <c r="H102" s="138">
        <v>2.66</v>
      </c>
      <c r="I102" s="138" t="s">
        <v>293</v>
      </c>
      <c r="J102" s="149">
        <v>3.53</v>
      </c>
      <c r="K102" s="150" t="s">
        <v>385</v>
      </c>
      <c r="L102" s="151" t="s">
        <v>374</v>
      </c>
      <c r="M102" s="151" t="s">
        <v>309</v>
      </c>
      <c r="N102" s="151" t="s">
        <v>445</v>
      </c>
      <c r="O102" s="151"/>
      <c r="P102" s="151" t="s">
        <v>390</v>
      </c>
      <c r="Q102" s="151" t="s">
        <v>295</v>
      </c>
      <c r="R102" s="150" t="s">
        <v>379</v>
      </c>
      <c r="S102" s="138"/>
      <c r="T102" s="138" t="s">
        <v>390</v>
      </c>
      <c r="U102" s="138" t="s">
        <v>295</v>
      </c>
      <c r="V102" s="157" t="s">
        <v>379</v>
      </c>
    </row>
    <row r="103" spans="1:22" outlineLevel="1">
      <c r="A103" s="157" t="s">
        <v>251</v>
      </c>
      <c r="B103" s="138" t="s">
        <v>349</v>
      </c>
      <c r="C103" s="148">
        <v>43555</v>
      </c>
      <c r="D103" s="138" t="s">
        <v>420</v>
      </c>
      <c r="E103" s="139" t="s">
        <v>446</v>
      </c>
      <c r="F103" s="140">
        <v>75372</v>
      </c>
      <c r="G103" s="141">
        <v>17.73</v>
      </c>
      <c r="H103" s="138">
        <v>17.73</v>
      </c>
      <c r="I103" s="138" t="s">
        <v>293</v>
      </c>
      <c r="J103" s="149">
        <v>23.54</v>
      </c>
      <c r="K103" s="150" t="s">
        <v>391</v>
      </c>
      <c r="L103" s="151" t="s">
        <v>374</v>
      </c>
      <c r="M103" s="151" t="s">
        <v>309</v>
      </c>
      <c r="N103" s="151" t="s">
        <v>445</v>
      </c>
      <c r="O103" s="151"/>
      <c r="P103" s="151" t="s">
        <v>381</v>
      </c>
      <c r="Q103" s="151" t="s">
        <v>295</v>
      </c>
      <c r="R103" s="150" t="s">
        <v>379</v>
      </c>
      <c r="S103" s="138"/>
      <c r="T103" s="138" t="s">
        <v>381</v>
      </c>
      <c r="U103" s="138" t="s">
        <v>295</v>
      </c>
      <c r="V103" s="157" t="s">
        <v>379</v>
      </c>
    </row>
    <row r="104" spans="1:22">
      <c r="A104" s="152" t="s">
        <v>378</v>
      </c>
      <c r="B104" s="152"/>
      <c r="C104" s="152"/>
      <c r="D104" s="152"/>
      <c r="E104" s="153"/>
      <c r="F104" s="154"/>
      <c r="G104" s="155">
        <f>SUM(G92:G103)</f>
        <v>619.82000000000005</v>
      </c>
      <c r="H104" s="156">
        <f>SUM(H92:H103)</f>
        <v>619.82000000000005</v>
      </c>
      <c r="I104" s="152"/>
      <c r="J104" s="156">
        <f>SUM(J92:J103)</f>
        <v>809.3</v>
      </c>
      <c r="K104" s="152"/>
      <c r="L104" s="152"/>
      <c r="M104" s="152"/>
      <c r="N104" s="152"/>
      <c r="O104" s="152"/>
      <c r="P104" s="152"/>
      <c r="Q104" s="152"/>
      <c r="R104" s="152"/>
      <c r="S104" s="138"/>
      <c r="T104" s="138"/>
      <c r="U104" s="138"/>
      <c r="V104" s="138"/>
    </row>
    <row r="105" spans="1:22" outlineLevel="1">
      <c r="A105" s="157" t="s">
        <v>252</v>
      </c>
      <c r="B105" s="138" t="s">
        <v>382</v>
      </c>
      <c r="C105" s="148">
        <v>43494</v>
      </c>
      <c r="D105" s="138" t="s">
        <v>447</v>
      </c>
      <c r="E105" s="139" t="s">
        <v>448</v>
      </c>
      <c r="F105" s="140">
        <v>74770</v>
      </c>
      <c r="G105" s="141">
        <v>220.46</v>
      </c>
      <c r="H105" s="138">
        <v>281.31</v>
      </c>
      <c r="I105" s="138" t="s">
        <v>292</v>
      </c>
      <c r="J105" s="149">
        <v>281.31</v>
      </c>
      <c r="K105" s="150" t="s">
        <v>385</v>
      </c>
      <c r="L105" s="151" t="s">
        <v>396</v>
      </c>
      <c r="M105" s="151" t="s">
        <v>309</v>
      </c>
      <c r="N105" s="151" t="s">
        <v>449</v>
      </c>
      <c r="O105" s="151"/>
      <c r="P105" s="151" t="s">
        <v>381</v>
      </c>
      <c r="Q105" s="151" t="s">
        <v>295</v>
      </c>
      <c r="R105" s="150" t="s">
        <v>379</v>
      </c>
      <c r="S105" s="138"/>
      <c r="T105" s="138" t="s">
        <v>381</v>
      </c>
      <c r="U105" s="138" t="s">
        <v>295</v>
      </c>
      <c r="V105" s="157" t="s">
        <v>379</v>
      </c>
    </row>
    <row r="106" spans="1:22" outlineLevel="1">
      <c r="A106" s="157" t="s">
        <v>252</v>
      </c>
      <c r="B106" s="138" t="s">
        <v>382</v>
      </c>
      <c r="C106" s="148">
        <v>43494</v>
      </c>
      <c r="D106" s="138" t="s">
        <v>450</v>
      </c>
      <c r="E106" s="139" t="s">
        <v>451</v>
      </c>
      <c r="F106" s="140">
        <v>74770</v>
      </c>
      <c r="G106" s="141">
        <v>30.62</v>
      </c>
      <c r="H106" s="138">
        <v>39.07</v>
      </c>
      <c r="I106" s="138" t="s">
        <v>292</v>
      </c>
      <c r="J106" s="149">
        <v>39.07</v>
      </c>
      <c r="K106" s="150" t="s">
        <v>391</v>
      </c>
      <c r="L106" s="151" t="s">
        <v>396</v>
      </c>
      <c r="M106" s="151" t="s">
        <v>309</v>
      </c>
      <c r="N106" s="151" t="s">
        <v>449</v>
      </c>
      <c r="O106" s="151"/>
      <c r="P106" s="151" t="s">
        <v>381</v>
      </c>
      <c r="Q106" s="151" t="s">
        <v>295</v>
      </c>
      <c r="R106" s="150" t="s">
        <v>379</v>
      </c>
      <c r="S106" s="138"/>
      <c r="T106" s="138" t="s">
        <v>381</v>
      </c>
      <c r="U106" s="138" t="s">
        <v>295</v>
      </c>
      <c r="V106" s="157" t="s">
        <v>379</v>
      </c>
    </row>
    <row r="107" spans="1:22" outlineLevel="1">
      <c r="A107" s="157" t="s">
        <v>252</v>
      </c>
      <c r="B107" s="138" t="s">
        <v>382</v>
      </c>
      <c r="C107" s="148">
        <v>43494</v>
      </c>
      <c r="D107" s="138" t="s">
        <v>452</v>
      </c>
      <c r="E107" s="139" t="s">
        <v>453</v>
      </c>
      <c r="F107" s="140">
        <v>74770</v>
      </c>
      <c r="G107" s="141">
        <v>5.1100000000000003</v>
      </c>
      <c r="H107" s="138">
        <v>6.52</v>
      </c>
      <c r="I107" s="138" t="s">
        <v>292</v>
      </c>
      <c r="J107" s="149">
        <v>6.52</v>
      </c>
      <c r="K107" s="150" t="s">
        <v>405</v>
      </c>
      <c r="L107" s="151" t="s">
        <v>396</v>
      </c>
      <c r="M107" s="151" t="s">
        <v>309</v>
      </c>
      <c r="N107" s="151" t="s">
        <v>449</v>
      </c>
      <c r="O107" s="151"/>
      <c r="P107" s="151" t="s">
        <v>381</v>
      </c>
      <c r="Q107" s="151" t="s">
        <v>295</v>
      </c>
      <c r="R107" s="150" t="s">
        <v>379</v>
      </c>
      <c r="S107" s="138"/>
      <c r="T107" s="138" t="s">
        <v>381</v>
      </c>
      <c r="U107" s="138" t="s">
        <v>295</v>
      </c>
      <c r="V107" s="157" t="s">
        <v>379</v>
      </c>
    </row>
    <row r="108" spans="1:22" outlineLevel="1">
      <c r="A108" s="157" t="s">
        <v>252</v>
      </c>
      <c r="B108" s="138" t="s">
        <v>393</v>
      </c>
      <c r="C108" s="148">
        <v>43523</v>
      </c>
      <c r="D108" s="138" t="s">
        <v>398</v>
      </c>
      <c r="E108" s="139" t="s">
        <v>454</v>
      </c>
      <c r="F108" s="140">
        <v>75040</v>
      </c>
      <c r="G108" s="141">
        <v>186.93</v>
      </c>
      <c r="H108" s="138">
        <v>245.52</v>
      </c>
      <c r="I108" s="138" t="s">
        <v>292</v>
      </c>
      <c r="J108" s="149">
        <v>245.52</v>
      </c>
      <c r="K108" s="150" t="s">
        <v>385</v>
      </c>
      <c r="L108" s="151" t="s">
        <v>400</v>
      </c>
      <c r="M108" s="151" t="s">
        <v>309</v>
      </c>
      <c r="N108" s="151" t="s">
        <v>449</v>
      </c>
      <c r="O108" s="151"/>
      <c r="P108" s="151" t="s">
        <v>381</v>
      </c>
      <c r="Q108" s="151" t="s">
        <v>295</v>
      </c>
      <c r="R108" s="150" t="s">
        <v>379</v>
      </c>
      <c r="S108" s="138"/>
      <c r="T108" s="138" t="s">
        <v>381</v>
      </c>
      <c r="U108" s="138" t="s">
        <v>295</v>
      </c>
      <c r="V108" s="157" t="s">
        <v>379</v>
      </c>
    </row>
    <row r="109" spans="1:22" outlineLevel="1">
      <c r="A109" s="157" t="s">
        <v>252</v>
      </c>
      <c r="B109" s="138" t="s">
        <v>393</v>
      </c>
      <c r="C109" s="148">
        <v>43523</v>
      </c>
      <c r="D109" s="138" t="s">
        <v>394</v>
      </c>
      <c r="E109" s="139" t="s">
        <v>455</v>
      </c>
      <c r="F109" s="140">
        <v>75030</v>
      </c>
      <c r="G109" s="141">
        <v>28.92</v>
      </c>
      <c r="H109" s="138">
        <v>37.979999999999997</v>
      </c>
      <c r="I109" s="138" t="s">
        <v>292</v>
      </c>
      <c r="J109" s="149">
        <v>37.99</v>
      </c>
      <c r="K109" s="150" t="s">
        <v>385</v>
      </c>
      <c r="L109" s="151" t="s">
        <v>396</v>
      </c>
      <c r="M109" s="151" t="s">
        <v>309</v>
      </c>
      <c r="N109" s="151" t="s">
        <v>449</v>
      </c>
      <c r="O109" s="151"/>
      <c r="P109" s="151" t="s">
        <v>381</v>
      </c>
      <c r="Q109" s="151" t="s">
        <v>295</v>
      </c>
      <c r="R109" s="150" t="s">
        <v>379</v>
      </c>
      <c r="S109" s="138"/>
      <c r="T109" s="138" t="s">
        <v>381</v>
      </c>
      <c r="U109" s="138" t="s">
        <v>295</v>
      </c>
      <c r="V109" s="157" t="s">
        <v>379</v>
      </c>
    </row>
    <row r="110" spans="1:22" outlineLevel="1">
      <c r="A110" s="157" t="s">
        <v>252</v>
      </c>
      <c r="B110" s="138" t="s">
        <v>393</v>
      </c>
      <c r="C110" s="148">
        <v>43523</v>
      </c>
      <c r="D110" s="138" t="s">
        <v>401</v>
      </c>
      <c r="E110" s="139" t="s">
        <v>456</v>
      </c>
      <c r="F110" s="140">
        <v>75030</v>
      </c>
      <c r="G110" s="141">
        <v>29.73</v>
      </c>
      <c r="H110" s="138">
        <v>39.049999999999997</v>
      </c>
      <c r="I110" s="138" t="s">
        <v>292</v>
      </c>
      <c r="J110" s="149">
        <v>39.049999999999997</v>
      </c>
      <c r="K110" s="150" t="s">
        <v>391</v>
      </c>
      <c r="L110" s="151" t="s">
        <v>396</v>
      </c>
      <c r="M110" s="151" t="s">
        <v>309</v>
      </c>
      <c r="N110" s="151" t="s">
        <v>449</v>
      </c>
      <c r="O110" s="151"/>
      <c r="P110" s="151" t="s">
        <v>381</v>
      </c>
      <c r="Q110" s="151" t="s">
        <v>295</v>
      </c>
      <c r="R110" s="150" t="s">
        <v>379</v>
      </c>
      <c r="S110" s="138"/>
      <c r="T110" s="138" t="s">
        <v>381</v>
      </c>
      <c r="U110" s="138" t="s">
        <v>295</v>
      </c>
      <c r="V110" s="157" t="s">
        <v>379</v>
      </c>
    </row>
    <row r="111" spans="1:22" outlineLevel="1">
      <c r="A111" s="157" t="s">
        <v>252</v>
      </c>
      <c r="B111" s="138" t="s">
        <v>393</v>
      </c>
      <c r="C111" s="148">
        <v>43523</v>
      </c>
      <c r="D111" s="138" t="s">
        <v>403</v>
      </c>
      <c r="E111" s="139" t="s">
        <v>457</v>
      </c>
      <c r="F111" s="140">
        <v>75030</v>
      </c>
      <c r="G111" s="141">
        <v>4.97</v>
      </c>
      <c r="H111" s="138">
        <v>6.53</v>
      </c>
      <c r="I111" s="138" t="s">
        <v>292</v>
      </c>
      <c r="J111" s="149">
        <v>6.53</v>
      </c>
      <c r="K111" s="150" t="s">
        <v>405</v>
      </c>
      <c r="L111" s="151" t="s">
        <v>396</v>
      </c>
      <c r="M111" s="151" t="s">
        <v>309</v>
      </c>
      <c r="N111" s="151" t="s">
        <v>449</v>
      </c>
      <c r="O111" s="151"/>
      <c r="P111" s="151" t="s">
        <v>381</v>
      </c>
      <c r="Q111" s="151" t="s">
        <v>295</v>
      </c>
      <c r="R111" s="150" t="s">
        <v>379</v>
      </c>
      <c r="S111" s="138"/>
      <c r="T111" s="138" t="s">
        <v>381</v>
      </c>
      <c r="U111" s="138" t="s">
        <v>295</v>
      </c>
      <c r="V111" s="157" t="s">
        <v>379</v>
      </c>
    </row>
    <row r="112" spans="1:22" outlineLevel="1">
      <c r="A112" s="157" t="s">
        <v>252</v>
      </c>
      <c r="B112" s="138" t="s">
        <v>393</v>
      </c>
      <c r="C112" s="148">
        <v>43500</v>
      </c>
      <c r="D112" s="138" t="s">
        <v>458</v>
      </c>
      <c r="E112" s="139" t="s">
        <v>459</v>
      </c>
      <c r="F112" s="140">
        <v>75030</v>
      </c>
      <c r="G112" s="141">
        <v>0.33</v>
      </c>
      <c r="H112" s="138">
        <v>0.43</v>
      </c>
      <c r="I112" s="138" t="s">
        <v>292</v>
      </c>
      <c r="J112" s="149">
        <v>0.43</v>
      </c>
      <c r="K112" s="150" t="s">
        <v>405</v>
      </c>
      <c r="L112" s="151" t="s">
        <v>396</v>
      </c>
      <c r="M112" s="151" t="s">
        <v>309</v>
      </c>
      <c r="N112" s="151" t="s">
        <v>449</v>
      </c>
      <c r="O112" s="151"/>
      <c r="P112" s="151" t="s">
        <v>381</v>
      </c>
      <c r="Q112" s="151" t="s">
        <v>295</v>
      </c>
      <c r="R112" s="150" t="s">
        <v>379</v>
      </c>
      <c r="S112" s="138"/>
      <c r="T112" s="138" t="s">
        <v>381</v>
      </c>
      <c r="U112" s="138" t="s">
        <v>295</v>
      </c>
      <c r="V112" s="157" t="s">
        <v>379</v>
      </c>
    </row>
    <row r="113" spans="1:22" outlineLevel="1">
      <c r="A113" s="157" t="s">
        <v>252</v>
      </c>
      <c r="B113" s="138" t="s">
        <v>349</v>
      </c>
      <c r="C113" s="148">
        <v>43549</v>
      </c>
      <c r="D113" s="138" t="s">
        <v>406</v>
      </c>
      <c r="E113" s="139" t="s">
        <v>460</v>
      </c>
      <c r="F113" s="140">
        <v>75390</v>
      </c>
      <c r="G113" s="141">
        <v>183.85</v>
      </c>
      <c r="H113" s="138">
        <v>244.08</v>
      </c>
      <c r="I113" s="138" t="s">
        <v>292</v>
      </c>
      <c r="J113" s="149">
        <v>244.08</v>
      </c>
      <c r="K113" s="150" t="s">
        <v>385</v>
      </c>
      <c r="L113" s="151" t="s">
        <v>396</v>
      </c>
      <c r="M113" s="151" t="s">
        <v>309</v>
      </c>
      <c r="N113" s="151" t="s">
        <v>449</v>
      </c>
      <c r="O113" s="151"/>
      <c r="P113" s="151" t="s">
        <v>381</v>
      </c>
      <c r="Q113" s="151" t="s">
        <v>295</v>
      </c>
      <c r="R113" s="150" t="s">
        <v>379</v>
      </c>
      <c r="S113" s="138"/>
      <c r="T113" s="138" t="s">
        <v>381</v>
      </c>
      <c r="U113" s="138" t="s">
        <v>295</v>
      </c>
      <c r="V113" s="157" t="s">
        <v>379</v>
      </c>
    </row>
    <row r="114" spans="1:22" outlineLevel="1">
      <c r="A114" s="157" t="s">
        <v>252</v>
      </c>
      <c r="B114" s="138" t="s">
        <v>349</v>
      </c>
      <c r="C114" s="148">
        <v>43549</v>
      </c>
      <c r="D114" s="138" t="s">
        <v>408</v>
      </c>
      <c r="E114" s="139" t="s">
        <v>461</v>
      </c>
      <c r="F114" s="140">
        <v>75390</v>
      </c>
      <c r="G114" s="141">
        <v>28.6</v>
      </c>
      <c r="H114" s="138">
        <v>37.97</v>
      </c>
      <c r="I114" s="138" t="s">
        <v>292</v>
      </c>
      <c r="J114" s="149">
        <v>37.97</v>
      </c>
      <c r="K114" s="150" t="s">
        <v>385</v>
      </c>
      <c r="L114" s="151" t="s">
        <v>396</v>
      </c>
      <c r="M114" s="151" t="s">
        <v>309</v>
      </c>
      <c r="N114" s="151" t="s">
        <v>449</v>
      </c>
      <c r="O114" s="151"/>
      <c r="P114" s="151" t="s">
        <v>381</v>
      </c>
      <c r="Q114" s="151" t="s">
        <v>295</v>
      </c>
      <c r="R114" s="150" t="s">
        <v>379</v>
      </c>
      <c r="S114" s="138"/>
      <c r="T114" s="138" t="s">
        <v>381</v>
      </c>
      <c r="U114" s="138" t="s">
        <v>295</v>
      </c>
      <c r="V114" s="157" t="s">
        <v>379</v>
      </c>
    </row>
    <row r="115" spans="1:22" outlineLevel="1">
      <c r="A115" s="157" t="s">
        <v>252</v>
      </c>
      <c r="B115" s="138" t="s">
        <v>349</v>
      </c>
      <c r="C115" s="148">
        <v>43549</v>
      </c>
      <c r="D115" s="138" t="s">
        <v>410</v>
      </c>
      <c r="E115" s="139" t="s">
        <v>462</v>
      </c>
      <c r="F115" s="140">
        <v>75390</v>
      </c>
      <c r="G115" s="141">
        <v>29.41</v>
      </c>
      <c r="H115" s="138">
        <v>39.04</v>
      </c>
      <c r="I115" s="138" t="s">
        <v>292</v>
      </c>
      <c r="J115" s="149">
        <v>39.049999999999997</v>
      </c>
      <c r="K115" s="150" t="s">
        <v>391</v>
      </c>
      <c r="L115" s="151" t="s">
        <v>396</v>
      </c>
      <c r="M115" s="151" t="s">
        <v>309</v>
      </c>
      <c r="N115" s="151" t="s">
        <v>449</v>
      </c>
      <c r="O115" s="151"/>
      <c r="P115" s="151" t="s">
        <v>381</v>
      </c>
      <c r="Q115" s="151" t="s">
        <v>295</v>
      </c>
      <c r="R115" s="150" t="s">
        <v>379</v>
      </c>
      <c r="S115" s="138"/>
      <c r="T115" s="138" t="s">
        <v>381</v>
      </c>
      <c r="U115" s="138" t="s">
        <v>295</v>
      </c>
      <c r="V115" s="157" t="s">
        <v>379</v>
      </c>
    </row>
    <row r="116" spans="1:22" outlineLevel="1">
      <c r="A116" s="157" t="s">
        <v>252</v>
      </c>
      <c r="B116" s="138" t="s">
        <v>349</v>
      </c>
      <c r="C116" s="148">
        <v>43532</v>
      </c>
      <c r="D116" s="138" t="s">
        <v>412</v>
      </c>
      <c r="E116" s="139" t="s">
        <v>463</v>
      </c>
      <c r="F116" s="140">
        <v>75390</v>
      </c>
      <c r="G116" s="141">
        <v>0.71</v>
      </c>
      <c r="H116" s="138">
        <v>0.94</v>
      </c>
      <c r="I116" s="138" t="s">
        <v>292</v>
      </c>
      <c r="J116" s="149">
        <v>0.94</v>
      </c>
      <c r="K116" s="150" t="s">
        <v>405</v>
      </c>
      <c r="L116" s="151" t="s">
        <v>396</v>
      </c>
      <c r="M116" s="151" t="s">
        <v>309</v>
      </c>
      <c r="N116" s="151" t="s">
        <v>449</v>
      </c>
      <c r="O116" s="151"/>
      <c r="P116" s="151" t="s">
        <v>381</v>
      </c>
      <c r="Q116" s="151" t="s">
        <v>295</v>
      </c>
      <c r="R116" s="150" t="s">
        <v>379</v>
      </c>
      <c r="S116" s="138"/>
      <c r="T116" s="138" t="s">
        <v>381</v>
      </c>
      <c r="U116" s="138" t="s">
        <v>295</v>
      </c>
      <c r="V116" s="157" t="s">
        <v>379</v>
      </c>
    </row>
    <row r="117" spans="1:22" outlineLevel="1">
      <c r="A117" s="157" t="s">
        <v>252</v>
      </c>
      <c r="B117" s="138" t="s">
        <v>349</v>
      </c>
      <c r="C117" s="148">
        <v>43549</v>
      </c>
      <c r="D117" s="138" t="s">
        <v>414</v>
      </c>
      <c r="E117" s="139" t="s">
        <v>464</v>
      </c>
      <c r="F117" s="140">
        <v>75390</v>
      </c>
      <c r="G117" s="141">
        <v>4.92</v>
      </c>
      <c r="H117" s="138">
        <v>6.53</v>
      </c>
      <c r="I117" s="138" t="s">
        <v>292</v>
      </c>
      <c r="J117" s="149">
        <v>6.53</v>
      </c>
      <c r="K117" s="150" t="s">
        <v>405</v>
      </c>
      <c r="L117" s="151" t="s">
        <v>396</v>
      </c>
      <c r="M117" s="151" t="s">
        <v>309</v>
      </c>
      <c r="N117" s="151" t="s">
        <v>449</v>
      </c>
      <c r="O117" s="151"/>
      <c r="P117" s="151" t="s">
        <v>381</v>
      </c>
      <c r="Q117" s="151" t="s">
        <v>295</v>
      </c>
      <c r="R117" s="150" t="s">
        <v>379</v>
      </c>
      <c r="S117" s="138"/>
      <c r="T117" s="138" t="s">
        <v>381</v>
      </c>
      <c r="U117" s="138" t="s">
        <v>295</v>
      </c>
      <c r="V117" s="157" t="s">
        <v>379</v>
      </c>
    </row>
    <row r="118" spans="1:22">
      <c r="A118" s="152" t="s">
        <v>378</v>
      </c>
      <c r="B118" s="152"/>
      <c r="C118" s="152"/>
      <c r="D118" s="152"/>
      <c r="E118" s="153"/>
      <c r="F118" s="154"/>
      <c r="G118" s="155">
        <f>SUM(G105:G117)</f>
        <v>754.56000000000006</v>
      </c>
      <c r="H118" s="156">
        <f>SUM(H105:H117)</f>
        <v>984.96999999999991</v>
      </c>
      <c r="I118" s="152"/>
      <c r="J118" s="156">
        <f>SUM(J105:J117)</f>
        <v>984.9899999999999</v>
      </c>
      <c r="K118" s="152"/>
      <c r="L118" s="152"/>
      <c r="M118" s="152"/>
      <c r="N118" s="152"/>
      <c r="O118" s="152"/>
      <c r="P118" s="152"/>
      <c r="Q118" s="152"/>
      <c r="R118" s="152"/>
      <c r="S118" s="138"/>
      <c r="T118" s="138"/>
      <c r="U118" s="138"/>
      <c r="V118" s="138"/>
    </row>
    <row r="119" spans="1:22" outlineLevel="1">
      <c r="A119" s="157" t="s">
        <v>254</v>
      </c>
      <c r="B119" s="138" t="s">
        <v>382</v>
      </c>
      <c r="C119" s="148">
        <v>43496</v>
      </c>
      <c r="D119" s="138" t="s">
        <v>423</v>
      </c>
      <c r="E119" s="139" t="s">
        <v>465</v>
      </c>
      <c r="F119" s="140">
        <v>74791</v>
      </c>
      <c r="G119" s="141">
        <v>408.33</v>
      </c>
      <c r="H119" s="138">
        <v>521.04</v>
      </c>
      <c r="I119" s="138" t="s">
        <v>292</v>
      </c>
      <c r="J119" s="149">
        <v>521.04</v>
      </c>
      <c r="K119" s="150" t="s">
        <v>385</v>
      </c>
      <c r="L119" s="151" t="s">
        <v>400</v>
      </c>
      <c r="M119" s="151" t="s">
        <v>309</v>
      </c>
      <c r="N119" s="151" t="s">
        <v>466</v>
      </c>
      <c r="O119" s="151"/>
      <c r="P119" s="151" t="s">
        <v>381</v>
      </c>
      <c r="Q119" s="151" t="s">
        <v>295</v>
      </c>
      <c r="R119" s="150" t="s">
        <v>379</v>
      </c>
      <c r="S119" s="138"/>
      <c r="T119" s="138" t="s">
        <v>381</v>
      </c>
      <c r="U119" s="138" t="s">
        <v>295</v>
      </c>
      <c r="V119" s="157" t="s">
        <v>379</v>
      </c>
    </row>
    <row r="120" spans="1:22" outlineLevel="1">
      <c r="A120" s="157" t="s">
        <v>254</v>
      </c>
      <c r="B120" s="138" t="s">
        <v>382</v>
      </c>
      <c r="C120" s="148">
        <v>43494</v>
      </c>
      <c r="D120" s="138" t="s">
        <v>447</v>
      </c>
      <c r="E120" s="139" t="s">
        <v>467</v>
      </c>
      <c r="F120" s="140">
        <v>74770</v>
      </c>
      <c r="G120" s="141">
        <v>160.91</v>
      </c>
      <c r="H120" s="138">
        <v>205.32</v>
      </c>
      <c r="I120" s="138" t="s">
        <v>292</v>
      </c>
      <c r="J120" s="149">
        <v>205.32</v>
      </c>
      <c r="K120" s="150" t="s">
        <v>385</v>
      </c>
      <c r="L120" s="151" t="s">
        <v>396</v>
      </c>
      <c r="M120" s="151" t="s">
        <v>309</v>
      </c>
      <c r="N120" s="151" t="s">
        <v>468</v>
      </c>
      <c r="O120" s="151"/>
      <c r="P120" s="151" t="s">
        <v>381</v>
      </c>
      <c r="Q120" s="151" t="s">
        <v>295</v>
      </c>
      <c r="R120" s="150" t="s">
        <v>379</v>
      </c>
      <c r="S120" s="138"/>
      <c r="T120" s="138" t="s">
        <v>381</v>
      </c>
      <c r="U120" s="138" t="s">
        <v>295</v>
      </c>
      <c r="V120" s="157" t="s">
        <v>379</v>
      </c>
    </row>
    <row r="121" spans="1:22" outlineLevel="1">
      <c r="A121" s="157" t="s">
        <v>254</v>
      </c>
      <c r="B121" s="138" t="s">
        <v>382</v>
      </c>
      <c r="C121" s="148">
        <v>43496</v>
      </c>
      <c r="D121" s="138" t="s">
        <v>383</v>
      </c>
      <c r="E121" s="139" t="s">
        <v>387</v>
      </c>
      <c r="F121" s="140">
        <v>75032</v>
      </c>
      <c r="G121" s="141">
        <v>8.42</v>
      </c>
      <c r="H121" s="138">
        <v>8.42</v>
      </c>
      <c r="I121" s="138" t="s">
        <v>293</v>
      </c>
      <c r="J121" s="149">
        <v>10.74</v>
      </c>
      <c r="K121" s="150" t="s">
        <v>385</v>
      </c>
      <c r="L121" s="151" t="s">
        <v>374</v>
      </c>
      <c r="M121" s="151" t="s">
        <v>309</v>
      </c>
      <c r="N121" s="151" t="s">
        <v>469</v>
      </c>
      <c r="O121" s="151"/>
      <c r="P121" s="151" t="s">
        <v>388</v>
      </c>
      <c r="Q121" s="151" t="s">
        <v>295</v>
      </c>
      <c r="R121" s="150" t="s">
        <v>254</v>
      </c>
      <c r="S121" s="138"/>
      <c r="T121" s="138" t="s">
        <v>388</v>
      </c>
      <c r="U121" s="138" t="s">
        <v>295</v>
      </c>
      <c r="V121" s="157" t="s">
        <v>254</v>
      </c>
    </row>
    <row r="122" spans="1:22" outlineLevel="1">
      <c r="A122" s="157" t="s">
        <v>254</v>
      </c>
      <c r="B122" s="138" t="s">
        <v>382</v>
      </c>
      <c r="C122" s="148">
        <v>43496</v>
      </c>
      <c r="D122" s="138" t="s">
        <v>383</v>
      </c>
      <c r="E122" s="139" t="s">
        <v>470</v>
      </c>
      <c r="F122" s="140">
        <v>75031</v>
      </c>
      <c r="G122" s="141">
        <v>168.31</v>
      </c>
      <c r="H122" s="138">
        <v>168.31</v>
      </c>
      <c r="I122" s="138" t="s">
        <v>293</v>
      </c>
      <c r="J122" s="149">
        <v>214.77</v>
      </c>
      <c r="K122" s="150" t="s">
        <v>385</v>
      </c>
      <c r="L122" s="151" t="s">
        <v>374</v>
      </c>
      <c r="M122" s="151" t="s">
        <v>309</v>
      </c>
      <c r="N122" s="151" t="s">
        <v>469</v>
      </c>
      <c r="O122" s="151"/>
      <c r="P122" s="151" t="s">
        <v>381</v>
      </c>
      <c r="Q122" s="151" t="s">
        <v>295</v>
      </c>
      <c r="R122" s="150" t="s">
        <v>379</v>
      </c>
      <c r="S122" s="138"/>
      <c r="T122" s="138" t="s">
        <v>381</v>
      </c>
      <c r="U122" s="138" t="s">
        <v>295</v>
      </c>
      <c r="V122" s="157" t="s">
        <v>379</v>
      </c>
    </row>
    <row r="123" spans="1:22" outlineLevel="1">
      <c r="A123" s="157" t="s">
        <v>254</v>
      </c>
      <c r="B123" s="138" t="s">
        <v>382</v>
      </c>
      <c r="C123" s="148">
        <v>43496</v>
      </c>
      <c r="D123" s="138" t="s">
        <v>383</v>
      </c>
      <c r="E123" s="139" t="s">
        <v>389</v>
      </c>
      <c r="F123" s="140">
        <v>75033</v>
      </c>
      <c r="G123" s="141">
        <v>2.52</v>
      </c>
      <c r="H123" s="138">
        <v>2.52</v>
      </c>
      <c r="I123" s="138" t="s">
        <v>293</v>
      </c>
      <c r="J123" s="149">
        <v>3.22</v>
      </c>
      <c r="K123" s="150" t="s">
        <v>385</v>
      </c>
      <c r="L123" s="151" t="s">
        <v>374</v>
      </c>
      <c r="M123" s="151" t="s">
        <v>309</v>
      </c>
      <c r="N123" s="151" t="s">
        <v>469</v>
      </c>
      <c r="O123" s="151"/>
      <c r="P123" s="151" t="s">
        <v>390</v>
      </c>
      <c r="Q123" s="151" t="s">
        <v>295</v>
      </c>
      <c r="R123" s="150" t="s">
        <v>379</v>
      </c>
      <c r="S123" s="138"/>
      <c r="T123" s="138" t="s">
        <v>390</v>
      </c>
      <c r="U123" s="138" t="s">
        <v>295</v>
      </c>
      <c r="V123" s="157" t="s">
        <v>379</v>
      </c>
    </row>
    <row r="124" spans="1:22" outlineLevel="1">
      <c r="A124" s="157" t="s">
        <v>254</v>
      </c>
      <c r="B124" s="138" t="s">
        <v>382</v>
      </c>
      <c r="C124" s="148">
        <v>43496</v>
      </c>
      <c r="D124" s="138" t="s">
        <v>426</v>
      </c>
      <c r="E124" s="139" t="s">
        <v>471</v>
      </c>
      <c r="F124" s="140">
        <v>74791</v>
      </c>
      <c r="G124" s="141">
        <v>56.64</v>
      </c>
      <c r="H124" s="138">
        <v>72.28</v>
      </c>
      <c r="I124" s="138" t="s">
        <v>292</v>
      </c>
      <c r="J124" s="149">
        <v>72.27</v>
      </c>
      <c r="K124" s="150" t="s">
        <v>391</v>
      </c>
      <c r="L124" s="151" t="s">
        <v>400</v>
      </c>
      <c r="M124" s="151" t="s">
        <v>309</v>
      </c>
      <c r="N124" s="151" t="s">
        <v>466</v>
      </c>
      <c r="O124" s="151"/>
      <c r="P124" s="151" t="s">
        <v>381</v>
      </c>
      <c r="Q124" s="151" t="s">
        <v>295</v>
      </c>
      <c r="R124" s="150" t="s">
        <v>379</v>
      </c>
      <c r="S124" s="138"/>
      <c r="T124" s="138" t="s">
        <v>381</v>
      </c>
      <c r="U124" s="138" t="s">
        <v>295</v>
      </c>
      <c r="V124" s="157" t="s">
        <v>379</v>
      </c>
    </row>
    <row r="125" spans="1:22" outlineLevel="1">
      <c r="A125" s="157" t="s">
        <v>254</v>
      </c>
      <c r="B125" s="138" t="s">
        <v>382</v>
      </c>
      <c r="C125" s="148">
        <v>43494</v>
      </c>
      <c r="D125" s="138" t="s">
        <v>450</v>
      </c>
      <c r="E125" s="139" t="s">
        <v>472</v>
      </c>
      <c r="F125" s="140">
        <v>74770</v>
      </c>
      <c r="G125" s="141">
        <v>22.54</v>
      </c>
      <c r="H125" s="138">
        <v>28.76</v>
      </c>
      <c r="I125" s="138" t="s">
        <v>292</v>
      </c>
      <c r="J125" s="149">
        <v>28.76</v>
      </c>
      <c r="K125" s="150" t="s">
        <v>391</v>
      </c>
      <c r="L125" s="151" t="s">
        <v>396</v>
      </c>
      <c r="M125" s="151" t="s">
        <v>309</v>
      </c>
      <c r="N125" s="151" t="s">
        <v>468</v>
      </c>
      <c r="O125" s="151"/>
      <c r="P125" s="151" t="s">
        <v>381</v>
      </c>
      <c r="Q125" s="151" t="s">
        <v>295</v>
      </c>
      <c r="R125" s="150" t="s">
        <v>379</v>
      </c>
      <c r="S125" s="138"/>
      <c r="T125" s="138" t="s">
        <v>381</v>
      </c>
      <c r="U125" s="138" t="s">
        <v>295</v>
      </c>
      <c r="V125" s="157" t="s">
        <v>379</v>
      </c>
    </row>
    <row r="126" spans="1:22" outlineLevel="1">
      <c r="A126" s="157" t="s">
        <v>254</v>
      </c>
      <c r="B126" s="138" t="s">
        <v>382</v>
      </c>
      <c r="C126" s="148">
        <v>43496</v>
      </c>
      <c r="D126" s="138" t="s">
        <v>383</v>
      </c>
      <c r="E126" s="139" t="s">
        <v>470</v>
      </c>
      <c r="F126" s="140">
        <v>75031</v>
      </c>
      <c r="G126" s="141">
        <v>16.829999999999998</v>
      </c>
      <c r="H126" s="138">
        <v>16.829999999999998</v>
      </c>
      <c r="I126" s="138" t="s">
        <v>293</v>
      </c>
      <c r="J126" s="149">
        <v>21.48</v>
      </c>
      <c r="K126" s="150" t="s">
        <v>391</v>
      </c>
      <c r="L126" s="151" t="s">
        <v>374</v>
      </c>
      <c r="M126" s="151" t="s">
        <v>309</v>
      </c>
      <c r="N126" s="151" t="s">
        <v>469</v>
      </c>
      <c r="O126" s="151"/>
      <c r="P126" s="151" t="s">
        <v>381</v>
      </c>
      <c r="Q126" s="151" t="s">
        <v>295</v>
      </c>
      <c r="R126" s="150" t="s">
        <v>379</v>
      </c>
      <c r="S126" s="138"/>
      <c r="T126" s="138" t="s">
        <v>381</v>
      </c>
      <c r="U126" s="138" t="s">
        <v>295</v>
      </c>
      <c r="V126" s="157" t="s">
        <v>379</v>
      </c>
    </row>
    <row r="127" spans="1:22" outlineLevel="1">
      <c r="A127" s="157" t="s">
        <v>254</v>
      </c>
      <c r="B127" s="138" t="s">
        <v>382</v>
      </c>
      <c r="C127" s="148">
        <v>43496</v>
      </c>
      <c r="D127" s="138" t="s">
        <v>430</v>
      </c>
      <c r="E127" s="139" t="s">
        <v>473</v>
      </c>
      <c r="F127" s="140">
        <v>74791</v>
      </c>
      <c r="G127" s="141">
        <v>9.44</v>
      </c>
      <c r="H127" s="138">
        <v>12.05</v>
      </c>
      <c r="I127" s="138" t="s">
        <v>292</v>
      </c>
      <c r="J127" s="149">
        <v>12.05</v>
      </c>
      <c r="K127" s="150" t="s">
        <v>405</v>
      </c>
      <c r="L127" s="151" t="s">
        <v>400</v>
      </c>
      <c r="M127" s="151" t="s">
        <v>309</v>
      </c>
      <c r="N127" s="151" t="s">
        <v>466</v>
      </c>
      <c r="O127" s="151"/>
      <c r="P127" s="151" t="s">
        <v>381</v>
      </c>
      <c r="Q127" s="151" t="s">
        <v>295</v>
      </c>
      <c r="R127" s="150" t="s">
        <v>379</v>
      </c>
      <c r="S127" s="138"/>
      <c r="T127" s="138" t="s">
        <v>381</v>
      </c>
      <c r="U127" s="138" t="s">
        <v>295</v>
      </c>
      <c r="V127" s="157" t="s">
        <v>379</v>
      </c>
    </row>
    <row r="128" spans="1:22" outlineLevel="1">
      <c r="A128" s="157" t="s">
        <v>254</v>
      </c>
      <c r="B128" s="138" t="s">
        <v>382</v>
      </c>
      <c r="C128" s="148">
        <v>43494</v>
      </c>
      <c r="D128" s="138" t="s">
        <v>452</v>
      </c>
      <c r="E128" s="139" t="s">
        <v>474</v>
      </c>
      <c r="F128" s="140">
        <v>74770</v>
      </c>
      <c r="G128" s="141">
        <v>3.75</v>
      </c>
      <c r="H128" s="138">
        <v>4.79</v>
      </c>
      <c r="I128" s="138" t="s">
        <v>292</v>
      </c>
      <c r="J128" s="149">
        <v>4.79</v>
      </c>
      <c r="K128" s="150" t="s">
        <v>405</v>
      </c>
      <c r="L128" s="151" t="s">
        <v>396</v>
      </c>
      <c r="M128" s="151" t="s">
        <v>309</v>
      </c>
      <c r="N128" s="151" t="s">
        <v>468</v>
      </c>
      <c r="O128" s="151"/>
      <c r="P128" s="151" t="s">
        <v>381</v>
      </c>
      <c r="Q128" s="151" t="s">
        <v>295</v>
      </c>
      <c r="R128" s="150" t="s">
        <v>379</v>
      </c>
      <c r="S128" s="138"/>
      <c r="T128" s="138" t="s">
        <v>381</v>
      </c>
      <c r="U128" s="138" t="s">
        <v>295</v>
      </c>
      <c r="V128" s="157" t="s">
        <v>379</v>
      </c>
    </row>
    <row r="129" spans="1:22" outlineLevel="1">
      <c r="A129" s="157" t="s">
        <v>254</v>
      </c>
      <c r="B129" s="138" t="s">
        <v>382</v>
      </c>
      <c r="C129" s="148">
        <v>43495</v>
      </c>
      <c r="D129" s="138" t="s">
        <v>428</v>
      </c>
      <c r="E129" s="139" t="s">
        <v>475</v>
      </c>
      <c r="F129" s="140">
        <v>74791</v>
      </c>
      <c r="G129" s="141">
        <v>0.63</v>
      </c>
      <c r="H129" s="138">
        <v>0.8</v>
      </c>
      <c r="I129" s="138" t="s">
        <v>292</v>
      </c>
      <c r="J129" s="149">
        <v>0.8</v>
      </c>
      <c r="K129" s="150" t="s">
        <v>405</v>
      </c>
      <c r="L129" s="151" t="s">
        <v>400</v>
      </c>
      <c r="M129" s="151" t="s">
        <v>309</v>
      </c>
      <c r="N129" s="151" t="s">
        <v>466</v>
      </c>
      <c r="O129" s="151"/>
      <c r="P129" s="151" t="s">
        <v>381</v>
      </c>
      <c r="Q129" s="151" t="s">
        <v>295</v>
      </c>
      <c r="R129" s="150" t="s">
        <v>379</v>
      </c>
      <c r="S129" s="138"/>
      <c r="T129" s="138" t="s">
        <v>381</v>
      </c>
      <c r="U129" s="138" t="s">
        <v>295</v>
      </c>
      <c r="V129" s="157" t="s">
        <v>379</v>
      </c>
    </row>
    <row r="130" spans="1:22" outlineLevel="1">
      <c r="A130" s="157" t="s">
        <v>254</v>
      </c>
      <c r="B130" s="138" t="s">
        <v>393</v>
      </c>
      <c r="C130" s="148">
        <v>43524</v>
      </c>
      <c r="D130" s="138" t="s">
        <v>417</v>
      </c>
      <c r="E130" s="139" t="s">
        <v>470</v>
      </c>
      <c r="F130" s="140">
        <v>75059</v>
      </c>
      <c r="G130" s="141">
        <v>168.31</v>
      </c>
      <c r="H130" s="138">
        <v>168.31</v>
      </c>
      <c r="I130" s="138" t="s">
        <v>293</v>
      </c>
      <c r="J130" s="149">
        <v>221.07</v>
      </c>
      <c r="K130" s="150" t="s">
        <v>385</v>
      </c>
      <c r="L130" s="151" t="s">
        <v>374</v>
      </c>
      <c r="M130" s="151" t="s">
        <v>309</v>
      </c>
      <c r="N130" s="151" t="s">
        <v>469</v>
      </c>
      <c r="O130" s="151"/>
      <c r="P130" s="151" t="s">
        <v>381</v>
      </c>
      <c r="Q130" s="151" t="s">
        <v>295</v>
      </c>
      <c r="R130" s="150" t="s">
        <v>379</v>
      </c>
      <c r="S130" s="138"/>
      <c r="T130" s="138" t="s">
        <v>381</v>
      </c>
      <c r="U130" s="138" t="s">
        <v>295</v>
      </c>
      <c r="V130" s="157" t="s">
        <v>379</v>
      </c>
    </row>
    <row r="131" spans="1:22" outlineLevel="1">
      <c r="A131" s="157" t="s">
        <v>254</v>
      </c>
      <c r="B131" s="138" t="s">
        <v>393</v>
      </c>
      <c r="C131" s="148">
        <v>43524</v>
      </c>
      <c r="D131" s="138" t="s">
        <v>417</v>
      </c>
      <c r="E131" s="139" t="s">
        <v>419</v>
      </c>
      <c r="F131" s="140">
        <v>75061</v>
      </c>
      <c r="G131" s="141">
        <v>2.52</v>
      </c>
      <c r="H131" s="138">
        <v>2.52</v>
      </c>
      <c r="I131" s="138" t="s">
        <v>293</v>
      </c>
      <c r="J131" s="149">
        <v>3.31</v>
      </c>
      <c r="K131" s="150" t="s">
        <v>385</v>
      </c>
      <c r="L131" s="151" t="s">
        <v>374</v>
      </c>
      <c r="M131" s="151" t="s">
        <v>309</v>
      </c>
      <c r="N131" s="151" t="s">
        <v>469</v>
      </c>
      <c r="O131" s="151"/>
      <c r="P131" s="151" t="s">
        <v>390</v>
      </c>
      <c r="Q131" s="151" t="s">
        <v>295</v>
      </c>
      <c r="R131" s="150" t="s">
        <v>379</v>
      </c>
      <c r="S131" s="138"/>
      <c r="T131" s="138" t="s">
        <v>390</v>
      </c>
      <c r="U131" s="138" t="s">
        <v>295</v>
      </c>
      <c r="V131" s="157" t="s">
        <v>379</v>
      </c>
    </row>
    <row r="132" spans="1:22" outlineLevel="1">
      <c r="A132" s="157" t="s">
        <v>254</v>
      </c>
      <c r="B132" s="138" t="s">
        <v>393</v>
      </c>
      <c r="C132" s="148">
        <v>43524</v>
      </c>
      <c r="D132" s="138" t="s">
        <v>417</v>
      </c>
      <c r="E132" s="139" t="s">
        <v>418</v>
      </c>
      <c r="F132" s="140">
        <v>75060</v>
      </c>
      <c r="G132" s="141">
        <v>8.42</v>
      </c>
      <c r="H132" s="138">
        <v>8.42</v>
      </c>
      <c r="I132" s="138" t="s">
        <v>293</v>
      </c>
      <c r="J132" s="149">
        <v>11.06</v>
      </c>
      <c r="K132" s="150" t="s">
        <v>385</v>
      </c>
      <c r="L132" s="151" t="s">
        <v>374</v>
      </c>
      <c r="M132" s="151" t="s">
        <v>309</v>
      </c>
      <c r="N132" s="151" t="s">
        <v>469</v>
      </c>
      <c r="O132" s="151"/>
      <c r="P132" s="151" t="s">
        <v>388</v>
      </c>
      <c r="Q132" s="151" t="s">
        <v>295</v>
      </c>
      <c r="R132" s="150" t="s">
        <v>254</v>
      </c>
      <c r="S132" s="138"/>
      <c r="T132" s="138" t="s">
        <v>388</v>
      </c>
      <c r="U132" s="138" t="s">
        <v>295</v>
      </c>
      <c r="V132" s="157" t="s">
        <v>254</v>
      </c>
    </row>
    <row r="133" spans="1:22" outlineLevel="1">
      <c r="A133" s="157" t="s">
        <v>254</v>
      </c>
      <c r="B133" s="138" t="s">
        <v>393</v>
      </c>
      <c r="C133" s="148">
        <v>43523</v>
      </c>
      <c r="D133" s="138" t="s">
        <v>394</v>
      </c>
      <c r="E133" s="139" t="s">
        <v>476</v>
      </c>
      <c r="F133" s="140">
        <v>75030</v>
      </c>
      <c r="G133" s="141">
        <v>15.21</v>
      </c>
      <c r="H133" s="138">
        <v>19.98</v>
      </c>
      <c r="I133" s="138" t="s">
        <v>292</v>
      </c>
      <c r="J133" s="149">
        <v>19.98</v>
      </c>
      <c r="K133" s="150" t="s">
        <v>385</v>
      </c>
      <c r="L133" s="151" t="s">
        <v>396</v>
      </c>
      <c r="M133" s="151" t="s">
        <v>309</v>
      </c>
      <c r="N133" s="151" t="s">
        <v>468</v>
      </c>
      <c r="O133" s="151"/>
      <c r="P133" s="151" t="s">
        <v>381</v>
      </c>
      <c r="Q133" s="151" t="s">
        <v>295</v>
      </c>
      <c r="R133" s="150" t="s">
        <v>379</v>
      </c>
      <c r="S133" s="138"/>
      <c r="T133" s="138" t="s">
        <v>381</v>
      </c>
      <c r="U133" s="138" t="s">
        <v>295</v>
      </c>
      <c r="V133" s="157" t="s">
        <v>379</v>
      </c>
    </row>
    <row r="134" spans="1:22" outlineLevel="1">
      <c r="A134" s="157" t="s">
        <v>254</v>
      </c>
      <c r="B134" s="138" t="s">
        <v>393</v>
      </c>
      <c r="C134" s="148">
        <v>43523</v>
      </c>
      <c r="D134" s="138" t="s">
        <v>398</v>
      </c>
      <c r="E134" s="139" t="s">
        <v>477</v>
      </c>
      <c r="F134" s="140">
        <v>75040</v>
      </c>
      <c r="G134" s="141">
        <v>137.76</v>
      </c>
      <c r="H134" s="138">
        <v>180.94</v>
      </c>
      <c r="I134" s="138" t="s">
        <v>292</v>
      </c>
      <c r="J134" s="149">
        <v>180.94</v>
      </c>
      <c r="K134" s="150" t="s">
        <v>385</v>
      </c>
      <c r="L134" s="151" t="s">
        <v>400</v>
      </c>
      <c r="M134" s="151" t="s">
        <v>309</v>
      </c>
      <c r="N134" s="151" t="s">
        <v>468</v>
      </c>
      <c r="O134" s="151"/>
      <c r="P134" s="151" t="s">
        <v>381</v>
      </c>
      <c r="Q134" s="151" t="s">
        <v>295</v>
      </c>
      <c r="R134" s="150" t="s">
        <v>379</v>
      </c>
      <c r="S134" s="138"/>
      <c r="T134" s="138" t="s">
        <v>381</v>
      </c>
      <c r="U134" s="138" t="s">
        <v>295</v>
      </c>
      <c r="V134" s="157" t="s">
        <v>379</v>
      </c>
    </row>
    <row r="135" spans="1:22" outlineLevel="1">
      <c r="A135" s="157" t="s">
        <v>254</v>
      </c>
      <c r="B135" s="138" t="s">
        <v>393</v>
      </c>
      <c r="C135" s="148">
        <v>43524</v>
      </c>
      <c r="D135" s="138" t="s">
        <v>417</v>
      </c>
      <c r="E135" s="139" t="s">
        <v>470</v>
      </c>
      <c r="F135" s="140">
        <v>75059</v>
      </c>
      <c r="G135" s="141">
        <v>16.829999999999998</v>
      </c>
      <c r="H135" s="138">
        <v>16.829999999999998</v>
      </c>
      <c r="I135" s="138" t="s">
        <v>293</v>
      </c>
      <c r="J135" s="149">
        <v>22.11</v>
      </c>
      <c r="K135" s="150" t="s">
        <v>391</v>
      </c>
      <c r="L135" s="151" t="s">
        <v>374</v>
      </c>
      <c r="M135" s="151" t="s">
        <v>309</v>
      </c>
      <c r="N135" s="151" t="s">
        <v>469</v>
      </c>
      <c r="O135" s="151"/>
      <c r="P135" s="151" t="s">
        <v>381</v>
      </c>
      <c r="Q135" s="151" t="s">
        <v>295</v>
      </c>
      <c r="R135" s="150" t="s">
        <v>379</v>
      </c>
      <c r="S135" s="138"/>
      <c r="T135" s="138" t="s">
        <v>381</v>
      </c>
      <c r="U135" s="138" t="s">
        <v>295</v>
      </c>
      <c r="V135" s="157" t="s">
        <v>379</v>
      </c>
    </row>
    <row r="136" spans="1:22" outlineLevel="1">
      <c r="A136" s="157" t="s">
        <v>254</v>
      </c>
      <c r="B136" s="138" t="s">
        <v>393</v>
      </c>
      <c r="C136" s="148">
        <v>43523</v>
      </c>
      <c r="D136" s="138" t="s">
        <v>401</v>
      </c>
      <c r="E136" s="139" t="s">
        <v>478</v>
      </c>
      <c r="F136" s="140">
        <v>75030</v>
      </c>
      <c r="G136" s="141">
        <v>21.9</v>
      </c>
      <c r="H136" s="138">
        <v>28.76</v>
      </c>
      <c r="I136" s="138" t="s">
        <v>292</v>
      </c>
      <c r="J136" s="149">
        <v>28.76</v>
      </c>
      <c r="K136" s="150" t="s">
        <v>391</v>
      </c>
      <c r="L136" s="151" t="s">
        <v>396</v>
      </c>
      <c r="M136" s="151" t="s">
        <v>309</v>
      </c>
      <c r="N136" s="151" t="s">
        <v>468</v>
      </c>
      <c r="O136" s="151"/>
      <c r="P136" s="151" t="s">
        <v>381</v>
      </c>
      <c r="Q136" s="151" t="s">
        <v>295</v>
      </c>
      <c r="R136" s="150" t="s">
        <v>379</v>
      </c>
      <c r="S136" s="138"/>
      <c r="T136" s="138" t="s">
        <v>381</v>
      </c>
      <c r="U136" s="138" t="s">
        <v>295</v>
      </c>
      <c r="V136" s="157" t="s">
        <v>379</v>
      </c>
    </row>
    <row r="137" spans="1:22" outlineLevel="1">
      <c r="A137" s="157" t="s">
        <v>254</v>
      </c>
      <c r="B137" s="138" t="s">
        <v>393</v>
      </c>
      <c r="C137" s="148">
        <v>43523</v>
      </c>
      <c r="D137" s="138" t="s">
        <v>433</v>
      </c>
      <c r="E137" s="139" t="s">
        <v>471</v>
      </c>
      <c r="F137" s="140">
        <v>75040</v>
      </c>
      <c r="G137" s="141">
        <v>55.03</v>
      </c>
      <c r="H137" s="138">
        <v>72.28</v>
      </c>
      <c r="I137" s="138" t="s">
        <v>292</v>
      </c>
      <c r="J137" s="149">
        <v>72.28</v>
      </c>
      <c r="K137" s="150" t="s">
        <v>391</v>
      </c>
      <c r="L137" s="151" t="s">
        <v>400</v>
      </c>
      <c r="M137" s="151" t="s">
        <v>309</v>
      </c>
      <c r="N137" s="151" t="s">
        <v>466</v>
      </c>
      <c r="O137" s="151"/>
      <c r="P137" s="151" t="s">
        <v>381</v>
      </c>
      <c r="Q137" s="151" t="s">
        <v>295</v>
      </c>
      <c r="R137" s="150" t="s">
        <v>379</v>
      </c>
      <c r="S137" s="138"/>
      <c r="T137" s="138" t="s">
        <v>381</v>
      </c>
      <c r="U137" s="138" t="s">
        <v>295</v>
      </c>
      <c r="V137" s="157" t="s">
        <v>379</v>
      </c>
    </row>
    <row r="138" spans="1:22" outlineLevel="1">
      <c r="A138" s="157" t="s">
        <v>254</v>
      </c>
      <c r="B138" s="138" t="s">
        <v>393</v>
      </c>
      <c r="C138" s="148">
        <v>43523</v>
      </c>
      <c r="D138" s="138" t="s">
        <v>434</v>
      </c>
      <c r="E138" s="139" t="s">
        <v>475</v>
      </c>
      <c r="F138" s="140">
        <v>75040</v>
      </c>
      <c r="G138" s="141">
        <v>0.61</v>
      </c>
      <c r="H138" s="138">
        <v>0.8</v>
      </c>
      <c r="I138" s="138" t="s">
        <v>292</v>
      </c>
      <c r="J138" s="149">
        <v>0.8</v>
      </c>
      <c r="K138" s="150" t="s">
        <v>405</v>
      </c>
      <c r="L138" s="151" t="s">
        <v>400</v>
      </c>
      <c r="M138" s="151" t="s">
        <v>309</v>
      </c>
      <c r="N138" s="151" t="s">
        <v>466</v>
      </c>
      <c r="O138" s="151"/>
      <c r="P138" s="151" t="s">
        <v>381</v>
      </c>
      <c r="Q138" s="151" t="s">
        <v>295</v>
      </c>
      <c r="R138" s="150" t="s">
        <v>379</v>
      </c>
      <c r="S138" s="138"/>
      <c r="T138" s="138" t="s">
        <v>381</v>
      </c>
      <c r="U138" s="138" t="s">
        <v>295</v>
      </c>
      <c r="V138" s="157" t="s">
        <v>379</v>
      </c>
    </row>
    <row r="139" spans="1:22" outlineLevel="1">
      <c r="A139" s="157" t="s">
        <v>254</v>
      </c>
      <c r="B139" s="138" t="s">
        <v>393</v>
      </c>
      <c r="C139" s="148">
        <v>43523</v>
      </c>
      <c r="D139" s="138" t="s">
        <v>435</v>
      </c>
      <c r="E139" s="139" t="s">
        <v>473</v>
      </c>
      <c r="F139" s="140">
        <v>75040</v>
      </c>
      <c r="G139" s="141">
        <v>9.17</v>
      </c>
      <c r="H139" s="138">
        <v>12.05</v>
      </c>
      <c r="I139" s="138" t="s">
        <v>292</v>
      </c>
      <c r="J139" s="149">
        <v>12.04</v>
      </c>
      <c r="K139" s="150" t="s">
        <v>405</v>
      </c>
      <c r="L139" s="151" t="s">
        <v>400</v>
      </c>
      <c r="M139" s="151" t="s">
        <v>309</v>
      </c>
      <c r="N139" s="151" t="s">
        <v>466</v>
      </c>
      <c r="O139" s="151"/>
      <c r="P139" s="151" t="s">
        <v>381</v>
      </c>
      <c r="Q139" s="151" t="s">
        <v>295</v>
      </c>
      <c r="R139" s="150" t="s">
        <v>379</v>
      </c>
      <c r="S139" s="138"/>
      <c r="T139" s="138" t="s">
        <v>381</v>
      </c>
      <c r="U139" s="138" t="s">
        <v>295</v>
      </c>
      <c r="V139" s="157" t="s">
        <v>379</v>
      </c>
    </row>
    <row r="140" spans="1:22" outlineLevel="1">
      <c r="A140" s="157" t="s">
        <v>254</v>
      </c>
      <c r="B140" s="138" t="s">
        <v>393</v>
      </c>
      <c r="C140" s="148">
        <v>43500</v>
      </c>
      <c r="D140" s="138" t="s">
        <v>458</v>
      </c>
      <c r="E140" s="139" t="s">
        <v>479</v>
      </c>
      <c r="F140" s="140">
        <v>75030</v>
      </c>
      <c r="G140" s="141">
        <v>0.24</v>
      </c>
      <c r="H140" s="138">
        <v>0.32</v>
      </c>
      <c r="I140" s="138" t="s">
        <v>292</v>
      </c>
      <c r="J140" s="149">
        <v>0.32</v>
      </c>
      <c r="K140" s="150" t="s">
        <v>405</v>
      </c>
      <c r="L140" s="151" t="s">
        <v>396</v>
      </c>
      <c r="M140" s="151" t="s">
        <v>309</v>
      </c>
      <c r="N140" s="151" t="s">
        <v>468</v>
      </c>
      <c r="O140" s="151"/>
      <c r="P140" s="151" t="s">
        <v>381</v>
      </c>
      <c r="Q140" s="151" t="s">
        <v>295</v>
      </c>
      <c r="R140" s="150" t="s">
        <v>379</v>
      </c>
      <c r="S140" s="138"/>
      <c r="T140" s="138" t="s">
        <v>381</v>
      </c>
      <c r="U140" s="138" t="s">
        <v>295</v>
      </c>
      <c r="V140" s="157" t="s">
        <v>379</v>
      </c>
    </row>
    <row r="141" spans="1:22" outlineLevel="1">
      <c r="A141" s="157" t="s">
        <v>254</v>
      </c>
      <c r="B141" s="138" t="s">
        <v>393</v>
      </c>
      <c r="C141" s="148">
        <v>43523</v>
      </c>
      <c r="D141" s="138" t="s">
        <v>403</v>
      </c>
      <c r="E141" s="139" t="s">
        <v>480</v>
      </c>
      <c r="F141" s="140">
        <v>75030</v>
      </c>
      <c r="G141" s="141">
        <v>3.65</v>
      </c>
      <c r="H141" s="138">
        <v>4.79</v>
      </c>
      <c r="I141" s="138" t="s">
        <v>292</v>
      </c>
      <c r="J141" s="149">
        <v>4.79</v>
      </c>
      <c r="K141" s="150" t="s">
        <v>405</v>
      </c>
      <c r="L141" s="151" t="s">
        <v>396</v>
      </c>
      <c r="M141" s="151" t="s">
        <v>309</v>
      </c>
      <c r="N141" s="151" t="s">
        <v>468</v>
      </c>
      <c r="O141" s="151"/>
      <c r="P141" s="151" t="s">
        <v>381</v>
      </c>
      <c r="Q141" s="151" t="s">
        <v>295</v>
      </c>
      <c r="R141" s="150" t="s">
        <v>379</v>
      </c>
      <c r="S141" s="138"/>
      <c r="T141" s="138" t="s">
        <v>381</v>
      </c>
      <c r="U141" s="138" t="s">
        <v>295</v>
      </c>
      <c r="V141" s="157" t="s">
        <v>379</v>
      </c>
    </row>
    <row r="142" spans="1:22" outlineLevel="1">
      <c r="A142" s="157" t="s">
        <v>254</v>
      </c>
      <c r="B142" s="138" t="s">
        <v>349</v>
      </c>
      <c r="C142" s="148">
        <v>43549</v>
      </c>
      <c r="D142" s="138" t="s">
        <v>408</v>
      </c>
      <c r="E142" s="139" t="s">
        <v>481</v>
      </c>
      <c r="F142" s="140">
        <v>75390</v>
      </c>
      <c r="G142" s="141">
        <v>16.100000000000001</v>
      </c>
      <c r="H142" s="138">
        <v>21.37</v>
      </c>
      <c r="I142" s="138" t="s">
        <v>292</v>
      </c>
      <c r="J142" s="149">
        <v>21.37</v>
      </c>
      <c r="K142" s="150" t="s">
        <v>385</v>
      </c>
      <c r="L142" s="151" t="s">
        <v>396</v>
      </c>
      <c r="M142" s="151" t="s">
        <v>309</v>
      </c>
      <c r="N142" s="151" t="s">
        <v>468</v>
      </c>
      <c r="O142" s="151"/>
      <c r="P142" s="151" t="s">
        <v>381</v>
      </c>
      <c r="Q142" s="151" t="s">
        <v>295</v>
      </c>
      <c r="R142" s="150" t="s">
        <v>379</v>
      </c>
      <c r="S142" s="138"/>
      <c r="T142" s="138" t="s">
        <v>381</v>
      </c>
      <c r="U142" s="138" t="s">
        <v>295</v>
      </c>
      <c r="V142" s="157" t="s">
        <v>379</v>
      </c>
    </row>
    <row r="143" spans="1:22" outlineLevel="1">
      <c r="A143" s="157" t="s">
        <v>254</v>
      </c>
      <c r="B143" s="138" t="s">
        <v>349</v>
      </c>
      <c r="C143" s="148">
        <v>43549</v>
      </c>
      <c r="D143" s="138" t="s">
        <v>406</v>
      </c>
      <c r="E143" s="139" t="s">
        <v>482</v>
      </c>
      <c r="F143" s="140">
        <v>75390</v>
      </c>
      <c r="G143" s="141">
        <v>140.66</v>
      </c>
      <c r="H143" s="138">
        <v>186.74</v>
      </c>
      <c r="I143" s="138" t="s">
        <v>292</v>
      </c>
      <c r="J143" s="149">
        <v>186.74</v>
      </c>
      <c r="K143" s="150" t="s">
        <v>385</v>
      </c>
      <c r="L143" s="151" t="s">
        <v>396</v>
      </c>
      <c r="M143" s="151" t="s">
        <v>309</v>
      </c>
      <c r="N143" s="151" t="s">
        <v>468</v>
      </c>
      <c r="O143" s="151"/>
      <c r="P143" s="151" t="s">
        <v>381</v>
      </c>
      <c r="Q143" s="151" t="s">
        <v>295</v>
      </c>
      <c r="R143" s="150" t="s">
        <v>379</v>
      </c>
      <c r="S143" s="138"/>
      <c r="T143" s="138" t="s">
        <v>381</v>
      </c>
      <c r="U143" s="138" t="s">
        <v>295</v>
      </c>
      <c r="V143" s="157" t="s">
        <v>379</v>
      </c>
    </row>
    <row r="144" spans="1:22" outlineLevel="1">
      <c r="A144" s="157" t="s">
        <v>254</v>
      </c>
      <c r="B144" s="138" t="s">
        <v>349</v>
      </c>
      <c r="C144" s="148">
        <v>43555</v>
      </c>
      <c r="D144" s="138" t="s">
        <v>420</v>
      </c>
      <c r="E144" s="139" t="s">
        <v>422</v>
      </c>
      <c r="F144" s="140">
        <v>75374</v>
      </c>
      <c r="G144" s="141">
        <v>2.52</v>
      </c>
      <c r="H144" s="138">
        <v>2.52</v>
      </c>
      <c r="I144" s="138" t="s">
        <v>293</v>
      </c>
      <c r="J144" s="149">
        <v>3.35</v>
      </c>
      <c r="K144" s="150" t="s">
        <v>385</v>
      </c>
      <c r="L144" s="151" t="s">
        <v>374</v>
      </c>
      <c r="M144" s="151" t="s">
        <v>309</v>
      </c>
      <c r="N144" s="151" t="s">
        <v>469</v>
      </c>
      <c r="O144" s="151"/>
      <c r="P144" s="151" t="s">
        <v>390</v>
      </c>
      <c r="Q144" s="151" t="s">
        <v>295</v>
      </c>
      <c r="R144" s="150" t="s">
        <v>379</v>
      </c>
      <c r="S144" s="138"/>
      <c r="T144" s="138" t="s">
        <v>390</v>
      </c>
      <c r="U144" s="138" t="s">
        <v>295</v>
      </c>
      <c r="V144" s="157" t="s">
        <v>379</v>
      </c>
    </row>
    <row r="145" spans="1:22" outlineLevel="1">
      <c r="A145" s="157" t="s">
        <v>254</v>
      </c>
      <c r="B145" s="138" t="s">
        <v>349</v>
      </c>
      <c r="C145" s="148">
        <v>43555</v>
      </c>
      <c r="D145" s="138" t="s">
        <v>420</v>
      </c>
      <c r="E145" s="139" t="s">
        <v>421</v>
      </c>
      <c r="F145" s="140">
        <v>75373</v>
      </c>
      <c r="G145" s="141">
        <v>8.42</v>
      </c>
      <c r="H145" s="138">
        <v>8.42</v>
      </c>
      <c r="I145" s="138" t="s">
        <v>293</v>
      </c>
      <c r="J145" s="149">
        <v>11.18</v>
      </c>
      <c r="K145" s="150" t="s">
        <v>385</v>
      </c>
      <c r="L145" s="151" t="s">
        <v>374</v>
      </c>
      <c r="M145" s="151" t="s">
        <v>309</v>
      </c>
      <c r="N145" s="151" t="s">
        <v>469</v>
      </c>
      <c r="O145" s="151"/>
      <c r="P145" s="151" t="s">
        <v>388</v>
      </c>
      <c r="Q145" s="151" t="s">
        <v>295</v>
      </c>
      <c r="R145" s="150" t="s">
        <v>254</v>
      </c>
      <c r="S145" s="138"/>
      <c r="T145" s="138" t="s">
        <v>388</v>
      </c>
      <c r="U145" s="138" t="s">
        <v>295</v>
      </c>
      <c r="V145" s="157" t="s">
        <v>254</v>
      </c>
    </row>
    <row r="146" spans="1:22" outlineLevel="1">
      <c r="A146" s="157" t="s">
        <v>254</v>
      </c>
      <c r="B146" s="138" t="s">
        <v>349</v>
      </c>
      <c r="C146" s="148">
        <v>43555</v>
      </c>
      <c r="D146" s="138" t="s">
        <v>420</v>
      </c>
      <c r="E146" s="139" t="s">
        <v>470</v>
      </c>
      <c r="F146" s="140">
        <v>75372</v>
      </c>
      <c r="G146" s="141">
        <v>168.31</v>
      </c>
      <c r="H146" s="138">
        <v>168.31</v>
      </c>
      <c r="I146" s="138" t="s">
        <v>293</v>
      </c>
      <c r="J146" s="149">
        <v>223.45</v>
      </c>
      <c r="K146" s="150" t="s">
        <v>385</v>
      </c>
      <c r="L146" s="151" t="s">
        <v>374</v>
      </c>
      <c r="M146" s="151" t="s">
        <v>309</v>
      </c>
      <c r="N146" s="151" t="s">
        <v>469</v>
      </c>
      <c r="O146" s="151"/>
      <c r="P146" s="151" t="s">
        <v>381</v>
      </c>
      <c r="Q146" s="151" t="s">
        <v>295</v>
      </c>
      <c r="R146" s="150" t="s">
        <v>379</v>
      </c>
      <c r="S146" s="138"/>
      <c r="T146" s="138" t="s">
        <v>381</v>
      </c>
      <c r="U146" s="138" t="s">
        <v>295</v>
      </c>
      <c r="V146" s="157" t="s">
        <v>379</v>
      </c>
    </row>
    <row r="147" spans="1:22" outlineLevel="1">
      <c r="A147" s="157" t="s">
        <v>254</v>
      </c>
      <c r="B147" s="138" t="s">
        <v>349</v>
      </c>
      <c r="C147" s="148">
        <v>43553</v>
      </c>
      <c r="D147" s="138" t="s">
        <v>436</v>
      </c>
      <c r="E147" s="139" t="s">
        <v>465</v>
      </c>
      <c r="F147" s="140">
        <v>75358</v>
      </c>
      <c r="G147" s="141">
        <v>389.45</v>
      </c>
      <c r="H147" s="138">
        <v>517.04</v>
      </c>
      <c r="I147" s="138" t="s">
        <v>292</v>
      </c>
      <c r="J147" s="149">
        <v>517.04</v>
      </c>
      <c r="K147" s="150" t="s">
        <v>385</v>
      </c>
      <c r="L147" s="151" t="s">
        <v>400</v>
      </c>
      <c r="M147" s="151" t="s">
        <v>309</v>
      </c>
      <c r="N147" s="151" t="s">
        <v>466</v>
      </c>
      <c r="O147" s="151"/>
      <c r="P147" s="151" t="s">
        <v>381</v>
      </c>
      <c r="Q147" s="151" t="s">
        <v>295</v>
      </c>
      <c r="R147" s="150" t="s">
        <v>379</v>
      </c>
      <c r="S147" s="138"/>
      <c r="T147" s="138" t="s">
        <v>381</v>
      </c>
      <c r="U147" s="138" t="s">
        <v>295</v>
      </c>
      <c r="V147" s="157" t="s">
        <v>379</v>
      </c>
    </row>
    <row r="148" spans="1:22" outlineLevel="1">
      <c r="A148" s="157" t="s">
        <v>254</v>
      </c>
      <c r="B148" s="138" t="s">
        <v>349</v>
      </c>
      <c r="C148" s="148">
        <v>43549</v>
      </c>
      <c r="D148" s="138" t="s">
        <v>410</v>
      </c>
      <c r="E148" s="139" t="s">
        <v>483</v>
      </c>
      <c r="F148" s="140">
        <v>75390</v>
      </c>
      <c r="G148" s="141">
        <v>21.66</v>
      </c>
      <c r="H148" s="138">
        <v>28.76</v>
      </c>
      <c r="I148" s="138" t="s">
        <v>292</v>
      </c>
      <c r="J148" s="149">
        <v>28.76</v>
      </c>
      <c r="K148" s="150" t="s">
        <v>391</v>
      </c>
      <c r="L148" s="151" t="s">
        <v>396</v>
      </c>
      <c r="M148" s="151" t="s">
        <v>309</v>
      </c>
      <c r="N148" s="151" t="s">
        <v>468</v>
      </c>
      <c r="O148" s="151"/>
      <c r="P148" s="151" t="s">
        <v>381</v>
      </c>
      <c r="Q148" s="151" t="s">
        <v>295</v>
      </c>
      <c r="R148" s="150" t="s">
        <v>379</v>
      </c>
      <c r="S148" s="138"/>
      <c r="T148" s="138" t="s">
        <v>381</v>
      </c>
      <c r="U148" s="138" t="s">
        <v>295</v>
      </c>
      <c r="V148" s="157" t="s">
        <v>379</v>
      </c>
    </row>
    <row r="149" spans="1:22" outlineLevel="1">
      <c r="A149" s="157" t="s">
        <v>254</v>
      </c>
      <c r="B149" s="138" t="s">
        <v>349</v>
      </c>
      <c r="C149" s="148">
        <v>43553</v>
      </c>
      <c r="D149" s="138" t="s">
        <v>437</v>
      </c>
      <c r="E149" s="139" t="s">
        <v>471</v>
      </c>
      <c r="F149" s="140">
        <v>75358</v>
      </c>
      <c r="G149" s="141">
        <v>54.44</v>
      </c>
      <c r="H149" s="138">
        <v>72.28</v>
      </c>
      <c r="I149" s="138" t="s">
        <v>292</v>
      </c>
      <c r="J149" s="149">
        <v>72.28</v>
      </c>
      <c r="K149" s="150" t="s">
        <v>391</v>
      </c>
      <c r="L149" s="151" t="s">
        <v>400</v>
      </c>
      <c r="M149" s="151" t="s">
        <v>309</v>
      </c>
      <c r="N149" s="151" t="s">
        <v>466</v>
      </c>
      <c r="O149" s="151"/>
      <c r="P149" s="151" t="s">
        <v>381</v>
      </c>
      <c r="Q149" s="151" t="s">
        <v>295</v>
      </c>
      <c r="R149" s="150" t="s">
        <v>379</v>
      </c>
      <c r="S149" s="138"/>
      <c r="T149" s="138" t="s">
        <v>381</v>
      </c>
      <c r="U149" s="138" t="s">
        <v>295</v>
      </c>
      <c r="V149" s="157" t="s">
        <v>379</v>
      </c>
    </row>
    <row r="150" spans="1:22" outlineLevel="1">
      <c r="A150" s="157" t="s">
        <v>254</v>
      </c>
      <c r="B150" s="138" t="s">
        <v>349</v>
      </c>
      <c r="C150" s="148">
        <v>43555</v>
      </c>
      <c r="D150" s="138" t="s">
        <v>420</v>
      </c>
      <c r="E150" s="139" t="s">
        <v>470</v>
      </c>
      <c r="F150" s="140">
        <v>75372</v>
      </c>
      <c r="G150" s="141">
        <v>16.829999999999998</v>
      </c>
      <c r="H150" s="138">
        <v>16.829999999999998</v>
      </c>
      <c r="I150" s="138" t="s">
        <v>293</v>
      </c>
      <c r="J150" s="149">
        <v>22.34</v>
      </c>
      <c r="K150" s="150" t="s">
        <v>391</v>
      </c>
      <c r="L150" s="151" t="s">
        <v>374</v>
      </c>
      <c r="M150" s="151" t="s">
        <v>309</v>
      </c>
      <c r="N150" s="151" t="s">
        <v>469</v>
      </c>
      <c r="O150" s="151"/>
      <c r="P150" s="151" t="s">
        <v>381</v>
      </c>
      <c r="Q150" s="151" t="s">
        <v>295</v>
      </c>
      <c r="R150" s="150" t="s">
        <v>379</v>
      </c>
      <c r="S150" s="138"/>
      <c r="T150" s="138" t="s">
        <v>381</v>
      </c>
      <c r="U150" s="138" t="s">
        <v>295</v>
      </c>
      <c r="V150" s="157" t="s">
        <v>379</v>
      </c>
    </row>
    <row r="151" spans="1:22" outlineLevel="1">
      <c r="A151" s="157" t="s">
        <v>254</v>
      </c>
      <c r="B151" s="138" t="s">
        <v>349</v>
      </c>
      <c r="C151" s="148">
        <v>43528</v>
      </c>
      <c r="D151" s="138" t="s">
        <v>412</v>
      </c>
      <c r="E151" s="139" t="s">
        <v>484</v>
      </c>
      <c r="F151" s="140">
        <v>75390</v>
      </c>
      <c r="G151" s="141">
        <v>0.24</v>
      </c>
      <c r="H151" s="138">
        <v>0.32</v>
      </c>
      <c r="I151" s="138" t="s">
        <v>292</v>
      </c>
      <c r="J151" s="149">
        <v>0.32</v>
      </c>
      <c r="K151" s="150" t="s">
        <v>405</v>
      </c>
      <c r="L151" s="151" t="s">
        <v>396</v>
      </c>
      <c r="M151" s="151" t="s">
        <v>309</v>
      </c>
      <c r="N151" s="151" t="s">
        <v>468</v>
      </c>
      <c r="O151" s="151"/>
      <c r="P151" s="151" t="s">
        <v>381</v>
      </c>
      <c r="Q151" s="151" t="s">
        <v>295</v>
      </c>
      <c r="R151" s="150" t="s">
        <v>379</v>
      </c>
      <c r="S151" s="138"/>
      <c r="T151" s="138" t="s">
        <v>381</v>
      </c>
      <c r="U151" s="138" t="s">
        <v>295</v>
      </c>
      <c r="V151" s="157" t="s">
        <v>379</v>
      </c>
    </row>
    <row r="152" spans="1:22" outlineLevel="1">
      <c r="A152" s="157" t="s">
        <v>254</v>
      </c>
      <c r="B152" s="138" t="s">
        <v>349</v>
      </c>
      <c r="C152" s="148">
        <v>43549</v>
      </c>
      <c r="D152" s="138" t="s">
        <v>414</v>
      </c>
      <c r="E152" s="139" t="s">
        <v>485</v>
      </c>
      <c r="F152" s="140">
        <v>75390</v>
      </c>
      <c r="G152" s="141">
        <v>3.61</v>
      </c>
      <c r="H152" s="138">
        <v>4.79</v>
      </c>
      <c r="I152" s="138" t="s">
        <v>292</v>
      </c>
      <c r="J152" s="149">
        <v>4.79</v>
      </c>
      <c r="K152" s="150" t="s">
        <v>405</v>
      </c>
      <c r="L152" s="151" t="s">
        <v>396</v>
      </c>
      <c r="M152" s="151" t="s">
        <v>309</v>
      </c>
      <c r="N152" s="151" t="s">
        <v>468</v>
      </c>
      <c r="O152" s="151"/>
      <c r="P152" s="151" t="s">
        <v>381</v>
      </c>
      <c r="Q152" s="151" t="s">
        <v>295</v>
      </c>
      <c r="R152" s="150" t="s">
        <v>379</v>
      </c>
      <c r="S152" s="138"/>
      <c r="T152" s="138" t="s">
        <v>381</v>
      </c>
      <c r="U152" s="138" t="s">
        <v>295</v>
      </c>
      <c r="V152" s="157" t="s">
        <v>379</v>
      </c>
    </row>
    <row r="153" spans="1:22" outlineLevel="1">
      <c r="A153" s="157" t="s">
        <v>254</v>
      </c>
      <c r="B153" s="138" t="s">
        <v>349</v>
      </c>
      <c r="C153" s="148">
        <v>43552</v>
      </c>
      <c r="D153" s="138" t="s">
        <v>438</v>
      </c>
      <c r="E153" s="139" t="s">
        <v>475</v>
      </c>
      <c r="F153" s="140">
        <v>75358</v>
      </c>
      <c r="G153" s="141">
        <v>0.81</v>
      </c>
      <c r="H153" s="138">
        <v>1.07</v>
      </c>
      <c r="I153" s="138" t="s">
        <v>292</v>
      </c>
      <c r="J153" s="149">
        <v>1.08</v>
      </c>
      <c r="K153" s="150" t="s">
        <v>405</v>
      </c>
      <c r="L153" s="151" t="s">
        <v>400</v>
      </c>
      <c r="M153" s="151" t="s">
        <v>309</v>
      </c>
      <c r="N153" s="151" t="s">
        <v>466</v>
      </c>
      <c r="O153" s="151"/>
      <c r="P153" s="151" t="s">
        <v>381</v>
      </c>
      <c r="Q153" s="151" t="s">
        <v>295</v>
      </c>
      <c r="R153" s="150" t="s">
        <v>379</v>
      </c>
      <c r="S153" s="138"/>
      <c r="T153" s="138" t="s">
        <v>381</v>
      </c>
      <c r="U153" s="138" t="s">
        <v>295</v>
      </c>
      <c r="V153" s="157" t="s">
        <v>379</v>
      </c>
    </row>
    <row r="154" spans="1:22" outlineLevel="1">
      <c r="A154" s="157" t="s">
        <v>254</v>
      </c>
      <c r="B154" s="138" t="s">
        <v>349</v>
      </c>
      <c r="C154" s="148">
        <v>43553</v>
      </c>
      <c r="D154" s="138" t="s">
        <v>439</v>
      </c>
      <c r="E154" s="139" t="s">
        <v>473</v>
      </c>
      <c r="F154" s="140">
        <v>75358</v>
      </c>
      <c r="G154" s="141">
        <v>9.08</v>
      </c>
      <c r="H154" s="138">
        <v>12.05</v>
      </c>
      <c r="I154" s="138" t="s">
        <v>292</v>
      </c>
      <c r="J154" s="149">
        <v>12.05</v>
      </c>
      <c r="K154" s="150" t="s">
        <v>405</v>
      </c>
      <c r="L154" s="151" t="s">
        <v>400</v>
      </c>
      <c r="M154" s="151" t="s">
        <v>309</v>
      </c>
      <c r="N154" s="151" t="s">
        <v>466</v>
      </c>
      <c r="O154" s="151"/>
      <c r="P154" s="151" t="s">
        <v>381</v>
      </c>
      <c r="Q154" s="151" t="s">
        <v>295</v>
      </c>
      <c r="R154" s="150" t="s">
        <v>379</v>
      </c>
      <c r="S154" s="138"/>
      <c r="T154" s="138" t="s">
        <v>381</v>
      </c>
      <c r="U154" s="138" t="s">
        <v>295</v>
      </c>
      <c r="V154" s="157" t="s">
        <v>379</v>
      </c>
    </row>
    <row r="155" spans="1:22">
      <c r="A155" s="152" t="s">
        <v>378</v>
      </c>
      <c r="B155" s="152"/>
      <c r="C155" s="152"/>
      <c r="D155" s="152"/>
      <c r="E155" s="153"/>
      <c r="F155" s="154"/>
      <c r="G155" s="155">
        <f>SUM(G119:G154)</f>
        <v>2130.1</v>
      </c>
      <c r="H155" s="156">
        <f>SUM(H119:H154)</f>
        <v>2597.6200000000003</v>
      </c>
      <c r="I155" s="152"/>
      <c r="J155" s="156">
        <f>SUM(J119:J154)</f>
        <v>2777.45</v>
      </c>
      <c r="K155" s="152"/>
      <c r="L155" s="152"/>
      <c r="M155" s="152"/>
      <c r="N155" s="152"/>
      <c r="O155" s="152"/>
      <c r="P155" s="152"/>
      <c r="Q155" s="152"/>
      <c r="R155" s="152"/>
      <c r="S155" s="138"/>
      <c r="T155" s="138"/>
      <c r="U155" s="138"/>
      <c r="V155" s="138"/>
    </row>
    <row r="156" spans="1:22" outlineLevel="1">
      <c r="A156" s="157" t="s">
        <v>255</v>
      </c>
      <c r="B156" s="138" t="s">
        <v>382</v>
      </c>
      <c r="C156" s="148">
        <v>43494</v>
      </c>
      <c r="D156" s="138" t="s">
        <v>447</v>
      </c>
      <c r="E156" s="139" t="s">
        <v>486</v>
      </c>
      <c r="F156" s="140">
        <v>74770</v>
      </c>
      <c r="G156" s="141">
        <v>73.33</v>
      </c>
      <c r="H156" s="138">
        <v>93.57</v>
      </c>
      <c r="I156" s="138" t="s">
        <v>292</v>
      </c>
      <c r="J156" s="149">
        <v>93.57</v>
      </c>
      <c r="K156" s="150" t="s">
        <v>385</v>
      </c>
      <c r="L156" s="151" t="s">
        <v>396</v>
      </c>
      <c r="M156" s="151" t="s">
        <v>309</v>
      </c>
      <c r="N156" s="151" t="s">
        <v>487</v>
      </c>
      <c r="O156" s="151"/>
      <c r="P156" s="151" t="s">
        <v>381</v>
      </c>
      <c r="Q156" s="151" t="s">
        <v>295</v>
      </c>
      <c r="R156" s="150" t="s">
        <v>379</v>
      </c>
      <c r="S156" s="138"/>
      <c r="T156" s="138" t="s">
        <v>381</v>
      </c>
      <c r="U156" s="138" t="s">
        <v>295</v>
      </c>
      <c r="V156" s="157" t="s">
        <v>379</v>
      </c>
    </row>
    <row r="157" spans="1:22" outlineLevel="1">
      <c r="A157" s="157" t="s">
        <v>255</v>
      </c>
      <c r="B157" s="138" t="s">
        <v>382</v>
      </c>
      <c r="C157" s="148">
        <v>43494</v>
      </c>
      <c r="D157" s="138" t="s">
        <v>447</v>
      </c>
      <c r="E157" s="139" t="s">
        <v>488</v>
      </c>
      <c r="F157" s="140">
        <v>74770</v>
      </c>
      <c r="G157" s="141">
        <v>179.64</v>
      </c>
      <c r="H157" s="138">
        <v>229.22</v>
      </c>
      <c r="I157" s="138" t="s">
        <v>292</v>
      </c>
      <c r="J157" s="149">
        <v>229.22</v>
      </c>
      <c r="K157" s="150" t="s">
        <v>385</v>
      </c>
      <c r="L157" s="151" t="s">
        <v>396</v>
      </c>
      <c r="M157" s="151" t="s">
        <v>309</v>
      </c>
      <c r="N157" s="151" t="s">
        <v>489</v>
      </c>
      <c r="O157" s="151"/>
      <c r="P157" s="151" t="s">
        <v>381</v>
      </c>
      <c r="Q157" s="151" t="s">
        <v>295</v>
      </c>
      <c r="R157" s="150" t="s">
        <v>379</v>
      </c>
      <c r="S157" s="138"/>
      <c r="T157" s="138" t="s">
        <v>381</v>
      </c>
      <c r="U157" s="138" t="s">
        <v>295</v>
      </c>
      <c r="V157" s="157" t="s">
        <v>379</v>
      </c>
    </row>
    <row r="158" spans="1:22" outlineLevel="1">
      <c r="A158" s="157" t="s">
        <v>255</v>
      </c>
      <c r="B158" s="138" t="s">
        <v>382</v>
      </c>
      <c r="C158" s="148">
        <v>43496</v>
      </c>
      <c r="D158" s="138" t="s">
        <v>423</v>
      </c>
      <c r="E158" s="139" t="s">
        <v>490</v>
      </c>
      <c r="F158" s="140">
        <v>74791</v>
      </c>
      <c r="G158" s="141">
        <v>307.67</v>
      </c>
      <c r="H158" s="138">
        <v>392.59</v>
      </c>
      <c r="I158" s="138" t="s">
        <v>292</v>
      </c>
      <c r="J158" s="149">
        <v>392.59</v>
      </c>
      <c r="K158" s="150" t="s">
        <v>385</v>
      </c>
      <c r="L158" s="151" t="s">
        <v>400</v>
      </c>
      <c r="M158" s="151" t="s">
        <v>309</v>
      </c>
      <c r="N158" s="151" t="s">
        <v>491</v>
      </c>
      <c r="O158" s="151"/>
      <c r="P158" s="151" t="s">
        <v>381</v>
      </c>
      <c r="Q158" s="151" t="s">
        <v>295</v>
      </c>
      <c r="R158" s="150" t="s">
        <v>379</v>
      </c>
      <c r="S158" s="138"/>
      <c r="T158" s="138" t="s">
        <v>381</v>
      </c>
      <c r="U158" s="138" t="s">
        <v>295</v>
      </c>
      <c r="V158" s="157" t="s">
        <v>379</v>
      </c>
    </row>
    <row r="159" spans="1:22" outlineLevel="1">
      <c r="A159" s="157" t="s">
        <v>255</v>
      </c>
      <c r="B159" s="138" t="s">
        <v>382</v>
      </c>
      <c r="C159" s="148">
        <v>43496</v>
      </c>
      <c r="D159" s="138" t="s">
        <v>423</v>
      </c>
      <c r="E159" s="139" t="s">
        <v>492</v>
      </c>
      <c r="F159" s="140">
        <v>74791</v>
      </c>
      <c r="G159" s="141">
        <v>62.65</v>
      </c>
      <c r="H159" s="138">
        <v>79.94</v>
      </c>
      <c r="I159" s="138" t="s">
        <v>292</v>
      </c>
      <c r="J159" s="149">
        <v>79.94</v>
      </c>
      <c r="K159" s="150" t="s">
        <v>385</v>
      </c>
      <c r="L159" s="151" t="s">
        <v>400</v>
      </c>
      <c r="M159" s="151" t="s">
        <v>309</v>
      </c>
      <c r="N159" s="151" t="s">
        <v>493</v>
      </c>
      <c r="O159" s="151"/>
      <c r="P159" s="151" t="s">
        <v>381</v>
      </c>
      <c r="Q159" s="151" t="s">
        <v>295</v>
      </c>
      <c r="R159" s="150" t="s">
        <v>379</v>
      </c>
      <c r="S159" s="138"/>
      <c r="T159" s="138" t="s">
        <v>381</v>
      </c>
      <c r="U159" s="138" t="s">
        <v>295</v>
      </c>
      <c r="V159" s="157" t="s">
        <v>379</v>
      </c>
    </row>
    <row r="160" spans="1:22" outlineLevel="1">
      <c r="A160" s="157" t="s">
        <v>255</v>
      </c>
      <c r="B160" s="138" t="s">
        <v>382</v>
      </c>
      <c r="C160" s="148">
        <v>43496</v>
      </c>
      <c r="D160" s="138" t="s">
        <v>423</v>
      </c>
      <c r="E160" s="139" t="s">
        <v>494</v>
      </c>
      <c r="F160" s="140">
        <v>74791</v>
      </c>
      <c r="G160" s="141">
        <v>135.07</v>
      </c>
      <c r="H160" s="138">
        <v>172.35</v>
      </c>
      <c r="I160" s="138" t="s">
        <v>292</v>
      </c>
      <c r="J160" s="149">
        <v>172.35</v>
      </c>
      <c r="K160" s="150" t="s">
        <v>385</v>
      </c>
      <c r="L160" s="151" t="s">
        <v>400</v>
      </c>
      <c r="M160" s="151" t="s">
        <v>309</v>
      </c>
      <c r="N160" s="151" t="s">
        <v>495</v>
      </c>
      <c r="O160" s="151"/>
      <c r="P160" s="151" t="s">
        <v>381</v>
      </c>
      <c r="Q160" s="151" t="s">
        <v>295</v>
      </c>
      <c r="R160" s="150" t="s">
        <v>379</v>
      </c>
      <c r="S160" s="138"/>
      <c r="T160" s="138" t="s">
        <v>381</v>
      </c>
      <c r="U160" s="138" t="s">
        <v>295</v>
      </c>
      <c r="V160" s="157" t="s">
        <v>379</v>
      </c>
    </row>
    <row r="161" spans="1:22" outlineLevel="1">
      <c r="A161" s="157" t="s">
        <v>255</v>
      </c>
      <c r="B161" s="138" t="s">
        <v>382</v>
      </c>
      <c r="C161" s="148">
        <v>43496</v>
      </c>
      <c r="D161" s="138" t="s">
        <v>423</v>
      </c>
      <c r="E161" s="139" t="s">
        <v>496</v>
      </c>
      <c r="F161" s="140">
        <v>74791</v>
      </c>
      <c r="G161" s="141">
        <v>419.46</v>
      </c>
      <c r="H161" s="138">
        <v>535.24</v>
      </c>
      <c r="I161" s="138" t="s">
        <v>292</v>
      </c>
      <c r="J161" s="149">
        <v>535.24</v>
      </c>
      <c r="K161" s="150" t="s">
        <v>385</v>
      </c>
      <c r="L161" s="151" t="s">
        <v>400</v>
      </c>
      <c r="M161" s="151" t="s">
        <v>309</v>
      </c>
      <c r="N161" s="151" t="s">
        <v>497</v>
      </c>
      <c r="O161" s="151"/>
      <c r="P161" s="151" t="s">
        <v>381</v>
      </c>
      <c r="Q161" s="151" t="s">
        <v>295</v>
      </c>
      <c r="R161" s="150" t="s">
        <v>379</v>
      </c>
      <c r="S161" s="138"/>
      <c r="T161" s="138" t="s">
        <v>381</v>
      </c>
      <c r="U161" s="138" t="s">
        <v>295</v>
      </c>
      <c r="V161" s="157" t="s">
        <v>379</v>
      </c>
    </row>
    <row r="162" spans="1:22" outlineLevel="1">
      <c r="A162" s="157" t="s">
        <v>255</v>
      </c>
      <c r="B162" s="138" t="s">
        <v>382</v>
      </c>
      <c r="C162" s="148">
        <v>43496</v>
      </c>
      <c r="D162" s="138" t="s">
        <v>423</v>
      </c>
      <c r="E162" s="139" t="s">
        <v>498</v>
      </c>
      <c r="F162" s="140">
        <v>74791</v>
      </c>
      <c r="G162" s="141">
        <v>366.36</v>
      </c>
      <c r="H162" s="138">
        <v>467.48</v>
      </c>
      <c r="I162" s="138" t="s">
        <v>292</v>
      </c>
      <c r="J162" s="149">
        <v>467.48</v>
      </c>
      <c r="K162" s="150" t="s">
        <v>385</v>
      </c>
      <c r="L162" s="151" t="s">
        <v>400</v>
      </c>
      <c r="M162" s="151" t="s">
        <v>309</v>
      </c>
      <c r="N162" s="151" t="s">
        <v>499</v>
      </c>
      <c r="O162" s="151"/>
      <c r="P162" s="151" t="s">
        <v>381</v>
      </c>
      <c r="Q162" s="151" t="s">
        <v>295</v>
      </c>
      <c r="R162" s="150" t="s">
        <v>379</v>
      </c>
      <c r="S162" s="138"/>
      <c r="T162" s="138" t="s">
        <v>381</v>
      </c>
      <c r="U162" s="138" t="s">
        <v>295</v>
      </c>
      <c r="V162" s="157" t="s">
        <v>379</v>
      </c>
    </row>
    <row r="163" spans="1:22" outlineLevel="1">
      <c r="A163" s="157" t="s">
        <v>255</v>
      </c>
      <c r="B163" s="138" t="s">
        <v>382</v>
      </c>
      <c r="C163" s="148">
        <v>43494</v>
      </c>
      <c r="D163" s="138" t="s">
        <v>447</v>
      </c>
      <c r="E163" s="139" t="s">
        <v>500</v>
      </c>
      <c r="F163" s="140">
        <v>74770</v>
      </c>
      <c r="G163" s="141">
        <v>409.94</v>
      </c>
      <c r="H163" s="138">
        <v>523.09</v>
      </c>
      <c r="I163" s="138" t="s">
        <v>292</v>
      </c>
      <c r="J163" s="149">
        <v>523.09</v>
      </c>
      <c r="K163" s="150" t="s">
        <v>385</v>
      </c>
      <c r="L163" s="151" t="s">
        <v>396</v>
      </c>
      <c r="M163" s="151" t="s">
        <v>309</v>
      </c>
      <c r="N163" s="151" t="s">
        <v>501</v>
      </c>
      <c r="O163" s="151"/>
      <c r="P163" s="151" t="s">
        <v>381</v>
      </c>
      <c r="Q163" s="151" t="s">
        <v>295</v>
      </c>
      <c r="R163" s="150" t="s">
        <v>379</v>
      </c>
      <c r="S163" s="138"/>
      <c r="T163" s="138" t="s">
        <v>381</v>
      </c>
      <c r="U163" s="138" t="s">
        <v>295</v>
      </c>
      <c r="V163" s="157" t="s">
        <v>379</v>
      </c>
    </row>
    <row r="164" spans="1:22" outlineLevel="1">
      <c r="A164" s="157" t="s">
        <v>255</v>
      </c>
      <c r="B164" s="138" t="s">
        <v>382</v>
      </c>
      <c r="C164" s="148">
        <v>43494</v>
      </c>
      <c r="D164" s="138" t="s">
        <v>450</v>
      </c>
      <c r="E164" s="139" t="s">
        <v>502</v>
      </c>
      <c r="F164" s="140">
        <v>74770</v>
      </c>
      <c r="G164" s="141">
        <v>56.35</v>
      </c>
      <c r="H164" s="138">
        <v>71.900000000000006</v>
      </c>
      <c r="I164" s="138" t="s">
        <v>292</v>
      </c>
      <c r="J164" s="149">
        <v>71.900000000000006</v>
      </c>
      <c r="K164" s="150" t="s">
        <v>391</v>
      </c>
      <c r="L164" s="151" t="s">
        <v>396</v>
      </c>
      <c r="M164" s="151" t="s">
        <v>309</v>
      </c>
      <c r="N164" s="151" t="s">
        <v>501</v>
      </c>
      <c r="O164" s="151"/>
      <c r="P164" s="151" t="s">
        <v>381</v>
      </c>
      <c r="Q164" s="151" t="s">
        <v>295</v>
      </c>
      <c r="R164" s="150" t="s">
        <v>379</v>
      </c>
      <c r="S164" s="138"/>
      <c r="T164" s="138" t="s">
        <v>381</v>
      </c>
      <c r="U164" s="138" t="s">
        <v>295</v>
      </c>
      <c r="V164" s="157" t="s">
        <v>379</v>
      </c>
    </row>
    <row r="165" spans="1:22" outlineLevel="1">
      <c r="A165" s="157" t="s">
        <v>255</v>
      </c>
      <c r="B165" s="138" t="s">
        <v>382</v>
      </c>
      <c r="C165" s="148">
        <v>43496</v>
      </c>
      <c r="D165" s="138" t="s">
        <v>426</v>
      </c>
      <c r="E165" s="139" t="s">
        <v>503</v>
      </c>
      <c r="F165" s="140">
        <v>74791</v>
      </c>
      <c r="G165" s="141">
        <v>7.37</v>
      </c>
      <c r="H165" s="138">
        <v>9.41</v>
      </c>
      <c r="I165" s="138" t="s">
        <v>292</v>
      </c>
      <c r="J165" s="149">
        <v>9.4</v>
      </c>
      <c r="K165" s="150" t="s">
        <v>391</v>
      </c>
      <c r="L165" s="151" t="s">
        <v>400</v>
      </c>
      <c r="M165" s="151" t="s">
        <v>309</v>
      </c>
      <c r="N165" s="151" t="s">
        <v>493</v>
      </c>
      <c r="O165" s="151"/>
      <c r="P165" s="151" t="s">
        <v>381</v>
      </c>
      <c r="Q165" s="151" t="s">
        <v>295</v>
      </c>
      <c r="R165" s="150" t="s">
        <v>379</v>
      </c>
      <c r="S165" s="138"/>
      <c r="T165" s="138" t="s">
        <v>381</v>
      </c>
      <c r="U165" s="138" t="s">
        <v>295</v>
      </c>
      <c r="V165" s="157" t="s">
        <v>379</v>
      </c>
    </row>
    <row r="166" spans="1:22" outlineLevel="1">
      <c r="A166" s="157" t="s">
        <v>255</v>
      </c>
      <c r="B166" s="138" t="s">
        <v>382</v>
      </c>
      <c r="C166" s="148">
        <v>43494</v>
      </c>
      <c r="D166" s="138" t="s">
        <v>450</v>
      </c>
      <c r="E166" s="139" t="s">
        <v>504</v>
      </c>
      <c r="F166" s="140">
        <v>74770</v>
      </c>
      <c r="G166" s="141">
        <v>8.82</v>
      </c>
      <c r="H166" s="138">
        <v>11.25</v>
      </c>
      <c r="I166" s="138" t="s">
        <v>292</v>
      </c>
      <c r="J166" s="149">
        <v>11.25</v>
      </c>
      <c r="K166" s="150" t="s">
        <v>391</v>
      </c>
      <c r="L166" s="151" t="s">
        <v>396</v>
      </c>
      <c r="M166" s="151" t="s">
        <v>309</v>
      </c>
      <c r="N166" s="151" t="s">
        <v>487</v>
      </c>
      <c r="O166" s="151"/>
      <c r="P166" s="151" t="s">
        <v>381</v>
      </c>
      <c r="Q166" s="151" t="s">
        <v>295</v>
      </c>
      <c r="R166" s="150" t="s">
        <v>379</v>
      </c>
      <c r="S166" s="138"/>
      <c r="T166" s="138" t="s">
        <v>381</v>
      </c>
      <c r="U166" s="138" t="s">
        <v>295</v>
      </c>
      <c r="V166" s="157" t="s">
        <v>379</v>
      </c>
    </row>
    <row r="167" spans="1:22" outlineLevel="1">
      <c r="A167" s="157" t="s">
        <v>255</v>
      </c>
      <c r="B167" s="138" t="s">
        <v>382</v>
      </c>
      <c r="C167" s="148">
        <v>43494</v>
      </c>
      <c r="D167" s="138" t="s">
        <v>450</v>
      </c>
      <c r="E167" s="139" t="s">
        <v>505</v>
      </c>
      <c r="F167" s="140">
        <v>74770</v>
      </c>
      <c r="G167" s="141">
        <v>24.65</v>
      </c>
      <c r="H167" s="138">
        <v>31.46</v>
      </c>
      <c r="I167" s="138" t="s">
        <v>292</v>
      </c>
      <c r="J167" s="149">
        <v>31.45</v>
      </c>
      <c r="K167" s="150" t="s">
        <v>391</v>
      </c>
      <c r="L167" s="151" t="s">
        <v>396</v>
      </c>
      <c r="M167" s="151" t="s">
        <v>309</v>
      </c>
      <c r="N167" s="151" t="s">
        <v>489</v>
      </c>
      <c r="O167" s="151"/>
      <c r="P167" s="151" t="s">
        <v>381</v>
      </c>
      <c r="Q167" s="151" t="s">
        <v>295</v>
      </c>
      <c r="R167" s="150" t="s">
        <v>379</v>
      </c>
      <c r="S167" s="138"/>
      <c r="T167" s="138" t="s">
        <v>381</v>
      </c>
      <c r="U167" s="138" t="s">
        <v>295</v>
      </c>
      <c r="V167" s="157" t="s">
        <v>379</v>
      </c>
    </row>
    <row r="168" spans="1:22" outlineLevel="1">
      <c r="A168" s="157" t="s">
        <v>255</v>
      </c>
      <c r="B168" s="138" t="s">
        <v>382</v>
      </c>
      <c r="C168" s="148">
        <v>43496</v>
      </c>
      <c r="D168" s="138" t="s">
        <v>426</v>
      </c>
      <c r="E168" s="139" t="s">
        <v>506</v>
      </c>
      <c r="F168" s="140">
        <v>74791</v>
      </c>
      <c r="G168" s="141">
        <v>17.27</v>
      </c>
      <c r="H168" s="138">
        <v>22.04</v>
      </c>
      <c r="I168" s="138" t="s">
        <v>292</v>
      </c>
      <c r="J168" s="149">
        <v>22.04</v>
      </c>
      <c r="K168" s="150" t="s">
        <v>391</v>
      </c>
      <c r="L168" s="151" t="s">
        <v>400</v>
      </c>
      <c r="M168" s="151" t="s">
        <v>309</v>
      </c>
      <c r="N168" s="151" t="s">
        <v>495</v>
      </c>
      <c r="O168" s="151"/>
      <c r="P168" s="151" t="s">
        <v>381</v>
      </c>
      <c r="Q168" s="151" t="s">
        <v>295</v>
      </c>
      <c r="R168" s="150" t="s">
        <v>379</v>
      </c>
      <c r="S168" s="138"/>
      <c r="T168" s="138" t="s">
        <v>381</v>
      </c>
      <c r="U168" s="138" t="s">
        <v>295</v>
      </c>
      <c r="V168" s="157" t="s">
        <v>379</v>
      </c>
    </row>
    <row r="169" spans="1:22" outlineLevel="1">
      <c r="A169" s="157" t="s">
        <v>255</v>
      </c>
      <c r="B169" s="138" t="s">
        <v>382</v>
      </c>
      <c r="C169" s="148">
        <v>43496</v>
      </c>
      <c r="D169" s="138" t="s">
        <v>426</v>
      </c>
      <c r="E169" s="139" t="s">
        <v>507</v>
      </c>
      <c r="F169" s="140">
        <v>74791</v>
      </c>
      <c r="G169" s="141">
        <v>57.11</v>
      </c>
      <c r="H169" s="138">
        <v>72.87</v>
      </c>
      <c r="I169" s="138" t="s">
        <v>292</v>
      </c>
      <c r="J169" s="149">
        <v>72.87</v>
      </c>
      <c r="K169" s="150" t="s">
        <v>391</v>
      </c>
      <c r="L169" s="151" t="s">
        <v>400</v>
      </c>
      <c r="M169" s="151" t="s">
        <v>309</v>
      </c>
      <c r="N169" s="151" t="s">
        <v>497</v>
      </c>
      <c r="O169" s="151"/>
      <c r="P169" s="151" t="s">
        <v>381</v>
      </c>
      <c r="Q169" s="151" t="s">
        <v>295</v>
      </c>
      <c r="R169" s="150" t="s">
        <v>379</v>
      </c>
      <c r="S169" s="138"/>
      <c r="T169" s="138" t="s">
        <v>381</v>
      </c>
      <c r="U169" s="138" t="s">
        <v>295</v>
      </c>
      <c r="V169" s="157" t="s">
        <v>379</v>
      </c>
    </row>
    <row r="170" spans="1:22" outlineLevel="1">
      <c r="A170" s="157" t="s">
        <v>255</v>
      </c>
      <c r="B170" s="138" t="s">
        <v>382</v>
      </c>
      <c r="C170" s="148">
        <v>43496</v>
      </c>
      <c r="D170" s="138" t="s">
        <v>426</v>
      </c>
      <c r="E170" s="139" t="s">
        <v>508</v>
      </c>
      <c r="F170" s="140">
        <v>74791</v>
      </c>
      <c r="G170" s="141">
        <v>51.89</v>
      </c>
      <c r="H170" s="138">
        <v>66.209999999999994</v>
      </c>
      <c r="I170" s="138" t="s">
        <v>292</v>
      </c>
      <c r="J170" s="149">
        <v>66.209999999999994</v>
      </c>
      <c r="K170" s="150" t="s">
        <v>391</v>
      </c>
      <c r="L170" s="151" t="s">
        <v>400</v>
      </c>
      <c r="M170" s="151" t="s">
        <v>309</v>
      </c>
      <c r="N170" s="151" t="s">
        <v>499</v>
      </c>
      <c r="O170" s="151"/>
      <c r="P170" s="151" t="s">
        <v>381</v>
      </c>
      <c r="Q170" s="151" t="s">
        <v>295</v>
      </c>
      <c r="R170" s="150" t="s">
        <v>379</v>
      </c>
      <c r="S170" s="138"/>
      <c r="T170" s="138" t="s">
        <v>381</v>
      </c>
      <c r="U170" s="138" t="s">
        <v>295</v>
      </c>
      <c r="V170" s="157" t="s">
        <v>379</v>
      </c>
    </row>
    <row r="171" spans="1:22" outlineLevel="1">
      <c r="A171" s="157" t="s">
        <v>255</v>
      </c>
      <c r="B171" s="138" t="s">
        <v>382</v>
      </c>
      <c r="C171" s="148">
        <v>43495</v>
      </c>
      <c r="D171" s="138" t="s">
        <v>428</v>
      </c>
      <c r="E171" s="139" t="s">
        <v>509</v>
      </c>
      <c r="F171" s="140">
        <v>74791</v>
      </c>
      <c r="G171" s="141">
        <v>0.19</v>
      </c>
      <c r="H171" s="138">
        <v>0.24</v>
      </c>
      <c r="I171" s="138" t="s">
        <v>292</v>
      </c>
      <c r="J171" s="149">
        <v>0.24</v>
      </c>
      <c r="K171" s="150" t="s">
        <v>405</v>
      </c>
      <c r="L171" s="151" t="s">
        <v>400</v>
      </c>
      <c r="M171" s="151" t="s">
        <v>309</v>
      </c>
      <c r="N171" s="151" t="s">
        <v>495</v>
      </c>
      <c r="O171" s="151"/>
      <c r="P171" s="151" t="s">
        <v>381</v>
      </c>
      <c r="Q171" s="151" t="s">
        <v>295</v>
      </c>
      <c r="R171" s="150" t="s">
        <v>379</v>
      </c>
      <c r="S171" s="138"/>
      <c r="T171" s="138" t="s">
        <v>381</v>
      </c>
      <c r="U171" s="138" t="s">
        <v>295</v>
      </c>
      <c r="V171" s="157" t="s">
        <v>379</v>
      </c>
    </row>
    <row r="172" spans="1:22" outlineLevel="1">
      <c r="A172" s="157" t="s">
        <v>255</v>
      </c>
      <c r="B172" s="138" t="s">
        <v>382</v>
      </c>
      <c r="C172" s="148">
        <v>43495</v>
      </c>
      <c r="D172" s="138" t="s">
        <v>428</v>
      </c>
      <c r="E172" s="139" t="s">
        <v>510</v>
      </c>
      <c r="F172" s="140">
        <v>74791</v>
      </c>
      <c r="G172" s="141">
        <v>0.63</v>
      </c>
      <c r="H172" s="138">
        <v>0.81</v>
      </c>
      <c r="I172" s="138" t="s">
        <v>292</v>
      </c>
      <c r="J172" s="149">
        <v>0.8</v>
      </c>
      <c r="K172" s="150" t="s">
        <v>405</v>
      </c>
      <c r="L172" s="151" t="s">
        <v>400</v>
      </c>
      <c r="M172" s="151" t="s">
        <v>309</v>
      </c>
      <c r="N172" s="151" t="s">
        <v>497</v>
      </c>
      <c r="O172" s="151"/>
      <c r="P172" s="151" t="s">
        <v>381</v>
      </c>
      <c r="Q172" s="151" t="s">
        <v>295</v>
      </c>
      <c r="R172" s="150" t="s">
        <v>379</v>
      </c>
      <c r="S172" s="138"/>
      <c r="T172" s="138" t="s">
        <v>381</v>
      </c>
      <c r="U172" s="138" t="s">
        <v>295</v>
      </c>
      <c r="V172" s="157" t="s">
        <v>379</v>
      </c>
    </row>
    <row r="173" spans="1:22" outlineLevel="1">
      <c r="A173" s="157" t="s">
        <v>255</v>
      </c>
      <c r="B173" s="138" t="s">
        <v>382</v>
      </c>
      <c r="C173" s="148">
        <v>43495</v>
      </c>
      <c r="D173" s="138" t="s">
        <v>428</v>
      </c>
      <c r="E173" s="139" t="s">
        <v>511</v>
      </c>
      <c r="F173" s="140">
        <v>74791</v>
      </c>
      <c r="G173" s="141">
        <v>0.57999999999999996</v>
      </c>
      <c r="H173" s="138">
        <v>0.74</v>
      </c>
      <c r="I173" s="138" t="s">
        <v>292</v>
      </c>
      <c r="J173" s="149">
        <v>0.74</v>
      </c>
      <c r="K173" s="150" t="s">
        <v>405</v>
      </c>
      <c r="L173" s="151" t="s">
        <v>400</v>
      </c>
      <c r="M173" s="151" t="s">
        <v>309</v>
      </c>
      <c r="N173" s="151" t="s">
        <v>499</v>
      </c>
      <c r="O173" s="151"/>
      <c r="P173" s="151" t="s">
        <v>381</v>
      </c>
      <c r="Q173" s="151" t="s">
        <v>295</v>
      </c>
      <c r="R173" s="150" t="s">
        <v>379</v>
      </c>
      <c r="S173" s="138"/>
      <c r="T173" s="138" t="s">
        <v>381</v>
      </c>
      <c r="U173" s="138" t="s">
        <v>295</v>
      </c>
      <c r="V173" s="157" t="s">
        <v>379</v>
      </c>
    </row>
    <row r="174" spans="1:22" outlineLevel="1">
      <c r="A174" s="157" t="s">
        <v>255</v>
      </c>
      <c r="B174" s="138" t="s">
        <v>382</v>
      </c>
      <c r="C174" s="148">
        <v>43494</v>
      </c>
      <c r="D174" s="138" t="s">
        <v>452</v>
      </c>
      <c r="E174" s="139" t="s">
        <v>512</v>
      </c>
      <c r="F174" s="140">
        <v>74770</v>
      </c>
      <c r="G174" s="141">
        <v>9.39</v>
      </c>
      <c r="H174" s="138">
        <v>11.98</v>
      </c>
      <c r="I174" s="138" t="s">
        <v>292</v>
      </c>
      <c r="J174" s="149">
        <v>11.98</v>
      </c>
      <c r="K174" s="150" t="s">
        <v>405</v>
      </c>
      <c r="L174" s="151" t="s">
        <v>396</v>
      </c>
      <c r="M174" s="151" t="s">
        <v>309</v>
      </c>
      <c r="N174" s="151" t="s">
        <v>501</v>
      </c>
      <c r="O174" s="151"/>
      <c r="P174" s="151" t="s">
        <v>381</v>
      </c>
      <c r="Q174" s="151" t="s">
        <v>295</v>
      </c>
      <c r="R174" s="150" t="s">
        <v>379</v>
      </c>
      <c r="S174" s="138"/>
      <c r="T174" s="138" t="s">
        <v>381</v>
      </c>
      <c r="U174" s="138" t="s">
        <v>295</v>
      </c>
      <c r="V174" s="157" t="s">
        <v>379</v>
      </c>
    </row>
    <row r="175" spans="1:22" outlineLevel="1">
      <c r="A175" s="157" t="s">
        <v>255</v>
      </c>
      <c r="B175" s="138" t="s">
        <v>382</v>
      </c>
      <c r="C175" s="148">
        <v>43496</v>
      </c>
      <c r="D175" s="138" t="s">
        <v>430</v>
      </c>
      <c r="E175" s="139" t="s">
        <v>513</v>
      </c>
      <c r="F175" s="140">
        <v>74791</v>
      </c>
      <c r="G175" s="141">
        <v>2.88</v>
      </c>
      <c r="H175" s="138">
        <v>3.67</v>
      </c>
      <c r="I175" s="138" t="s">
        <v>292</v>
      </c>
      <c r="J175" s="149">
        <v>3.67</v>
      </c>
      <c r="K175" s="150" t="s">
        <v>405</v>
      </c>
      <c r="L175" s="151" t="s">
        <v>400</v>
      </c>
      <c r="M175" s="151" t="s">
        <v>309</v>
      </c>
      <c r="N175" s="151" t="s">
        <v>495</v>
      </c>
      <c r="O175" s="151"/>
      <c r="P175" s="151" t="s">
        <v>381</v>
      </c>
      <c r="Q175" s="151" t="s">
        <v>295</v>
      </c>
      <c r="R175" s="150" t="s">
        <v>379</v>
      </c>
      <c r="S175" s="138"/>
      <c r="T175" s="138" t="s">
        <v>381</v>
      </c>
      <c r="U175" s="138" t="s">
        <v>295</v>
      </c>
      <c r="V175" s="157" t="s">
        <v>379</v>
      </c>
    </row>
    <row r="176" spans="1:22" outlineLevel="1">
      <c r="A176" s="157" t="s">
        <v>255</v>
      </c>
      <c r="B176" s="138" t="s">
        <v>382</v>
      </c>
      <c r="C176" s="148">
        <v>43496</v>
      </c>
      <c r="D176" s="138" t="s">
        <v>430</v>
      </c>
      <c r="E176" s="139" t="s">
        <v>514</v>
      </c>
      <c r="F176" s="140">
        <v>74791</v>
      </c>
      <c r="G176" s="141">
        <v>9.52</v>
      </c>
      <c r="H176" s="138">
        <v>12.15</v>
      </c>
      <c r="I176" s="138" t="s">
        <v>292</v>
      </c>
      <c r="J176" s="149">
        <v>12.15</v>
      </c>
      <c r="K176" s="150" t="s">
        <v>405</v>
      </c>
      <c r="L176" s="151" t="s">
        <v>400</v>
      </c>
      <c r="M176" s="151" t="s">
        <v>309</v>
      </c>
      <c r="N176" s="151" t="s">
        <v>497</v>
      </c>
      <c r="O176" s="151"/>
      <c r="P176" s="151" t="s">
        <v>381</v>
      </c>
      <c r="Q176" s="151" t="s">
        <v>295</v>
      </c>
      <c r="R176" s="150" t="s">
        <v>379</v>
      </c>
      <c r="S176" s="138"/>
      <c r="T176" s="138" t="s">
        <v>381</v>
      </c>
      <c r="U176" s="138" t="s">
        <v>295</v>
      </c>
      <c r="V176" s="157" t="s">
        <v>379</v>
      </c>
    </row>
    <row r="177" spans="1:22" outlineLevel="1">
      <c r="A177" s="157" t="s">
        <v>255</v>
      </c>
      <c r="B177" s="138" t="s">
        <v>382</v>
      </c>
      <c r="C177" s="148">
        <v>43496</v>
      </c>
      <c r="D177" s="138" t="s">
        <v>430</v>
      </c>
      <c r="E177" s="139" t="s">
        <v>515</v>
      </c>
      <c r="F177" s="140">
        <v>74791</v>
      </c>
      <c r="G177" s="141">
        <v>8.65</v>
      </c>
      <c r="H177" s="138">
        <v>11.04</v>
      </c>
      <c r="I177" s="138" t="s">
        <v>292</v>
      </c>
      <c r="J177" s="149">
        <v>11.04</v>
      </c>
      <c r="K177" s="150" t="s">
        <v>405</v>
      </c>
      <c r="L177" s="151" t="s">
        <v>400</v>
      </c>
      <c r="M177" s="151" t="s">
        <v>309</v>
      </c>
      <c r="N177" s="151" t="s">
        <v>499</v>
      </c>
      <c r="O177" s="151"/>
      <c r="P177" s="151" t="s">
        <v>381</v>
      </c>
      <c r="Q177" s="151" t="s">
        <v>295</v>
      </c>
      <c r="R177" s="150" t="s">
        <v>379</v>
      </c>
      <c r="S177" s="138"/>
      <c r="T177" s="138" t="s">
        <v>381</v>
      </c>
      <c r="U177" s="138" t="s">
        <v>295</v>
      </c>
      <c r="V177" s="157" t="s">
        <v>379</v>
      </c>
    </row>
    <row r="178" spans="1:22" outlineLevel="1">
      <c r="A178" s="157" t="s">
        <v>255</v>
      </c>
      <c r="B178" s="138" t="s">
        <v>382</v>
      </c>
      <c r="C178" s="148">
        <v>43494</v>
      </c>
      <c r="D178" s="138" t="s">
        <v>452</v>
      </c>
      <c r="E178" s="139" t="s">
        <v>516</v>
      </c>
      <c r="F178" s="140">
        <v>74770</v>
      </c>
      <c r="G178" s="141">
        <v>1.47</v>
      </c>
      <c r="H178" s="138">
        <v>1.87</v>
      </c>
      <c r="I178" s="138" t="s">
        <v>292</v>
      </c>
      <c r="J178" s="149">
        <v>1.88</v>
      </c>
      <c r="K178" s="150" t="s">
        <v>405</v>
      </c>
      <c r="L178" s="151" t="s">
        <v>396</v>
      </c>
      <c r="M178" s="151" t="s">
        <v>309</v>
      </c>
      <c r="N178" s="151" t="s">
        <v>487</v>
      </c>
      <c r="O178" s="151"/>
      <c r="P178" s="151" t="s">
        <v>381</v>
      </c>
      <c r="Q178" s="151" t="s">
        <v>295</v>
      </c>
      <c r="R178" s="150" t="s">
        <v>379</v>
      </c>
      <c r="S178" s="138"/>
      <c r="T178" s="138" t="s">
        <v>381</v>
      </c>
      <c r="U178" s="138" t="s">
        <v>295</v>
      </c>
      <c r="V178" s="157" t="s">
        <v>379</v>
      </c>
    </row>
    <row r="179" spans="1:22" outlineLevel="1">
      <c r="A179" s="157" t="s">
        <v>255</v>
      </c>
      <c r="B179" s="138" t="s">
        <v>382</v>
      </c>
      <c r="C179" s="148">
        <v>43494</v>
      </c>
      <c r="D179" s="138" t="s">
        <v>452</v>
      </c>
      <c r="E179" s="139" t="s">
        <v>517</v>
      </c>
      <c r="F179" s="140">
        <v>74770</v>
      </c>
      <c r="G179" s="141">
        <v>4.1100000000000003</v>
      </c>
      <c r="H179" s="138">
        <v>5.24</v>
      </c>
      <c r="I179" s="138" t="s">
        <v>292</v>
      </c>
      <c r="J179" s="149">
        <v>5.24</v>
      </c>
      <c r="K179" s="150" t="s">
        <v>405</v>
      </c>
      <c r="L179" s="151" t="s">
        <v>396</v>
      </c>
      <c r="M179" s="151" t="s">
        <v>309</v>
      </c>
      <c r="N179" s="151" t="s">
        <v>489</v>
      </c>
      <c r="O179" s="151"/>
      <c r="P179" s="151" t="s">
        <v>381</v>
      </c>
      <c r="Q179" s="151" t="s">
        <v>295</v>
      </c>
      <c r="R179" s="150" t="s">
        <v>379</v>
      </c>
      <c r="S179" s="138"/>
      <c r="T179" s="138" t="s">
        <v>381</v>
      </c>
      <c r="U179" s="138" t="s">
        <v>295</v>
      </c>
      <c r="V179" s="157" t="s">
        <v>379</v>
      </c>
    </row>
    <row r="180" spans="1:22" outlineLevel="1">
      <c r="A180" s="157" t="s">
        <v>255</v>
      </c>
      <c r="B180" s="138" t="s">
        <v>382</v>
      </c>
      <c r="C180" s="148">
        <v>43496</v>
      </c>
      <c r="D180" s="138" t="s">
        <v>430</v>
      </c>
      <c r="E180" s="139" t="s">
        <v>518</v>
      </c>
      <c r="F180" s="140">
        <v>74791</v>
      </c>
      <c r="G180" s="141">
        <v>7.02</v>
      </c>
      <c r="H180" s="138">
        <v>8.9600000000000009</v>
      </c>
      <c r="I180" s="138" t="s">
        <v>292</v>
      </c>
      <c r="J180" s="149">
        <v>8.9600000000000009</v>
      </c>
      <c r="K180" s="150" t="s">
        <v>405</v>
      </c>
      <c r="L180" s="151" t="s">
        <v>400</v>
      </c>
      <c r="M180" s="151" t="s">
        <v>309</v>
      </c>
      <c r="N180" s="151" t="s">
        <v>491</v>
      </c>
      <c r="O180" s="151"/>
      <c r="P180" s="151" t="s">
        <v>381</v>
      </c>
      <c r="Q180" s="151" t="s">
        <v>295</v>
      </c>
      <c r="R180" s="150" t="s">
        <v>379</v>
      </c>
      <c r="S180" s="138"/>
      <c r="T180" s="138" t="s">
        <v>381</v>
      </c>
      <c r="U180" s="138" t="s">
        <v>295</v>
      </c>
      <c r="V180" s="157" t="s">
        <v>379</v>
      </c>
    </row>
    <row r="181" spans="1:22" outlineLevel="1">
      <c r="A181" s="157" t="s">
        <v>255</v>
      </c>
      <c r="B181" s="138" t="s">
        <v>382</v>
      </c>
      <c r="C181" s="148">
        <v>43496</v>
      </c>
      <c r="D181" s="138" t="s">
        <v>430</v>
      </c>
      <c r="E181" s="139" t="s">
        <v>519</v>
      </c>
      <c r="F181" s="140">
        <v>74791</v>
      </c>
      <c r="G181" s="141">
        <v>1.23</v>
      </c>
      <c r="H181" s="138">
        <v>1.57</v>
      </c>
      <c r="I181" s="138" t="s">
        <v>292</v>
      </c>
      <c r="J181" s="149">
        <v>1.57</v>
      </c>
      <c r="K181" s="150" t="s">
        <v>405</v>
      </c>
      <c r="L181" s="151" t="s">
        <v>400</v>
      </c>
      <c r="M181" s="151" t="s">
        <v>309</v>
      </c>
      <c r="N181" s="151" t="s">
        <v>493</v>
      </c>
      <c r="O181" s="151"/>
      <c r="P181" s="151" t="s">
        <v>381</v>
      </c>
      <c r="Q181" s="151" t="s">
        <v>295</v>
      </c>
      <c r="R181" s="150" t="s">
        <v>379</v>
      </c>
      <c r="S181" s="138"/>
      <c r="T181" s="138" t="s">
        <v>381</v>
      </c>
      <c r="U181" s="138" t="s">
        <v>295</v>
      </c>
      <c r="V181" s="157" t="s">
        <v>379</v>
      </c>
    </row>
    <row r="182" spans="1:22" outlineLevel="1">
      <c r="A182" s="157" t="s">
        <v>255</v>
      </c>
      <c r="B182" s="138" t="s">
        <v>382</v>
      </c>
      <c r="C182" s="148">
        <v>43495</v>
      </c>
      <c r="D182" s="138" t="s">
        <v>428</v>
      </c>
      <c r="E182" s="139" t="s">
        <v>520</v>
      </c>
      <c r="F182" s="140">
        <v>74791</v>
      </c>
      <c r="G182" s="141">
        <v>0.47</v>
      </c>
      <c r="H182" s="138">
        <v>0.6</v>
      </c>
      <c r="I182" s="138" t="s">
        <v>292</v>
      </c>
      <c r="J182" s="149">
        <v>0.6</v>
      </c>
      <c r="K182" s="150" t="s">
        <v>405</v>
      </c>
      <c r="L182" s="151" t="s">
        <v>400</v>
      </c>
      <c r="M182" s="151" t="s">
        <v>309</v>
      </c>
      <c r="N182" s="151" t="s">
        <v>491</v>
      </c>
      <c r="O182" s="151"/>
      <c r="P182" s="151" t="s">
        <v>381</v>
      </c>
      <c r="Q182" s="151" t="s">
        <v>295</v>
      </c>
      <c r="R182" s="150" t="s">
        <v>379</v>
      </c>
      <c r="S182" s="138"/>
      <c r="T182" s="138" t="s">
        <v>381</v>
      </c>
      <c r="U182" s="138" t="s">
        <v>295</v>
      </c>
      <c r="V182" s="157" t="s">
        <v>379</v>
      </c>
    </row>
    <row r="183" spans="1:22" outlineLevel="1">
      <c r="A183" s="157" t="s">
        <v>255</v>
      </c>
      <c r="B183" s="138" t="s">
        <v>382</v>
      </c>
      <c r="C183" s="148">
        <v>43495</v>
      </c>
      <c r="D183" s="138" t="s">
        <v>428</v>
      </c>
      <c r="E183" s="139" t="s">
        <v>521</v>
      </c>
      <c r="F183" s="140">
        <v>74791</v>
      </c>
      <c r="G183" s="141">
        <v>0.08</v>
      </c>
      <c r="H183" s="138">
        <v>0.1</v>
      </c>
      <c r="I183" s="138" t="s">
        <v>292</v>
      </c>
      <c r="J183" s="149">
        <v>0.1</v>
      </c>
      <c r="K183" s="150" t="s">
        <v>405</v>
      </c>
      <c r="L183" s="151" t="s">
        <v>400</v>
      </c>
      <c r="M183" s="151" t="s">
        <v>309</v>
      </c>
      <c r="N183" s="151" t="s">
        <v>493</v>
      </c>
      <c r="O183" s="151"/>
      <c r="P183" s="151" t="s">
        <v>381</v>
      </c>
      <c r="Q183" s="151" t="s">
        <v>295</v>
      </c>
      <c r="R183" s="150" t="s">
        <v>379</v>
      </c>
      <c r="S183" s="138"/>
      <c r="T183" s="138" t="s">
        <v>381</v>
      </c>
      <c r="U183" s="138" t="s">
        <v>295</v>
      </c>
      <c r="V183" s="157" t="s">
        <v>379</v>
      </c>
    </row>
    <row r="184" spans="1:22" outlineLevel="1">
      <c r="A184" s="157" t="s">
        <v>255</v>
      </c>
      <c r="B184" s="138" t="s">
        <v>393</v>
      </c>
      <c r="C184" s="148">
        <v>43523</v>
      </c>
      <c r="D184" s="138" t="s">
        <v>394</v>
      </c>
      <c r="E184" s="139" t="s">
        <v>522</v>
      </c>
      <c r="F184" s="140">
        <v>75030</v>
      </c>
      <c r="G184" s="141">
        <v>43.98</v>
      </c>
      <c r="H184" s="138">
        <v>57.77</v>
      </c>
      <c r="I184" s="138" t="s">
        <v>292</v>
      </c>
      <c r="J184" s="149">
        <v>57.77</v>
      </c>
      <c r="K184" s="150" t="s">
        <v>385</v>
      </c>
      <c r="L184" s="151" t="s">
        <v>396</v>
      </c>
      <c r="M184" s="151" t="s">
        <v>309</v>
      </c>
      <c r="N184" s="151" t="s">
        <v>501</v>
      </c>
      <c r="O184" s="151"/>
      <c r="P184" s="151" t="s">
        <v>381</v>
      </c>
      <c r="Q184" s="151" t="s">
        <v>295</v>
      </c>
      <c r="R184" s="150" t="s">
        <v>379</v>
      </c>
      <c r="S184" s="138"/>
      <c r="T184" s="138" t="s">
        <v>381</v>
      </c>
      <c r="U184" s="138" t="s">
        <v>295</v>
      </c>
      <c r="V184" s="157" t="s">
        <v>379</v>
      </c>
    </row>
    <row r="185" spans="1:22" outlineLevel="1">
      <c r="A185" s="157" t="s">
        <v>255</v>
      </c>
      <c r="B185" s="138" t="s">
        <v>393</v>
      </c>
      <c r="C185" s="148">
        <v>43523</v>
      </c>
      <c r="D185" s="138" t="s">
        <v>398</v>
      </c>
      <c r="E185" s="139" t="s">
        <v>523</v>
      </c>
      <c r="F185" s="140">
        <v>75040</v>
      </c>
      <c r="G185" s="141">
        <v>68.56</v>
      </c>
      <c r="H185" s="138">
        <v>90.05</v>
      </c>
      <c r="I185" s="138" t="s">
        <v>292</v>
      </c>
      <c r="J185" s="149">
        <v>90.05</v>
      </c>
      <c r="K185" s="150" t="s">
        <v>385</v>
      </c>
      <c r="L185" s="151" t="s">
        <v>400</v>
      </c>
      <c r="M185" s="151" t="s">
        <v>309</v>
      </c>
      <c r="N185" s="151" t="s">
        <v>487</v>
      </c>
      <c r="O185" s="151"/>
      <c r="P185" s="151" t="s">
        <v>381</v>
      </c>
      <c r="Q185" s="151" t="s">
        <v>295</v>
      </c>
      <c r="R185" s="150" t="s">
        <v>379</v>
      </c>
      <c r="S185" s="138"/>
      <c r="T185" s="138" t="s">
        <v>381</v>
      </c>
      <c r="U185" s="138" t="s">
        <v>295</v>
      </c>
      <c r="V185" s="157" t="s">
        <v>379</v>
      </c>
    </row>
    <row r="186" spans="1:22" outlineLevel="1">
      <c r="A186" s="157" t="s">
        <v>255</v>
      </c>
      <c r="B186" s="138" t="s">
        <v>393</v>
      </c>
      <c r="C186" s="148">
        <v>43523</v>
      </c>
      <c r="D186" s="138" t="s">
        <v>432</v>
      </c>
      <c r="E186" s="139" t="s">
        <v>490</v>
      </c>
      <c r="F186" s="140">
        <v>75040</v>
      </c>
      <c r="G186" s="141">
        <v>304.38</v>
      </c>
      <c r="H186" s="138">
        <v>399.79</v>
      </c>
      <c r="I186" s="138" t="s">
        <v>292</v>
      </c>
      <c r="J186" s="149">
        <v>399.79</v>
      </c>
      <c r="K186" s="150" t="s">
        <v>385</v>
      </c>
      <c r="L186" s="151" t="s">
        <v>400</v>
      </c>
      <c r="M186" s="151" t="s">
        <v>309</v>
      </c>
      <c r="N186" s="151" t="s">
        <v>491</v>
      </c>
      <c r="O186" s="151"/>
      <c r="P186" s="151" t="s">
        <v>381</v>
      </c>
      <c r="Q186" s="151" t="s">
        <v>295</v>
      </c>
      <c r="R186" s="150" t="s">
        <v>379</v>
      </c>
      <c r="S186" s="138"/>
      <c r="T186" s="138" t="s">
        <v>381</v>
      </c>
      <c r="U186" s="138" t="s">
        <v>295</v>
      </c>
      <c r="V186" s="157" t="s">
        <v>379</v>
      </c>
    </row>
    <row r="187" spans="1:22" outlineLevel="1">
      <c r="A187" s="157" t="s">
        <v>255</v>
      </c>
      <c r="B187" s="138" t="s">
        <v>393</v>
      </c>
      <c r="C187" s="148">
        <v>43523</v>
      </c>
      <c r="D187" s="138" t="s">
        <v>432</v>
      </c>
      <c r="E187" s="139" t="s">
        <v>492</v>
      </c>
      <c r="F187" s="140">
        <v>75040</v>
      </c>
      <c r="G187" s="141">
        <v>296.8</v>
      </c>
      <c r="H187" s="138">
        <v>389.84</v>
      </c>
      <c r="I187" s="138" t="s">
        <v>292</v>
      </c>
      <c r="J187" s="149">
        <v>389.83</v>
      </c>
      <c r="K187" s="150" t="s">
        <v>385</v>
      </c>
      <c r="L187" s="151" t="s">
        <v>400</v>
      </c>
      <c r="M187" s="151" t="s">
        <v>309</v>
      </c>
      <c r="N187" s="151" t="s">
        <v>493</v>
      </c>
      <c r="O187" s="151"/>
      <c r="P187" s="151" t="s">
        <v>381</v>
      </c>
      <c r="Q187" s="151" t="s">
        <v>295</v>
      </c>
      <c r="R187" s="150" t="s">
        <v>379</v>
      </c>
      <c r="S187" s="138"/>
      <c r="T187" s="138" t="s">
        <v>381</v>
      </c>
      <c r="U187" s="138" t="s">
        <v>295</v>
      </c>
      <c r="V187" s="157" t="s">
        <v>379</v>
      </c>
    </row>
    <row r="188" spans="1:22" outlineLevel="1">
      <c r="A188" s="157" t="s">
        <v>255</v>
      </c>
      <c r="B188" s="138" t="s">
        <v>393</v>
      </c>
      <c r="C188" s="148">
        <v>43523</v>
      </c>
      <c r="D188" s="138" t="s">
        <v>432</v>
      </c>
      <c r="E188" s="139" t="s">
        <v>465</v>
      </c>
      <c r="F188" s="140">
        <v>75040</v>
      </c>
      <c r="G188" s="141">
        <v>401.26</v>
      </c>
      <c r="H188" s="138">
        <v>527.04</v>
      </c>
      <c r="I188" s="138" t="s">
        <v>292</v>
      </c>
      <c r="J188" s="149">
        <v>527.04</v>
      </c>
      <c r="K188" s="150" t="s">
        <v>385</v>
      </c>
      <c r="L188" s="151" t="s">
        <v>400</v>
      </c>
      <c r="M188" s="151" t="s">
        <v>309</v>
      </c>
      <c r="N188" s="151" t="s">
        <v>466</v>
      </c>
      <c r="O188" s="151"/>
      <c r="P188" s="151" t="s">
        <v>381</v>
      </c>
      <c r="Q188" s="151" t="s">
        <v>295</v>
      </c>
      <c r="R188" s="150" t="s">
        <v>379</v>
      </c>
      <c r="S188" s="138"/>
      <c r="T188" s="138" t="s">
        <v>381</v>
      </c>
      <c r="U188" s="138" t="s">
        <v>295</v>
      </c>
      <c r="V188" s="157" t="s">
        <v>379</v>
      </c>
    </row>
    <row r="189" spans="1:22" outlineLevel="1">
      <c r="A189" s="157" t="s">
        <v>255</v>
      </c>
      <c r="B189" s="138" t="s">
        <v>393</v>
      </c>
      <c r="C189" s="148">
        <v>43523</v>
      </c>
      <c r="D189" s="138" t="s">
        <v>398</v>
      </c>
      <c r="E189" s="139" t="s">
        <v>524</v>
      </c>
      <c r="F189" s="140">
        <v>75040</v>
      </c>
      <c r="G189" s="141">
        <v>358.84</v>
      </c>
      <c r="H189" s="138">
        <v>471.32</v>
      </c>
      <c r="I189" s="138" t="s">
        <v>292</v>
      </c>
      <c r="J189" s="149">
        <v>471.32</v>
      </c>
      <c r="K189" s="150" t="s">
        <v>385</v>
      </c>
      <c r="L189" s="151" t="s">
        <v>400</v>
      </c>
      <c r="M189" s="151" t="s">
        <v>309</v>
      </c>
      <c r="N189" s="151" t="s">
        <v>501</v>
      </c>
      <c r="O189" s="151"/>
      <c r="P189" s="151" t="s">
        <v>381</v>
      </c>
      <c r="Q189" s="151" t="s">
        <v>295</v>
      </c>
      <c r="R189" s="150" t="s">
        <v>379</v>
      </c>
      <c r="S189" s="138"/>
      <c r="T189" s="138" t="s">
        <v>381</v>
      </c>
      <c r="U189" s="138" t="s">
        <v>295</v>
      </c>
      <c r="V189" s="157" t="s">
        <v>379</v>
      </c>
    </row>
    <row r="190" spans="1:22" outlineLevel="1">
      <c r="A190" s="157" t="s">
        <v>255</v>
      </c>
      <c r="B190" s="138" t="s">
        <v>393</v>
      </c>
      <c r="C190" s="148">
        <v>43523</v>
      </c>
      <c r="D190" s="138" t="s">
        <v>394</v>
      </c>
      <c r="E190" s="139" t="s">
        <v>525</v>
      </c>
      <c r="F190" s="140">
        <v>75030</v>
      </c>
      <c r="G190" s="141">
        <v>5.42</v>
      </c>
      <c r="H190" s="138">
        <v>7.12</v>
      </c>
      <c r="I190" s="138" t="s">
        <v>292</v>
      </c>
      <c r="J190" s="149">
        <v>7.12</v>
      </c>
      <c r="K190" s="150" t="s">
        <v>385</v>
      </c>
      <c r="L190" s="151" t="s">
        <v>396</v>
      </c>
      <c r="M190" s="151" t="s">
        <v>309</v>
      </c>
      <c r="N190" s="151" t="s">
        <v>487</v>
      </c>
      <c r="O190" s="151"/>
      <c r="P190" s="151" t="s">
        <v>381</v>
      </c>
      <c r="Q190" s="151" t="s">
        <v>295</v>
      </c>
      <c r="R190" s="150" t="s">
        <v>379</v>
      </c>
      <c r="S190" s="138"/>
      <c r="T190" s="138" t="s">
        <v>381</v>
      </c>
      <c r="U190" s="138" t="s">
        <v>295</v>
      </c>
      <c r="V190" s="157" t="s">
        <v>379</v>
      </c>
    </row>
    <row r="191" spans="1:22" outlineLevel="1">
      <c r="A191" s="157" t="s">
        <v>255</v>
      </c>
      <c r="B191" s="138" t="s">
        <v>393</v>
      </c>
      <c r="C191" s="148">
        <v>43523</v>
      </c>
      <c r="D191" s="138" t="s">
        <v>394</v>
      </c>
      <c r="E191" s="139" t="s">
        <v>526</v>
      </c>
      <c r="F191" s="140">
        <v>75030</v>
      </c>
      <c r="G191" s="141">
        <v>17.02</v>
      </c>
      <c r="H191" s="138">
        <v>22.35</v>
      </c>
      <c r="I191" s="138" t="s">
        <v>292</v>
      </c>
      <c r="J191" s="149">
        <v>22.36</v>
      </c>
      <c r="K191" s="150" t="s">
        <v>385</v>
      </c>
      <c r="L191" s="151" t="s">
        <v>396</v>
      </c>
      <c r="M191" s="151" t="s">
        <v>309</v>
      </c>
      <c r="N191" s="151" t="s">
        <v>489</v>
      </c>
      <c r="O191" s="151"/>
      <c r="P191" s="151" t="s">
        <v>381</v>
      </c>
      <c r="Q191" s="151" t="s">
        <v>295</v>
      </c>
      <c r="R191" s="150" t="s">
        <v>379</v>
      </c>
      <c r="S191" s="138"/>
      <c r="T191" s="138" t="s">
        <v>381</v>
      </c>
      <c r="U191" s="138" t="s">
        <v>295</v>
      </c>
      <c r="V191" s="157" t="s">
        <v>379</v>
      </c>
    </row>
    <row r="192" spans="1:22" outlineLevel="1">
      <c r="A192" s="157" t="s">
        <v>255</v>
      </c>
      <c r="B192" s="138" t="s">
        <v>393</v>
      </c>
      <c r="C192" s="148">
        <v>43523</v>
      </c>
      <c r="D192" s="138" t="s">
        <v>432</v>
      </c>
      <c r="E192" s="139" t="s">
        <v>494</v>
      </c>
      <c r="F192" s="140">
        <v>75040</v>
      </c>
      <c r="G192" s="141">
        <v>138.53</v>
      </c>
      <c r="H192" s="138">
        <v>181.95</v>
      </c>
      <c r="I192" s="138" t="s">
        <v>292</v>
      </c>
      <c r="J192" s="149">
        <v>181.95</v>
      </c>
      <c r="K192" s="150" t="s">
        <v>385</v>
      </c>
      <c r="L192" s="151" t="s">
        <v>400</v>
      </c>
      <c r="M192" s="151" t="s">
        <v>309</v>
      </c>
      <c r="N192" s="151" t="s">
        <v>495</v>
      </c>
      <c r="O192" s="151"/>
      <c r="P192" s="151" t="s">
        <v>381</v>
      </c>
      <c r="Q192" s="151" t="s">
        <v>295</v>
      </c>
      <c r="R192" s="150" t="s">
        <v>379</v>
      </c>
      <c r="S192" s="138"/>
      <c r="T192" s="138" t="s">
        <v>381</v>
      </c>
      <c r="U192" s="138" t="s">
        <v>295</v>
      </c>
      <c r="V192" s="157" t="s">
        <v>379</v>
      </c>
    </row>
    <row r="193" spans="1:22" outlineLevel="1">
      <c r="A193" s="157" t="s">
        <v>255</v>
      </c>
      <c r="B193" s="138" t="s">
        <v>393</v>
      </c>
      <c r="C193" s="148">
        <v>43523</v>
      </c>
      <c r="D193" s="138" t="s">
        <v>432</v>
      </c>
      <c r="E193" s="139" t="s">
        <v>496</v>
      </c>
      <c r="F193" s="140">
        <v>75040</v>
      </c>
      <c r="G193" s="141">
        <v>408.42</v>
      </c>
      <c r="H193" s="138">
        <v>536.44000000000005</v>
      </c>
      <c r="I193" s="138" t="s">
        <v>292</v>
      </c>
      <c r="J193" s="149">
        <v>536.44000000000005</v>
      </c>
      <c r="K193" s="150" t="s">
        <v>385</v>
      </c>
      <c r="L193" s="151" t="s">
        <v>400</v>
      </c>
      <c r="M193" s="151" t="s">
        <v>309</v>
      </c>
      <c r="N193" s="151" t="s">
        <v>497</v>
      </c>
      <c r="O193" s="151"/>
      <c r="P193" s="151" t="s">
        <v>381</v>
      </c>
      <c r="Q193" s="151" t="s">
        <v>295</v>
      </c>
      <c r="R193" s="150" t="s">
        <v>379</v>
      </c>
      <c r="S193" s="138"/>
      <c r="T193" s="138" t="s">
        <v>381</v>
      </c>
      <c r="U193" s="138" t="s">
        <v>295</v>
      </c>
      <c r="V193" s="157" t="s">
        <v>379</v>
      </c>
    </row>
    <row r="194" spans="1:22" outlineLevel="1">
      <c r="A194" s="157" t="s">
        <v>255</v>
      </c>
      <c r="B194" s="138" t="s">
        <v>393</v>
      </c>
      <c r="C194" s="148">
        <v>43523</v>
      </c>
      <c r="D194" s="138" t="s">
        <v>432</v>
      </c>
      <c r="E194" s="139" t="s">
        <v>498</v>
      </c>
      <c r="F194" s="140">
        <v>75040</v>
      </c>
      <c r="G194" s="141">
        <v>358.05</v>
      </c>
      <c r="H194" s="138">
        <v>470.28</v>
      </c>
      <c r="I194" s="138" t="s">
        <v>292</v>
      </c>
      <c r="J194" s="149">
        <v>470.28</v>
      </c>
      <c r="K194" s="150" t="s">
        <v>385</v>
      </c>
      <c r="L194" s="151" t="s">
        <v>400</v>
      </c>
      <c r="M194" s="151" t="s">
        <v>309</v>
      </c>
      <c r="N194" s="151" t="s">
        <v>499</v>
      </c>
      <c r="O194" s="151"/>
      <c r="P194" s="151" t="s">
        <v>381</v>
      </c>
      <c r="Q194" s="151" t="s">
        <v>295</v>
      </c>
      <c r="R194" s="150" t="s">
        <v>379</v>
      </c>
      <c r="S194" s="138"/>
      <c r="T194" s="138" t="s">
        <v>381</v>
      </c>
      <c r="U194" s="138" t="s">
        <v>295</v>
      </c>
      <c r="V194" s="157" t="s">
        <v>379</v>
      </c>
    </row>
    <row r="195" spans="1:22" outlineLevel="1">
      <c r="A195" s="157" t="s">
        <v>255</v>
      </c>
      <c r="B195" s="138" t="s">
        <v>393</v>
      </c>
      <c r="C195" s="148">
        <v>43523</v>
      </c>
      <c r="D195" s="138" t="s">
        <v>398</v>
      </c>
      <c r="E195" s="139" t="s">
        <v>527</v>
      </c>
      <c r="F195" s="140">
        <v>75040</v>
      </c>
      <c r="G195" s="141">
        <v>160.24</v>
      </c>
      <c r="H195" s="138">
        <v>210.47</v>
      </c>
      <c r="I195" s="138" t="s">
        <v>292</v>
      </c>
      <c r="J195" s="149">
        <v>210.47</v>
      </c>
      <c r="K195" s="150" t="s">
        <v>385</v>
      </c>
      <c r="L195" s="151" t="s">
        <v>400</v>
      </c>
      <c r="M195" s="151" t="s">
        <v>309</v>
      </c>
      <c r="N195" s="151" t="s">
        <v>489</v>
      </c>
      <c r="O195" s="151"/>
      <c r="P195" s="151" t="s">
        <v>381</v>
      </c>
      <c r="Q195" s="151" t="s">
        <v>295</v>
      </c>
      <c r="R195" s="150" t="s">
        <v>379</v>
      </c>
      <c r="S195" s="138"/>
      <c r="T195" s="138" t="s">
        <v>381</v>
      </c>
      <c r="U195" s="138" t="s">
        <v>295</v>
      </c>
      <c r="V195" s="157" t="s">
        <v>379</v>
      </c>
    </row>
    <row r="196" spans="1:22" outlineLevel="1">
      <c r="A196" s="157" t="s">
        <v>255</v>
      </c>
      <c r="B196" s="138" t="s">
        <v>393</v>
      </c>
      <c r="C196" s="148">
        <v>43523</v>
      </c>
      <c r="D196" s="138" t="s">
        <v>401</v>
      </c>
      <c r="E196" s="139" t="s">
        <v>528</v>
      </c>
      <c r="F196" s="140">
        <v>75030</v>
      </c>
      <c r="G196" s="141">
        <v>54.74</v>
      </c>
      <c r="H196" s="138">
        <v>71.900000000000006</v>
      </c>
      <c r="I196" s="138" t="s">
        <v>292</v>
      </c>
      <c r="J196" s="149">
        <v>71.900000000000006</v>
      </c>
      <c r="K196" s="150" t="s">
        <v>391</v>
      </c>
      <c r="L196" s="151" t="s">
        <v>396</v>
      </c>
      <c r="M196" s="151" t="s">
        <v>309</v>
      </c>
      <c r="N196" s="151" t="s">
        <v>501</v>
      </c>
      <c r="O196" s="151"/>
      <c r="P196" s="151" t="s">
        <v>381</v>
      </c>
      <c r="Q196" s="151" t="s">
        <v>295</v>
      </c>
      <c r="R196" s="150" t="s">
        <v>379</v>
      </c>
      <c r="S196" s="138"/>
      <c r="T196" s="138" t="s">
        <v>381</v>
      </c>
      <c r="U196" s="138" t="s">
        <v>295</v>
      </c>
      <c r="V196" s="157" t="s">
        <v>379</v>
      </c>
    </row>
    <row r="197" spans="1:22" outlineLevel="1">
      <c r="A197" s="157" t="s">
        <v>255</v>
      </c>
      <c r="B197" s="138" t="s">
        <v>393</v>
      </c>
      <c r="C197" s="148">
        <v>43523</v>
      </c>
      <c r="D197" s="138" t="s">
        <v>401</v>
      </c>
      <c r="E197" s="139" t="s">
        <v>529</v>
      </c>
      <c r="F197" s="140">
        <v>75030</v>
      </c>
      <c r="G197" s="141">
        <v>8.57</v>
      </c>
      <c r="H197" s="138">
        <v>11.25</v>
      </c>
      <c r="I197" s="138" t="s">
        <v>292</v>
      </c>
      <c r="J197" s="149">
        <v>11.26</v>
      </c>
      <c r="K197" s="150" t="s">
        <v>391</v>
      </c>
      <c r="L197" s="151" t="s">
        <v>396</v>
      </c>
      <c r="M197" s="151" t="s">
        <v>309</v>
      </c>
      <c r="N197" s="151" t="s">
        <v>487</v>
      </c>
      <c r="O197" s="151"/>
      <c r="P197" s="151" t="s">
        <v>381</v>
      </c>
      <c r="Q197" s="151" t="s">
        <v>295</v>
      </c>
      <c r="R197" s="150" t="s">
        <v>379</v>
      </c>
      <c r="S197" s="138"/>
      <c r="T197" s="138" t="s">
        <v>381</v>
      </c>
      <c r="U197" s="138" t="s">
        <v>295</v>
      </c>
      <c r="V197" s="157" t="s">
        <v>379</v>
      </c>
    </row>
    <row r="198" spans="1:22" outlineLevel="1">
      <c r="A198" s="157" t="s">
        <v>255</v>
      </c>
      <c r="B198" s="138" t="s">
        <v>393</v>
      </c>
      <c r="C198" s="148">
        <v>43523</v>
      </c>
      <c r="D198" s="138" t="s">
        <v>401</v>
      </c>
      <c r="E198" s="139" t="s">
        <v>530</v>
      </c>
      <c r="F198" s="140">
        <v>75030</v>
      </c>
      <c r="G198" s="141">
        <v>23.95</v>
      </c>
      <c r="H198" s="138">
        <v>31.46</v>
      </c>
      <c r="I198" s="138" t="s">
        <v>292</v>
      </c>
      <c r="J198" s="149">
        <v>31.46</v>
      </c>
      <c r="K198" s="150" t="s">
        <v>391</v>
      </c>
      <c r="L198" s="151" t="s">
        <v>396</v>
      </c>
      <c r="M198" s="151" t="s">
        <v>309</v>
      </c>
      <c r="N198" s="151" t="s">
        <v>489</v>
      </c>
      <c r="O198" s="151"/>
      <c r="P198" s="151" t="s">
        <v>381</v>
      </c>
      <c r="Q198" s="151" t="s">
        <v>295</v>
      </c>
      <c r="R198" s="150" t="s">
        <v>379</v>
      </c>
      <c r="S198" s="138"/>
      <c r="T198" s="138" t="s">
        <v>381</v>
      </c>
      <c r="U198" s="138" t="s">
        <v>295</v>
      </c>
      <c r="V198" s="157" t="s">
        <v>379</v>
      </c>
    </row>
    <row r="199" spans="1:22" outlineLevel="1">
      <c r="A199" s="157" t="s">
        <v>255</v>
      </c>
      <c r="B199" s="138" t="s">
        <v>393</v>
      </c>
      <c r="C199" s="148">
        <v>43523</v>
      </c>
      <c r="D199" s="138" t="s">
        <v>433</v>
      </c>
      <c r="E199" s="139" t="s">
        <v>506</v>
      </c>
      <c r="F199" s="140">
        <v>75040</v>
      </c>
      <c r="G199" s="141">
        <v>16.78</v>
      </c>
      <c r="H199" s="138">
        <v>22.04</v>
      </c>
      <c r="I199" s="138" t="s">
        <v>292</v>
      </c>
      <c r="J199" s="149">
        <v>22.04</v>
      </c>
      <c r="K199" s="150" t="s">
        <v>391</v>
      </c>
      <c r="L199" s="151" t="s">
        <v>400</v>
      </c>
      <c r="M199" s="151" t="s">
        <v>309</v>
      </c>
      <c r="N199" s="151" t="s">
        <v>495</v>
      </c>
      <c r="O199" s="151"/>
      <c r="P199" s="151" t="s">
        <v>381</v>
      </c>
      <c r="Q199" s="151" t="s">
        <v>295</v>
      </c>
      <c r="R199" s="150" t="s">
        <v>379</v>
      </c>
      <c r="S199" s="138"/>
      <c r="T199" s="138" t="s">
        <v>381</v>
      </c>
      <c r="U199" s="138" t="s">
        <v>295</v>
      </c>
      <c r="V199" s="157" t="s">
        <v>379</v>
      </c>
    </row>
    <row r="200" spans="1:22" outlineLevel="1">
      <c r="A200" s="157" t="s">
        <v>255</v>
      </c>
      <c r="B200" s="138" t="s">
        <v>393</v>
      </c>
      <c r="C200" s="148">
        <v>43523</v>
      </c>
      <c r="D200" s="138" t="s">
        <v>433</v>
      </c>
      <c r="E200" s="139" t="s">
        <v>507</v>
      </c>
      <c r="F200" s="140">
        <v>75040</v>
      </c>
      <c r="G200" s="141">
        <v>55.48</v>
      </c>
      <c r="H200" s="138">
        <v>72.87</v>
      </c>
      <c r="I200" s="138" t="s">
        <v>292</v>
      </c>
      <c r="J200" s="149">
        <v>72.87</v>
      </c>
      <c r="K200" s="150" t="s">
        <v>391</v>
      </c>
      <c r="L200" s="151" t="s">
        <v>400</v>
      </c>
      <c r="M200" s="151" t="s">
        <v>309</v>
      </c>
      <c r="N200" s="151" t="s">
        <v>497</v>
      </c>
      <c r="O200" s="151"/>
      <c r="P200" s="151" t="s">
        <v>381</v>
      </c>
      <c r="Q200" s="151" t="s">
        <v>295</v>
      </c>
      <c r="R200" s="150" t="s">
        <v>379</v>
      </c>
      <c r="S200" s="138"/>
      <c r="T200" s="138" t="s">
        <v>381</v>
      </c>
      <c r="U200" s="138" t="s">
        <v>295</v>
      </c>
      <c r="V200" s="157" t="s">
        <v>379</v>
      </c>
    </row>
    <row r="201" spans="1:22" outlineLevel="1">
      <c r="A201" s="157" t="s">
        <v>255</v>
      </c>
      <c r="B201" s="138" t="s">
        <v>393</v>
      </c>
      <c r="C201" s="148">
        <v>43523</v>
      </c>
      <c r="D201" s="138" t="s">
        <v>433</v>
      </c>
      <c r="E201" s="139" t="s">
        <v>508</v>
      </c>
      <c r="F201" s="140">
        <v>75040</v>
      </c>
      <c r="G201" s="141">
        <v>50.41</v>
      </c>
      <c r="H201" s="138">
        <v>66.209999999999994</v>
      </c>
      <c r="I201" s="138" t="s">
        <v>292</v>
      </c>
      <c r="J201" s="149">
        <v>66.209999999999994</v>
      </c>
      <c r="K201" s="150" t="s">
        <v>391</v>
      </c>
      <c r="L201" s="151" t="s">
        <v>400</v>
      </c>
      <c r="M201" s="151" t="s">
        <v>309</v>
      </c>
      <c r="N201" s="151" t="s">
        <v>499</v>
      </c>
      <c r="O201" s="151"/>
      <c r="P201" s="151" t="s">
        <v>381</v>
      </c>
      <c r="Q201" s="151" t="s">
        <v>295</v>
      </c>
      <c r="R201" s="150" t="s">
        <v>379</v>
      </c>
      <c r="S201" s="138"/>
      <c r="T201" s="138" t="s">
        <v>381</v>
      </c>
      <c r="U201" s="138" t="s">
        <v>295</v>
      </c>
      <c r="V201" s="157" t="s">
        <v>379</v>
      </c>
    </row>
    <row r="202" spans="1:22" outlineLevel="1">
      <c r="A202" s="157" t="s">
        <v>255</v>
      </c>
      <c r="B202" s="138" t="s">
        <v>393</v>
      </c>
      <c r="C202" s="148">
        <v>43523</v>
      </c>
      <c r="D202" s="138" t="s">
        <v>433</v>
      </c>
      <c r="E202" s="139" t="s">
        <v>503</v>
      </c>
      <c r="F202" s="140">
        <v>75040</v>
      </c>
      <c r="G202" s="141">
        <v>7.16</v>
      </c>
      <c r="H202" s="138">
        <v>9.41</v>
      </c>
      <c r="I202" s="138" t="s">
        <v>292</v>
      </c>
      <c r="J202" s="149">
        <v>9.4</v>
      </c>
      <c r="K202" s="150" t="s">
        <v>391</v>
      </c>
      <c r="L202" s="151" t="s">
        <v>400</v>
      </c>
      <c r="M202" s="151" t="s">
        <v>309</v>
      </c>
      <c r="N202" s="151" t="s">
        <v>493</v>
      </c>
      <c r="O202" s="151"/>
      <c r="P202" s="151" t="s">
        <v>381</v>
      </c>
      <c r="Q202" s="151" t="s">
        <v>295</v>
      </c>
      <c r="R202" s="150" t="s">
        <v>379</v>
      </c>
      <c r="S202" s="138"/>
      <c r="T202" s="138" t="s">
        <v>381</v>
      </c>
      <c r="U202" s="138" t="s">
        <v>295</v>
      </c>
      <c r="V202" s="157" t="s">
        <v>379</v>
      </c>
    </row>
    <row r="203" spans="1:22" outlineLevel="1">
      <c r="A203" s="157" t="s">
        <v>255</v>
      </c>
      <c r="B203" s="138" t="s">
        <v>393</v>
      </c>
      <c r="C203" s="148">
        <v>43500</v>
      </c>
      <c r="D203" s="138" t="s">
        <v>458</v>
      </c>
      <c r="E203" s="139" t="s">
        <v>531</v>
      </c>
      <c r="F203" s="140">
        <v>75030</v>
      </c>
      <c r="G203" s="141">
        <v>0.61</v>
      </c>
      <c r="H203" s="138">
        <v>0.8</v>
      </c>
      <c r="I203" s="138" t="s">
        <v>292</v>
      </c>
      <c r="J203" s="149">
        <v>0.8</v>
      </c>
      <c r="K203" s="150" t="s">
        <v>405</v>
      </c>
      <c r="L203" s="151" t="s">
        <v>396</v>
      </c>
      <c r="M203" s="151" t="s">
        <v>309</v>
      </c>
      <c r="N203" s="151" t="s">
        <v>501</v>
      </c>
      <c r="O203" s="151"/>
      <c r="P203" s="151" t="s">
        <v>381</v>
      </c>
      <c r="Q203" s="151" t="s">
        <v>295</v>
      </c>
      <c r="R203" s="150" t="s">
        <v>379</v>
      </c>
      <c r="S203" s="138"/>
      <c r="T203" s="138" t="s">
        <v>381</v>
      </c>
      <c r="U203" s="138" t="s">
        <v>295</v>
      </c>
      <c r="V203" s="157" t="s">
        <v>379</v>
      </c>
    </row>
    <row r="204" spans="1:22" outlineLevel="1">
      <c r="A204" s="157" t="s">
        <v>255</v>
      </c>
      <c r="B204" s="138" t="s">
        <v>393</v>
      </c>
      <c r="C204" s="148">
        <v>43523</v>
      </c>
      <c r="D204" s="138" t="s">
        <v>434</v>
      </c>
      <c r="E204" s="139" t="s">
        <v>509</v>
      </c>
      <c r="F204" s="140">
        <v>75040</v>
      </c>
      <c r="G204" s="141">
        <v>0.18</v>
      </c>
      <c r="H204" s="138">
        <v>0.24</v>
      </c>
      <c r="I204" s="138" t="s">
        <v>292</v>
      </c>
      <c r="J204" s="149">
        <v>0.24</v>
      </c>
      <c r="K204" s="150" t="s">
        <v>405</v>
      </c>
      <c r="L204" s="151" t="s">
        <v>400</v>
      </c>
      <c r="M204" s="151" t="s">
        <v>309</v>
      </c>
      <c r="N204" s="151" t="s">
        <v>495</v>
      </c>
      <c r="O204" s="151"/>
      <c r="P204" s="151" t="s">
        <v>381</v>
      </c>
      <c r="Q204" s="151" t="s">
        <v>295</v>
      </c>
      <c r="R204" s="150" t="s">
        <v>379</v>
      </c>
      <c r="S204" s="138"/>
      <c r="T204" s="138" t="s">
        <v>381</v>
      </c>
      <c r="U204" s="138" t="s">
        <v>295</v>
      </c>
      <c r="V204" s="157" t="s">
        <v>379</v>
      </c>
    </row>
    <row r="205" spans="1:22" outlineLevel="1">
      <c r="A205" s="157" t="s">
        <v>255</v>
      </c>
      <c r="B205" s="138" t="s">
        <v>393</v>
      </c>
      <c r="C205" s="148">
        <v>43523</v>
      </c>
      <c r="D205" s="138" t="s">
        <v>434</v>
      </c>
      <c r="E205" s="139" t="s">
        <v>510</v>
      </c>
      <c r="F205" s="140">
        <v>75040</v>
      </c>
      <c r="G205" s="141">
        <v>0.62</v>
      </c>
      <c r="H205" s="138">
        <v>0.81</v>
      </c>
      <c r="I205" s="138" t="s">
        <v>292</v>
      </c>
      <c r="J205" s="149">
        <v>0.81</v>
      </c>
      <c r="K205" s="150" t="s">
        <v>405</v>
      </c>
      <c r="L205" s="151" t="s">
        <v>400</v>
      </c>
      <c r="M205" s="151" t="s">
        <v>309</v>
      </c>
      <c r="N205" s="151" t="s">
        <v>497</v>
      </c>
      <c r="O205" s="151"/>
      <c r="P205" s="151" t="s">
        <v>381</v>
      </c>
      <c r="Q205" s="151" t="s">
        <v>295</v>
      </c>
      <c r="R205" s="150" t="s">
        <v>379</v>
      </c>
      <c r="S205" s="138"/>
      <c r="T205" s="138" t="s">
        <v>381</v>
      </c>
      <c r="U205" s="138" t="s">
        <v>295</v>
      </c>
      <c r="V205" s="157" t="s">
        <v>379</v>
      </c>
    </row>
    <row r="206" spans="1:22" outlineLevel="1">
      <c r="A206" s="157" t="s">
        <v>255</v>
      </c>
      <c r="B206" s="138" t="s">
        <v>393</v>
      </c>
      <c r="C206" s="148">
        <v>43523</v>
      </c>
      <c r="D206" s="138" t="s">
        <v>434</v>
      </c>
      <c r="E206" s="139" t="s">
        <v>511</v>
      </c>
      <c r="F206" s="140">
        <v>75040</v>
      </c>
      <c r="G206" s="141">
        <v>0.56000000000000005</v>
      </c>
      <c r="H206" s="138">
        <v>0.74</v>
      </c>
      <c r="I206" s="138" t="s">
        <v>292</v>
      </c>
      <c r="J206" s="149">
        <v>0.74</v>
      </c>
      <c r="K206" s="150" t="s">
        <v>405</v>
      </c>
      <c r="L206" s="151" t="s">
        <v>400</v>
      </c>
      <c r="M206" s="151" t="s">
        <v>309</v>
      </c>
      <c r="N206" s="151" t="s">
        <v>499</v>
      </c>
      <c r="O206" s="151"/>
      <c r="P206" s="151" t="s">
        <v>381</v>
      </c>
      <c r="Q206" s="151" t="s">
        <v>295</v>
      </c>
      <c r="R206" s="150" t="s">
        <v>379</v>
      </c>
      <c r="S206" s="138"/>
      <c r="T206" s="138" t="s">
        <v>381</v>
      </c>
      <c r="U206" s="138" t="s">
        <v>295</v>
      </c>
      <c r="V206" s="157" t="s">
        <v>379</v>
      </c>
    </row>
    <row r="207" spans="1:22" outlineLevel="1">
      <c r="A207" s="157" t="s">
        <v>255</v>
      </c>
      <c r="B207" s="138" t="s">
        <v>393</v>
      </c>
      <c r="C207" s="148">
        <v>43523</v>
      </c>
      <c r="D207" s="138" t="s">
        <v>434</v>
      </c>
      <c r="E207" s="139" t="s">
        <v>520</v>
      </c>
      <c r="F207" s="140">
        <v>75040</v>
      </c>
      <c r="G207" s="141">
        <v>0.46</v>
      </c>
      <c r="H207" s="138">
        <v>0.6</v>
      </c>
      <c r="I207" s="138" t="s">
        <v>292</v>
      </c>
      <c r="J207" s="149">
        <v>0.6</v>
      </c>
      <c r="K207" s="150" t="s">
        <v>405</v>
      </c>
      <c r="L207" s="151" t="s">
        <v>400</v>
      </c>
      <c r="M207" s="151" t="s">
        <v>309</v>
      </c>
      <c r="N207" s="151" t="s">
        <v>491</v>
      </c>
      <c r="O207" s="151"/>
      <c r="P207" s="151" t="s">
        <v>381</v>
      </c>
      <c r="Q207" s="151" t="s">
        <v>295</v>
      </c>
      <c r="R207" s="150" t="s">
        <v>379</v>
      </c>
      <c r="S207" s="138"/>
      <c r="T207" s="138" t="s">
        <v>381</v>
      </c>
      <c r="U207" s="138" t="s">
        <v>295</v>
      </c>
      <c r="V207" s="157" t="s">
        <v>379</v>
      </c>
    </row>
    <row r="208" spans="1:22" outlineLevel="1">
      <c r="A208" s="157" t="s">
        <v>255</v>
      </c>
      <c r="B208" s="138" t="s">
        <v>393</v>
      </c>
      <c r="C208" s="148">
        <v>43523</v>
      </c>
      <c r="D208" s="138" t="s">
        <v>434</v>
      </c>
      <c r="E208" s="139" t="s">
        <v>521</v>
      </c>
      <c r="F208" s="140">
        <v>75040</v>
      </c>
      <c r="G208" s="141">
        <v>0.08</v>
      </c>
      <c r="H208" s="138">
        <v>0.1</v>
      </c>
      <c r="I208" s="138" t="s">
        <v>292</v>
      </c>
      <c r="J208" s="149">
        <v>0.11</v>
      </c>
      <c r="K208" s="150" t="s">
        <v>405</v>
      </c>
      <c r="L208" s="151" t="s">
        <v>400</v>
      </c>
      <c r="M208" s="151" t="s">
        <v>309</v>
      </c>
      <c r="N208" s="151" t="s">
        <v>493</v>
      </c>
      <c r="O208" s="151"/>
      <c r="P208" s="151" t="s">
        <v>381</v>
      </c>
      <c r="Q208" s="151" t="s">
        <v>295</v>
      </c>
      <c r="R208" s="150" t="s">
        <v>379</v>
      </c>
      <c r="S208" s="138"/>
      <c r="T208" s="138" t="s">
        <v>381</v>
      </c>
      <c r="U208" s="138" t="s">
        <v>295</v>
      </c>
      <c r="V208" s="157" t="s">
        <v>379</v>
      </c>
    </row>
    <row r="209" spans="1:22" outlineLevel="1">
      <c r="A209" s="157" t="s">
        <v>255</v>
      </c>
      <c r="B209" s="138" t="s">
        <v>393</v>
      </c>
      <c r="C209" s="148">
        <v>43523</v>
      </c>
      <c r="D209" s="138" t="s">
        <v>403</v>
      </c>
      <c r="E209" s="139" t="s">
        <v>532</v>
      </c>
      <c r="F209" s="140">
        <v>75030</v>
      </c>
      <c r="G209" s="141">
        <v>1.42</v>
      </c>
      <c r="H209" s="138">
        <v>1.87</v>
      </c>
      <c r="I209" s="138" t="s">
        <v>292</v>
      </c>
      <c r="J209" s="149">
        <v>1.87</v>
      </c>
      <c r="K209" s="150" t="s">
        <v>405</v>
      </c>
      <c r="L209" s="151" t="s">
        <v>396</v>
      </c>
      <c r="M209" s="151" t="s">
        <v>309</v>
      </c>
      <c r="N209" s="151" t="s">
        <v>487</v>
      </c>
      <c r="O209" s="151"/>
      <c r="P209" s="151" t="s">
        <v>381</v>
      </c>
      <c r="Q209" s="151" t="s">
        <v>295</v>
      </c>
      <c r="R209" s="150" t="s">
        <v>379</v>
      </c>
      <c r="S209" s="138"/>
      <c r="T209" s="138" t="s">
        <v>381</v>
      </c>
      <c r="U209" s="138" t="s">
        <v>295</v>
      </c>
      <c r="V209" s="157" t="s">
        <v>379</v>
      </c>
    </row>
    <row r="210" spans="1:22" outlineLevel="1">
      <c r="A210" s="157" t="s">
        <v>255</v>
      </c>
      <c r="B210" s="138" t="s">
        <v>393</v>
      </c>
      <c r="C210" s="148">
        <v>43523</v>
      </c>
      <c r="D210" s="138" t="s">
        <v>403</v>
      </c>
      <c r="E210" s="139" t="s">
        <v>533</v>
      </c>
      <c r="F210" s="140">
        <v>75030</v>
      </c>
      <c r="G210" s="141">
        <v>3.99</v>
      </c>
      <c r="H210" s="138">
        <v>5.24</v>
      </c>
      <c r="I210" s="138" t="s">
        <v>292</v>
      </c>
      <c r="J210" s="149">
        <v>5.24</v>
      </c>
      <c r="K210" s="150" t="s">
        <v>405</v>
      </c>
      <c r="L210" s="151" t="s">
        <v>396</v>
      </c>
      <c r="M210" s="151" t="s">
        <v>309</v>
      </c>
      <c r="N210" s="151" t="s">
        <v>489</v>
      </c>
      <c r="O210" s="151"/>
      <c r="P210" s="151" t="s">
        <v>381</v>
      </c>
      <c r="Q210" s="151" t="s">
        <v>295</v>
      </c>
      <c r="R210" s="150" t="s">
        <v>379</v>
      </c>
      <c r="S210" s="138"/>
      <c r="T210" s="138" t="s">
        <v>381</v>
      </c>
      <c r="U210" s="138" t="s">
        <v>295</v>
      </c>
      <c r="V210" s="157" t="s">
        <v>379</v>
      </c>
    </row>
    <row r="211" spans="1:22" outlineLevel="1">
      <c r="A211" s="157" t="s">
        <v>255</v>
      </c>
      <c r="B211" s="138" t="s">
        <v>393</v>
      </c>
      <c r="C211" s="148">
        <v>43500</v>
      </c>
      <c r="D211" s="138" t="s">
        <v>458</v>
      </c>
      <c r="E211" s="139" t="s">
        <v>534</v>
      </c>
      <c r="F211" s="140">
        <v>75030</v>
      </c>
      <c r="G211" s="141">
        <v>0.09</v>
      </c>
      <c r="H211" s="138">
        <v>0.12</v>
      </c>
      <c r="I211" s="138" t="s">
        <v>292</v>
      </c>
      <c r="J211" s="149">
        <v>0.12</v>
      </c>
      <c r="K211" s="150" t="s">
        <v>405</v>
      </c>
      <c r="L211" s="151" t="s">
        <v>396</v>
      </c>
      <c r="M211" s="151" t="s">
        <v>309</v>
      </c>
      <c r="N211" s="151" t="s">
        <v>487</v>
      </c>
      <c r="O211" s="151"/>
      <c r="P211" s="151" t="s">
        <v>381</v>
      </c>
      <c r="Q211" s="151" t="s">
        <v>295</v>
      </c>
      <c r="R211" s="150" t="s">
        <v>379</v>
      </c>
      <c r="S211" s="138"/>
      <c r="T211" s="138" t="s">
        <v>381</v>
      </c>
      <c r="U211" s="138" t="s">
        <v>295</v>
      </c>
      <c r="V211" s="157" t="s">
        <v>379</v>
      </c>
    </row>
    <row r="212" spans="1:22" outlineLevel="1">
      <c r="A212" s="157" t="s">
        <v>255</v>
      </c>
      <c r="B212" s="138" t="s">
        <v>393</v>
      </c>
      <c r="C212" s="148">
        <v>43500</v>
      </c>
      <c r="D212" s="138" t="s">
        <v>458</v>
      </c>
      <c r="E212" s="139" t="s">
        <v>535</v>
      </c>
      <c r="F212" s="140">
        <v>75030</v>
      </c>
      <c r="G212" s="141">
        <v>0.27</v>
      </c>
      <c r="H212" s="138">
        <v>0.35</v>
      </c>
      <c r="I212" s="138" t="s">
        <v>292</v>
      </c>
      <c r="J212" s="149">
        <v>0.35</v>
      </c>
      <c r="K212" s="150" t="s">
        <v>405</v>
      </c>
      <c r="L212" s="151" t="s">
        <v>396</v>
      </c>
      <c r="M212" s="151" t="s">
        <v>309</v>
      </c>
      <c r="N212" s="151" t="s">
        <v>489</v>
      </c>
      <c r="O212" s="151"/>
      <c r="P212" s="151" t="s">
        <v>381</v>
      </c>
      <c r="Q212" s="151" t="s">
        <v>295</v>
      </c>
      <c r="R212" s="150" t="s">
        <v>379</v>
      </c>
      <c r="S212" s="138"/>
      <c r="T212" s="138" t="s">
        <v>381</v>
      </c>
      <c r="U212" s="138" t="s">
        <v>295</v>
      </c>
      <c r="V212" s="157" t="s">
        <v>379</v>
      </c>
    </row>
    <row r="213" spans="1:22" outlineLevel="1">
      <c r="A213" s="157" t="s">
        <v>255</v>
      </c>
      <c r="B213" s="138" t="s">
        <v>393</v>
      </c>
      <c r="C213" s="148">
        <v>43523</v>
      </c>
      <c r="D213" s="138" t="s">
        <v>403</v>
      </c>
      <c r="E213" s="139" t="s">
        <v>536</v>
      </c>
      <c r="F213" s="140">
        <v>75030</v>
      </c>
      <c r="G213" s="141">
        <v>9.1199999999999992</v>
      </c>
      <c r="H213" s="138">
        <v>11.98</v>
      </c>
      <c r="I213" s="138" t="s">
        <v>292</v>
      </c>
      <c r="J213" s="149">
        <v>11.98</v>
      </c>
      <c r="K213" s="150" t="s">
        <v>405</v>
      </c>
      <c r="L213" s="151" t="s">
        <v>396</v>
      </c>
      <c r="M213" s="151" t="s">
        <v>309</v>
      </c>
      <c r="N213" s="151" t="s">
        <v>501</v>
      </c>
      <c r="O213" s="151"/>
      <c r="P213" s="151" t="s">
        <v>381</v>
      </c>
      <c r="Q213" s="151" t="s">
        <v>295</v>
      </c>
      <c r="R213" s="150" t="s">
        <v>379</v>
      </c>
      <c r="S213" s="138"/>
      <c r="T213" s="138" t="s">
        <v>381</v>
      </c>
      <c r="U213" s="138" t="s">
        <v>295</v>
      </c>
      <c r="V213" s="157" t="s">
        <v>379</v>
      </c>
    </row>
    <row r="214" spans="1:22" outlineLevel="1">
      <c r="A214" s="157" t="s">
        <v>255</v>
      </c>
      <c r="B214" s="138" t="s">
        <v>393</v>
      </c>
      <c r="C214" s="148">
        <v>43523</v>
      </c>
      <c r="D214" s="138" t="s">
        <v>435</v>
      </c>
      <c r="E214" s="139" t="s">
        <v>513</v>
      </c>
      <c r="F214" s="140">
        <v>75040</v>
      </c>
      <c r="G214" s="141">
        <v>2.79</v>
      </c>
      <c r="H214" s="138">
        <v>3.66</v>
      </c>
      <c r="I214" s="138" t="s">
        <v>292</v>
      </c>
      <c r="J214" s="149">
        <v>3.66</v>
      </c>
      <c r="K214" s="150" t="s">
        <v>405</v>
      </c>
      <c r="L214" s="151" t="s">
        <v>400</v>
      </c>
      <c r="M214" s="151" t="s">
        <v>309</v>
      </c>
      <c r="N214" s="151" t="s">
        <v>495</v>
      </c>
      <c r="O214" s="151"/>
      <c r="P214" s="151" t="s">
        <v>381</v>
      </c>
      <c r="Q214" s="151" t="s">
        <v>295</v>
      </c>
      <c r="R214" s="150" t="s">
        <v>379</v>
      </c>
      <c r="S214" s="138"/>
      <c r="T214" s="138" t="s">
        <v>381</v>
      </c>
      <c r="U214" s="138" t="s">
        <v>295</v>
      </c>
      <c r="V214" s="157" t="s">
        <v>379</v>
      </c>
    </row>
    <row r="215" spans="1:22" outlineLevel="1">
      <c r="A215" s="157" t="s">
        <v>255</v>
      </c>
      <c r="B215" s="138" t="s">
        <v>393</v>
      </c>
      <c r="C215" s="148">
        <v>43523</v>
      </c>
      <c r="D215" s="138" t="s">
        <v>435</v>
      </c>
      <c r="E215" s="139" t="s">
        <v>514</v>
      </c>
      <c r="F215" s="140">
        <v>75040</v>
      </c>
      <c r="G215" s="141">
        <v>9.25</v>
      </c>
      <c r="H215" s="138">
        <v>12.15</v>
      </c>
      <c r="I215" s="138" t="s">
        <v>292</v>
      </c>
      <c r="J215" s="149">
        <v>12.15</v>
      </c>
      <c r="K215" s="150" t="s">
        <v>405</v>
      </c>
      <c r="L215" s="151" t="s">
        <v>400</v>
      </c>
      <c r="M215" s="151" t="s">
        <v>309</v>
      </c>
      <c r="N215" s="151" t="s">
        <v>497</v>
      </c>
      <c r="O215" s="151"/>
      <c r="P215" s="151" t="s">
        <v>381</v>
      </c>
      <c r="Q215" s="151" t="s">
        <v>295</v>
      </c>
      <c r="R215" s="150" t="s">
        <v>379</v>
      </c>
      <c r="S215" s="138"/>
      <c r="T215" s="138" t="s">
        <v>381</v>
      </c>
      <c r="U215" s="138" t="s">
        <v>295</v>
      </c>
      <c r="V215" s="157" t="s">
        <v>379</v>
      </c>
    </row>
    <row r="216" spans="1:22" outlineLevel="1">
      <c r="A216" s="157" t="s">
        <v>255</v>
      </c>
      <c r="B216" s="138" t="s">
        <v>393</v>
      </c>
      <c r="C216" s="148">
        <v>43523</v>
      </c>
      <c r="D216" s="138" t="s">
        <v>435</v>
      </c>
      <c r="E216" s="139" t="s">
        <v>515</v>
      </c>
      <c r="F216" s="140">
        <v>75040</v>
      </c>
      <c r="G216" s="141">
        <v>8.41</v>
      </c>
      <c r="H216" s="138">
        <v>11.04</v>
      </c>
      <c r="I216" s="138" t="s">
        <v>292</v>
      </c>
      <c r="J216" s="149">
        <v>11.05</v>
      </c>
      <c r="K216" s="150" t="s">
        <v>405</v>
      </c>
      <c r="L216" s="151" t="s">
        <v>400</v>
      </c>
      <c r="M216" s="151" t="s">
        <v>309</v>
      </c>
      <c r="N216" s="151" t="s">
        <v>499</v>
      </c>
      <c r="O216" s="151"/>
      <c r="P216" s="151" t="s">
        <v>381</v>
      </c>
      <c r="Q216" s="151" t="s">
        <v>295</v>
      </c>
      <c r="R216" s="150" t="s">
        <v>379</v>
      </c>
      <c r="S216" s="138"/>
      <c r="T216" s="138" t="s">
        <v>381</v>
      </c>
      <c r="U216" s="138" t="s">
        <v>295</v>
      </c>
      <c r="V216" s="157" t="s">
        <v>379</v>
      </c>
    </row>
    <row r="217" spans="1:22" outlineLevel="1">
      <c r="A217" s="157" t="s">
        <v>255</v>
      </c>
      <c r="B217" s="138" t="s">
        <v>393</v>
      </c>
      <c r="C217" s="148">
        <v>43523</v>
      </c>
      <c r="D217" s="138" t="s">
        <v>435</v>
      </c>
      <c r="E217" s="139" t="s">
        <v>518</v>
      </c>
      <c r="F217" s="140">
        <v>75040</v>
      </c>
      <c r="G217" s="141">
        <v>6.82</v>
      </c>
      <c r="H217" s="138">
        <v>8.9600000000000009</v>
      </c>
      <c r="I217" s="138" t="s">
        <v>292</v>
      </c>
      <c r="J217" s="149">
        <v>8.9600000000000009</v>
      </c>
      <c r="K217" s="150" t="s">
        <v>405</v>
      </c>
      <c r="L217" s="151" t="s">
        <v>400</v>
      </c>
      <c r="M217" s="151" t="s">
        <v>309</v>
      </c>
      <c r="N217" s="151" t="s">
        <v>491</v>
      </c>
      <c r="O217" s="151"/>
      <c r="P217" s="151" t="s">
        <v>381</v>
      </c>
      <c r="Q217" s="151" t="s">
        <v>295</v>
      </c>
      <c r="R217" s="150" t="s">
        <v>379</v>
      </c>
      <c r="S217" s="138"/>
      <c r="T217" s="138" t="s">
        <v>381</v>
      </c>
      <c r="U217" s="138" t="s">
        <v>295</v>
      </c>
      <c r="V217" s="157" t="s">
        <v>379</v>
      </c>
    </row>
    <row r="218" spans="1:22" outlineLevel="1">
      <c r="A218" s="157" t="s">
        <v>255</v>
      </c>
      <c r="B218" s="138" t="s">
        <v>393</v>
      </c>
      <c r="C218" s="148">
        <v>43523</v>
      </c>
      <c r="D218" s="138" t="s">
        <v>435</v>
      </c>
      <c r="E218" s="139" t="s">
        <v>519</v>
      </c>
      <c r="F218" s="140">
        <v>75040</v>
      </c>
      <c r="G218" s="141">
        <v>1.2</v>
      </c>
      <c r="H218" s="138">
        <v>1.57</v>
      </c>
      <c r="I218" s="138" t="s">
        <v>292</v>
      </c>
      <c r="J218" s="149">
        <v>1.58</v>
      </c>
      <c r="K218" s="150" t="s">
        <v>405</v>
      </c>
      <c r="L218" s="151" t="s">
        <v>400</v>
      </c>
      <c r="M218" s="151" t="s">
        <v>309</v>
      </c>
      <c r="N218" s="151" t="s">
        <v>493</v>
      </c>
      <c r="O218" s="151"/>
      <c r="P218" s="151" t="s">
        <v>381</v>
      </c>
      <c r="Q218" s="151" t="s">
        <v>295</v>
      </c>
      <c r="R218" s="150" t="s">
        <v>379</v>
      </c>
      <c r="S218" s="138"/>
      <c r="T218" s="138" t="s">
        <v>381</v>
      </c>
      <c r="U218" s="138" t="s">
        <v>295</v>
      </c>
      <c r="V218" s="157" t="s">
        <v>379</v>
      </c>
    </row>
    <row r="219" spans="1:22" outlineLevel="1">
      <c r="A219" s="157" t="s">
        <v>255</v>
      </c>
      <c r="B219" s="138" t="s">
        <v>349</v>
      </c>
      <c r="C219" s="148">
        <v>43553</v>
      </c>
      <c r="D219" s="138" t="s">
        <v>436</v>
      </c>
      <c r="E219" s="139" t="s">
        <v>490</v>
      </c>
      <c r="F219" s="140">
        <v>75358</v>
      </c>
      <c r="G219" s="141">
        <v>247.18</v>
      </c>
      <c r="H219" s="138">
        <v>328.16</v>
      </c>
      <c r="I219" s="138" t="s">
        <v>292</v>
      </c>
      <c r="J219" s="149">
        <v>328.16</v>
      </c>
      <c r="K219" s="150" t="s">
        <v>385</v>
      </c>
      <c r="L219" s="151" t="s">
        <v>400</v>
      </c>
      <c r="M219" s="151" t="s">
        <v>309</v>
      </c>
      <c r="N219" s="151" t="s">
        <v>491</v>
      </c>
      <c r="O219" s="151"/>
      <c r="P219" s="151" t="s">
        <v>381</v>
      </c>
      <c r="Q219" s="151" t="s">
        <v>295</v>
      </c>
      <c r="R219" s="150" t="s">
        <v>379</v>
      </c>
      <c r="S219" s="138"/>
      <c r="T219" s="138" t="s">
        <v>381</v>
      </c>
      <c r="U219" s="138" t="s">
        <v>295</v>
      </c>
      <c r="V219" s="157" t="s">
        <v>379</v>
      </c>
    </row>
    <row r="220" spans="1:22" outlineLevel="1">
      <c r="A220" s="157" t="s">
        <v>255</v>
      </c>
      <c r="B220" s="138" t="s">
        <v>349</v>
      </c>
      <c r="C220" s="148">
        <v>43553</v>
      </c>
      <c r="D220" s="138" t="s">
        <v>436</v>
      </c>
      <c r="E220" s="139" t="s">
        <v>492</v>
      </c>
      <c r="F220" s="140">
        <v>75358</v>
      </c>
      <c r="G220" s="141">
        <v>83.89</v>
      </c>
      <c r="H220" s="138">
        <v>111.38</v>
      </c>
      <c r="I220" s="138" t="s">
        <v>292</v>
      </c>
      <c r="J220" s="149">
        <v>111.37</v>
      </c>
      <c r="K220" s="150" t="s">
        <v>385</v>
      </c>
      <c r="L220" s="151" t="s">
        <v>400</v>
      </c>
      <c r="M220" s="151" t="s">
        <v>309</v>
      </c>
      <c r="N220" s="151" t="s">
        <v>493</v>
      </c>
      <c r="O220" s="151"/>
      <c r="P220" s="151" t="s">
        <v>381</v>
      </c>
      <c r="Q220" s="151" t="s">
        <v>295</v>
      </c>
      <c r="R220" s="150" t="s">
        <v>379</v>
      </c>
      <c r="S220" s="138"/>
      <c r="T220" s="138" t="s">
        <v>381</v>
      </c>
      <c r="U220" s="138" t="s">
        <v>295</v>
      </c>
      <c r="V220" s="157" t="s">
        <v>379</v>
      </c>
    </row>
    <row r="221" spans="1:22" outlineLevel="1">
      <c r="A221" s="157" t="s">
        <v>255</v>
      </c>
      <c r="B221" s="138" t="s">
        <v>349</v>
      </c>
      <c r="C221" s="148">
        <v>43549</v>
      </c>
      <c r="D221" s="138" t="s">
        <v>406</v>
      </c>
      <c r="E221" s="139" t="s">
        <v>537</v>
      </c>
      <c r="F221" s="140">
        <v>75390</v>
      </c>
      <c r="G221" s="141">
        <v>87.81</v>
      </c>
      <c r="H221" s="138">
        <v>116.58</v>
      </c>
      <c r="I221" s="138" t="s">
        <v>292</v>
      </c>
      <c r="J221" s="149">
        <v>116.58</v>
      </c>
      <c r="K221" s="150" t="s">
        <v>385</v>
      </c>
      <c r="L221" s="151" t="s">
        <v>396</v>
      </c>
      <c r="M221" s="151" t="s">
        <v>309</v>
      </c>
      <c r="N221" s="151" t="s">
        <v>487</v>
      </c>
      <c r="O221" s="151"/>
      <c r="P221" s="151" t="s">
        <v>381</v>
      </c>
      <c r="Q221" s="151" t="s">
        <v>295</v>
      </c>
      <c r="R221" s="150" t="s">
        <v>379</v>
      </c>
      <c r="S221" s="138"/>
      <c r="T221" s="138" t="s">
        <v>381</v>
      </c>
      <c r="U221" s="138" t="s">
        <v>295</v>
      </c>
      <c r="V221" s="157" t="s">
        <v>379</v>
      </c>
    </row>
    <row r="222" spans="1:22" outlineLevel="1">
      <c r="A222" s="157" t="s">
        <v>255</v>
      </c>
      <c r="B222" s="138" t="s">
        <v>349</v>
      </c>
      <c r="C222" s="148">
        <v>43549</v>
      </c>
      <c r="D222" s="138" t="s">
        <v>408</v>
      </c>
      <c r="E222" s="139" t="s">
        <v>538</v>
      </c>
      <c r="F222" s="140">
        <v>75390</v>
      </c>
      <c r="G222" s="141">
        <v>52.26</v>
      </c>
      <c r="H222" s="138">
        <v>69.38</v>
      </c>
      <c r="I222" s="138" t="s">
        <v>292</v>
      </c>
      <c r="J222" s="149">
        <v>69.38</v>
      </c>
      <c r="K222" s="150" t="s">
        <v>385</v>
      </c>
      <c r="L222" s="151" t="s">
        <v>396</v>
      </c>
      <c r="M222" s="151" t="s">
        <v>309</v>
      </c>
      <c r="N222" s="151" t="s">
        <v>501</v>
      </c>
      <c r="O222" s="151"/>
      <c r="P222" s="151" t="s">
        <v>381</v>
      </c>
      <c r="Q222" s="151" t="s">
        <v>295</v>
      </c>
      <c r="R222" s="150" t="s">
        <v>379</v>
      </c>
      <c r="S222" s="138"/>
      <c r="T222" s="138" t="s">
        <v>381</v>
      </c>
      <c r="U222" s="138" t="s">
        <v>295</v>
      </c>
      <c r="V222" s="157" t="s">
        <v>379</v>
      </c>
    </row>
    <row r="223" spans="1:22" outlineLevel="1">
      <c r="A223" s="157" t="s">
        <v>255</v>
      </c>
      <c r="B223" s="138" t="s">
        <v>349</v>
      </c>
      <c r="C223" s="148">
        <v>43549</v>
      </c>
      <c r="D223" s="138" t="s">
        <v>406</v>
      </c>
      <c r="E223" s="139" t="s">
        <v>539</v>
      </c>
      <c r="F223" s="140">
        <v>75390</v>
      </c>
      <c r="G223" s="141">
        <v>316.27999999999997</v>
      </c>
      <c r="H223" s="138">
        <v>419.9</v>
      </c>
      <c r="I223" s="138" t="s">
        <v>292</v>
      </c>
      <c r="J223" s="149">
        <v>419.9</v>
      </c>
      <c r="K223" s="150" t="s">
        <v>385</v>
      </c>
      <c r="L223" s="151" t="s">
        <v>396</v>
      </c>
      <c r="M223" s="151" t="s">
        <v>309</v>
      </c>
      <c r="N223" s="151" t="s">
        <v>489</v>
      </c>
      <c r="O223" s="151"/>
      <c r="P223" s="151" t="s">
        <v>381</v>
      </c>
      <c r="Q223" s="151" t="s">
        <v>295</v>
      </c>
      <c r="R223" s="150" t="s">
        <v>379</v>
      </c>
      <c r="S223" s="138"/>
      <c r="T223" s="138" t="s">
        <v>381</v>
      </c>
      <c r="U223" s="138" t="s">
        <v>295</v>
      </c>
      <c r="V223" s="157" t="s">
        <v>379</v>
      </c>
    </row>
    <row r="224" spans="1:22" outlineLevel="1">
      <c r="A224" s="157" t="s">
        <v>255</v>
      </c>
      <c r="B224" s="138" t="s">
        <v>349</v>
      </c>
      <c r="C224" s="148">
        <v>43549</v>
      </c>
      <c r="D224" s="138" t="s">
        <v>408</v>
      </c>
      <c r="E224" s="139" t="s">
        <v>540</v>
      </c>
      <c r="F224" s="140">
        <v>75390</v>
      </c>
      <c r="G224" s="141">
        <v>6.76</v>
      </c>
      <c r="H224" s="138">
        <v>8.98</v>
      </c>
      <c r="I224" s="138" t="s">
        <v>292</v>
      </c>
      <c r="J224" s="149">
        <v>8.9700000000000006</v>
      </c>
      <c r="K224" s="150" t="s">
        <v>385</v>
      </c>
      <c r="L224" s="151" t="s">
        <v>396</v>
      </c>
      <c r="M224" s="151" t="s">
        <v>309</v>
      </c>
      <c r="N224" s="151" t="s">
        <v>487</v>
      </c>
      <c r="O224" s="151"/>
      <c r="P224" s="151" t="s">
        <v>381</v>
      </c>
      <c r="Q224" s="151" t="s">
        <v>295</v>
      </c>
      <c r="R224" s="150" t="s">
        <v>379</v>
      </c>
      <c r="S224" s="138"/>
      <c r="T224" s="138" t="s">
        <v>381</v>
      </c>
      <c r="U224" s="138" t="s">
        <v>295</v>
      </c>
      <c r="V224" s="157" t="s">
        <v>379</v>
      </c>
    </row>
    <row r="225" spans="1:22" outlineLevel="1">
      <c r="A225" s="157" t="s">
        <v>255</v>
      </c>
      <c r="B225" s="138" t="s">
        <v>349</v>
      </c>
      <c r="C225" s="148">
        <v>43549</v>
      </c>
      <c r="D225" s="138" t="s">
        <v>408</v>
      </c>
      <c r="E225" s="139" t="s">
        <v>541</v>
      </c>
      <c r="F225" s="140">
        <v>75390</v>
      </c>
      <c r="G225" s="141">
        <v>33.549999999999997</v>
      </c>
      <c r="H225" s="138">
        <v>44.54</v>
      </c>
      <c r="I225" s="138" t="s">
        <v>292</v>
      </c>
      <c r="J225" s="149">
        <v>44.54</v>
      </c>
      <c r="K225" s="150" t="s">
        <v>385</v>
      </c>
      <c r="L225" s="151" t="s">
        <v>396</v>
      </c>
      <c r="M225" s="151" t="s">
        <v>309</v>
      </c>
      <c r="N225" s="151" t="s">
        <v>489</v>
      </c>
      <c r="O225" s="151"/>
      <c r="P225" s="151" t="s">
        <v>381</v>
      </c>
      <c r="Q225" s="151" t="s">
        <v>295</v>
      </c>
      <c r="R225" s="150" t="s">
        <v>379</v>
      </c>
      <c r="S225" s="138"/>
      <c r="T225" s="138" t="s">
        <v>381</v>
      </c>
      <c r="U225" s="138" t="s">
        <v>295</v>
      </c>
      <c r="V225" s="157" t="s">
        <v>379</v>
      </c>
    </row>
    <row r="226" spans="1:22" outlineLevel="1">
      <c r="A226" s="157" t="s">
        <v>255</v>
      </c>
      <c r="B226" s="138" t="s">
        <v>349</v>
      </c>
      <c r="C226" s="148">
        <v>43553</v>
      </c>
      <c r="D226" s="138" t="s">
        <v>436</v>
      </c>
      <c r="E226" s="139" t="s">
        <v>494</v>
      </c>
      <c r="F226" s="140">
        <v>75358</v>
      </c>
      <c r="G226" s="141">
        <v>159.88999999999999</v>
      </c>
      <c r="H226" s="138">
        <v>212.27</v>
      </c>
      <c r="I226" s="138" t="s">
        <v>292</v>
      </c>
      <c r="J226" s="149">
        <v>212.27</v>
      </c>
      <c r="K226" s="150" t="s">
        <v>385</v>
      </c>
      <c r="L226" s="151" t="s">
        <v>400</v>
      </c>
      <c r="M226" s="151" t="s">
        <v>309</v>
      </c>
      <c r="N226" s="151" t="s">
        <v>495</v>
      </c>
      <c r="O226" s="151"/>
      <c r="P226" s="151" t="s">
        <v>381</v>
      </c>
      <c r="Q226" s="151" t="s">
        <v>295</v>
      </c>
      <c r="R226" s="150" t="s">
        <v>379</v>
      </c>
      <c r="S226" s="138"/>
      <c r="T226" s="138" t="s">
        <v>381</v>
      </c>
      <c r="U226" s="138" t="s">
        <v>295</v>
      </c>
      <c r="V226" s="157" t="s">
        <v>379</v>
      </c>
    </row>
    <row r="227" spans="1:22" outlineLevel="1">
      <c r="A227" s="157" t="s">
        <v>255</v>
      </c>
      <c r="B227" s="138" t="s">
        <v>349</v>
      </c>
      <c r="C227" s="148">
        <v>43553</v>
      </c>
      <c r="D227" s="138" t="s">
        <v>436</v>
      </c>
      <c r="E227" s="139" t="s">
        <v>496</v>
      </c>
      <c r="F227" s="140">
        <v>75358</v>
      </c>
      <c r="G227" s="141">
        <v>408.58</v>
      </c>
      <c r="H227" s="138">
        <v>542.44000000000005</v>
      </c>
      <c r="I227" s="138" t="s">
        <v>292</v>
      </c>
      <c r="J227" s="149">
        <v>542.44000000000005</v>
      </c>
      <c r="K227" s="150" t="s">
        <v>385</v>
      </c>
      <c r="L227" s="151" t="s">
        <v>400</v>
      </c>
      <c r="M227" s="151" t="s">
        <v>309</v>
      </c>
      <c r="N227" s="151" t="s">
        <v>497</v>
      </c>
      <c r="O227" s="151"/>
      <c r="P227" s="151" t="s">
        <v>381</v>
      </c>
      <c r="Q227" s="151" t="s">
        <v>295</v>
      </c>
      <c r="R227" s="150" t="s">
        <v>379</v>
      </c>
      <c r="S227" s="138"/>
      <c r="T227" s="138" t="s">
        <v>381</v>
      </c>
      <c r="U227" s="138" t="s">
        <v>295</v>
      </c>
      <c r="V227" s="157" t="s">
        <v>379</v>
      </c>
    </row>
    <row r="228" spans="1:22" outlineLevel="1">
      <c r="A228" s="157" t="s">
        <v>255</v>
      </c>
      <c r="B228" s="138" t="s">
        <v>349</v>
      </c>
      <c r="C228" s="148">
        <v>43553</v>
      </c>
      <c r="D228" s="138" t="s">
        <v>436</v>
      </c>
      <c r="E228" s="139" t="s">
        <v>498</v>
      </c>
      <c r="F228" s="140">
        <v>75358</v>
      </c>
      <c r="G228" s="141">
        <v>176.81</v>
      </c>
      <c r="H228" s="138">
        <v>234.74</v>
      </c>
      <c r="I228" s="138" t="s">
        <v>292</v>
      </c>
      <c r="J228" s="149">
        <v>234.74</v>
      </c>
      <c r="K228" s="150" t="s">
        <v>385</v>
      </c>
      <c r="L228" s="151" t="s">
        <v>400</v>
      </c>
      <c r="M228" s="151" t="s">
        <v>309</v>
      </c>
      <c r="N228" s="151" t="s">
        <v>499</v>
      </c>
      <c r="O228" s="151"/>
      <c r="P228" s="151" t="s">
        <v>381</v>
      </c>
      <c r="Q228" s="151" t="s">
        <v>295</v>
      </c>
      <c r="R228" s="150" t="s">
        <v>379</v>
      </c>
      <c r="S228" s="138"/>
      <c r="T228" s="138" t="s">
        <v>381</v>
      </c>
      <c r="U228" s="138" t="s">
        <v>295</v>
      </c>
      <c r="V228" s="157" t="s">
        <v>379</v>
      </c>
    </row>
    <row r="229" spans="1:22" outlineLevel="1">
      <c r="A229" s="157" t="s">
        <v>255</v>
      </c>
      <c r="B229" s="138" t="s">
        <v>349</v>
      </c>
      <c r="C229" s="148">
        <v>43549</v>
      </c>
      <c r="D229" s="138" t="s">
        <v>406</v>
      </c>
      <c r="E229" s="139" t="s">
        <v>542</v>
      </c>
      <c r="F229" s="140">
        <v>75390</v>
      </c>
      <c r="G229" s="141">
        <v>425.97</v>
      </c>
      <c r="H229" s="138">
        <v>565.53</v>
      </c>
      <c r="I229" s="138" t="s">
        <v>292</v>
      </c>
      <c r="J229" s="149">
        <v>565.52</v>
      </c>
      <c r="K229" s="150" t="s">
        <v>385</v>
      </c>
      <c r="L229" s="151" t="s">
        <v>396</v>
      </c>
      <c r="M229" s="151" t="s">
        <v>309</v>
      </c>
      <c r="N229" s="151" t="s">
        <v>501</v>
      </c>
      <c r="O229" s="151"/>
      <c r="P229" s="151" t="s">
        <v>381</v>
      </c>
      <c r="Q229" s="151" t="s">
        <v>295</v>
      </c>
      <c r="R229" s="150" t="s">
        <v>379</v>
      </c>
      <c r="S229" s="138"/>
      <c r="T229" s="138" t="s">
        <v>381</v>
      </c>
      <c r="U229" s="138" t="s">
        <v>295</v>
      </c>
      <c r="V229" s="157" t="s">
        <v>379</v>
      </c>
    </row>
    <row r="230" spans="1:22" outlineLevel="1">
      <c r="A230" s="157" t="s">
        <v>255</v>
      </c>
      <c r="B230" s="138" t="s">
        <v>349</v>
      </c>
      <c r="C230" s="148">
        <v>43549</v>
      </c>
      <c r="D230" s="138" t="s">
        <v>410</v>
      </c>
      <c r="E230" s="139" t="s">
        <v>543</v>
      </c>
      <c r="F230" s="140">
        <v>75390</v>
      </c>
      <c r="G230" s="141">
        <v>64.989999999999995</v>
      </c>
      <c r="H230" s="138">
        <v>86.28</v>
      </c>
      <c r="I230" s="138" t="s">
        <v>292</v>
      </c>
      <c r="J230" s="149">
        <v>86.28</v>
      </c>
      <c r="K230" s="150" t="s">
        <v>391</v>
      </c>
      <c r="L230" s="151" t="s">
        <v>396</v>
      </c>
      <c r="M230" s="151" t="s">
        <v>309</v>
      </c>
      <c r="N230" s="151" t="s">
        <v>501</v>
      </c>
      <c r="O230" s="151"/>
      <c r="P230" s="151" t="s">
        <v>381</v>
      </c>
      <c r="Q230" s="151" t="s">
        <v>295</v>
      </c>
      <c r="R230" s="150" t="s">
        <v>379</v>
      </c>
      <c r="S230" s="138"/>
      <c r="T230" s="138" t="s">
        <v>381</v>
      </c>
      <c r="U230" s="138" t="s">
        <v>295</v>
      </c>
      <c r="V230" s="157" t="s">
        <v>379</v>
      </c>
    </row>
    <row r="231" spans="1:22" outlineLevel="1">
      <c r="A231" s="157" t="s">
        <v>255</v>
      </c>
      <c r="B231" s="138" t="s">
        <v>349</v>
      </c>
      <c r="C231" s="148">
        <v>43553</v>
      </c>
      <c r="D231" s="138" t="s">
        <v>437</v>
      </c>
      <c r="E231" s="139" t="s">
        <v>544</v>
      </c>
      <c r="F231" s="140">
        <v>75358</v>
      </c>
      <c r="G231" s="141">
        <v>33.75</v>
      </c>
      <c r="H231" s="138">
        <v>44.81</v>
      </c>
      <c r="I231" s="138" t="s">
        <v>292</v>
      </c>
      <c r="J231" s="149">
        <v>44.81</v>
      </c>
      <c r="K231" s="150" t="s">
        <v>391</v>
      </c>
      <c r="L231" s="151" t="s">
        <v>400</v>
      </c>
      <c r="M231" s="151" t="s">
        <v>309</v>
      </c>
      <c r="N231" s="151" t="s">
        <v>491</v>
      </c>
      <c r="O231" s="151"/>
      <c r="P231" s="151" t="s">
        <v>381</v>
      </c>
      <c r="Q231" s="151" t="s">
        <v>295</v>
      </c>
      <c r="R231" s="150" t="s">
        <v>379</v>
      </c>
      <c r="S231" s="138"/>
      <c r="T231" s="138" t="s">
        <v>381</v>
      </c>
      <c r="U231" s="138" t="s">
        <v>295</v>
      </c>
      <c r="V231" s="157" t="s">
        <v>379</v>
      </c>
    </row>
    <row r="232" spans="1:22" outlineLevel="1">
      <c r="A232" s="157" t="s">
        <v>255</v>
      </c>
      <c r="B232" s="138" t="s">
        <v>349</v>
      </c>
      <c r="C232" s="148">
        <v>43553</v>
      </c>
      <c r="D232" s="138" t="s">
        <v>437</v>
      </c>
      <c r="E232" s="139" t="s">
        <v>503</v>
      </c>
      <c r="F232" s="140">
        <v>75358</v>
      </c>
      <c r="G232" s="141">
        <v>9.4499999999999993</v>
      </c>
      <c r="H232" s="138">
        <v>12.55</v>
      </c>
      <c r="I232" s="138" t="s">
        <v>292</v>
      </c>
      <c r="J232" s="149">
        <v>12.55</v>
      </c>
      <c r="K232" s="150" t="s">
        <v>391</v>
      </c>
      <c r="L232" s="151" t="s">
        <v>400</v>
      </c>
      <c r="M232" s="151" t="s">
        <v>309</v>
      </c>
      <c r="N232" s="151" t="s">
        <v>493</v>
      </c>
      <c r="O232" s="151"/>
      <c r="P232" s="151" t="s">
        <v>381</v>
      </c>
      <c r="Q232" s="151" t="s">
        <v>295</v>
      </c>
      <c r="R232" s="150" t="s">
        <v>379</v>
      </c>
      <c r="S232" s="138"/>
      <c r="T232" s="138" t="s">
        <v>381</v>
      </c>
      <c r="U232" s="138" t="s">
        <v>295</v>
      </c>
      <c r="V232" s="157" t="s">
        <v>379</v>
      </c>
    </row>
    <row r="233" spans="1:22" outlineLevel="1">
      <c r="A233" s="157" t="s">
        <v>255</v>
      </c>
      <c r="B233" s="138" t="s">
        <v>349</v>
      </c>
      <c r="C233" s="148">
        <v>43549</v>
      </c>
      <c r="D233" s="138" t="s">
        <v>410</v>
      </c>
      <c r="E233" s="139" t="s">
        <v>545</v>
      </c>
      <c r="F233" s="140">
        <v>75390</v>
      </c>
      <c r="G233" s="141">
        <v>47.39</v>
      </c>
      <c r="H233" s="138">
        <v>62.91</v>
      </c>
      <c r="I233" s="138" t="s">
        <v>292</v>
      </c>
      <c r="J233" s="149">
        <v>62.92</v>
      </c>
      <c r="K233" s="150" t="s">
        <v>391</v>
      </c>
      <c r="L233" s="151" t="s">
        <v>396</v>
      </c>
      <c r="M233" s="151" t="s">
        <v>309</v>
      </c>
      <c r="N233" s="151" t="s">
        <v>489</v>
      </c>
      <c r="O233" s="151"/>
      <c r="P233" s="151" t="s">
        <v>381</v>
      </c>
      <c r="Q233" s="151" t="s">
        <v>295</v>
      </c>
      <c r="R233" s="150" t="s">
        <v>379</v>
      </c>
      <c r="S233" s="138"/>
      <c r="T233" s="138" t="s">
        <v>381</v>
      </c>
      <c r="U233" s="138" t="s">
        <v>295</v>
      </c>
      <c r="V233" s="157" t="s">
        <v>379</v>
      </c>
    </row>
    <row r="234" spans="1:22" outlineLevel="1">
      <c r="A234" s="157" t="s">
        <v>255</v>
      </c>
      <c r="B234" s="138" t="s">
        <v>349</v>
      </c>
      <c r="C234" s="148">
        <v>43549</v>
      </c>
      <c r="D234" s="138" t="s">
        <v>410</v>
      </c>
      <c r="E234" s="139" t="s">
        <v>546</v>
      </c>
      <c r="F234" s="140">
        <v>75390</v>
      </c>
      <c r="G234" s="141">
        <v>11.3</v>
      </c>
      <c r="H234" s="138">
        <v>15</v>
      </c>
      <c r="I234" s="138" t="s">
        <v>292</v>
      </c>
      <c r="J234" s="149">
        <v>15</v>
      </c>
      <c r="K234" s="150" t="s">
        <v>391</v>
      </c>
      <c r="L234" s="151" t="s">
        <v>396</v>
      </c>
      <c r="M234" s="151" t="s">
        <v>309</v>
      </c>
      <c r="N234" s="151" t="s">
        <v>487</v>
      </c>
      <c r="O234" s="151"/>
      <c r="P234" s="151" t="s">
        <v>381</v>
      </c>
      <c r="Q234" s="151" t="s">
        <v>295</v>
      </c>
      <c r="R234" s="150" t="s">
        <v>379</v>
      </c>
      <c r="S234" s="138"/>
      <c r="T234" s="138" t="s">
        <v>381</v>
      </c>
      <c r="U234" s="138" t="s">
        <v>295</v>
      </c>
      <c r="V234" s="157" t="s">
        <v>379</v>
      </c>
    </row>
    <row r="235" spans="1:22" outlineLevel="1">
      <c r="A235" s="157" t="s">
        <v>255</v>
      </c>
      <c r="B235" s="138" t="s">
        <v>349</v>
      </c>
      <c r="C235" s="148">
        <v>43553</v>
      </c>
      <c r="D235" s="138" t="s">
        <v>437</v>
      </c>
      <c r="E235" s="139" t="s">
        <v>506</v>
      </c>
      <c r="F235" s="140">
        <v>75358</v>
      </c>
      <c r="G235" s="141">
        <v>19.37</v>
      </c>
      <c r="H235" s="138">
        <v>25.71</v>
      </c>
      <c r="I235" s="138" t="s">
        <v>292</v>
      </c>
      <c r="J235" s="149">
        <v>25.72</v>
      </c>
      <c r="K235" s="150" t="s">
        <v>391</v>
      </c>
      <c r="L235" s="151" t="s">
        <v>400</v>
      </c>
      <c r="M235" s="151" t="s">
        <v>309</v>
      </c>
      <c r="N235" s="151" t="s">
        <v>495</v>
      </c>
      <c r="O235" s="151"/>
      <c r="P235" s="151" t="s">
        <v>381</v>
      </c>
      <c r="Q235" s="151" t="s">
        <v>295</v>
      </c>
      <c r="R235" s="150" t="s">
        <v>379</v>
      </c>
      <c r="S235" s="138"/>
      <c r="T235" s="138" t="s">
        <v>381</v>
      </c>
      <c r="U235" s="138" t="s">
        <v>295</v>
      </c>
      <c r="V235" s="157" t="s">
        <v>379</v>
      </c>
    </row>
    <row r="236" spans="1:22" outlineLevel="1">
      <c r="A236" s="157" t="s">
        <v>255</v>
      </c>
      <c r="B236" s="138" t="s">
        <v>349</v>
      </c>
      <c r="C236" s="148">
        <v>43553</v>
      </c>
      <c r="D236" s="138" t="s">
        <v>437</v>
      </c>
      <c r="E236" s="139" t="s">
        <v>507</v>
      </c>
      <c r="F236" s="140">
        <v>75358</v>
      </c>
      <c r="G236" s="141">
        <v>54.89</v>
      </c>
      <c r="H236" s="138">
        <v>72.87</v>
      </c>
      <c r="I236" s="138" t="s">
        <v>292</v>
      </c>
      <c r="J236" s="149">
        <v>72.87</v>
      </c>
      <c r="K236" s="150" t="s">
        <v>391</v>
      </c>
      <c r="L236" s="151" t="s">
        <v>400</v>
      </c>
      <c r="M236" s="151" t="s">
        <v>309</v>
      </c>
      <c r="N236" s="151" t="s">
        <v>497</v>
      </c>
      <c r="O236" s="151"/>
      <c r="P236" s="151" t="s">
        <v>381</v>
      </c>
      <c r="Q236" s="151" t="s">
        <v>295</v>
      </c>
      <c r="R236" s="150" t="s">
        <v>379</v>
      </c>
      <c r="S236" s="138"/>
      <c r="T236" s="138" t="s">
        <v>381</v>
      </c>
      <c r="U236" s="138" t="s">
        <v>295</v>
      </c>
      <c r="V236" s="157" t="s">
        <v>379</v>
      </c>
    </row>
    <row r="237" spans="1:22" outlineLevel="1">
      <c r="A237" s="157" t="s">
        <v>255</v>
      </c>
      <c r="B237" s="138" t="s">
        <v>349</v>
      </c>
      <c r="C237" s="148">
        <v>43553</v>
      </c>
      <c r="D237" s="138" t="s">
        <v>437</v>
      </c>
      <c r="E237" s="139" t="s">
        <v>508</v>
      </c>
      <c r="F237" s="140">
        <v>75358</v>
      </c>
      <c r="G237" s="141">
        <v>24.94</v>
      </c>
      <c r="H237" s="138">
        <v>33.11</v>
      </c>
      <c r="I237" s="138" t="s">
        <v>292</v>
      </c>
      <c r="J237" s="149">
        <v>33.11</v>
      </c>
      <c r="K237" s="150" t="s">
        <v>391</v>
      </c>
      <c r="L237" s="151" t="s">
        <v>400</v>
      </c>
      <c r="M237" s="151" t="s">
        <v>309</v>
      </c>
      <c r="N237" s="151" t="s">
        <v>499</v>
      </c>
      <c r="O237" s="151"/>
      <c r="P237" s="151" t="s">
        <v>381</v>
      </c>
      <c r="Q237" s="151" t="s">
        <v>295</v>
      </c>
      <c r="R237" s="150" t="s">
        <v>379</v>
      </c>
      <c r="S237" s="138"/>
      <c r="T237" s="138" t="s">
        <v>381</v>
      </c>
      <c r="U237" s="138" t="s">
        <v>295</v>
      </c>
      <c r="V237" s="157" t="s">
        <v>379</v>
      </c>
    </row>
    <row r="238" spans="1:22" outlineLevel="1">
      <c r="A238" s="157" t="s">
        <v>255</v>
      </c>
      <c r="B238" s="138" t="s">
        <v>349</v>
      </c>
      <c r="C238" s="148">
        <v>43528</v>
      </c>
      <c r="D238" s="138" t="s">
        <v>412</v>
      </c>
      <c r="E238" s="139" t="s">
        <v>547</v>
      </c>
      <c r="F238" s="140">
        <v>75390</v>
      </c>
      <c r="G238" s="141">
        <v>0.09</v>
      </c>
      <c r="H238" s="138">
        <v>0.12</v>
      </c>
      <c r="I238" s="138" t="s">
        <v>292</v>
      </c>
      <c r="J238" s="149">
        <v>0.12</v>
      </c>
      <c r="K238" s="150" t="s">
        <v>405</v>
      </c>
      <c r="L238" s="151" t="s">
        <v>396</v>
      </c>
      <c r="M238" s="151" t="s">
        <v>309</v>
      </c>
      <c r="N238" s="151" t="s">
        <v>487</v>
      </c>
      <c r="O238" s="151"/>
      <c r="P238" s="151" t="s">
        <v>381</v>
      </c>
      <c r="Q238" s="151" t="s">
        <v>295</v>
      </c>
      <c r="R238" s="150" t="s">
        <v>379</v>
      </c>
      <c r="S238" s="138"/>
      <c r="T238" s="138" t="s">
        <v>381</v>
      </c>
      <c r="U238" s="138" t="s">
        <v>295</v>
      </c>
      <c r="V238" s="157" t="s">
        <v>379</v>
      </c>
    </row>
    <row r="239" spans="1:22" outlineLevel="1">
      <c r="A239" s="157" t="s">
        <v>255</v>
      </c>
      <c r="B239" s="138" t="s">
        <v>349</v>
      </c>
      <c r="C239" s="148">
        <v>43528</v>
      </c>
      <c r="D239" s="138" t="s">
        <v>412</v>
      </c>
      <c r="E239" s="139" t="s">
        <v>548</v>
      </c>
      <c r="F239" s="140">
        <v>75390</v>
      </c>
      <c r="G239" s="141">
        <v>0.6</v>
      </c>
      <c r="H239" s="138">
        <v>0.8</v>
      </c>
      <c r="I239" s="138" t="s">
        <v>292</v>
      </c>
      <c r="J239" s="149">
        <v>0.8</v>
      </c>
      <c r="K239" s="150" t="s">
        <v>405</v>
      </c>
      <c r="L239" s="151" t="s">
        <v>396</v>
      </c>
      <c r="M239" s="151" t="s">
        <v>309</v>
      </c>
      <c r="N239" s="151" t="s">
        <v>501</v>
      </c>
      <c r="O239" s="151"/>
      <c r="P239" s="151" t="s">
        <v>381</v>
      </c>
      <c r="Q239" s="151" t="s">
        <v>295</v>
      </c>
      <c r="R239" s="150" t="s">
        <v>379</v>
      </c>
      <c r="S239" s="138"/>
      <c r="T239" s="138" t="s">
        <v>381</v>
      </c>
      <c r="U239" s="138" t="s">
        <v>295</v>
      </c>
      <c r="V239" s="157" t="s">
        <v>379</v>
      </c>
    </row>
    <row r="240" spans="1:22" outlineLevel="1">
      <c r="A240" s="157" t="s">
        <v>255</v>
      </c>
      <c r="B240" s="138" t="s">
        <v>349</v>
      </c>
      <c r="C240" s="148">
        <v>43549</v>
      </c>
      <c r="D240" s="138" t="s">
        <v>414</v>
      </c>
      <c r="E240" s="139" t="s">
        <v>549</v>
      </c>
      <c r="F240" s="140">
        <v>75390</v>
      </c>
      <c r="G240" s="141">
        <v>10.83</v>
      </c>
      <c r="H240" s="138">
        <v>14.38</v>
      </c>
      <c r="I240" s="138" t="s">
        <v>292</v>
      </c>
      <c r="J240" s="149">
        <v>14.38</v>
      </c>
      <c r="K240" s="150" t="s">
        <v>405</v>
      </c>
      <c r="L240" s="151" t="s">
        <v>396</v>
      </c>
      <c r="M240" s="151" t="s">
        <v>309</v>
      </c>
      <c r="N240" s="151" t="s">
        <v>501</v>
      </c>
      <c r="O240" s="151"/>
      <c r="P240" s="151" t="s">
        <v>381</v>
      </c>
      <c r="Q240" s="151" t="s">
        <v>295</v>
      </c>
      <c r="R240" s="150" t="s">
        <v>379</v>
      </c>
      <c r="S240" s="138"/>
      <c r="T240" s="138" t="s">
        <v>381</v>
      </c>
      <c r="U240" s="138" t="s">
        <v>295</v>
      </c>
      <c r="V240" s="157" t="s">
        <v>379</v>
      </c>
    </row>
    <row r="241" spans="1:22" outlineLevel="1">
      <c r="A241" s="157" t="s">
        <v>255</v>
      </c>
      <c r="B241" s="138" t="s">
        <v>349</v>
      </c>
      <c r="C241" s="148">
        <v>43528</v>
      </c>
      <c r="D241" s="138" t="s">
        <v>412</v>
      </c>
      <c r="E241" s="139" t="s">
        <v>550</v>
      </c>
      <c r="F241" s="140">
        <v>75390</v>
      </c>
      <c r="G241" s="141">
        <v>0.26</v>
      </c>
      <c r="H241" s="138">
        <v>0.35</v>
      </c>
      <c r="I241" s="138" t="s">
        <v>292</v>
      </c>
      <c r="J241" s="149">
        <v>0.35</v>
      </c>
      <c r="K241" s="150" t="s">
        <v>405</v>
      </c>
      <c r="L241" s="151" t="s">
        <v>396</v>
      </c>
      <c r="M241" s="151" t="s">
        <v>309</v>
      </c>
      <c r="N241" s="151" t="s">
        <v>489</v>
      </c>
      <c r="O241" s="151"/>
      <c r="P241" s="151" t="s">
        <v>381</v>
      </c>
      <c r="Q241" s="151" t="s">
        <v>295</v>
      </c>
      <c r="R241" s="150" t="s">
        <v>379</v>
      </c>
      <c r="S241" s="138"/>
      <c r="T241" s="138" t="s">
        <v>381</v>
      </c>
      <c r="U241" s="138" t="s">
        <v>295</v>
      </c>
      <c r="V241" s="157" t="s">
        <v>379</v>
      </c>
    </row>
    <row r="242" spans="1:22" outlineLevel="1">
      <c r="A242" s="157" t="s">
        <v>255</v>
      </c>
      <c r="B242" s="138" t="s">
        <v>349</v>
      </c>
      <c r="C242" s="148">
        <v>43553</v>
      </c>
      <c r="D242" s="138" t="s">
        <v>439</v>
      </c>
      <c r="E242" s="139" t="s">
        <v>518</v>
      </c>
      <c r="F242" s="140">
        <v>75358</v>
      </c>
      <c r="G242" s="141">
        <v>5.63</v>
      </c>
      <c r="H242" s="138">
        <v>7.47</v>
      </c>
      <c r="I242" s="138" t="s">
        <v>292</v>
      </c>
      <c r="J242" s="149">
        <v>7.47</v>
      </c>
      <c r="K242" s="150" t="s">
        <v>405</v>
      </c>
      <c r="L242" s="151" t="s">
        <v>400</v>
      </c>
      <c r="M242" s="151" t="s">
        <v>309</v>
      </c>
      <c r="N242" s="151" t="s">
        <v>491</v>
      </c>
      <c r="O242" s="151"/>
      <c r="P242" s="151" t="s">
        <v>381</v>
      </c>
      <c r="Q242" s="151" t="s">
        <v>295</v>
      </c>
      <c r="R242" s="150" t="s">
        <v>379</v>
      </c>
      <c r="S242" s="138"/>
      <c r="T242" s="138" t="s">
        <v>381</v>
      </c>
      <c r="U242" s="138" t="s">
        <v>295</v>
      </c>
      <c r="V242" s="157" t="s">
        <v>379</v>
      </c>
    </row>
    <row r="243" spans="1:22" outlineLevel="1">
      <c r="A243" s="157" t="s">
        <v>255</v>
      </c>
      <c r="B243" s="138" t="s">
        <v>349</v>
      </c>
      <c r="C243" s="148">
        <v>43553</v>
      </c>
      <c r="D243" s="138" t="s">
        <v>439</v>
      </c>
      <c r="E243" s="139" t="s">
        <v>519</v>
      </c>
      <c r="F243" s="140">
        <v>75358</v>
      </c>
      <c r="G243" s="141">
        <v>1.57</v>
      </c>
      <c r="H243" s="138">
        <v>2.09</v>
      </c>
      <c r="I243" s="138" t="s">
        <v>292</v>
      </c>
      <c r="J243" s="149">
        <v>2.08</v>
      </c>
      <c r="K243" s="150" t="s">
        <v>405</v>
      </c>
      <c r="L243" s="151" t="s">
        <v>400</v>
      </c>
      <c r="M243" s="151" t="s">
        <v>309</v>
      </c>
      <c r="N243" s="151" t="s">
        <v>493</v>
      </c>
      <c r="O243" s="151"/>
      <c r="P243" s="151" t="s">
        <v>381</v>
      </c>
      <c r="Q243" s="151" t="s">
        <v>295</v>
      </c>
      <c r="R243" s="150" t="s">
        <v>379</v>
      </c>
      <c r="S243" s="138"/>
      <c r="T243" s="138" t="s">
        <v>381</v>
      </c>
      <c r="U243" s="138" t="s">
        <v>295</v>
      </c>
      <c r="V243" s="157" t="s">
        <v>379</v>
      </c>
    </row>
    <row r="244" spans="1:22" outlineLevel="1">
      <c r="A244" s="157" t="s">
        <v>255</v>
      </c>
      <c r="B244" s="138" t="s">
        <v>349</v>
      </c>
      <c r="C244" s="148">
        <v>43553</v>
      </c>
      <c r="D244" s="138" t="s">
        <v>439</v>
      </c>
      <c r="E244" s="139" t="s">
        <v>513</v>
      </c>
      <c r="F244" s="140">
        <v>75358</v>
      </c>
      <c r="G244" s="141">
        <v>3.21</v>
      </c>
      <c r="H244" s="138">
        <v>4.26</v>
      </c>
      <c r="I244" s="138" t="s">
        <v>292</v>
      </c>
      <c r="J244" s="149">
        <v>4.26</v>
      </c>
      <c r="K244" s="150" t="s">
        <v>405</v>
      </c>
      <c r="L244" s="151" t="s">
        <v>400</v>
      </c>
      <c r="M244" s="151" t="s">
        <v>309</v>
      </c>
      <c r="N244" s="151" t="s">
        <v>495</v>
      </c>
      <c r="O244" s="151"/>
      <c r="P244" s="151" t="s">
        <v>381</v>
      </c>
      <c r="Q244" s="151" t="s">
        <v>295</v>
      </c>
      <c r="R244" s="150" t="s">
        <v>379</v>
      </c>
      <c r="S244" s="138"/>
      <c r="T244" s="138" t="s">
        <v>381</v>
      </c>
      <c r="U244" s="138" t="s">
        <v>295</v>
      </c>
      <c r="V244" s="157" t="s">
        <v>379</v>
      </c>
    </row>
    <row r="245" spans="1:22" outlineLevel="1">
      <c r="A245" s="157" t="s">
        <v>255</v>
      </c>
      <c r="B245" s="138" t="s">
        <v>349</v>
      </c>
      <c r="C245" s="148">
        <v>43553</v>
      </c>
      <c r="D245" s="138" t="s">
        <v>439</v>
      </c>
      <c r="E245" s="139" t="s">
        <v>514</v>
      </c>
      <c r="F245" s="140">
        <v>75358</v>
      </c>
      <c r="G245" s="141">
        <v>9.15</v>
      </c>
      <c r="H245" s="138">
        <v>12.15</v>
      </c>
      <c r="I245" s="138" t="s">
        <v>292</v>
      </c>
      <c r="J245" s="149">
        <v>12.15</v>
      </c>
      <c r="K245" s="150" t="s">
        <v>405</v>
      </c>
      <c r="L245" s="151" t="s">
        <v>400</v>
      </c>
      <c r="M245" s="151" t="s">
        <v>309</v>
      </c>
      <c r="N245" s="151" t="s">
        <v>497</v>
      </c>
      <c r="O245" s="151"/>
      <c r="P245" s="151" t="s">
        <v>381</v>
      </c>
      <c r="Q245" s="151" t="s">
        <v>295</v>
      </c>
      <c r="R245" s="150" t="s">
        <v>379</v>
      </c>
      <c r="S245" s="138"/>
      <c r="T245" s="138" t="s">
        <v>381</v>
      </c>
      <c r="U245" s="138" t="s">
        <v>295</v>
      </c>
      <c r="V245" s="157" t="s">
        <v>379</v>
      </c>
    </row>
    <row r="246" spans="1:22" outlineLevel="1">
      <c r="A246" s="157" t="s">
        <v>255</v>
      </c>
      <c r="B246" s="138" t="s">
        <v>349</v>
      </c>
      <c r="C246" s="148">
        <v>43553</v>
      </c>
      <c r="D246" s="138" t="s">
        <v>439</v>
      </c>
      <c r="E246" s="139" t="s">
        <v>515</v>
      </c>
      <c r="F246" s="140">
        <v>75358</v>
      </c>
      <c r="G246" s="141">
        <v>4.16</v>
      </c>
      <c r="H246" s="138">
        <v>5.52</v>
      </c>
      <c r="I246" s="138" t="s">
        <v>292</v>
      </c>
      <c r="J246" s="149">
        <v>5.52</v>
      </c>
      <c r="K246" s="150" t="s">
        <v>405</v>
      </c>
      <c r="L246" s="151" t="s">
        <v>400</v>
      </c>
      <c r="M246" s="151" t="s">
        <v>309</v>
      </c>
      <c r="N246" s="151" t="s">
        <v>499</v>
      </c>
      <c r="O246" s="151"/>
      <c r="P246" s="151" t="s">
        <v>381</v>
      </c>
      <c r="Q246" s="151" t="s">
        <v>295</v>
      </c>
      <c r="R246" s="150" t="s">
        <v>379</v>
      </c>
      <c r="S246" s="138"/>
      <c r="T246" s="138" t="s">
        <v>381</v>
      </c>
      <c r="U246" s="138" t="s">
        <v>295</v>
      </c>
      <c r="V246" s="157" t="s">
        <v>379</v>
      </c>
    </row>
    <row r="247" spans="1:22" outlineLevel="1">
      <c r="A247" s="157" t="s">
        <v>255</v>
      </c>
      <c r="B247" s="138" t="s">
        <v>349</v>
      </c>
      <c r="C247" s="148">
        <v>43552</v>
      </c>
      <c r="D247" s="138" t="s">
        <v>438</v>
      </c>
      <c r="E247" s="139" t="s">
        <v>520</v>
      </c>
      <c r="F247" s="140">
        <v>75358</v>
      </c>
      <c r="G247" s="141">
        <v>0.38</v>
      </c>
      <c r="H247" s="138">
        <v>0.5</v>
      </c>
      <c r="I247" s="138" t="s">
        <v>292</v>
      </c>
      <c r="J247" s="149">
        <v>0.5</v>
      </c>
      <c r="K247" s="150" t="s">
        <v>405</v>
      </c>
      <c r="L247" s="151" t="s">
        <v>400</v>
      </c>
      <c r="M247" s="151" t="s">
        <v>309</v>
      </c>
      <c r="N247" s="151" t="s">
        <v>491</v>
      </c>
      <c r="O247" s="151"/>
      <c r="P247" s="151" t="s">
        <v>381</v>
      </c>
      <c r="Q247" s="151" t="s">
        <v>295</v>
      </c>
      <c r="R247" s="150" t="s">
        <v>379</v>
      </c>
      <c r="S247" s="138"/>
      <c r="T247" s="138" t="s">
        <v>381</v>
      </c>
      <c r="U247" s="138" t="s">
        <v>295</v>
      </c>
      <c r="V247" s="157" t="s">
        <v>379</v>
      </c>
    </row>
    <row r="248" spans="1:22" outlineLevel="1">
      <c r="A248" s="157" t="s">
        <v>255</v>
      </c>
      <c r="B248" s="138" t="s">
        <v>349</v>
      </c>
      <c r="C248" s="148">
        <v>43552</v>
      </c>
      <c r="D248" s="138" t="s">
        <v>438</v>
      </c>
      <c r="E248" s="139" t="s">
        <v>521</v>
      </c>
      <c r="F248" s="140">
        <v>75358</v>
      </c>
      <c r="G248" s="141">
        <v>0.11</v>
      </c>
      <c r="H248" s="138">
        <v>0.14000000000000001</v>
      </c>
      <c r="I248" s="138" t="s">
        <v>292</v>
      </c>
      <c r="J248" s="149">
        <v>0.15</v>
      </c>
      <c r="K248" s="150" t="s">
        <v>405</v>
      </c>
      <c r="L248" s="151" t="s">
        <v>400</v>
      </c>
      <c r="M248" s="151" t="s">
        <v>309</v>
      </c>
      <c r="N248" s="151" t="s">
        <v>493</v>
      </c>
      <c r="O248" s="151"/>
      <c r="P248" s="151" t="s">
        <v>381</v>
      </c>
      <c r="Q248" s="151" t="s">
        <v>295</v>
      </c>
      <c r="R248" s="150" t="s">
        <v>379</v>
      </c>
      <c r="S248" s="138"/>
      <c r="T248" s="138" t="s">
        <v>381</v>
      </c>
      <c r="U248" s="138" t="s">
        <v>295</v>
      </c>
      <c r="V248" s="157" t="s">
        <v>379</v>
      </c>
    </row>
    <row r="249" spans="1:22" outlineLevel="1">
      <c r="A249" s="157" t="s">
        <v>255</v>
      </c>
      <c r="B249" s="138" t="s">
        <v>349</v>
      </c>
      <c r="C249" s="148">
        <v>43549</v>
      </c>
      <c r="D249" s="138" t="s">
        <v>414</v>
      </c>
      <c r="E249" s="139" t="s">
        <v>551</v>
      </c>
      <c r="F249" s="140">
        <v>75390</v>
      </c>
      <c r="G249" s="141">
        <v>1.88</v>
      </c>
      <c r="H249" s="138">
        <v>2.5</v>
      </c>
      <c r="I249" s="138" t="s">
        <v>292</v>
      </c>
      <c r="J249" s="149">
        <v>2.5</v>
      </c>
      <c r="K249" s="150" t="s">
        <v>405</v>
      </c>
      <c r="L249" s="151" t="s">
        <v>396</v>
      </c>
      <c r="M249" s="151" t="s">
        <v>309</v>
      </c>
      <c r="N249" s="151" t="s">
        <v>487</v>
      </c>
      <c r="O249" s="151"/>
      <c r="P249" s="151" t="s">
        <v>381</v>
      </c>
      <c r="Q249" s="151" t="s">
        <v>295</v>
      </c>
      <c r="R249" s="150" t="s">
        <v>379</v>
      </c>
      <c r="S249" s="138"/>
      <c r="T249" s="138" t="s">
        <v>381</v>
      </c>
      <c r="U249" s="138" t="s">
        <v>295</v>
      </c>
      <c r="V249" s="157" t="s">
        <v>379</v>
      </c>
    </row>
    <row r="250" spans="1:22" outlineLevel="1">
      <c r="A250" s="157" t="s">
        <v>255</v>
      </c>
      <c r="B250" s="138" t="s">
        <v>349</v>
      </c>
      <c r="C250" s="148">
        <v>43549</v>
      </c>
      <c r="D250" s="138" t="s">
        <v>414</v>
      </c>
      <c r="E250" s="139" t="s">
        <v>552</v>
      </c>
      <c r="F250" s="140">
        <v>75390</v>
      </c>
      <c r="G250" s="141">
        <v>7.9</v>
      </c>
      <c r="H250" s="138">
        <v>10.49</v>
      </c>
      <c r="I250" s="138" t="s">
        <v>292</v>
      </c>
      <c r="J250" s="149">
        <v>10.49</v>
      </c>
      <c r="K250" s="150" t="s">
        <v>405</v>
      </c>
      <c r="L250" s="151" t="s">
        <v>396</v>
      </c>
      <c r="M250" s="151" t="s">
        <v>309</v>
      </c>
      <c r="N250" s="151" t="s">
        <v>489</v>
      </c>
      <c r="O250" s="151"/>
      <c r="P250" s="151" t="s">
        <v>381</v>
      </c>
      <c r="Q250" s="151" t="s">
        <v>295</v>
      </c>
      <c r="R250" s="150" t="s">
        <v>379</v>
      </c>
      <c r="S250" s="138"/>
      <c r="T250" s="138" t="s">
        <v>381</v>
      </c>
      <c r="U250" s="138" t="s">
        <v>295</v>
      </c>
      <c r="V250" s="157" t="s">
        <v>379</v>
      </c>
    </row>
    <row r="251" spans="1:22" outlineLevel="1">
      <c r="A251" s="157" t="s">
        <v>255</v>
      </c>
      <c r="B251" s="138" t="s">
        <v>349</v>
      </c>
      <c r="C251" s="148">
        <v>43552</v>
      </c>
      <c r="D251" s="138" t="s">
        <v>438</v>
      </c>
      <c r="E251" s="139" t="s">
        <v>509</v>
      </c>
      <c r="F251" s="140">
        <v>75358</v>
      </c>
      <c r="G251" s="141">
        <v>0.22</v>
      </c>
      <c r="H251" s="138">
        <v>0.28999999999999998</v>
      </c>
      <c r="I251" s="138" t="s">
        <v>292</v>
      </c>
      <c r="J251" s="149">
        <v>0.28999999999999998</v>
      </c>
      <c r="K251" s="150" t="s">
        <v>405</v>
      </c>
      <c r="L251" s="151" t="s">
        <v>400</v>
      </c>
      <c r="M251" s="151" t="s">
        <v>309</v>
      </c>
      <c r="N251" s="151" t="s">
        <v>495</v>
      </c>
      <c r="O251" s="151"/>
      <c r="P251" s="151" t="s">
        <v>381</v>
      </c>
      <c r="Q251" s="151" t="s">
        <v>295</v>
      </c>
      <c r="R251" s="150" t="s">
        <v>379</v>
      </c>
      <c r="S251" s="138"/>
      <c r="T251" s="138" t="s">
        <v>381</v>
      </c>
      <c r="U251" s="138" t="s">
        <v>295</v>
      </c>
      <c r="V251" s="157" t="s">
        <v>379</v>
      </c>
    </row>
    <row r="252" spans="1:22" outlineLevel="1">
      <c r="A252" s="157" t="s">
        <v>255</v>
      </c>
      <c r="B252" s="138" t="s">
        <v>349</v>
      </c>
      <c r="C252" s="148">
        <v>43552</v>
      </c>
      <c r="D252" s="138" t="s">
        <v>438</v>
      </c>
      <c r="E252" s="139" t="s">
        <v>510</v>
      </c>
      <c r="F252" s="140">
        <v>75358</v>
      </c>
      <c r="G252" s="141">
        <v>0.61</v>
      </c>
      <c r="H252" s="138">
        <v>0.81</v>
      </c>
      <c r="I252" s="138" t="s">
        <v>292</v>
      </c>
      <c r="J252" s="149">
        <v>0.81</v>
      </c>
      <c r="K252" s="150" t="s">
        <v>405</v>
      </c>
      <c r="L252" s="151" t="s">
        <v>400</v>
      </c>
      <c r="M252" s="151" t="s">
        <v>309</v>
      </c>
      <c r="N252" s="151" t="s">
        <v>497</v>
      </c>
      <c r="O252" s="151"/>
      <c r="P252" s="151" t="s">
        <v>381</v>
      </c>
      <c r="Q252" s="151" t="s">
        <v>295</v>
      </c>
      <c r="R252" s="150" t="s">
        <v>379</v>
      </c>
      <c r="S252" s="138"/>
      <c r="T252" s="138" t="s">
        <v>381</v>
      </c>
      <c r="U252" s="138" t="s">
        <v>295</v>
      </c>
      <c r="V252" s="157" t="s">
        <v>379</v>
      </c>
    </row>
    <row r="253" spans="1:22" outlineLevel="1">
      <c r="A253" s="157" t="s">
        <v>255</v>
      </c>
      <c r="B253" s="138" t="s">
        <v>349</v>
      </c>
      <c r="C253" s="148">
        <v>43552</v>
      </c>
      <c r="D253" s="138" t="s">
        <v>438</v>
      </c>
      <c r="E253" s="139" t="s">
        <v>511</v>
      </c>
      <c r="F253" s="140">
        <v>75358</v>
      </c>
      <c r="G253" s="141">
        <v>0.28000000000000003</v>
      </c>
      <c r="H253" s="138">
        <v>0.37</v>
      </c>
      <c r="I253" s="138" t="s">
        <v>292</v>
      </c>
      <c r="J253" s="149">
        <v>0.37</v>
      </c>
      <c r="K253" s="150" t="s">
        <v>405</v>
      </c>
      <c r="L253" s="151" t="s">
        <v>400</v>
      </c>
      <c r="M253" s="151" t="s">
        <v>309</v>
      </c>
      <c r="N253" s="151" t="s">
        <v>499</v>
      </c>
      <c r="O253" s="151"/>
      <c r="P253" s="151" t="s">
        <v>381</v>
      </c>
      <c r="Q253" s="151" t="s">
        <v>295</v>
      </c>
      <c r="R253" s="150" t="s">
        <v>379</v>
      </c>
      <c r="S253" s="138"/>
      <c r="T253" s="138" t="s">
        <v>381</v>
      </c>
      <c r="U253" s="138" t="s">
        <v>295</v>
      </c>
      <c r="V253" s="157" t="s">
        <v>379</v>
      </c>
    </row>
    <row r="254" spans="1:22">
      <c r="A254" s="152" t="s">
        <v>378</v>
      </c>
      <c r="B254" s="152"/>
      <c r="C254" s="152"/>
      <c r="D254" s="152"/>
      <c r="E254" s="153"/>
      <c r="F254" s="154"/>
      <c r="G254" s="155">
        <f>SUM(G156:G253)</f>
        <v>7360.2</v>
      </c>
      <c r="H254" s="156">
        <f>SUM(H156:H253)</f>
        <v>9616.7599999999984</v>
      </c>
      <c r="I254" s="152"/>
      <c r="J254" s="156">
        <f>SUM(J156:J253)</f>
        <v>9616.7599999999966</v>
      </c>
      <c r="K254" s="152"/>
      <c r="L254" s="152"/>
      <c r="M254" s="152"/>
      <c r="N254" s="152"/>
      <c r="O254" s="152"/>
      <c r="P254" s="152"/>
      <c r="Q254" s="152"/>
      <c r="R254" s="152"/>
      <c r="S254" s="138"/>
      <c r="T254" s="138"/>
      <c r="U254" s="138"/>
      <c r="V254" s="138"/>
    </row>
    <row r="255" spans="1:22" outlineLevel="1">
      <c r="A255" s="157" t="s">
        <v>256</v>
      </c>
      <c r="B255" s="138" t="s">
        <v>382</v>
      </c>
      <c r="C255" s="148">
        <v>43496</v>
      </c>
      <c r="D255" s="138" t="s">
        <v>553</v>
      </c>
      <c r="E255" s="139" t="s">
        <v>554</v>
      </c>
      <c r="F255" s="140">
        <v>74791</v>
      </c>
      <c r="G255" s="141">
        <v>32.659999999999997</v>
      </c>
      <c r="H255" s="138">
        <v>41.67</v>
      </c>
      <c r="I255" s="138" t="s">
        <v>292</v>
      </c>
      <c r="J255" s="149">
        <v>41.67</v>
      </c>
      <c r="K255" s="150" t="s">
        <v>555</v>
      </c>
      <c r="L255" s="151" t="s">
        <v>400</v>
      </c>
      <c r="M255" s="151" t="s">
        <v>309</v>
      </c>
      <c r="N255" s="151" t="s">
        <v>556</v>
      </c>
      <c r="O255" s="151"/>
      <c r="P255" s="151" t="s">
        <v>381</v>
      </c>
      <c r="Q255" s="151" t="s">
        <v>295</v>
      </c>
      <c r="R255" s="150" t="s">
        <v>379</v>
      </c>
      <c r="S255" s="138"/>
      <c r="T255" s="138" t="s">
        <v>381</v>
      </c>
      <c r="U255" s="138" t="s">
        <v>295</v>
      </c>
      <c r="V255" s="157" t="s">
        <v>379</v>
      </c>
    </row>
    <row r="256" spans="1:22" outlineLevel="1">
      <c r="A256" s="157" t="s">
        <v>256</v>
      </c>
      <c r="B256" s="138" t="s">
        <v>382</v>
      </c>
      <c r="C256" s="148">
        <v>43496</v>
      </c>
      <c r="D256" s="138" t="s">
        <v>553</v>
      </c>
      <c r="E256" s="139" t="s">
        <v>557</v>
      </c>
      <c r="F256" s="140">
        <v>74791</v>
      </c>
      <c r="G256" s="141">
        <v>12</v>
      </c>
      <c r="H256" s="138">
        <v>15.31</v>
      </c>
      <c r="I256" s="138" t="s">
        <v>292</v>
      </c>
      <c r="J256" s="149">
        <v>15.31</v>
      </c>
      <c r="K256" s="150" t="s">
        <v>555</v>
      </c>
      <c r="L256" s="151" t="s">
        <v>400</v>
      </c>
      <c r="M256" s="151" t="s">
        <v>309</v>
      </c>
      <c r="N256" s="151" t="s">
        <v>558</v>
      </c>
      <c r="O256" s="151"/>
      <c r="P256" s="151" t="s">
        <v>381</v>
      </c>
      <c r="Q256" s="151" t="s">
        <v>295</v>
      </c>
      <c r="R256" s="150" t="s">
        <v>379</v>
      </c>
      <c r="S256" s="138"/>
      <c r="T256" s="138" t="s">
        <v>381</v>
      </c>
      <c r="U256" s="138" t="s">
        <v>295</v>
      </c>
      <c r="V256" s="157" t="s">
        <v>379</v>
      </c>
    </row>
    <row r="257" spans="1:22" outlineLevel="1">
      <c r="A257" s="157" t="s">
        <v>256</v>
      </c>
      <c r="B257" s="138" t="s">
        <v>393</v>
      </c>
      <c r="C257" s="148">
        <v>43503</v>
      </c>
      <c r="D257" s="138" t="s">
        <v>559</v>
      </c>
      <c r="E257" s="139" t="s">
        <v>560</v>
      </c>
      <c r="F257" s="140">
        <v>75040</v>
      </c>
      <c r="G257" s="141">
        <v>23.51</v>
      </c>
      <c r="H257" s="138">
        <v>30.88</v>
      </c>
      <c r="I257" s="138" t="s">
        <v>292</v>
      </c>
      <c r="J257" s="149">
        <v>30.88</v>
      </c>
      <c r="K257" s="150" t="s">
        <v>555</v>
      </c>
      <c r="L257" s="151" t="s">
        <v>400</v>
      </c>
      <c r="M257" s="151" t="s">
        <v>309</v>
      </c>
      <c r="N257" s="151" t="s">
        <v>556</v>
      </c>
      <c r="O257" s="151"/>
      <c r="P257" s="151" t="s">
        <v>381</v>
      </c>
      <c r="Q257" s="151" t="s">
        <v>295</v>
      </c>
      <c r="R257" s="150" t="s">
        <v>379</v>
      </c>
      <c r="S257" s="138"/>
      <c r="T257" s="138" t="s">
        <v>381</v>
      </c>
      <c r="U257" s="138" t="s">
        <v>295</v>
      </c>
      <c r="V257" s="157" t="s">
        <v>379</v>
      </c>
    </row>
    <row r="258" spans="1:22" outlineLevel="1">
      <c r="A258" s="157" t="s">
        <v>256</v>
      </c>
      <c r="B258" s="138" t="s">
        <v>393</v>
      </c>
      <c r="C258" s="148">
        <v>43508</v>
      </c>
      <c r="D258" s="138" t="s">
        <v>561</v>
      </c>
      <c r="E258" s="139" t="s">
        <v>562</v>
      </c>
      <c r="F258" s="140">
        <v>75030</v>
      </c>
      <c r="G258" s="141">
        <v>30.83</v>
      </c>
      <c r="H258" s="138">
        <v>40.49</v>
      </c>
      <c r="I258" s="138" t="s">
        <v>292</v>
      </c>
      <c r="J258" s="149">
        <v>40.49</v>
      </c>
      <c r="K258" s="150" t="s">
        <v>555</v>
      </c>
      <c r="L258" s="151" t="s">
        <v>396</v>
      </c>
      <c r="M258" s="151" t="s">
        <v>309</v>
      </c>
      <c r="N258" s="151" t="s">
        <v>468</v>
      </c>
      <c r="O258" s="151"/>
      <c r="P258" s="151" t="s">
        <v>381</v>
      </c>
      <c r="Q258" s="151" t="s">
        <v>295</v>
      </c>
      <c r="R258" s="150" t="s">
        <v>379</v>
      </c>
      <c r="S258" s="138"/>
      <c r="T258" s="138" t="s">
        <v>381</v>
      </c>
      <c r="U258" s="138" t="s">
        <v>295</v>
      </c>
      <c r="V258" s="157" t="s">
        <v>379</v>
      </c>
    </row>
    <row r="259" spans="1:22" outlineLevel="1">
      <c r="A259" s="157" t="s">
        <v>256</v>
      </c>
      <c r="B259" s="138" t="s">
        <v>393</v>
      </c>
      <c r="C259" s="148">
        <v>43508</v>
      </c>
      <c r="D259" s="138" t="s">
        <v>561</v>
      </c>
      <c r="E259" s="139" t="s">
        <v>563</v>
      </c>
      <c r="F259" s="140">
        <v>75030</v>
      </c>
      <c r="G259" s="141">
        <v>4.5999999999999996</v>
      </c>
      <c r="H259" s="138">
        <v>6.04</v>
      </c>
      <c r="I259" s="138" t="s">
        <v>292</v>
      </c>
      <c r="J259" s="149">
        <v>6.04</v>
      </c>
      <c r="K259" s="150" t="s">
        <v>555</v>
      </c>
      <c r="L259" s="151" t="s">
        <v>396</v>
      </c>
      <c r="M259" s="151" t="s">
        <v>309</v>
      </c>
      <c r="N259" s="151" t="s">
        <v>449</v>
      </c>
      <c r="O259" s="151"/>
      <c r="P259" s="151" t="s">
        <v>381</v>
      </c>
      <c r="Q259" s="151" t="s">
        <v>295</v>
      </c>
      <c r="R259" s="150" t="s">
        <v>379</v>
      </c>
      <c r="S259" s="138"/>
      <c r="T259" s="138" t="s">
        <v>381</v>
      </c>
      <c r="U259" s="138" t="s">
        <v>295</v>
      </c>
      <c r="V259" s="157" t="s">
        <v>379</v>
      </c>
    </row>
    <row r="260" spans="1:22" outlineLevel="1">
      <c r="A260" s="157" t="s">
        <v>256</v>
      </c>
      <c r="B260" s="138" t="s">
        <v>393</v>
      </c>
      <c r="C260" s="148">
        <v>43508</v>
      </c>
      <c r="D260" s="138" t="s">
        <v>561</v>
      </c>
      <c r="E260" s="139" t="s">
        <v>564</v>
      </c>
      <c r="F260" s="140">
        <v>75030</v>
      </c>
      <c r="G260" s="141">
        <v>10.96</v>
      </c>
      <c r="H260" s="138">
        <v>14.39</v>
      </c>
      <c r="I260" s="138" t="s">
        <v>292</v>
      </c>
      <c r="J260" s="149">
        <v>14.4</v>
      </c>
      <c r="K260" s="150" t="s">
        <v>555</v>
      </c>
      <c r="L260" s="151" t="s">
        <v>396</v>
      </c>
      <c r="M260" s="151" t="s">
        <v>309</v>
      </c>
      <c r="N260" s="151" t="s">
        <v>499</v>
      </c>
      <c r="O260" s="151"/>
      <c r="P260" s="151" t="s">
        <v>381</v>
      </c>
      <c r="Q260" s="151" t="s">
        <v>295</v>
      </c>
      <c r="R260" s="150" t="s">
        <v>379</v>
      </c>
      <c r="S260" s="138"/>
      <c r="T260" s="138" t="s">
        <v>381</v>
      </c>
      <c r="U260" s="138" t="s">
        <v>295</v>
      </c>
      <c r="V260" s="157" t="s">
        <v>379</v>
      </c>
    </row>
    <row r="261" spans="1:22" outlineLevel="1">
      <c r="A261" s="157" t="s">
        <v>256</v>
      </c>
      <c r="B261" s="138" t="s">
        <v>393</v>
      </c>
      <c r="C261" s="148">
        <v>43508</v>
      </c>
      <c r="D261" s="138" t="s">
        <v>561</v>
      </c>
      <c r="E261" s="139" t="s">
        <v>565</v>
      </c>
      <c r="F261" s="140">
        <v>75030</v>
      </c>
      <c r="G261" s="141">
        <v>8.9499999999999993</v>
      </c>
      <c r="H261" s="138">
        <v>11.76</v>
      </c>
      <c r="I261" s="138" t="s">
        <v>292</v>
      </c>
      <c r="J261" s="149">
        <v>11.76</v>
      </c>
      <c r="K261" s="150" t="s">
        <v>555</v>
      </c>
      <c r="L261" s="151" t="s">
        <v>396</v>
      </c>
      <c r="M261" s="151" t="s">
        <v>309</v>
      </c>
      <c r="N261" s="151" t="s">
        <v>501</v>
      </c>
      <c r="O261" s="151"/>
      <c r="P261" s="151" t="s">
        <v>381</v>
      </c>
      <c r="Q261" s="151" t="s">
        <v>295</v>
      </c>
      <c r="R261" s="150" t="s">
        <v>379</v>
      </c>
      <c r="S261" s="138"/>
      <c r="T261" s="138" t="s">
        <v>381</v>
      </c>
      <c r="U261" s="138" t="s">
        <v>295</v>
      </c>
      <c r="V261" s="157" t="s">
        <v>379</v>
      </c>
    </row>
    <row r="262" spans="1:22" outlineLevel="1">
      <c r="A262" s="157" t="s">
        <v>256</v>
      </c>
      <c r="B262" s="138" t="s">
        <v>393</v>
      </c>
      <c r="C262" s="148">
        <v>43516</v>
      </c>
      <c r="D262" s="138" t="s">
        <v>566</v>
      </c>
      <c r="E262" s="139" t="s">
        <v>564</v>
      </c>
      <c r="F262" s="140">
        <v>75030</v>
      </c>
      <c r="G262" s="141">
        <v>36.07</v>
      </c>
      <c r="H262" s="138">
        <v>47.38</v>
      </c>
      <c r="I262" s="138" t="s">
        <v>292</v>
      </c>
      <c r="J262" s="149">
        <v>47.38</v>
      </c>
      <c r="K262" s="150" t="s">
        <v>555</v>
      </c>
      <c r="L262" s="151" t="s">
        <v>396</v>
      </c>
      <c r="M262" s="151" t="s">
        <v>309</v>
      </c>
      <c r="N262" s="151" t="s">
        <v>499</v>
      </c>
      <c r="O262" s="151"/>
      <c r="P262" s="151" t="s">
        <v>381</v>
      </c>
      <c r="Q262" s="151" t="s">
        <v>295</v>
      </c>
      <c r="R262" s="150" t="s">
        <v>379</v>
      </c>
      <c r="S262" s="138"/>
      <c r="T262" s="138" t="s">
        <v>381</v>
      </c>
      <c r="U262" s="138" t="s">
        <v>295</v>
      </c>
      <c r="V262" s="157" t="s">
        <v>379</v>
      </c>
    </row>
    <row r="263" spans="1:22" outlineLevel="1">
      <c r="A263" s="157" t="s">
        <v>256</v>
      </c>
      <c r="B263" s="138" t="s">
        <v>393</v>
      </c>
      <c r="C263" s="148">
        <v>43518</v>
      </c>
      <c r="D263" s="138" t="s">
        <v>567</v>
      </c>
      <c r="E263" s="139" t="s">
        <v>568</v>
      </c>
      <c r="F263" s="140">
        <v>75040</v>
      </c>
      <c r="G263" s="141">
        <v>8.68</v>
      </c>
      <c r="H263" s="138">
        <v>11.4</v>
      </c>
      <c r="I263" s="138" t="s">
        <v>292</v>
      </c>
      <c r="J263" s="149">
        <v>11.4</v>
      </c>
      <c r="K263" s="150" t="s">
        <v>555</v>
      </c>
      <c r="L263" s="151" t="s">
        <v>400</v>
      </c>
      <c r="M263" s="151" t="s">
        <v>309</v>
      </c>
      <c r="N263" s="151" t="s">
        <v>556</v>
      </c>
      <c r="O263" s="151"/>
      <c r="P263" s="151" t="s">
        <v>381</v>
      </c>
      <c r="Q263" s="151" t="s">
        <v>295</v>
      </c>
      <c r="R263" s="150" t="s">
        <v>379</v>
      </c>
      <c r="S263" s="138"/>
      <c r="T263" s="138" t="s">
        <v>381</v>
      </c>
      <c r="U263" s="138" t="s">
        <v>295</v>
      </c>
      <c r="V263" s="157" t="s">
        <v>379</v>
      </c>
    </row>
    <row r="264" spans="1:22" outlineLevel="1">
      <c r="A264" s="157" t="s">
        <v>256</v>
      </c>
      <c r="B264" s="138" t="s">
        <v>393</v>
      </c>
      <c r="C264" s="148">
        <v>43518</v>
      </c>
      <c r="D264" s="138" t="s">
        <v>567</v>
      </c>
      <c r="E264" s="139" t="s">
        <v>569</v>
      </c>
      <c r="F264" s="140">
        <v>75040</v>
      </c>
      <c r="G264" s="141">
        <v>56.85</v>
      </c>
      <c r="H264" s="138">
        <v>74.67</v>
      </c>
      <c r="I264" s="138" t="s">
        <v>292</v>
      </c>
      <c r="J264" s="149">
        <v>74.67</v>
      </c>
      <c r="K264" s="150" t="s">
        <v>555</v>
      </c>
      <c r="L264" s="151" t="s">
        <v>400</v>
      </c>
      <c r="M264" s="151" t="s">
        <v>309</v>
      </c>
      <c r="N264" s="151" t="s">
        <v>466</v>
      </c>
      <c r="O264" s="151"/>
      <c r="P264" s="151" t="s">
        <v>381</v>
      </c>
      <c r="Q264" s="151" t="s">
        <v>295</v>
      </c>
      <c r="R264" s="150" t="s">
        <v>379</v>
      </c>
      <c r="S264" s="138"/>
      <c r="T264" s="138" t="s">
        <v>381</v>
      </c>
      <c r="U264" s="138" t="s">
        <v>295</v>
      </c>
      <c r="V264" s="157" t="s">
        <v>379</v>
      </c>
    </row>
    <row r="265" spans="1:22" outlineLevel="1">
      <c r="A265" s="157" t="s">
        <v>256</v>
      </c>
      <c r="B265" s="138" t="s">
        <v>393</v>
      </c>
      <c r="C265" s="148">
        <v>43518</v>
      </c>
      <c r="D265" s="138" t="s">
        <v>567</v>
      </c>
      <c r="E265" s="139" t="s">
        <v>570</v>
      </c>
      <c r="F265" s="140">
        <v>75040</v>
      </c>
      <c r="G265" s="141">
        <v>67.150000000000006</v>
      </c>
      <c r="H265" s="138">
        <v>88.2</v>
      </c>
      <c r="I265" s="138" t="s">
        <v>292</v>
      </c>
      <c r="J265" s="149">
        <v>88.2</v>
      </c>
      <c r="K265" s="150" t="s">
        <v>555</v>
      </c>
      <c r="L265" s="151" t="s">
        <v>400</v>
      </c>
      <c r="M265" s="151" t="s">
        <v>309</v>
      </c>
      <c r="N265" s="151" t="s">
        <v>497</v>
      </c>
      <c r="O265" s="151"/>
      <c r="P265" s="151" t="s">
        <v>381</v>
      </c>
      <c r="Q265" s="151" t="s">
        <v>295</v>
      </c>
      <c r="R265" s="150" t="s">
        <v>379</v>
      </c>
      <c r="S265" s="138"/>
      <c r="T265" s="138" t="s">
        <v>381</v>
      </c>
      <c r="U265" s="138" t="s">
        <v>295</v>
      </c>
      <c r="V265" s="157" t="s">
        <v>379</v>
      </c>
    </row>
    <row r="266" spans="1:22" outlineLevel="1">
      <c r="A266" s="157" t="s">
        <v>256</v>
      </c>
      <c r="B266" s="138" t="s">
        <v>393</v>
      </c>
      <c r="C266" s="148">
        <v>43518</v>
      </c>
      <c r="D266" s="138" t="s">
        <v>567</v>
      </c>
      <c r="E266" s="139" t="s">
        <v>571</v>
      </c>
      <c r="F266" s="140">
        <v>75040</v>
      </c>
      <c r="G266" s="141">
        <v>31.15</v>
      </c>
      <c r="H266" s="138">
        <v>40.909999999999997</v>
      </c>
      <c r="I266" s="138" t="s">
        <v>292</v>
      </c>
      <c r="J266" s="149">
        <v>40.909999999999997</v>
      </c>
      <c r="K266" s="150" t="s">
        <v>555</v>
      </c>
      <c r="L266" s="151" t="s">
        <v>400</v>
      </c>
      <c r="M266" s="151" t="s">
        <v>309</v>
      </c>
      <c r="N266" s="151" t="s">
        <v>491</v>
      </c>
      <c r="O266" s="151"/>
      <c r="P266" s="151" t="s">
        <v>381</v>
      </c>
      <c r="Q266" s="151" t="s">
        <v>295</v>
      </c>
      <c r="R266" s="150" t="s">
        <v>379</v>
      </c>
      <c r="S266" s="138"/>
      <c r="T266" s="138" t="s">
        <v>381</v>
      </c>
      <c r="U266" s="138" t="s">
        <v>295</v>
      </c>
      <c r="V266" s="157" t="s">
        <v>379</v>
      </c>
    </row>
    <row r="267" spans="1:22" outlineLevel="1">
      <c r="A267" s="157" t="s">
        <v>256</v>
      </c>
      <c r="B267" s="138" t="s">
        <v>349</v>
      </c>
      <c r="C267" s="148">
        <v>43543</v>
      </c>
      <c r="D267" s="138" t="s">
        <v>572</v>
      </c>
      <c r="E267" s="139" t="s">
        <v>573</v>
      </c>
      <c r="F267" s="140">
        <v>75390</v>
      </c>
      <c r="G267" s="141">
        <v>5.27</v>
      </c>
      <c r="H267" s="138">
        <v>6.99</v>
      </c>
      <c r="I267" s="138" t="s">
        <v>292</v>
      </c>
      <c r="J267" s="149">
        <v>7</v>
      </c>
      <c r="K267" s="150" t="s">
        <v>555</v>
      </c>
      <c r="L267" s="151" t="s">
        <v>396</v>
      </c>
      <c r="M267" s="151" t="s">
        <v>309</v>
      </c>
      <c r="N267" s="151" t="s">
        <v>489</v>
      </c>
      <c r="O267" s="151"/>
      <c r="P267" s="151" t="s">
        <v>381</v>
      </c>
      <c r="Q267" s="151" t="s">
        <v>295</v>
      </c>
      <c r="R267" s="150" t="s">
        <v>379</v>
      </c>
      <c r="S267" s="138"/>
      <c r="T267" s="138" t="s">
        <v>381</v>
      </c>
      <c r="U267" s="138" t="s">
        <v>295</v>
      </c>
      <c r="V267" s="157" t="s">
        <v>379</v>
      </c>
    </row>
    <row r="268" spans="1:22" outlineLevel="1">
      <c r="A268" s="157" t="s">
        <v>256</v>
      </c>
      <c r="B268" s="138" t="s">
        <v>349</v>
      </c>
      <c r="C268" s="148">
        <v>43543</v>
      </c>
      <c r="D268" s="138" t="s">
        <v>572</v>
      </c>
      <c r="E268" s="139" t="s">
        <v>574</v>
      </c>
      <c r="F268" s="140">
        <v>75390</v>
      </c>
      <c r="G268" s="141">
        <v>34.799999999999997</v>
      </c>
      <c r="H268" s="138">
        <v>46.2</v>
      </c>
      <c r="I268" s="138" t="s">
        <v>292</v>
      </c>
      <c r="J268" s="149">
        <v>46.2</v>
      </c>
      <c r="K268" s="150" t="s">
        <v>555</v>
      </c>
      <c r="L268" s="151" t="s">
        <v>396</v>
      </c>
      <c r="M268" s="151" t="s">
        <v>309</v>
      </c>
      <c r="N268" s="151" t="s">
        <v>397</v>
      </c>
      <c r="O268" s="151"/>
      <c r="P268" s="151" t="s">
        <v>381</v>
      </c>
      <c r="Q268" s="151" t="s">
        <v>295</v>
      </c>
      <c r="R268" s="150" t="s">
        <v>379</v>
      </c>
      <c r="S268" s="138"/>
      <c r="T268" s="138" t="s">
        <v>381</v>
      </c>
      <c r="U268" s="138" t="s">
        <v>295</v>
      </c>
      <c r="V268" s="157" t="s">
        <v>379</v>
      </c>
    </row>
    <row r="269" spans="1:22" outlineLevel="1">
      <c r="A269" s="157" t="s">
        <v>256</v>
      </c>
      <c r="B269" s="138" t="s">
        <v>349</v>
      </c>
      <c r="C269" s="148">
        <v>43546</v>
      </c>
      <c r="D269" s="138" t="s">
        <v>575</v>
      </c>
      <c r="E269" s="139" t="s">
        <v>576</v>
      </c>
      <c r="F269" s="140">
        <v>75358</v>
      </c>
      <c r="G269" s="141">
        <v>78.37</v>
      </c>
      <c r="H269" s="138">
        <v>104.04</v>
      </c>
      <c r="I269" s="138" t="s">
        <v>292</v>
      </c>
      <c r="J269" s="149">
        <v>104.05</v>
      </c>
      <c r="K269" s="150" t="s">
        <v>555</v>
      </c>
      <c r="L269" s="151" t="s">
        <v>400</v>
      </c>
      <c r="M269" s="151" t="s">
        <v>309</v>
      </c>
      <c r="N269" s="151" t="s">
        <v>497</v>
      </c>
      <c r="O269" s="151"/>
      <c r="P269" s="151" t="s">
        <v>381</v>
      </c>
      <c r="Q269" s="151" t="s">
        <v>295</v>
      </c>
      <c r="R269" s="150" t="s">
        <v>379</v>
      </c>
      <c r="S269" s="138"/>
      <c r="T269" s="138" t="s">
        <v>381</v>
      </c>
      <c r="U269" s="138" t="s">
        <v>295</v>
      </c>
      <c r="V269" s="157" t="s">
        <v>379</v>
      </c>
    </row>
    <row r="270" spans="1:22" outlineLevel="1">
      <c r="A270" s="157" t="s">
        <v>256</v>
      </c>
      <c r="B270" s="138" t="s">
        <v>349</v>
      </c>
      <c r="C270" s="148">
        <v>43546</v>
      </c>
      <c r="D270" s="138" t="s">
        <v>575</v>
      </c>
      <c r="E270" s="139" t="s">
        <v>577</v>
      </c>
      <c r="F270" s="140">
        <v>75358</v>
      </c>
      <c r="G270" s="141">
        <v>75.47</v>
      </c>
      <c r="H270" s="138">
        <v>100.2</v>
      </c>
      <c r="I270" s="138" t="s">
        <v>292</v>
      </c>
      <c r="J270" s="149">
        <v>100.2</v>
      </c>
      <c r="K270" s="150" t="s">
        <v>555</v>
      </c>
      <c r="L270" s="151" t="s">
        <v>400</v>
      </c>
      <c r="M270" s="151" t="s">
        <v>309</v>
      </c>
      <c r="N270" s="151" t="s">
        <v>495</v>
      </c>
      <c r="O270" s="151"/>
      <c r="P270" s="151" t="s">
        <v>381</v>
      </c>
      <c r="Q270" s="151" t="s">
        <v>295</v>
      </c>
      <c r="R270" s="150" t="s">
        <v>379</v>
      </c>
      <c r="S270" s="138"/>
      <c r="T270" s="138" t="s">
        <v>381</v>
      </c>
      <c r="U270" s="138" t="s">
        <v>295</v>
      </c>
      <c r="V270" s="157" t="s">
        <v>379</v>
      </c>
    </row>
    <row r="271" spans="1:22" outlineLevel="1">
      <c r="A271" s="157" t="s">
        <v>256</v>
      </c>
      <c r="B271" s="138" t="s">
        <v>349</v>
      </c>
      <c r="C271" s="148">
        <v>43546</v>
      </c>
      <c r="D271" s="138" t="s">
        <v>575</v>
      </c>
      <c r="E271" s="139" t="s">
        <v>578</v>
      </c>
      <c r="F271" s="140">
        <v>75358</v>
      </c>
      <c r="G271" s="141">
        <v>17.690000000000001</v>
      </c>
      <c r="H271" s="138">
        <v>23.48</v>
      </c>
      <c r="I271" s="138" t="s">
        <v>292</v>
      </c>
      <c r="J271" s="149">
        <v>23.49</v>
      </c>
      <c r="K271" s="150" t="s">
        <v>555</v>
      </c>
      <c r="L271" s="151" t="s">
        <v>400</v>
      </c>
      <c r="M271" s="151" t="s">
        <v>309</v>
      </c>
      <c r="N271" s="151" t="s">
        <v>466</v>
      </c>
      <c r="O271" s="151"/>
      <c r="P271" s="151" t="s">
        <v>381</v>
      </c>
      <c r="Q271" s="151" t="s">
        <v>295</v>
      </c>
      <c r="R271" s="150" t="s">
        <v>379</v>
      </c>
      <c r="S271" s="138"/>
      <c r="T271" s="138" t="s">
        <v>381</v>
      </c>
      <c r="U271" s="138" t="s">
        <v>295</v>
      </c>
      <c r="V271" s="157" t="s">
        <v>379</v>
      </c>
    </row>
    <row r="272" spans="1:22" outlineLevel="1">
      <c r="A272" s="157" t="s">
        <v>256</v>
      </c>
      <c r="B272" s="138" t="s">
        <v>349</v>
      </c>
      <c r="C272" s="148">
        <v>43552</v>
      </c>
      <c r="D272" s="138" t="s">
        <v>579</v>
      </c>
      <c r="E272" s="139" t="s">
        <v>580</v>
      </c>
      <c r="F272" s="140">
        <v>75390</v>
      </c>
      <c r="G272" s="141">
        <v>19.52</v>
      </c>
      <c r="H272" s="138">
        <v>25.92</v>
      </c>
      <c r="I272" s="138" t="s">
        <v>292</v>
      </c>
      <c r="J272" s="149">
        <v>25.92</v>
      </c>
      <c r="K272" s="150" t="s">
        <v>555</v>
      </c>
      <c r="L272" s="151" t="s">
        <v>396</v>
      </c>
      <c r="M272" s="151" t="s">
        <v>309</v>
      </c>
      <c r="N272" s="151" t="s">
        <v>449</v>
      </c>
      <c r="O272" s="151"/>
      <c r="P272" s="151" t="s">
        <v>381</v>
      </c>
      <c r="Q272" s="151" t="s">
        <v>295</v>
      </c>
      <c r="R272" s="150" t="s">
        <v>379</v>
      </c>
      <c r="S272" s="138"/>
      <c r="T272" s="138" t="s">
        <v>381</v>
      </c>
      <c r="U272" s="138" t="s">
        <v>295</v>
      </c>
      <c r="V272" s="157" t="s">
        <v>379</v>
      </c>
    </row>
    <row r="273" spans="1:22">
      <c r="A273" s="152" t="s">
        <v>378</v>
      </c>
      <c r="B273" s="152"/>
      <c r="C273" s="152"/>
      <c r="D273" s="152"/>
      <c r="E273" s="153"/>
      <c r="F273" s="154"/>
      <c r="G273" s="155">
        <f>SUM(G255:G272)</f>
        <v>554.53</v>
      </c>
      <c r="H273" s="156">
        <f>SUM(H255:H272)</f>
        <v>729.93</v>
      </c>
      <c r="I273" s="152"/>
      <c r="J273" s="156">
        <f>SUM(J255:J272)</f>
        <v>729.97</v>
      </c>
      <c r="K273" s="152"/>
      <c r="L273" s="152"/>
      <c r="M273" s="152"/>
      <c r="N273" s="152"/>
      <c r="O273" s="152"/>
      <c r="P273" s="152"/>
      <c r="Q273" s="152"/>
      <c r="R273" s="152"/>
      <c r="S273" s="138"/>
      <c r="T273" s="138"/>
      <c r="U273" s="138"/>
      <c r="V273" s="138"/>
    </row>
    <row r="274" spans="1:22" outlineLevel="1">
      <c r="A274" s="157" t="s">
        <v>258</v>
      </c>
      <c r="B274" s="138" t="s">
        <v>349</v>
      </c>
      <c r="C274" s="148">
        <v>43539</v>
      </c>
      <c r="D274" s="138" t="s">
        <v>581</v>
      </c>
      <c r="E274" s="139" t="s">
        <v>582</v>
      </c>
      <c r="F274" s="140">
        <v>75390</v>
      </c>
      <c r="G274" s="141">
        <v>180.78</v>
      </c>
      <c r="H274" s="138">
        <v>240</v>
      </c>
      <c r="I274" s="138" t="s">
        <v>292</v>
      </c>
      <c r="J274" s="149">
        <v>240.01</v>
      </c>
      <c r="K274" s="150" t="s">
        <v>583</v>
      </c>
      <c r="L274" s="151" t="s">
        <v>396</v>
      </c>
      <c r="M274" s="151" t="s">
        <v>309</v>
      </c>
      <c r="N274" s="151" t="s">
        <v>584</v>
      </c>
      <c r="O274" s="151"/>
      <c r="P274" s="151" t="s">
        <v>381</v>
      </c>
      <c r="Q274" s="151" t="s">
        <v>295</v>
      </c>
      <c r="R274" s="150" t="s">
        <v>379</v>
      </c>
      <c r="S274" s="138"/>
      <c r="T274" s="138" t="s">
        <v>381</v>
      </c>
      <c r="U274" s="138" t="s">
        <v>295</v>
      </c>
      <c r="V274" s="157" t="s">
        <v>379</v>
      </c>
    </row>
    <row r="275" spans="1:22" outlineLevel="1">
      <c r="A275" s="157" t="s">
        <v>258</v>
      </c>
      <c r="B275" s="138" t="s">
        <v>349</v>
      </c>
      <c r="C275" s="148">
        <v>43539</v>
      </c>
      <c r="D275" s="138" t="s">
        <v>581</v>
      </c>
      <c r="E275" s="139" t="s">
        <v>585</v>
      </c>
      <c r="F275" s="140">
        <v>75390</v>
      </c>
      <c r="G275" s="141">
        <v>54.23</v>
      </c>
      <c r="H275" s="138">
        <v>72</v>
      </c>
      <c r="I275" s="138" t="s">
        <v>292</v>
      </c>
      <c r="J275" s="149">
        <v>72</v>
      </c>
      <c r="K275" s="150" t="s">
        <v>583</v>
      </c>
      <c r="L275" s="151" t="s">
        <v>396</v>
      </c>
      <c r="M275" s="151" t="s">
        <v>309</v>
      </c>
      <c r="N275" s="151" t="s">
        <v>584</v>
      </c>
      <c r="O275" s="151"/>
      <c r="P275" s="151" t="s">
        <v>381</v>
      </c>
      <c r="Q275" s="151" t="s">
        <v>295</v>
      </c>
      <c r="R275" s="150" t="s">
        <v>379</v>
      </c>
      <c r="S275" s="138"/>
      <c r="T275" s="138" t="s">
        <v>381</v>
      </c>
      <c r="U275" s="138" t="s">
        <v>295</v>
      </c>
      <c r="V275" s="157" t="s">
        <v>379</v>
      </c>
    </row>
    <row r="276" spans="1:22" outlineLevel="1">
      <c r="A276" s="157" t="s">
        <v>258</v>
      </c>
      <c r="B276" s="138" t="s">
        <v>349</v>
      </c>
      <c r="C276" s="148">
        <v>43552</v>
      </c>
      <c r="D276" s="138" t="s">
        <v>586</v>
      </c>
      <c r="E276" s="139" t="s">
        <v>587</v>
      </c>
      <c r="F276" s="140">
        <v>75390</v>
      </c>
      <c r="G276" s="141">
        <v>949.07</v>
      </c>
      <c r="H276" s="138">
        <v>1260</v>
      </c>
      <c r="I276" s="138" t="s">
        <v>292</v>
      </c>
      <c r="J276" s="149">
        <v>1260</v>
      </c>
      <c r="K276" s="150" t="s">
        <v>583</v>
      </c>
      <c r="L276" s="151" t="s">
        <v>396</v>
      </c>
      <c r="M276" s="151" t="s">
        <v>309</v>
      </c>
      <c r="N276" s="151" t="s">
        <v>584</v>
      </c>
      <c r="O276" s="151"/>
      <c r="P276" s="151" t="s">
        <v>381</v>
      </c>
      <c r="Q276" s="151" t="s">
        <v>295</v>
      </c>
      <c r="R276" s="150" t="s">
        <v>379</v>
      </c>
      <c r="S276" s="138"/>
      <c r="T276" s="138" t="s">
        <v>381</v>
      </c>
      <c r="U276" s="138" t="s">
        <v>295</v>
      </c>
      <c r="V276" s="157" t="s">
        <v>379</v>
      </c>
    </row>
    <row r="277" spans="1:22" outlineLevel="1">
      <c r="A277" s="157" t="s">
        <v>258</v>
      </c>
      <c r="B277" s="138" t="s">
        <v>349</v>
      </c>
      <c r="C277" s="148">
        <v>43546</v>
      </c>
      <c r="D277" s="138" t="s">
        <v>588</v>
      </c>
      <c r="E277" s="139" t="s">
        <v>589</v>
      </c>
      <c r="F277" s="140">
        <v>75390</v>
      </c>
      <c r="G277" s="141">
        <v>213.92</v>
      </c>
      <c r="H277" s="138">
        <v>284</v>
      </c>
      <c r="I277" s="138" t="s">
        <v>292</v>
      </c>
      <c r="J277" s="149">
        <v>284</v>
      </c>
      <c r="K277" s="150" t="s">
        <v>590</v>
      </c>
      <c r="L277" s="151" t="s">
        <v>396</v>
      </c>
      <c r="M277" s="151" t="s">
        <v>309</v>
      </c>
      <c r="N277" s="151"/>
      <c r="O277" s="151"/>
      <c r="P277" s="151" t="s">
        <v>381</v>
      </c>
      <c r="Q277" s="151" t="s">
        <v>295</v>
      </c>
      <c r="R277" s="150" t="s">
        <v>379</v>
      </c>
      <c r="S277" s="138"/>
      <c r="T277" s="138" t="s">
        <v>381</v>
      </c>
      <c r="U277" s="138" t="s">
        <v>295</v>
      </c>
      <c r="V277" s="157" t="s">
        <v>379</v>
      </c>
    </row>
    <row r="278" spans="1:22" outlineLevel="1">
      <c r="A278" s="157" t="s">
        <v>258</v>
      </c>
      <c r="B278" s="138" t="s">
        <v>349</v>
      </c>
      <c r="C278" s="148">
        <v>43546</v>
      </c>
      <c r="D278" s="138" t="s">
        <v>588</v>
      </c>
      <c r="E278" s="139" t="s">
        <v>591</v>
      </c>
      <c r="F278" s="140">
        <v>75390</v>
      </c>
      <c r="G278" s="141">
        <v>321.63</v>
      </c>
      <c r="H278" s="138">
        <v>427</v>
      </c>
      <c r="I278" s="138" t="s">
        <v>292</v>
      </c>
      <c r="J278" s="149">
        <v>427</v>
      </c>
      <c r="K278" s="150" t="s">
        <v>592</v>
      </c>
      <c r="L278" s="151" t="s">
        <v>396</v>
      </c>
      <c r="M278" s="151" t="s">
        <v>309</v>
      </c>
      <c r="N278" s="151"/>
      <c r="O278" s="151"/>
      <c r="P278" s="151" t="s">
        <v>381</v>
      </c>
      <c r="Q278" s="151" t="s">
        <v>295</v>
      </c>
      <c r="R278" s="150" t="s">
        <v>379</v>
      </c>
      <c r="S278" s="138"/>
      <c r="T278" s="138" t="s">
        <v>381</v>
      </c>
      <c r="U278" s="138" t="s">
        <v>295</v>
      </c>
      <c r="V278" s="157" t="s">
        <v>379</v>
      </c>
    </row>
    <row r="279" spans="1:22">
      <c r="A279" s="152" t="s">
        <v>378</v>
      </c>
      <c r="B279" s="152"/>
      <c r="C279" s="152"/>
      <c r="D279" s="152"/>
      <c r="E279" s="153"/>
      <c r="F279" s="154"/>
      <c r="G279" s="155">
        <f>SUM(G274:G278)</f>
        <v>1719.63</v>
      </c>
      <c r="H279" s="156">
        <f>SUM(H274:H278)</f>
        <v>2283</v>
      </c>
      <c r="I279" s="152"/>
      <c r="J279" s="156">
        <f>SUM(J274:J278)</f>
        <v>2283.0100000000002</v>
      </c>
      <c r="K279" s="152"/>
      <c r="L279" s="152"/>
      <c r="M279" s="152"/>
      <c r="N279" s="152"/>
      <c r="O279" s="152"/>
      <c r="P279" s="152"/>
      <c r="Q279" s="152"/>
      <c r="R279" s="152"/>
      <c r="S279" s="138"/>
      <c r="T279" s="138"/>
      <c r="U279" s="138"/>
      <c r="V279" s="138"/>
    </row>
    <row r="280" spans="1:22" outlineLevel="1">
      <c r="A280" s="157" t="s">
        <v>259</v>
      </c>
      <c r="B280" s="138" t="s">
        <v>393</v>
      </c>
      <c r="C280" s="148">
        <v>43511</v>
      </c>
      <c r="D280" s="138" t="s">
        <v>593</v>
      </c>
      <c r="E280" s="139" t="s">
        <v>594</v>
      </c>
      <c r="F280" s="140">
        <v>75040</v>
      </c>
      <c r="G280" s="141">
        <v>67.180000000000007</v>
      </c>
      <c r="H280" s="138">
        <v>88.24</v>
      </c>
      <c r="I280" s="138" t="s">
        <v>292</v>
      </c>
      <c r="J280" s="149">
        <v>88.24</v>
      </c>
      <c r="K280" s="150" t="s">
        <v>595</v>
      </c>
      <c r="L280" s="151" t="s">
        <v>400</v>
      </c>
      <c r="M280" s="151" t="s">
        <v>309</v>
      </c>
      <c r="N280" s="151" t="s">
        <v>440</v>
      </c>
      <c r="O280" s="151"/>
      <c r="P280" s="151" t="s">
        <v>381</v>
      </c>
      <c r="Q280" s="151" t="s">
        <v>295</v>
      </c>
      <c r="R280" s="150" t="s">
        <v>379</v>
      </c>
      <c r="S280" s="138"/>
      <c r="T280" s="138" t="s">
        <v>381</v>
      </c>
      <c r="U280" s="138" t="s">
        <v>295</v>
      </c>
      <c r="V280" s="157" t="s">
        <v>379</v>
      </c>
    </row>
    <row r="281" spans="1:22" outlineLevel="1">
      <c r="A281" s="157" t="s">
        <v>259</v>
      </c>
      <c r="B281" s="138" t="s">
        <v>349</v>
      </c>
      <c r="C281" s="148">
        <v>43553</v>
      </c>
      <c r="D281" s="138" t="s">
        <v>596</v>
      </c>
      <c r="E281" s="139" t="s">
        <v>597</v>
      </c>
      <c r="F281" s="140">
        <v>75390</v>
      </c>
      <c r="G281" s="141">
        <v>395.45</v>
      </c>
      <c r="H281" s="138">
        <v>525</v>
      </c>
      <c r="I281" s="138" t="s">
        <v>292</v>
      </c>
      <c r="J281" s="149">
        <v>525.01</v>
      </c>
      <c r="K281" s="150" t="s">
        <v>595</v>
      </c>
      <c r="L281" s="151" t="s">
        <v>396</v>
      </c>
      <c r="M281" s="151" t="s">
        <v>309</v>
      </c>
      <c r="N281" s="151" t="s">
        <v>445</v>
      </c>
      <c r="O281" s="151"/>
      <c r="P281" s="151" t="s">
        <v>381</v>
      </c>
      <c r="Q281" s="151" t="s">
        <v>295</v>
      </c>
      <c r="R281" s="150" t="s">
        <v>379</v>
      </c>
      <c r="S281" s="138"/>
      <c r="T281" s="138" t="s">
        <v>381</v>
      </c>
      <c r="U281" s="138" t="s">
        <v>295</v>
      </c>
      <c r="V281" s="157" t="s">
        <v>379</v>
      </c>
    </row>
    <row r="282" spans="1:22">
      <c r="A282" s="152" t="s">
        <v>378</v>
      </c>
      <c r="B282" s="152"/>
      <c r="C282" s="152"/>
      <c r="D282" s="152"/>
      <c r="E282" s="153"/>
      <c r="F282" s="154"/>
      <c r="G282" s="155">
        <f>SUM(G280:G281)</f>
        <v>462.63</v>
      </c>
      <c r="H282" s="156">
        <f>SUM(H280:H281)</f>
        <v>613.24</v>
      </c>
      <c r="I282" s="152"/>
      <c r="J282" s="156">
        <f>SUM(J280:J281)</f>
        <v>613.25</v>
      </c>
      <c r="K282" s="152"/>
      <c r="L282" s="152"/>
      <c r="M282" s="152"/>
      <c r="N282" s="152"/>
      <c r="O282" s="152"/>
      <c r="P282" s="152"/>
      <c r="Q282" s="152"/>
      <c r="R282" s="152"/>
      <c r="S282" s="138"/>
      <c r="T282" s="138"/>
      <c r="U282" s="138"/>
      <c r="V282" s="138"/>
    </row>
    <row r="283" spans="1:22" outlineLevel="1">
      <c r="A283" s="157" t="s">
        <v>261</v>
      </c>
      <c r="B283" s="138" t="s">
        <v>349</v>
      </c>
      <c r="C283" s="148">
        <v>43549</v>
      </c>
      <c r="D283" s="138" t="s">
        <v>598</v>
      </c>
      <c r="E283" s="139" t="s">
        <v>599</v>
      </c>
      <c r="F283" s="140">
        <v>75390</v>
      </c>
      <c r="G283" s="141">
        <v>2.4900000000000002</v>
      </c>
      <c r="H283" s="138">
        <v>3.3</v>
      </c>
      <c r="I283" s="138" t="s">
        <v>292</v>
      </c>
      <c r="J283" s="149">
        <v>3.31</v>
      </c>
      <c r="K283" s="150" t="s">
        <v>595</v>
      </c>
      <c r="L283" s="151" t="s">
        <v>396</v>
      </c>
      <c r="M283" s="151" t="s">
        <v>309</v>
      </c>
      <c r="N283" s="151" t="s">
        <v>445</v>
      </c>
      <c r="O283" s="151"/>
      <c r="P283" s="151" t="s">
        <v>381</v>
      </c>
      <c r="Q283" s="151" t="s">
        <v>295</v>
      </c>
      <c r="R283" s="150" t="s">
        <v>379</v>
      </c>
      <c r="S283" s="138"/>
      <c r="T283" s="138" t="s">
        <v>381</v>
      </c>
      <c r="U283" s="138" t="s">
        <v>295</v>
      </c>
      <c r="V283" s="157" t="s">
        <v>379</v>
      </c>
    </row>
    <row r="284" spans="1:22" outlineLevel="1">
      <c r="A284" s="157" t="s">
        <v>261</v>
      </c>
      <c r="B284" s="138" t="s">
        <v>349</v>
      </c>
      <c r="C284" s="148">
        <v>43549</v>
      </c>
      <c r="D284" s="138" t="s">
        <v>598</v>
      </c>
      <c r="E284" s="139" t="s">
        <v>600</v>
      </c>
      <c r="F284" s="140">
        <v>75390</v>
      </c>
      <c r="G284" s="141">
        <v>35.54</v>
      </c>
      <c r="H284" s="138">
        <v>47.18</v>
      </c>
      <c r="I284" s="138" t="s">
        <v>292</v>
      </c>
      <c r="J284" s="149">
        <v>47.18</v>
      </c>
      <c r="K284" s="150" t="s">
        <v>601</v>
      </c>
      <c r="L284" s="151" t="s">
        <v>396</v>
      </c>
      <c r="M284" s="151" t="s">
        <v>309</v>
      </c>
      <c r="N284" s="151"/>
      <c r="O284" s="151"/>
      <c r="P284" s="151" t="s">
        <v>381</v>
      </c>
      <c r="Q284" s="151" t="s">
        <v>295</v>
      </c>
      <c r="R284" s="150" t="s">
        <v>379</v>
      </c>
      <c r="S284" s="138"/>
      <c r="T284" s="138" t="s">
        <v>381</v>
      </c>
      <c r="U284" s="138" t="s">
        <v>295</v>
      </c>
      <c r="V284" s="157" t="s">
        <v>379</v>
      </c>
    </row>
    <row r="285" spans="1:22">
      <c r="A285" s="152" t="s">
        <v>378</v>
      </c>
      <c r="B285" s="152"/>
      <c r="C285" s="152"/>
      <c r="D285" s="152"/>
      <c r="E285" s="153"/>
      <c r="F285" s="154"/>
      <c r="G285" s="155">
        <f>SUM(G283:G284)</f>
        <v>38.03</v>
      </c>
      <c r="H285" s="156">
        <f>SUM(H283:H284)</f>
        <v>50.48</v>
      </c>
      <c r="I285" s="152"/>
      <c r="J285" s="156">
        <f>SUM(J283:J284)</f>
        <v>50.49</v>
      </c>
      <c r="K285" s="152"/>
      <c r="L285" s="152"/>
      <c r="M285" s="152"/>
      <c r="N285" s="152"/>
      <c r="O285" s="152"/>
      <c r="P285" s="152"/>
      <c r="Q285" s="152"/>
      <c r="R285" s="152"/>
      <c r="S285" s="138"/>
      <c r="T285" s="138"/>
      <c r="U285" s="138"/>
      <c r="V285" s="138"/>
    </row>
    <row r="286" spans="1:22" outlineLevel="1">
      <c r="A286" s="157" t="s">
        <v>264</v>
      </c>
      <c r="B286" s="138" t="s">
        <v>382</v>
      </c>
      <c r="C286" s="148">
        <v>43495</v>
      </c>
      <c r="D286" s="138" t="s">
        <v>602</v>
      </c>
      <c r="E286" s="139" t="s">
        <v>603</v>
      </c>
      <c r="F286" s="140">
        <v>74770</v>
      </c>
      <c r="G286" s="141">
        <v>0.78</v>
      </c>
      <c r="H286" s="138">
        <v>1</v>
      </c>
      <c r="I286" s="138" t="s">
        <v>292</v>
      </c>
      <c r="J286" s="149">
        <v>1</v>
      </c>
      <c r="K286" s="150" t="s">
        <v>604</v>
      </c>
      <c r="L286" s="151" t="s">
        <v>396</v>
      </c>
      <c r="M286" s="151" t="s">
        <v>309</v>
      </c>
      <c r="N286" s="151" t="s">
        <v>449</v>
      </c>
      <c r="O286" s="151"/>
      <c r="P286" s="151" t="s">
        <v>381</v>
      </c>
      <c r="Q286" s="151" t="s">
        <v>295</v>
      </c>
      <c r="R286" s="150" t="s">
        <v>379</v>
      </c>
      <c r="S286" s="138"/>
      <c r="T286" s="138" t="s">
        <v>381</v>
      </c>
      <c r="U286" s="138" t="s">
        <v>295</v>
      </c>
      <c r="V286" s="157" t="s">
        <v>379</v>
      </c>
    </row>
    <row r="287" spans="1:22" outlineLevel="1">
      <c r="A287" s="157" t="s">
        <v>264</v>
      </c>
      <c r="B287" s="138" t="s">
        <v>393</v>
      </c>
      <c r="C287" s="148">
        <v>43503</v>
      </c>
      <c r="D287" s="138" t="s">
        <v>458</v>
      </c>
      <c r="E287" s="139" t="s">
        <v>605</v>
      </c>
      <c r="F287" s="140">
        <v>75030</v>
      </c>
      <c r="G287" s="141">
        <v>22.84</v>
      </c>
      <c r="H287" s="138">
        <v>30</v>
      </c>
      <c r="I287" s="138" t="s">
        <v>292</v>
      </c>
      <c r="J287" s="149">
        <v>30</v>
      </c>
      <c r="K287" s="150" t="s">
        <v>604</v>
      </c>
      <c r="L287" s="151" t="s">
        <v>396</v>
      </c>
      <c r="M287" s="151" t="s">
        <v>309</v>
      </c>
      <c r="N287" s="151" t="s">
        <v>449</v>
      </c>
      <c r="O287" s="151"/>
      <c r="P287" s="151" t="s">
        <v>381</v>
      </c>
      <c r="Q287" s="151" t="s">
        <v>295</v>
      </c>
      <c r="R287" s="150" t="s">
        <v>379</v>
      </c>
      <c r="S287" s="138"/>
      <c r="T287" s="138" t="s">
        <v>381</v>
      </c>
      <c r="U287" s="138" t="s">
        <v>295</v>
      </c>
      <c r="V287" s="157" t="s">
        <v>379</v>
      </c>
    </row>
    <row r="288" spans="1:22" outlineLevel="1">
      <c r="A288" s="157" t="s">
        <v>264</v>
      </c>
      <c r="B288" s="138" t="s">
        <v>393</v>
      </c>
      <c r="C288" s="148">
        <v>43515</v>
      </c>
      <c r="D288" s="138" t="s">
        <v>606</v>
      </c>
      <c r="E288" s="139" t="s">
        <v>607</v>
      </c>
      <c r="F288" s="140">
        <v>75030</v>
      </c>
      <c r="G288" s="141">
        <v>5.71</v>
      </c>
      <c r="H288" s="138">
        <v>7.5</v>
      </c>
      <c r="I288" s="138" t="s">
        <v>292</v>
      </c>
      <c r="J288" s="149">
        <v>7.5</v>
      </c>
      <c r="K288" s="150" t="s">
        <v>604</v>
      </c>
      <c r="L288" s="151" t="s">
        <v>396</v>
      </c>
      <c r="M288" s="151" t="s">
        <v>309</v>
      </c>
      <c r="N288" s="151" t="s">
        <v>558</v>
      </c>
      <c r="O288" s="151"/>
      <c r="P288" s="151" t="s">
        <v>381</v>
      </c>
      <c r="Q288" s="151" t="s">
        <v>295</v>
      </c>
      <c r="R288" s="150" t="s">
        <v>379</v>
      </c>
      <c r="S288" s="138"/>
      <c r="T288" s="138" t="s">
        <v>381</v>
      </c>
      <c r="U288" s="138" t="s">
        <v>295</v>
      </c>
      <c r="V288" s="157" t="s">
        <v>379</v>
      </c>
    </row>
    <row r="289" spans="1:22" outlineLevel="1">
      <c r="A289" s="157" t="s">
        <v>264</v>
      </c>
      <c r="B289" s="138" t="s">
        <v>393</v>
      </c>
      <c r="C289" s="148">
        <v>43515</v>
      </c>
      <c r="D289" s="138" t="s">
        <v>606</v>
      </c>
      <c r="E289" s="139" t="s">
        <v>608</v>
      </c>
      <c r="F289" s="140">
        <v>75030</v>
      </c>
      <c r="G289" s="141">
        <v>6.3</v>
      </c>
      <c r="H289" s="138">
        <v>8.27</v>
      </c>
      <c r="I289" s="138" t="s">
        <v>292</v>
      </c>
      <c r="J289" s="149">
        <v>8.27</v>
      </c>
      <c r="K289" s="150" t="s">
        <v>604</v>
      </c>
      <c r="L289" s="151" t="s">
        <v>396</v>
      </c>
      <c r="M289" s="151" t="s">
        <v>309</v>
      </c>
      <c r="N289" s="151" t="s">
        <v>558</v>
      </c>
      <c r="O289" s="151"/>
      <c r="P289" s="151" t="s">
        <v>381</v>
      </c>
      <c r="Q289" s="151" t="s">
        <v>295</v>
      </c>
      <c r="R289" s="150" t="s">
        <v>379</v>
      </c>
      <c r="S289" s="138"/>
      <c r="T289" s="138" t="s">
        <v>381</v>
      </c>
      <c r="U289" s="138" t="s">
        <v>295</v>
      </c>
      <c r="V289" s="157" t="s">
        <v>379</v>
      </c>
    </row>
    <row r="290" spans="1:22" outlineLevel="1">
      <c r="A290" s="157" t="s">
        <v>264</v>
      </c>
      <c r="B290" s="138" t="s">
        <v>393</v>
      </c>
      <c r="C290" s="148">
        <v>43515</v>
      </c>
      <c r="D290" s="138" t="s">
        <v>606</v>
      </c>
      <c r="E290" s="139" t="s">
        <v>609</v>
      </c>
      <c r="F290" s="140">
        <v>75030</v>
      </c>
      <c r="G290" s="141">
        <v>57.1</v>
      </c>
      <c r="H290" s="138">
        <v>75</v>
      </c>
      <c r="I290" s="138" t="s">
        <v>292</v>
      </c>
      <c r="J290" s="149">
        <v>75</v>
      </c>
      <c r="K290" s="150" t="s">
        <v>610</v>
      </c>
      <c r="L290" s="151" t="s">
        <v>396</v>
      </c>
      <c r="M290" s="151" t="s">
        <v>309</v>
      </c>
      <c r="N290" s="151" t="s">
        <v>558</v>
      </c>
      <c r="O290" s="151"/>
      <c r="P290" s="151" t="s">
        <v>381</v>
      </c>
      <c r="Q290" s="151" t="s">
        <v>295</v>
      </c>
      <c r="R290" s="150" t="s">
        <v>379</v>
      </c>
      <c r="S290" s="138"/>
      <c r="T290" s="138" t="s">
        <v>381</v>
      </c>
      <c r="U290" s="138" t="s">
        <v>295</v>
      </c>
      <c r="V290" s="157" t="s">
        <v>379</v>
      </c>
    </row>
    <row r="291" spans="1:22" outlineLevel="1">
      <c r="A291" s="157" t="s">
        <v>264</v>
      </c>
      <c r="B291" s="138" t="s">
        <v>393</v>
      </c>
      <c r="C291" s="148">
        <v>43515</v>
      </c>
      <c r="D291" s="138" t="s">
        <v>606</v>
      </c>
      <c r="E291" s="139" t="s">
        <v>611</v>
      </c>
      <c r="F291" s="140">
        <v>75030</v>
      </c>
      <c r="G291" s="141">
        <v>79.94</v>
      </c>
      <c r="H291" s="138">
        <v>105</v>
      </c>
      <c r="I291" s="138" t="s">
        <v>292</v>
      </c>
      <c r="J291" s="149">
        <v>105</v>
      </c>
      <c r="K291" s="150" t="s">
        <v>610</v>
      </c>
      <c r="L291" s="151" t="s">
        <v>396</v>
      </c>
      <c r="M291" s="151" t="s">
        <v>309</v>
      </c>
      <c r="N291" s="151" t="s">
        <v>558</v>
      </c>
      <c r="O291" s="151"/>
      <c r="P291" s="151" t="s">
        <v>381</v>
      </c>
      <c r="Q291" s="151" t="s">
        <v>295</v>
      </c>
      <c r="R291" s="150" t="s">
        <v>379</v>
      </c>
      <c r="S291" s="138"/>
      <c r="T291" s="138" t="s">
        <v>381</v>
      </c>
      <c r="U291" s="138" t="s">
        <v>295</v>
      </c>
      <c r="V291" s="157" t="s">
        <v>379</v>
      </c>
    </row>
    <row r="292" spans="1:22" outlineLevel="1">
      <c r="A292" s="157" t="s">
        <v>264</v>
      </c>
      <c r="B292" s="138" t="s">
        <v>393</v>
      </c>
      <c r="C292" s="148">
        <v>43516</v>
      </c>
      <c r="D292" s="138" t="s">
        <v>612</v>
      </c>
      <c r="E292" s="139" t="s">
        <v>613</v>
      </c>
      <c r="F292" s="140">
        <v>75030</v>
      </c>
      <c r="G292" s="141">
        <v>85.27</v>
      </c>
      <c r="H292" s="138">
        <v>112</v>
      </c>
      <c r="I292" s="138" t="s">
        <v>292</v>
      </c>
      <c r="J292" s="149">
        <v>112</v>
      </c>
      <c r="K292" s="150" t="s">
        <v>610</v>
      </c>
      <c r="L292" s="151" t="s">
        <v>396</v>
      </c>
      <c r="M292" s="151" t="s">
        <v>309</v>
      </c>
      <c r="N292" s="151" t="s">
        <v>469</v>
      </c>
      <c r="O292" s="151"/>
      <c r="P292" s="151" t="s">
        <v>381</v>
      </c>
      <c r="Q292" s="151" t="s">
        <v>295</v>
      </c>
      <c r="R292" s="150" t="s">
        <v>379</v>
      </c>
      <c r="S292" s="138"/>
      <c r="T292" s="138" t="s">
        <v>381</v>
      </c>
      <c r="U292" s="138" t="s">
        <v>295</v>
      </c>
      <c r="V292" s="157" t="s">
        <v>379</v>
      </c>
    </row>
    <row r="293" spans="1:22" outlineLevel="1">
      <c r="A293" s="157" t="s">
        <v>264</v>
      </c>
      <c r="B293" s="138" t="s">
        <v>393</v>
      </c>
      <c r="C293" s="148">
        <v>43515</v>
      </c>
      <c r="D293" s="138" t="s">
        <v>606</v>
      </c>
      <c r="E293" s="139" t="s">
        <v>614</v>
      </c>
      <c r="F293" s="140">
        <v>75030</v>
      </c>
      <c r="G293" s="141">
        <v>78.180000000000007</v>
      </c>
      <c r="H293" s="138">
        <v>102.68</v>
      </c>
      <c r="I293" s="138" t="s">
        <v>292</v>
      </c>
      <c r="J293" s="149">
        <v>102.69</v>
      </c>
      <c r="K293" s="150" t="s">
        <v>615</v>
      </c>
      <c r="L293" s="151" t="s">
        <v>396</v>
      </c>
      <c r="M293" s="151" t="s">
        <v>309</v>
      </c>
      <c r="N293" s="151" t="s">
        <v>558</v>
      </c>
      <c r="O293" s="151"/>
      <c r="P293" s="151" t="s">
        <v>381</v>
      </c>
      <c r="Q293" s="151" t="s">
        <v>295</v>
      </c>
      <c r="R293" s="150" t="s">
        <v>379</v>
      </c>
      <c r="S293" s="138"/>
      <c r="T293" s="138" t="s">
        <v>381</v>
      </c>
      <c r="U293" s="138" t="s">
        <v>295</v>
      </c>
      <c r="V293" s="157" t="s">
        <v>379</v>
      </c>
    </row>
    <row r="294" spans="1:22" outlineLevel="1">
      <c r="A294" s="157" t="s">
        <v>264</v>
      </c>
      <c r="B294" s="138" t="s">
        <v>393</v>
      </c>
      <c r="C294" s="148">
        <v>43515</v>
      </c>
      <c r="D294" s="138" t="s">
        <v>606</v>
      </c>
      <c r="E294" s="139" t="s">
        <v>616</v>
      </c>
      <c r="F294" s="140">
        <v>75030</v>
      </c>
      <c r="G294" s="141">
        <v>78.180000000000007</v>
      </c>
      <c r="H294" s="138">
        <v>102.68</v>
      </c>
      <c r="I294" s="138" t="s">
        <v>292</v>
      </c>
      <c r="J294" s="149">
        <v>102.69</v>
      </c>
      <c r="K294" s="150" t="s">
        <v>615</v>
      </c>
      <c r="L294" s="151" t="s">
        <v>396</v>
      </c>
      <c r="M294" s="151" t="s">
        <v>309</v>
      </c>
      <c r="N294" s="151" t="s">
        <v>558</v>
      </c>
      <c r="O294" s="151"/>
      <c r="P294" s="151" t="s">
        <v>381</v>
      </c>
      <c r="Q294" s="151" t="s">
        <v>295</v>
      </c>
      <c r="R294" s="150" t="s">
        <v>379</v>
      </c>
      <c r="S294" s="138"/>
      <c r="T294" s="138" t="s">
        <v>381</v>
      </c>
      <c r="U294" s="138" t="s">
        <v>295</v>
      </c>
      <c r="V294" s="157" t="s">
        <v>379</v>
      </c>
    </row>
    <row r="295" spans="1:22" outlineLevel="1">
      <c r="A295" s="157" t="s">
        <v>264</v>
      </c>
      <c r="B295" s="138" t="s">
        <v>393</v>
      </c>
      <c r="C295" s="148">
        <v>43515</v>
      </c>
      <c r="D295" s="138" t="s">
        <v>606</v>
      </c>
      <c r="E295" s="139" t="s">
        <v>617</v>
      </c>
      <c r="F295" s="140">
        <v>75030</v>
      </c>
      <c r="G295" s="141">
        <v>78.180000000000007</v>
      </c>
      <c r="H295" s="138">
        <v>102.68</v>
      </c>
      <c r="I295" s="138" t="s">
        <v>292</v>
      </c>
      <c r="J295" s="149">
        <v>102.69</v>
      </c>
      <c r="K295" s="150" t="s">
        <v>615</v>
      </c>
      <c r="L295" s="151" t="s">
        <v>396</v>
      </c>
      <c r="M295" s="151" t="s">
        <v>309</v>
      </c>
      <c r="N295" s="151" t="s">
        <v>558</v>
      </c>
      <c r="O295" s="151"/>
      <c r="P295" s="151" t="s">
        <v>381</v>
      </c>
      <c r="Q295" s="151" t="s">
        <v>295</v>
      </c>
      <c r="R295" s="150" t="s">
        <v>379</v>
      </c>
      <c r="S295" s="138"/>
      <c r="T295" s="138" t="s">
        <v>381</v>
      </c>
      <c r="U295" s="138" t="s">
        <v>295</v>
      </c>
      <c r="V295" s="157" t="s">
        <v>379</v>
      </c>
    </row>
    <row r="296" spans="1:22" outlineLevel="1">
      <c r="A296" s="157" t="s">
        <v>264</v>
      </c>
      <c r="B296" s="138" t="s">
        <v>393</v>
      </c>
      <c r="C296" s="148">
        <v>43515</v>
      </c>
      <c r="D296" s="138" t="s">
        <v>618</v>
      </c>
      <c r="E296" s="139" t="s">
        <v>619</v>
      </c>
      <c r="F296" s="140">
        <v>75040</v>
      </c>
      <c r="G296" s="141">
        <v>42.64</v>
      </c>
      <c r="H296" s="138">
        <v>56</v>
      </c>
      <c r="I296" s="138" t="s">
        <v>292</v>
      </c>
      <c r="J296" s="149">
        <v>56.01</v>
      </c>
      <c r="K296" s="150" t="s">
        <v>615</v>
      </c>
      <c r="L296" s="151" t="s">
        <v>400</v>
      </c>
      <c r="M296" s="151" t="s">
        <v>309</v>
      </c>
      <c r="N296" s="151" t="s">
        <v>469</v>
      </c>
      <c r="O296" s="151"/>
      <c r="P296" s="151" t="s">
        <v>381</v>
      </c>
      <c r="Q296" s="151" t="s">
        <v>295</v>
      </c>
      <c r="R296" s="150" t="s">
        <v>379</v>
      </c>
      <c r="S296" s="138"/>
      <c r="T296" s="138" t="s">
        <v>381</v>
      </c>
      <c r="U296" s="138" t="s">
        <v>295</v>
      </c>
      <c r="V296" s="157" t="s">
        <v>379</v>
      </c>
    </row>
    <row r="297" spans="1:22" outlineLevel="1">
      <c r="A297" s="157" t="s">
        <v>264</v>
      </c>
      <c r="B297" s="138" t="s">
        <v>393</v>
      </c>
      <c r="C297" s="148">
        <v>43515</v>
      </c>
      <c r="D297" s="138" t="s">
        <v>606</v>
      </c>
      <c r="E297" s="139" t="s">
        <v>620</v>
      </c>
      <c r="F297" s="140">
        <v>75030</v>
      </c>
      <c r="G297" s="141">
        <v>7.61</v>
      </c>
      <c r="H297" s="138">
        <v>10</v>
      </c>
      <c r="I297" s="138" t="s">
        <v>292</v>
      </c>
      <c r="J297" s="149">
        <v>10</v>
      </c>
      <c r="K297" s="150" t="s">
        <v>601</v>
      </c>
      <c r="L297" s="151" t="s">
        <v>396</v>
      </c>
      <c r="M297" s="151" t="s">
        <v>309</v>
      </c>
      <c r="N297" s="151"/>
      <c r="O297" s="151"/>
      <c r="P297" s="151" t="s">
        <v>381</v>
      </c>
      <c r="Q297" s="151" t="s">
        <v>295</v>
      </c>
      <c r="R297" s="150" t="s">
        <v>379</v>
      </c>
      <c r="S297" s="138"/>
      <c r="T297" s="138" t="s">
        <v>381</v>
      </c>
      <c r="U297" s="138" t="s">
        <v>295</v>
      </c>
      <c r="V297" s="157" t="s">
        <v>379</v>
      </c>
    </row>
    <row r="298" spans="1:22" outlineLevel="1">
      <c r="A298" s="157" t="s">
        <v>264</v>
      </c>
      <c r="B298" s="138" t="s">
        <v>349</v>
      </c>
      <c r="C298" s="148">
        <v>43543</v>
      </c>
      <c r="D298" s="138" t="s">
        <v>621</v>
      </c>
      <c r="E298" s="139" t="s">
        <v>622</v>
      </c>
      <c r="F298" s="140">
        <v>75390</v>
      </c>
      <c r="G298" s="141">
        <v>22.6</v>
      </c>
      <c r="H298" s="138">
        <v>30</v>
      </c>
      <c r="I298" s="138" t="s">
        <v>292</v>
      </c>
      <c r="J298" s="149">
        <v>30</v>
      </c>
      <c r="K298" s="150" t="s">
        <v>604</v>
      </c>
      <c r="L298" s="151" t="s">
        <v>396</v>
      </c>
      <c r="M298" s="151" t="s">
        <v>309</v>
      </c>
      <c r="N298" s="151" t="s">
        <v>469</v>
      </c>
      <c r="O298" s="151"/>
      <c r="P298" s="151" t="s">
        <v>381</v>
      </c>
      <c r="Q298" s="151" t="s">
        <v>295</v>
      </c>
      <c r="R298" s="150" t="s">
        <v>379</v>
      </c>
      <c r="S298" s="138"/>
      <c r="T298" s="138" t="s">
        <v>381</v>
      </c>
      <c r="U298" s="138" t="s">
        <v>295</v>
      </c>
      <c r="V298" s="157" t="s">
        <v>379</v>
      </c>
    </row>
    <row r="299" spans="1:22" outlineLevel="1">
      <c r="A299" s="157" t="s">
        <v>264</v>
      </c>
      <c r="B299" s="138" t="s">
        <v>349</v>
      </c>
      <c r="C299" s="148">
        <v>43544</v>
      </c>
      <c r="D299" s="138" t="s">
        <v>623</v>
      </c>
      <c r="E299" s="139" t="s">
        <v>624</v>
      </c>
      <c r="F299" s="140">
        <v>75390</v>
      </c>
      <c r="G299" s="141">
        <v>45.19</v>
      </c>
      <c r="H299" s="138">
        <v>60</v>
      </c>
      <c r="I299" s="138" t="s">
        <v>292</v>
      </c>
      <c r="J299" s="149">
        <v>59.99</v>
      </c>
      <c r="K299" s="150" t="s">
        <v>610</v>
      </c>
      <c r="L299" s="151" t="s">
        <v>396</v>
      </c>
      <c r="M299" s="151" t="s">
        <v>309</v>
      </c>
      <c r="N299" s="151" t="s">
        <v>558</v>
      </c>
      <c r="O299" s="151"/>
      <c r="P299" s="151" t="s">
        <v>381</v>
      </c>
      <c r="Q299" s="151" t="s">
        <v>295</v>
      </c>
      <c r="R299" s="150" t="s">
        <v>379</v>
      </c>
      <c r="S299" s="138"/>
      <c r="T299" s="138" t="s">
        <v>381</v>
      </c>
      <c r="U299" s="138" t="s">
        <v>295</v>
      </c>
      <c r="V299" s="157" t="s">
        <v>379</v>
      </c>
    </row>
    <row r="300" spans="1:22" outlineLevel="1">
      <c r="A300" s="157" t="s">
        <v>264</v>
      </c>
      <c r="B300" s="138" t="s">
        <v>349</v>
      </c>
      <c r="C300" s="148">
        <v>43544</v>
      </c>
      <c r="D300" s="138" t="s">
        <v>623</v>
      </c>
      <c r="E300" s="139" t="s">
        <v>625</v>
      </c>
      <c r="F300" s="140">
        <v>75390</v>
      </c>
      <c r="G300" s="141">
        <v>45.19</v>
      </c>
      <c r="H300" s="138">
        <v>60</v>
      </c>
      <c r="I300" s="138" t="s">
        <v>292</v>
      </c>
      <c r="J300" s="149">
        <v>59.99</v>
      </c>
      <c r="K300" s="150" t="s">
        <v>610</v>
      </c>
      <c r="L300" s="151" t="s">
        <v>396</v>
      </c>
      <c r="M300" s="151" t="s">
        <v>309</v>
      </c>
      <c r="N300" s="151" t="s">
        <v>626</v>
      </c>
      <c r="O300" s="151"/>
      <c r="P300" s="151" t="s">
        <v>381</v>
      </c>
      <c r="Q300" s="151" t="s">
        <v>295</v>
      </c>
      <c r="R300" s="150" t="s">
        <v>379</v>
      </c>
      <c r="S300" s="138"/>
      <c r="T300" s="138" t="s">
        <v>381</v>
      </c>
      <c r="U300" s="138" t="s">
        <v>295</v>
      </c>
      <c r="V300" s="157" t="s">
        <v>379</v>
      </c>
    </row>
    <row r="301" spans="1:22" outlineLevel="1">
      <c r="A301" s="157" t="s">
        <v>264</v>
      </c>
      <c r="B301" s="138" t="s">
        <v>349</v>
      </c>
      <c r="C301" s="148">
        <v>43544</v>
      </c>
      <c r="D301" s="138" t="s">
        <v>623</v>
      </c>
      <c r="E301" s="139" t="s">
        <v>627</v>
      </c>
      <c r="F301" s="140">
        <v>75390</v>
      </c>
      <c r="G301" s="141">
        <v>45.19</v>
      </c>
      <c r="H301" s="138">
        <v>60</v>
      </c>
      <c r="I301" s="138" t="s">
        <v>292</v>
      </c>
      <c r="J301" s="149">
        <v>59.99</v>
      </c>
      <c r="K301" s="150" t="s">
        <v>610</v>
      </c>
      <c r="L301" s="151" t="s">
        <v>396</v>
      </c>
      <c r="M301" s="151" t="s">
        <v>309</v>
      </c>
      <c r="N301" s="151" t="s">
        <v>628</v>
      </c>
      <c r="O301" s="151"/>
      <c r="P301" s="151" t="s">
        <v>381</v>
      </c>
      <c r="Q301" s="151" t="s">
        <v>295</v>
      </c>
      <c r="R301" s="150" t="s">
        <v>379</v>
      </c>
      <c r="S301" s="138"/>
      <c r="T301" s="138" t="s">
        <v>381</v>
      </c>
      <c r="U301" s="138" t="s">
        <v>295</v>
      </c>
      <c r="V301" s="157" t="s">
        <v>379</v>
      </c>
    </row>
    <row r="302" spans="1:22" outlineLevel="1">
      <c r="A302" s="157" t="s">
        <v>264</v>
      </c>
      <c r="B302" s="138" t="s">
        <v>349</v>
      </c>
      <c r="C302" s="148">
        <v>43553</v>
      </c>
      <c r="D302" s="138" t="s">
        <v>629</v>
      </c>
      <c r="E302" s="139" t="s">
        <v>630</v>
      </c>
      <c r="F302" s="140">
        <v>75358</v>
      </c>
      <c r="G302" s="141">
        <v>45.19</v>
      </c>
      <c r="H302" s="138">
        <v>60</v>
      </c>
      <c r="I302" s="138" t="s">
        <v>292</v>
      </c>
      <c r="J302" s="149">
        <v>59.99</v>
      </c>
      <c r="K302" s="150" t="s">
        <v>610</v>
      </c>
      <c r="L302" s="151" t="s">
        <v>400</v>
      </c>
      <c r="M302" s="151" t="s">
        <v>309</v>
      </c>
      <c r="N302" s="151" t="s">
        <v>468</v>
      </c>
      <c r="O302" s="151"/>
      <c r="P302" s="151" t="s">
        <v>381</v>
      </c>
      <c r="Q302" s="151" t="s">
        <v>295</v>
      </c>
      <c r="R302" s="150" t="s">
        <v>379</v>
      </c>
      <c r="S302" s="138"/>
      <c r="T302" s="138" t="s">
        <v>381</v>
      </c>
      <c r="U302" s="138" t="s">
        <v>295</v>
      </c>
      <c r="V302" s="157" t="s">
        <v>379</v>
      </c>
    </row>
    <row r="303" spans="1:22" outlineLevel="1">
      <c r="A303" s="157" t="s">
        <v>264</v>
      </c>
      <c r="B303" s="138" t="s">
        <v>349</v>
      </c>
      <c r="C303" s="148">
        <v>43553</v>
      </c>
      <c r="D303" s="138" t="s">
        <v>631</v>
      </c>
      <c r="E303" s="139" t="s">
        <v>632</v>
      </c>
      <c r="F303" s="140">
        <v>75390</v>
      </c>
      <c r="G303" s="141">
        <v>55.36</v>
      </c>
      <c r="H303" s="138">
        <v>73.5</v>
      </c>
      <c r="I303" s="138" t="s">
        <v>292</v>
      </c>
      <c r="J303" s="149">
        <v>73.5</v>
      </c>
      <c r="K303" s="150" t="s">
        <v>615</v>
      </c>
      <c r="L303" s="151" t="s">
        <v>396</v>
      </c>
      <c r="M303" s="151" t="s">
        <v>309</v>
      </c>
      <c r="N303" s="151" t="s">
        <v>468</v>
      </c>
      <c r="O303" s="151"/>
      <c r="P303" s="151" t="s">
        <v>381</v>
      </c>
      <c r="Q303" s="151" t="s">
        <v>295</v>
      </c>
      <c r="R303" s="150" t="s">
        <v>379</v>
      </c>
      <c r="S303" s="138"/>
      <c r="T303" s="138" t="s">
        <v>381</v>
      </c>
      <c r="U303" s="138" t="s">
        <v>295</v>
      </c>
      <c r="V303" s="157" t="s">
        <v>379</v>
      </c>
    </row>
    <row r="304" spans="1:22">
      <c r="A304" s="152" t="s">
        <v>378</v>
      </c>
      <c r="B304" s="152"/>
      <c r="C304" s="152"/>
      <c r="D304" s="152"/>
      <c r="E304" s="153"/>
      <c r="F304" s="154"/>
      <c r="G304" s="155">
        <f>SUM(G286:G303)</f>
        <v>801.45000000000016</v>
      </c>
      <c r="H304" s="156">
        <f>SUM(H286:H303)</f>
        <v>1056.31</v>
      </c>
      <c r="I304" s="152"/>
      <c r="J304" s="156">
        <f>SUM(J286:J303)</f>
        <v>1056.31</v>
      </c>
      <c r="K304" s="152"/>
      <c r="L304" s="152"/>
      <c r="M304" s="152"/>
      <c r="N304" s="152"/>
      <c r="O304" s="152"/>
      <c r="P304" s="152"/>
      <c r="Q304" s="152"/>
      <c r="R304" s="152"/>
      <c r="S304" s="138"/>
      <c r="T304" s="138"/>
      <c r="U304" s="138"/>
      <c r="V304" s="138"/>
    </row>
    <row r="305" spans="1:22" outlineLevel="1">
      <c r="A305" s="157" t="s">
        <v>265</v>
      </c>
      <c r="B305" s="138" t="s">
        <v>393</v>
      </c>
      <c r="C305" s="148">
        <v>43521</v>
      </c>
      <c r="D305" s="138" t="s">
        <v>633</v>
      </c>
      <c r="E305" s="139" t="s">
        <v>634</v>
      </c>
      <c r="F305" s="140">
        <v>75030</v>
      </c>
      <c r="G305" s="141">
        <v>548.16999999999996</v>
      </c>
      <c r="H305" s="138">
        <v>720</v>
      </c>
      <c r="I305" s="138" t="s">
        <v>292</v>
      </c>
      <c r="J305" s="149">
        <v>720</v>
      </c>
      <c r="K305" s="150" t="s">
        <v>635</v>
      </c>
      <c r="L305" s="151" t="s">
        <v>396</v>
      </c>
      <c r="M305" s="151" t="s">
        <v>309</v>
      </c>
      <c r="N305" s="151"/>
      <c r="O305" s="151"/>
      <c r="P305" s="151" t="s">
        <v>381</v>
      </c>
      <c r="Q305" s="151" t="s">
        <v>295</v>
      </c>
      <c r="R305" s="150" t="s">
        <v>379</v>
      </c>
      <c r="S305" s="138"/>
      <c r="T305" s="138" t="s">
        <v>381</v>
      </c>
      <c r="U305" s="138" t="s">
        <v>295</v>
      </c>
      <c r="V305" s="157" t="s">
        <v>379</v>
      </c>
    </row>
    <row r="306" spans="1:22">
      <c r="A306" s="152" t="s">
        <v>378</v>
      </c>
      <c r="B306" s="152"/>
      <c r="C306" s="152"/>
      <c r="D306" s="152"/>
      <c r="E306" s="153"/>
      <c r="F306" s="154"/>
      <c r="G306" s="155">
        <f>SUM(G305:G305)</f>
        <v>548.16999999999996</v>
      </c>
      <c r="H306" s="156">
        <f>SUM(H305:H305)</f>
        <v>720</v>
      </c>
      <c r="I306" s="152"/>
      <c r="J306" s="156">
        <f>SUM(J305:J305)</f>
        <v>720</v>
      </c>
      <c r="K306" s="152"/>
      <c r="L306" s="152"/>
      <c r="M306" s="152"/>
      <c r="N306" s="152"/>
      <c r="O306" s="152"/>
      <c r="P306" s="152"/>
      <c r="Q306" s="152"/>
      <c r="R306" s="152"/>
      <c r="S306" s="138"/>
      <c r="T306" s="138"/>
      <c r="U306" s="138"/>
      <c r="V306" s="138"/>
    </row>
    <row r="307" spans="1:22" outlineLevel="1">
      <c r="A307" s="157" t="s">
        <v>266</v>
      </c>
      <c r="B307" s="138" t="s">
        <v>393</v>
      </c>
      <c r="C307" s="148">
        <v>43521</v>
      </c>
      <c r="D307" s="138" t="s">
        <v>633</v>
      </c>
      <c r="E307" s="139" t="s">
        <v>636</v>
      </c>
      <c r="F307" s="140">
        <v>75030</v>
      </c>
      <c r="G307" s="141">
        <v>152.27000000000001</v>
      </c>
      <c r="H307" s="138">
        <v>200</v>
      </c>
      <c r="I307" s="138" t="s">
        <v>292</v>
      </c>
      <c r="J307" s="149">
        <v>200</v>
      </c>
      <c r="K307" s="150" t="s">
        <v>637</v>
      </c>
      <c r="L307" s="151" t="s">
        <v>396</v>
      </c>
      <c r="M307" s="151" t="s">
        <v>309</v>
      </c>
      <c r="N307" s="151"/>
      <c r="O307" s="151"/>
      <c r="P307" s="151" t="s">
        <v>381</v>
      </c>
      <c r="Q307" s="151" t="s">
        <v>295</v>
      </c>
      <c r="R307" s="150" t="s">
        <v>379</v>
      </c>
      <c r="S307" s="138"/>
      <c r="T307" s="138" t="s">
        <v>381</v>
      </c>
      <c r="U307" s="138" t="s">
        <v>295</v>
      </c>
      <c r="V307" s="157" t="s">
        <v>379</v>
      </c>
    </row>
    <row r="308" spans="1:22">
      <c r="A308" s="152" t="s">
        <v>378</v>
      </c>
      <c r="B308" s="152"/>
      <c r="C308" s="152"/>
      <c r="D308" s="152"/>
      <c r="E308" s="153"/>
      <c r="F308" s="154"/>
      <c r="G308" s="155">
        <f>SUM(G307:G307)</f>
        <v>152.27000000000001</v>
      </c>
      <c r="H308" s="156">
        <f>SUM(H307:H307)</f>
        <v>200</v>
      </c>
      <c r="I308" s="152"/>
      <c r="J308" s="156">
        <f>SUM(J307:J307)</f>
        <v>200</v>
      </c>
      <c r="K308" s="152"/>
      <c r="L308" s="152"/>
      <c r="M308" s="152"/>
      <c r="N308" s="152"/>
      <c r="O308" s="152"/>
      <c r="P308" s="152"/>
      <c r="Q308" s="152"/>
      <c r="R308" s="152"/>
      <c r="S308" s="138"/>
      <c r="T308" s="138"/>
      <c r="U308" s="138"/>
      <c r="V308" s="138"/>
    </row>
    <row r="309" spans="1:22" outlineLevel="1">
      <c r="A309" s="157" t="s">
        <v>267</v>
      </c>
      <c r="B309" s="138" t="s">
        <v>382</v>
      </c>
      <c r="C309" s="148">
        <v>43486</v>
      </c>
      <c r="D309" s="138" t="s">
        <v>638</v>
      </c>
      <c r="E309" s="139" t="s">
        <v>639</v>
      </c>
      <c r="F309" s="140">
        <v>74791</v>
      </c>
      <c r="G309" s="141">
        <v>78.37</v>
      </c>
      <c r="H309" s="138">
        <v>100</v>
      </c>
      <c r="I309" s="138" t="s">
        <v>292</v>
      </c>
      <c r="J309" s="149">
        <v>100</v>
      </c>
      <c r="K309" s="150" t="s">
        <v>640</v>
      </c>
      <c r="L309" s="151" t="s">
        <v>400</v>
      </c>
      <c r="M309" s="151" t="s">
        <v>309</v>
      </c>
      <c r="N309" s="151"/>
      <c r="O309" s="151"/>
      <c r="P309" s="151" t="s">
        <v>381</v>
      </c>
      <c r="Q309" s="151" t="s">
        <v>295</v>
      </c>
      <c r="R309" s="150" t="s">
        <v>379</v>
      </c>
      <c r="S309" s="138"/>
      <c r="T309" s="138" t="s">
        <v>381</v>
      </c>
      <c r="U309" s="138" t="s">
        <v>295</v>
      </c>
      <c r="V309" s="157" t="s">
        <v>379</v>
      </c>
    </row>
    <row r="310" spans="1:22" outlineLevel="1">
      <c r="A310" s="157" t="s">
        <v>267</v>
      </c>
      <c r="B310" s="138" t="s">
        <v>393</v>
      </c>
      <c r="C310" s="148">
        <v>43503</v>
      </c>
      <c r="D310" s="138" t="s">
        <v>641</v>
      </c>
      <c r="E310" s="139" t="s">
        <v>642</v>
      </c>
      <c r="F310" s="140">
        <v>75040</v>
      </c>
      <c r="G310" s="141">
        <v>38.07</v>
      </c>
      <c r="H310" s="138">
        <v>50</v>
      </c>
      <c r="I310" s="138" t="s">
        <v>292</v>
      </c>
      <c r="J310" s="149">
        <v>50</v>
      </c>
      <c r="K310" s="150" t="s">
        <v>640</v>
      </c>
      <c r="L310" s="151" t="s">
        <v>400</v>
      </c>
      <c r="M310" s="151" t="s">
        <v>309</v>
      </c>
      <c r="N310" s="151"/>
      <c r="O310" s="151"/>
      <c r="P310" s="151" t="s">
        <v>381</v>
      </c>
      <c r="Q310" s="151" t="s">
        <v>295</v>
      </c>
      <c r="R310" s="150" t="s">
        <v>379</v>
      </c>
      <c r="S310" s="138"/>
      <c r="T310" s="138" t="s">
        <v>381</v>
      </c>
      <c r="U310" s="138" t="s">
        <v>295</v>
      </c>
      <c r="V310" s="157" t="s">
        <v>379</v>
      </c>
    </row>
    <row r="311" spans="1:22" outlineLevel="1">
      <c r="A311" s="157" t="s">
        <v>267</v>
      </c>
      <c r="B311" s="138" t="s">
        <v>349</v>
      </c>
      <c r="C311" s="148">
        <v>43538</v>
      </c>
      <c r="D311" s="138" t="s">
        <v>643</v>
      </c>
      <c r="E311" s="139" t="s">
        <v>644</v>
      </c>
      <c r="F311" s="140">
        <v>75358</v>
      </c>
      <c r="G311" s="141">
        <v>15.06</v>
      </c>
      <c r="H311" s="138">
        <v>20</v>
      </c>
      <c r="I311" s="138" t="s">
        <v>292</v>
      </c>
      <c r="J311" s="149">
        <v>19.989999999999998</v>
      </c>
      <c r="K311" s="150" t="s">
        <v>592</v>
      </c>
      <c r="L311" s="151" t="s">
        <v>400</v>
      </c>
      <c r="M311" s="151" t="s">
        <v>309</v>
      </c>
      <c r="N311" s="151"/>
      <c r="O311" s="151"/>
      <c r="P311" s="151" t="s">
        <v>381</v>
      </c>
      <c r="Q311" s="151" t="s">
        <v>295</v>
      </c>
      <c r="R311" s="150" t="s">
        <v>379</v>
      </c>
      <c r="S311" s="138"/>
      <c r="T311" s="138" t="s">
        <v>381</v>
      </c>
      <c r="U311" s="138" t="s">
        <v>295</v>
      </c>
      <c r="V311" s="157" t="s">
        <v>379</v>
      </c>
    </row>
    <row r="312" spans="1:22" outlineLevel="1">
      <c r="A312" s="157" t="s">
        <v>267</v>
      </c>
      <c r="B312" s="138" t="s">
        <v>349</v>
      </c>
      <c r="C312" s="148">
        <v>43546</v>
      </c>
      <c r="D312" s="138" t="s">
        <v>645</v>
      </c>
      <c r="E312" s="139" t="s">
        <v>646</v>
      </c>
      <c r="F312" s="140">
        <v>75358</v>
      </c>
      <c r="G312" s="141">
        <v>131.82</v>
      </c>
      <c r="H312" s="138">
        <v>175</v>
      </c>
      <c r="I312" s="138" t="s">
        <v>292</v>
      </c>
      <c r="J312" s="149">
        <v>175.01</v>
      </c>
      <c r="K312" s="150" t="s">
        <v>640</v>
      </c>
      <c r="L312" s="151" t="s">
        <v>400</v>
      </c>
      <c r="M312" s="151" t="s">
        <v>309</v>
      </c>
      <c r="N312" s="151"/>
      <c r="O312" s="151"/>
      <c r="P312" s="151" t="s">
        <v>381</v>
      </c>
      <c r="Q312" s="151" t="s">
        <v>295</v>
      </c>
      <c r="R312" s="150" t="s">
        <v>379</v>
      </c>
      <c r="S312" s="138"/>
      <c r="T312" s="138" t="s">
        <v>381</v>
      </c>
      <c r="U312" s="138" t="s">
        <v>295</v>
      </c>
      <c r="V312" s="157" t="s">
        <v>379</v>
      </c>
    </row>
    <row r="313" spans="1:22">
      <c r="A313" s="152" t="s">
        <v>378</v>
      </c>
      <c r="B313" s="152"/>
      <c r="C313" s="152"/>
      <c r="D313" s="152"/>
      <c r="E313" s="153"/>
      <c r="F313" s="154"/>
      <c r="G313" s="155">
        <f>SUM(G309:G312)</f>
        <v>263.32</v>
      </c>
      <c r="H313" s="156">
        <f>SUM(H309:H312)</f>
        <v>345</v>
      </c>
      <c r="I313" s="152"/>
      <c r="J313" s="156">
        <f>SUM(J309:J312)</f>
        <v>345</v>
      </c>
      <c r="K313" s="152"/>
      <c r="L313" s="152"/>
      <c r="M313" s="152"/>
      <c r="N313" s="152"/>
      <c r="O313" s="152"/>
      <c r="P313" s="152"/>
      <c r="Q313" s="152"/>
      <c r="R313" s="152"/>
      <c r="S313" s="138"/>
      <c r="T313" s="138"/>
      <c r="U313" s="138"/>
      <c r="V313" s="138"/>
    </row>
    <row r="314" spans="1:22" outlineLevel="1">
      <c r="A314" s="157" t="s">
        <v>268</v>
      </c>
      <c r="B314" s="138" t="s">
        <v>393</v>
      </c>
      <c r="C314" s="148">
        <v>43500</v>
      </c>
      <c r="D314" s="138" t="s">
        <v>647</v>
      </c>
      <c r="E314" s="139" t="s">
        <v>648</v>
      </c>
      <c r="F314" s="140">
        <v>75030</v>
      </c>
      <c r="G314" s="141">
        <v>365.45</v>
      </c>
      <c r="H314" s="138">
        <v>480</v>
      </c>
      <c r="I314" s="138" t="s">
        <v>292</v>
      </c>
      <c r="J314" s="149">
        <v>480</v>
      </c>
      <c r="K314" s="150" t="s">
        <v>649</v>
      </c>
      <c r="L314" s="151" t="s">
        <v>396</v>
      </c>
      <c r="M314" s="151" t="s">
        <v>309</v>
      </c>
      <c r="N314" s="151"/>
      <c r="O314" s="151"/>
      <c r="P314" s="151" t="s">
        <v>381</v>
      </c>
      <c r="Q314" s="151" t="s">
        <v>295</v>
      </c>
      <c r="R314" s="150" t="s">
        <v>379</v>
      </c>
      <c r="S314" s="138"/>
      <c r="T314" s="138" t="s">
        <v>381</v>
      </c>
      <c r="U314" s="138" t="s">
        <v>295</v>
      </c>
      <c r="V314" s="157" t="s">
        <v>379</v>
      </c>
    </row>
    <row r="315" spans="1:22">
      <c r="A315" s="152" t="s">
        <v>378</v>
      </c>
      <c r="B315" s="152"/>
      <c r="C315" s="152"/>
      <c r="D315" s="152"/>
      <c r="E315" s="153"/>
      <c r="F315" s="154"/>
      <c r="G315" s="155">
        <f>SUM(G314:G314)</f>
        <v>365.45</v>
      </c>
      <c r="H315" s="156">
        <f>SUM(H314:H314)</f>
        <v>480</v>
      </c>
      <c r="I315" s="152"/>
      <c r="J315" s="156">
        <f>SUM(J314:J314)</f>
        <v>480</v>
      </c>
      <c r="K315" s="152"/>
      <c r="L315" s="152"/>
      <c r="M315" s="152"/>
      <c r="N315" s="152"/>
      <c r="O315" s="152"/>
      <c r="P315" s="152"/>
      <c r="Q315" s="152"/>
      <c r="R315" s="152"/>
      <c r="S315" s="138"/>
      <c r="T315" s="138"/>
      <c r="U315" s="138"/>
      <c r="V315" s="138"/>
    </row>
    <row r="316" spans="1:22" outlineLevel="1">
      <c r="A316" s="157" t="s">
        <v>269</v>
      </c>
      <c r="B316" s="138" t="s">
        <v>393</v>
      </c>
      <c r="C316" s="148">
        <v>43503</v>
      </c>
      <c r="D316" s="138" t="s">
        <v>458</v>
      </c>
      <c r="E316" s="139" t="s">
        <v>650</v>
      </c>
      <c r="F316" s="140">
        <v>75030</v>
      </c>
      <c r="G316" s="141">
        <v>3.66</v>
      </c>
      <c r="H316" s="138">
        <v>4.8099999999999996</v>
      </c>
      <c r="I316" s="138" t="s">
        <v>292</v>
      </c>
      <c r="J316" s="149">
        <v>4.8099999999999996</v>
      </c>
      <c r="K316" s="150" t="s">
        <v>651</v>
      </c>
      <c r="L316" s="151" t="s">
        <v>396</v>
      </c>
      <c r="M316" s="151" t="s">
        <v>309</v>
      </c>
      <c r="N316" s="151"/>
      <c r="O316" s="151"/>
      <c r="P316" s="151" t="s">
        <v>381</v>
      </c>
      <c r="Q316" s="151" t="s">
        <v>295</v>
      </c>
      <c r="R316" s="150" t="s">
        <v>379</v>
      </c>
      <c r="S316" s="138"/>
      <c r="T316" s="138" t="s">
        <v>381</v>
      </c>
      <c r="U316" s="138" t="s">
        <v>295</v>
      </c>
      <c r="V316" s="157" t="s">
        <v>379</v>
      </c>
    </row>
    <row r="317" spans="1:22" outlineLevel="1">
      <c r="A317" s="157" t="s">
        <v>269</v>
      </c>
      <c r="B317" s="138" t="s">
        <v>393</v>
      </c>
      <c r="C317" s="148">
        <v>43503</v>
      </c>
      <c r="D317" s="138" t="s">
        <v>458</v>
      </c>
      <c r="E317" s="139" t="s">
        <v>652</v>
      </c>
      <c r="F317" s="140">
        <v>75030</v>
      </c>
      <c r="G317" s="141">
        <v>15.76</v>
      </c>
      <c r="H317" s="138">
        <v>20.7</v>
      </c>
      <c r="I317" s="138" t="s">
        <v>292</v>
      </c>
      <c r="J317" s="149">
        <v>20.7</v>
      </c>
      <c r="K317" s="150" t="s">
        <v>653</v>
      </c>
      <c r="L317" s="151" t="s">
        <v>396</v>
      </c>
      <c r="M317" s="151" t="s">
        <v>309</v>
      </c>
      <c r="N317" s="151"/>
      <c r="O317" s="151"/>
      <c r="P317" s="151" t="s">
        <v>381</v>
      </c>
      <c r="Q317" s="151" t="s">
        <v>295</v>
      </c>
      <c r="R317" s="150" t="s">
        <v>379</v>
      </c>
      <c r="S317" s="138"/>
      <c r="T317" s="138" t="s">
        <v>381</v>
      </c>
      <c r="U317" s="138" t="s">
        <v>295</v>
      </c>
      <c r="V317" s="157" t="s">
        <v>379</v>
      </c>
    </row>
    <row r="318" spans="1:22" outlineLevel="1">
      <c r="A318" s="157" t="s">
        <v>269</v>
      </c>
      <c r="B318" s="138" t="s">
        <v>393</v>
      </c>
      <c r="C318" s="148">
        <v>43497</v>
      </c>
      <c r="D318" s="138" t="s">
        <v>458</v>
      </c>
      <c r="E318" s="139" t="s">
        <v>654</v>
      </c>
      <c r="F318" s="140">
        <v>75030</v>
      </c>
      <c r="G318" s="141">
        <v>4.1100000000000003</v>
      </c>
      <c r="H318" s="138">
        <v>5.4</v>
      </c>
      <c r="I318" s="138" t="s">
        <v>292</v>
      </c>
      <c r="J318" s="149">
        <v>5.4</v>
      </c>
      <c r="K318" s="150" t="s">
        <v>655</v>
      </c>
      <c r="L318" s="151" t="s">
        <v>396</v>
      </c>
      <c r="M318" s="151" t="s">
        <v>309</v>
      </c>
      <c r="N318" s="151"/>
      <c r="O318" s="151"/>
      <c r="P318" s="151" t="s">
        <v>381</v>
      </c>
      <c r="Q318" s="151" t="s">
        <v>295</v>
      </c>
      <c r="R318" s="150" t="s">
        <v>379</v>
      </c>
      <c r="S318" s="138"/>
      <c r="T318" s="138" t="s">
        <v>381</v>
      </c>
      <c r="U318" s="138" t="s">
        <v>295</v>
      </c>
      <c r="V318" s="157" t="s">
        <v>379</v>
      </c>
    </row>
    <row r="319" spans="1:22" outlineLevel="1">
      <c r="A319" s="157" t="s">
        <v>269</v>
      </c>
      <c r="B319" s="138" t="s">
        <v>393</v>
      </c>
      <c r="C319" s="148">
        <v>43523</v>
      </c>
      <c r="D319" s="138" t="s">
        <v>656</v>
      </c>
      <c r="E319" s="139" t="s">
        <v>657</v>
      </c>
      <c r="F319" s="140">
        <v>75030</v>
      </c>
      <c r="G319" s="141">
        <v>4.1100000000000003</v>
      </c>
      <c r="H319" s="138">
        <v>5.4</v>
      </c>
      <c r="I319" s="138" t="s">
        <v>292</v>
      </c>
      <c r="J319" s="149">
        <v>5.4</v>
      </c>
      <c r="K319" s="150" t="s">
        <v>655</v>
      </c>
      <c r="L319" s="151" t="s">
        <v>396</v>
      </c>
      <c r="M319" s="151" t="s">
        <v>309</v>
      </c>
      <c r="N319" s="151"/>
      <c r="O319" s="151"/>
      <c r="P319" s="151" t="s">
        <v>381</v>
      </c>
      <c r="Q319" s="151" t="s">
        <v>295</v>
      </c>
      <c r="R319" s="150" t="s">
        <v>379</v>
      </c>
      <c r="S319" s="138"/>
      <c r="T319" s="138" t="s">
        <v>381</v>
      </c>
      <c r="U319" s="138" t="s">
        <v>295</v>
      </c>
      <c r="V319" s="157" t="s">
        <v>379</v>
      </c>
    </row>
    <row r="320" spans="1:22" outlineLevel="1">
      <c r="A320" s="157" t="s">
        <v>269</v>
      </c>
      <c r="B320" s="138" t="s">
        <v>393</v>
      </c>
      <c r="C320" s="148">
        <v>43511</v>
      </c>
      <c r="D320" s="138" t="s">
        <v>656</v>
      </c>
      <c r="E320" s="139" t="s">
        <v>658</v>
      </c>
      <c r="F320" s="140">
        <v>75030</v>
      </c>
      <c r="G320" s="141">
        <v>3.84</v>
      </c>
      <c r="H320" s="138">
        <v>5.04</v>
      </c>
      <c r="I320" s="138" t="s">
        <v>292</v>
      </c>
      <c r="J320" s="149">
        <v>5.04</v>
      </c>
      <c r="K320" s="150" t="s">
        <v>659</v>
      </c>
      <c r="L320" s="151" t="s">
        <v>396</v>
      </c>
      <c r="M320" s="151" t="s">
        <v>309</v>
      </c>
      <c r="N320" s="151"/>
      <c r="O320" s="151"/>
      <c r="P320" s="151" t="s">
        <v>381</v>
      </c>
      <c r="Q320" s="151" t="s">
        <v>295</v>
      </c>
      <c r="R320" s="150" t="s">
        <v>379</v>
      </c>
      <c r="S320" s="138"/>
      <c r="T320" s="138" t="s">
        <v>381</v>
      </c>
      <c r="U320" s="138" t="s">
        <v>295</v>
      </c>
      <c r="V320" s="157" t="s">
        <v>379</v>
      </c>
    </row>
    <row r="321" spans="1:22" outlineLevel="1">
      <c r="A321" s="157" t="s">
        <v>269</v>
      </c>
      <c r="B321" s="138" t="s">
        <v>393</v>
      </c>
      <c r="C321" s="148">
        <v>43516</v>
      </c>
      <c r="D321" s="138" t="s">
        <v>660</v>
      </c>
      <c r="E321" s="139" t="s">
        <v>661</v>
      </c>
      <c r="F321" s="140">
        <v>75030</v>
      </c>
      <c r="G321" s="141">
        <v>58.65</v>
      </c>
      <c r="H321" s="138">
        <v>77.040000000000006</v>
      </c>
      <c r="I321" s="138" t="s">
        <v>292</v>
      </c>
      <c r="J321" s="149">
        <v>77.03</v>
      </c>
      <c r="K321" s="150" t="s">
        <v>659</v>
      </c>
      <c r="L321" s="151" t="s">
        <v>396</v>
      </c>
      <c r="M321" s="151" t="s">
        <v>309</v>
      </c>
      <c r="N321" s="151"/>
      <c r="O321" s="151"/>
      <c r="P321" s="151" t="s">
        <v>381</v>
      </c>
      <c r="Q321" s="151" t="s">
        <v>295</v>
      </c>
      <c r="R321" s="150" t="s">
        <v>379</v>
      </c>
      <c r="S321" s="138"/>
      <c r="T321" s="138" t="s">
        <v>381</v>
      </c>
      <c r="U321" s="138" t="s">
        <v>295</v>
      </c>
      <c r="V321" s="157" t="s">
        <v>379</v>
      </c>
    </row>
    <row r="322" spans="1:22" outlineLevel="1">
      <c r="A322" s="157" t="s">
        <v>269</v>
      </c>
      <c r="B322" s="138" t="s">
        <v>349</v>
      </c>
      <c r="C322" s="148">
        <v>43525</v>
      </c>
      <c r="D322" s="138" t="s">
        <v>662</v>
      </c>
      <c r="E322" s="139" t="s">
        <v>663</v>
      </c>
      <c r="F322" s="140">
        <v>75390</v>
      </c>
      <c r="G322" s="141">
        <v>54.23</v>
      </c>
      <c r="H322" s="138">
        <v>72</v>
      </c>
      <c r="I322" s="138" t="s">
        <v>292</v>
      </c>
      <c r="J322" s="149">
        <v>72</v>
      </c>
      <c r="K322" s="150" t="s">
        <v>640</v>
      </c>
      <c r="L322" s="151" t="s">
        <v>396</v>
      </c>
      <c r="M322" s="151" t="s">
        <v>309</v>
      </c>
      <c r="N322" s="151"/>
      <c r="O322" s="151"/>
      <c r="P322" s="151" t="s">
        <v>381</v>
      </c>
      <c r="Q322" s="151" t="s">
        <v>295</v>
      </c>
      <c r="R322" s="150" t="s">
        <v>379</v>
      </c>
      <c r="S322" s="138"/>
      <c r="T322" s="138" t="s">
        <v>381</v>
      </c>
      <c r="U322" s="138" t="s">
        <v>295</v>
      </c>
      <c r="V322" s="157" t="s">
        <v>379</v>
      </c>
    </row>
    <row r="323" spans="1:22" outlineLevel="1">
      <c r="A323" s="157" t="s">
        <v>269</v>
      </c>
      <c r="B323" s="138" t="s">
        <v>349</v>
      </c>
      <c r="C323" s="148">
        <v>43536</v>
      </c>
      <c r="D323" s="138" t="s">
        <v>412</v>
      </c>
      <c r="E323" s="139" t="s">
        <v>664</v>
      </c>
      <c r="F323" s="140">
        <v>75390</v>
      </c>
      <c r="G323" s="141">
        <v>13.08</v>
      </c>
      <c r="H323" s="138">
        <v>17.37</v>
      </c>
      <c r="I323" s="138" t="s">
        <v>292</v>
      </c>
      <c r="J323" s="149">
        <v>17.37</v>
      </c>
      <c r="K323" s="150" t="s">
        <v>653</v>
      </c>
      <c r="L323" s="151" t="s">
        <v>396</v>
      </c>
      <c r="M323" s="151" t="s">
        <v>309</v>
      </c>
      <c r="N323" s="151"/>
      <c r="O323" s="151"/>
      <c r="P323" s="151" t="s">
        <v>381</v>
      </c>
      <c r="Q323" s="151" t="s">
        <v>295</v>
      </c>
      <c r="R323" s="150" t="s">
        <v>379</v>
      </c>
      <c r="S323" s="138"/>
      <c r="T323" s="138" t="s">
        <v>381</v>
      </c>
      <c r="U323" s="138" t="s">
        <v>295</v>
      </c>
      <c r="V323" s="157" t="s">
        <v>379</v>
      </c>
    </row>
    <row r="324" spans="1:22" outlineLevel="1">
      <c r="A324" s="157" t="s">
        <v>269</v>
      </c>
      <c r="B324" s="138" t="s">
        <v>349</v>
      </c>
      <c r="C324" s="148">
        <v>43543</v>
      </c>
      <c r="D324" s="138" t="s">
        <v>665</v>
      </c>
      <c r="E324" s="139" t="s">
        <v>666</v>
      </c>
      <c r="F324" s="140">
        <v>75390</v>
      </c>
      <c r="G324" s="141">
        <v>8.4499999999999993</v>
      </c>
      <c r="H324" s="138">
        <v>11.22</v>
      </c>
      <c r="I324" s="138" t="s">
        <v>292</v>
      </c>
      <c r="J324" s="149">
        <v>11.22</v>
      </c>
      <c r="K324" s="150" t="s">
        <v>659</v>
      </c>
      <c r="L324" s="151" t="s">
        <v>396</v>
      </c>
      <c r="M324" s="151" t="s">
        <v>309</v>
      </c>
      <c r="N324" s="151"/>
      <c r="O324" s="151"/>
      <c r="P324" s="151" t="s">
        <v>381</v>
      </c>
      <c r="Q324" s="151" t="s">
        <v>295</v>
      </c>
      <c r="R324" s="150" t="s">
        <v>379</v>
      </c>
      <c r="S324" s="138"/>
      <c r="T324" s="138" t="s">
        <v>381</v>
      </c>
      <c r="U324" s="138" t="s">
        <v>295</v>
      </c>
      <c r="V324" s="157" t="s">
        <v>379</v>
      </c>
    </row>
    <row r="325" spans="1:22">
      <c r="A325" s="152" t="s">
        <v>378</v>
      </c>
      <c r="B325" s="152"/>
      <c r="C325" s="152"/>
      <c r="D325" s="152"/>
      <c r="E325" s="153"/>
      <c r="F325" s="154"/>
      <c r="G325" s="155">
        <f>SUM(G316:G324)</f>
        <v>165.89</v>
      </c>
      <c r="H325" s="156">
        <f>SUM(H316:H324)</f>
        <v>218.98</v>
      </c>
      <c r="I325" s="152"/>
      <c r="J325" s="156">
        <f>SUM(J316:J324)</f>
        <v>218.97</v>
      </c>
      <c r="K325" s="152"/>
      <c r="L325" s="152"/>
      <c r="M325" s="152"/>
      <c r="N325" s="152"/>
      <c r="O325" s="152"/>
      <c r="P325" s="152"/>
      <c r="Q325" s="152"/>
      <c r="R325" s="152"/>
      <c r="S325" s="138"/>
      <c r="T325" s="138"/>
      <c r="U325" s="138"/>
      <c r="V325" s="138"/>
    </row>
    <row r="326" spans="1:22" outlineLevel="1">
      <c r="A326" s="157" t="s">
        <v>270</v>
      </c>
      <c r="B326" s="138" t="s">
        <v>382</v>
      </c>
      <c r="C326" s="148">
        <v>43496</v>
      </c>
      <c r="D326" s="138" t="s">
        <v>667</v>
      </c>
      <c r="E326" s="139" t="s">
        <v>668</v>
      </c>
      <c r="F326" s="140">
        <v>74791</v>
      </c>
      <c r="G326" s="141">
        <v>33.31</v>
      </c>
      <c r="H326" s="138">
        <v>42.5</v>
      </c>
      <c r="I326" s="138" t="s">
        <v>292</v>
      </c>
      <c r="J326" s="149">
        <v>42.5</v>
      </c>
      <c r="K326" s="150" t="s">
        <v>595</v>
      </c>
      <c r="L326" s="151" t="s">
        <v>400</v>
      </c>
      <c r="M326" s="151" t="s">
        <v>309</v>
      </c>
      <c r="N326" s="151" t="s">
        <v>440</v>
      </c>
      <c r="O326" s="151"/>
      <c r="P326" s="151" t="s">
        <v>381</v>
      </c>
      <c r="Q326" s="151" t="s">
        <v>295</v>
      </c>
      <c r="R326" s="150" t="s">
        <v>379</v>
      </c>
      <c r="S326" s="138"/>
      <c r="T326" s="138" t="s">
        <v>381</v>
      </c>
      <c r="U326" s="138" t="s">
        <v>295</v>
      </c>
      <c r="V326" s="157" t="s">
        <v>379</v>
      </c>
    </row>
    <row r="327" spans="1:22" outlineLevel="1">
      <c r="A327" s="157" t="s">
        <v>270</v>
      </c>
      <c r="B327" s="138" t="s">
        <v>393</v>
      </c>
      <c r="C327" s="148">
        <v>43522</v>
      </c>
      <c r="D327" s="138" t="s">
        <v>669</v>
      </c>
      <c r="E327" s="139" t="s">
        <v>670</v>
      </c>
      <c r="F327" s="140">
        <v>75040</v>
      </c>
      <c r="G327" s="141">
        <v>32.36</v>
      </c>
      <c r="H327" s="138">
        <v>42.5</v>
      </c>
      <c r="I327" s="138" t="s">
        <v>292</v>
      </c>
      <c r="J327" s="149">
        <v>42.5</v>
      </c>
      <c r="K327" s="150" t="s">
        <v>595</v>
      </c>
      <c r="L327" s="151" t="s">
        <v>400</v>
      </c>
      <c r="M327" s="151" t="s">
        <v>309</v>
      </c>
      <c r="N327" s="151" t="s">
        <v>440</v>
      </c>
      <c r="O327" s="151"/>
      <c r="P327" s="151" t="s">
        <v>381</v>
      </c>
      <c r="Q327" s="151" t="s">
        <v>295</v>
      </c>
      <c r="R327" s="150" t="s">
        <v>379</v>
      </c>
      <c r="S327" s="138"/>
      <c r="T327" s="138" t="s">
        <v>381</v>
      </c>
      <c r="U327" s="138" t="s">
        <v>295</v>
      </c>
      <c r="V327" s="157" t="s">
        <v>379</v>
      </c>
    </row>
    <row r="328" spans="1:22" outlineLevel="1">
      <c r="A328" s="157" t="s">
        <v>270</v>
      </c>
      <c r="B328" s="138" t="s">
        <v>349</v>
      </c>
      <c r="C328" s="148">
        <v>43552</v>
      </c>
      <c r="D328" s="138" t="s">
        <v>671</v>
      </c>
      <c r="E328" s="139" t="s">
        <v>672</v>
      </c>
      <c r="F328" s="140">
        <v>75390</v>
      </c>
      <c r="G328" s="141">
        <v>32.01</v>
      </c>
      <c r="H328" s="138">
        <v>42.5</v>
      </c>
      <c r="I328" s="138" t="s">
        <v>292</v>
      </c>
      <c r="J328" s="149">
        <v>42.5</v>
      </c>
      <c r="K328" s="150" t="s">
        <v>595</v>
      </c>
      <c r="L328" s="151" t="s">
        <v>396</v>
      </c>
      <c r="M328" s="151" t="s">
        <v>309</v>
      </c>
      <c r="N328" s="151" t="s">
        <v>445</v>
      </c>
      <c r="O328" s="151"/>
      <c r="P328" s="151" t="s">
        <v>381</v>
      </c>
      <c r="Q328" s="151" t="s">
        <v>295</v>
      </c>
      <c r="R328" s="150" t="s">
        <v>379</v>
      </c>
      <c r="S328" s="138"/>
      <c r="T328" s="138" t="s">
        <v>381</v>
      </c>
      <c r="U328" s="138" t="s">
        <v>295</v>
      </c>
      <c r="V328" s="157" t="s">
        <v>379</v>
      </c>
    </row>
    <row r="329" spans="1:22">
      <c r="A329" s="152" t="s">
        <v>378</v>
      </c>
      <c r="B329" s="152"/>
      <c r="C329" s="152"/>
      <c r="D329" s="152"/>
      <c r="E329" s="153"/>
      <c r="F329" s="154"/>
      <c r="G329" s="155">
        <f>SUM(G326:G328)</f>
        <v>97.68</v>
      </c>
      <c r="H329" s="156">
        <f>SUM(H326:H328)</f>
        <v>127.5</v>
      </c>
      <c r="I329" s="152"/>
      <c r="J329" s="156">
        <f>SUM(J326:J328)</f>
        <v>127.5</v>
      </c>
      <c r="K329" s="152"/>
      <c r="L329" s="152"/>
      <c r="M329" s="152"/>
      <c r="N329" s="152"/>
      <c r="O329" s="152"/>
      <c r="P329" s="152"/>
      <c r="Q329" s="152"/>
      <c r="R329" s="152"/>
      <c r="S329" s="138"/>
      <c r="T329" s="138"/>
      <c r="U329" s="138"/>
      <c r="V329" s="138"/>
    </row>
    <row r="330" spans="1:22" outlineLevel="1">
      <c r="A330" s="157" t="s">
        <v>271</v>
      </c>
      <c r="B330" s="138" t="s">
        <v>382</v>
      </c>
      <c r="C330" s="148">
        <v>43494</v>
      </c>
      <c r="D330" s="138" t="s">
        <v>673</v>
      </c>
      <c r="E330" s="139" t="s">
        <v>674</v>
      </c>
      <c r="F330" s="140">
        <v>74770</v>
      </c>
      <c r="G330" s="141">
        <v>3.13</v>
      </c>
      <c r="H330" s="138">
        <v>4</v>
      </c>
      <c r="I330" s="138" t="s">
        <v>292</v>
      </c>
      <c r="J330" s="149">
        <v>3.99</v>
      </c>
      <c r="K330" s="150" t="s">
        <v>637</v>
      </c>
      <c r="L330" s="151" t="s">
        <v>396</v>
      </c>
      <c r="M330" s="151" t="s">
        <v>309</v>
      </c>
      <c r="N330" s="151"/>
      <c r="O330" s="151"/>
      <c r="P330" s="151" t="s">
        <v>381</v>
      </c>
      <c r="Q330" s="151" t="s">
        <v>295</v>
      </c>
      <c r="R330" s="150" t="s">
        <v>379</v>
      </c>
      <c r="S330" s="138"/>
      <c r="T330" s="138" t="s">
        <v>381</v>
      </c>
      <c r="U330" s="138" t="s">
        <v>295</v>
      </c>
      <c r="V330" s="157" t="s">
        <v>379</v>
      </c>
    </row>
    <row r="331" spans="1:22" outlineLevel="1">
      <c r="A331" s="157" t="s">
        <v>271</v>
      </c>
      <c r="B331" s="138" t="s">
        <v>393</v>
      </c>
      <c r="C331" s="148">
        <v>43500</v>
      </c>
      <c r="D331" s="138" t="s">
        <v>458</v>
      </c>
      <c r="E331" s="139" t="s">
        <v>675</v>
      </c>
      <c r="F331" s="140">
        <v>75030</v>
      </c>
      <c r="G331" s="141">
        <v>8.76</v>
      </c>
      <c r="H331" s="138">
        <v>11.5</v>
      </c>
      <c r="I331" s="138" t="s">
        <v>292</v>
      </c>
      <c r="J331" s="149">
        <v>11.51</v>
      </c>
      <c r="K331" s="150" t="s">
        <v>637</v>
      </c>
      <c r="L331" s="151" t="s">
        <v>396</v>
      </c>
      <c r="M331" s="151" t="s">
        <v>309</v>
      </c>
      <c r="N331" s="151"/>
      <c r="O331" s="151"/>
      <c r="P331" s="151" t="s">
        <v>381</v>
      </c>
      <c r="Q331" s="151" t="s">
        <v>295</v>
      </c>
      <c r="R331" s="150" t="s">
        <v>379</v>
      </c>
      <c r="S331" s="138"/>
      <c r="T331" s="138" t="s">
        <v>381</v>
      </c>
      <c r="U331" s="138" t="s">
        <v>295</v>
      </c>
      <c r="V331" s="157" t="s">
        <v>379</v>
      </c>
    </row>
    <row r="332" spans="1:22" outlineLevel="1">
      <c r="A332" s="157" t="s">
        <v>271</v>
      </c>
      <c r="B332" s="138" t="s">
        <v>393</v>
      </c>
      <c r="C332" s="148">
        <v>43503</v>
      </c>
      <c r="D332" s="138" t="s">
        <v>458</v>
      </c>
      <c r="E332" s="139" t="s">
        <v>676</v>
      </c>
      <c r="F332" s="140">
        <v>75030</v>
      </c>
      <c r="G332" s="141">
        <v>3.05</v>
      </c>
      <c r="H332" s="138">
        <v>4</v>
      </c>
      <c r="I332" s="138" t="s">
        <v>292</v>
      </c>
      <c r="J332" s="149">
        <v>4.01</v>
      </c>
      <c r="K332" s="150" t="s">
        <v>637</v>
      </c>
      <c r="L332" s="151" t="s">
        <v>396</v>
      </c>
      <c r="M332" s="151" t="s">
        <v>309</v>
      </c>
      <c r="N332" s="151"/>
      <c r="O332" s="151"/>
      <c r="P332" s="151" t="s">
        <v>381</v>
      </c>
      <c r="Q332" s="151" t="s">
        <v>295</v>
      </c>
      <c r="R332" s="150" t="s">
        <v>379</v>
      </c>
      <c r="S332" s="138"/>
      <c r="T332" s="138" t="s">
        <v>381</v>
      </c>
      <c r="U332" s="138" t="s">
        <v>295</v>
      </c>
      <c r="V332" s="157" t="s">
        <v>379</v>
      </c>
    </row>
    <row r="333" spans="1:22" outlineLevel="1">
      <c r="A333" s="157" t="s">
        <v>271</v>
      </c>
      <c r="B333" s="138" t="s">
        <v>393</v>
      </c>
      <c r="C333" s="148">
        <v>43514</v>
      </c>
      <c r="D333" s="138" t="s">
        <v>656</v>
      </c>
      <c r="E333" s="139" t="s">
        <v>676</v>
      </c>
      <c r="F333" s="140">
        <v>75030</v>
      </c>
      <c r="G333" s="141">
        <v>3.05</v>
      </c>
      <c r="H333" s="138">
        <v>4</v>
      </c>
      <c r="I333" s="138" t="s">
        <v>292</v>
      </c>
      <c r="J333" s="149">
        <v>4.01</v>
      </c>
      <c r="K333" s="150" t="s">
        <v>637</v>
      </c>
      <c r="L333" s="151" t="s">
        <v>396</v>
      </c>
      <c r="M333" s="151" t="s">
        <v>309</v>
      </c>
      <c r="N333" s="151"/>
      <c r="O333" s="151"/>
      <c r="P333" s="151" t="s">
        <v>381</v>
      </c>
      <c r="Q333" s="151" t="s">
        <v>295</v>
      </c>
      <c r="R333" s="150" t="s">
        <v>379</v>
      </c>
      <c r="S333" s="138"/>
      <c r="T333" s="138" t="s">
        <v>381</v>
      </c>
      <c r="U333" s="138" t="s">
        <v>295</v>
      </c>
      <c r="V333" s="157" t="s">
        <v>379</v>
      </c>
    </row>
    <row r="334" spans="1:22" outlineLevel="1">
      <c r="A334" s="157" t="s">
        <v>271</v>
      </c>
      <c r="B334" s="138" t="s">
        <v>393</v>
      </c>
      <c r="C334" s="148">
        <v>43516</v>
      </c>
      <c r="D334" s="138" t="s">
        <v>656</v>
      </c>
      <c r="E334" s="139" t="s">
        <v>677</v>
      </c>
      <c r="F334" s="140">
        <v>75030</v>
      </c>
      <c r="G334" s="141">
        <v>1.22</v>
      </c>
      <c r="H334" s="138">
        <v>1.6</v>
      </c>
      <c r="I334" s="138" t="s">
        <v>292</v>
      </c>
      <c r="J334" s="149">
        <v>1.6</v>
      </c>
      <c r="K334" s="150" t="s">
        <v>637</v>
      </c>
      <c r="L334" s="151" t="s">
        <v>396</v>
      </c>
      <c r="M334" s="151" t="s">
        <v>309</v>
      </c>
      <c r="N334" s="151"/>
      <c r="O334" s="151"/>
      <c r="P334" s="151" t="s">
        <v>381</v>
      </c>
      <c r="Q334" s="151" t="s">
        <v>295</v>
      </c>
      <c r="R334" s="150" t="s">
        <v>379</v>
      </c>
      <c r="S334" s="138"/>
      <c r="T334" s="138" t="s">
        <v>381</v>
      </c>
      <c r="U334" s="138" t="s">
        <v>295</v>
      </c>
      <c r="V334" s="157" t="s">
        <v>379</v>
      </c>
    </row>
    <row r="335" spans="1:22" outlineLevel="1">
      <c r="A335" s="157" t="s">
        <v>271</v>
      </c>
      <c r="B335" s="138" t="s">
        <v>393</v>
      </c>
      <c r="C335" s="148">
        <v>43516</v>
      </c>
      <c r="D335" s="138" t="s">
        <v>656</v>
      </c>
      <c r="E335" s="139" t="s">
        <v>678</v>
      </c>
      <c r="F335" s="140">
        <v>75030</v>
      </c>
      <c r="G335" s="141">
        <v>4.26</v>
      </c>
      <c r="H335" s="138">
        <v>5.6</v>
      </c>
      <c r="I335" s="138" t="s">
        <v>292</v>
      </c>
      <c r="J335" s="149">
        <v>5.6</v>
      </c>
      <c r="K335" s="150" t="s">
        <v>637</v>
      </c>
      <c r="L335" s="151" t="s">
        <v>396</v>
      </c>
      <c r="M335" s="151" t="s">
        <v>309</v>
      </c>
      <c r="N335" s="151"/>
      <c r="O335" s="151"/>
      <c r="P335" s="151" t="s">
        <v>381</v>
      </c>
      <c r="Q335" s="151" t="s">
        <v>295</v>
      </c>
      <c r="R335" s="150" t="s">
        <v>379</v>
      </c>
      <c r="S335" s="138"/>
      <c r="T335" s="138" t="s">
        <v>381</v>
      </c>
      <c r="U335" s="138" t="s">
        <v>295</v>
      </c>
      <c r="V335" s="157" t="s">
        <v>379</v>
      </c>
    </row>
    <row r="336" spans="1:22" outlineLevel="1">
      <c r="A336" s="157" t="s">
        <v>271</v>
      </c>
      <c r="B336" s="138" t="s">
        <v>393</v>
      </c>
      <c r="C336" s="148">
        <v>43532</v>
      </c>
      <c r="D336" s="138" t="s">
        <v>656</v>
      </c>
      <c r="E336" s="139" t="s">
        <v>676</v>
      </c>
      <c r="F336" s="140">
        <v>75030</v>
      </c>
      <c r="G336" s="141">
        <v>3.43</v>
      </c>
      <c r="H336" s="138">
        <v>4.5</v>
      </c>
      <c r="I336" s="138" t="s">
        <v>292</v>
      </c>
      <c r="J336" s="149">
        <v>4.51</v>
      </c>
      <c r="K336" s="150" t="s">
        <v>637</v>
      </c>
      <c r="L336" s="151" t="s">
        <v>396</v>
      </c>
      <c r="M336" s="151" t="s">
        <v>309</v>
      </c>
      <c r="N336" s="151"/>
      <c r="O336" s="151"/>
      <c r="P336" s="151" t="s">
        <v>381</v>
      </c>
      <c r="Q336" s="151" t="s">
        <v>295</v>
      </c>
      <c r="R336" s="150" t="s">
        <v>379</v>
      </c>
      <c r="S336" s="138"/>
      <c r="T336" s="138" t="s">
        <v>381</v>
      </c>
      <c r="U336" s="138" t="s">
        <v>295</v>
      </c>
      <c r="V336" s="157" t="s">
        <v>379</v>
      </c>
    </row>
    <row r="337" spans="1:22" outlineLevel="1">
      <c r="A337" s="157" t="s">
        <v>271</v>
      </c>
      <c r="B337" s="138" t="s">
        <v>393</v>
      </c>
      <c r="C337" s="148">
        <v>43508</v>
      </c>
      <c r="D337" s="138" t="s">
        <v>458</v>
      </c>
      <c r="E337" s="139" t="s">
        <v>679</v>
      </c>
      <c r="F337" s="140">
        <v>75030</v>
      </c>
      <c r="G337" s="141">
        <v>9.52</v>
      </c>
      <c r="H337" s="138">
        <v>12.5</v>
      </c>
      <c r="I337" s="138" t="s">
        <v>292</v>
      </c>
      <c r="J337" s="149">
        <v>12.5</v>
      </c>
      <c r="K337" s="150" t="s">
        <v>444</v>
      </c>
      <c r="L337" s="151" t="s">
        <v>396</v>
      </c>
      <c r="M337" s="151" t="s">
        <v>309</v>
      </c>
      <c r="N337" s="151"/>
      <c r="O337" s="151"/>
      <c r="P337" s="151" t="s">
        <v>381</v>
      </c>
      <c r="Q337" s="151" t="s">
        <v>295</v>
      </c>
      <c r="R337" s="150" t="s">
        <v>379</v>
      </c>
      <c r="S337" s="138"/>
      <c r="T337" s="138" t="s">
        <v>381</v>
      </c>
      <c r="U337" s="138" t="s">
        <v>295</v>
      </c>
      <c r="V337" s="157" t="s">
        <v>379</v>
      </c>
    </row>
    <row r="338" spans="1:22" outlineLevel="1">
      <c r="A338" s="157" t="s">
        <v>271</v>
      </c>
      <c r="B338" s="138" t="s">
        <v>349</v>
      </c>
      <c r="C338" s="148">
        <v>43536</v>
      </c>
      <c r="D338" s="138" t="s">
        <v>412</v>
      </c>
      <c r="E338" s="139" t="s">
        <v>680</v>
      </c>
      <c r="F338" s="140">
        <v>75390</v>
      </c>
      <c r="G338" s="141">
        <v>3.39</v>
      </c>
      <c r="H338" s="138">
        <v>4.5</v>
      </c>
      <c r="I338" s="138" t="s">
        <v>292</v>
      </c>
      <c r="J338" s="149">
        <v>4.5</v>
      </c>
      <c r="K338" s="150" t="s">
        <v>637</v>
      </c>
      <c r="L338" s="151" t="s">
        <v>396</v>
      </c>
      <c r="M338" s="151" t="s">
        <v>309</v>
      </c>
      <c r="N338" s="151"/>
      <c r="O338" s="151"/>
      <c r="P338" s="151" t="s">
        <v>381</v>
      </c>
      <c r="Q338" s="151" t="s">
        <v>295</v>
      </c>
      <c r="R338" s="150" t="s">
        <v>379</v>
      </c>
      <c r="S338" s="138"/>
      <c r="T338" s="138" t="s">
        <v>381</v>
      </c>
      <c r="U338" s="138" t="s">
        <v>295</v>
      </c>
      <c r="V338" s="157" t="s">
        <v>379</v>
      </c>
    </row>
    <row r="339" spans="1:22">
      <c r="A339" s="152" t="s">
        <v>378</v>
      </c>
      <c r="B339" s="152"/>
      <c r="C339" s="152"/>
      <c r="D339" s="152"/>
      <c r="E339" s="153"/>
      <c r="F339" s="154"/>
      <c r="G339" s="155">
        <f>SUM(G330:G338)</f>
        <v>39.81</v>
      </c>
      <c r="H339" s="156">
        <f>SUM(H330:H338)</f>
        <v>52.2</v>
      </c>
      <c r="I339" s="152"/>
      <c r="J339" s="156">
        <f>SUM(J330:J338)</f>
        <v>52.23</v>
      </c>
      <c r="K339" s="152"/>
      <c r="L339" s="152"/>
      <c r="M339" s="152"/>
      <c r="N339" s="152"/>
      <c r="O339" s="152"/>
      <c r="P339" s="152"/>
      <c r="Q339" s="152"/>
      <c r="R339" s="152"/>
      <c r="S339" s="138"/>
      <c r="T339" s="138"/>
      <c r="U339" s="138"/>
      <c r="V339" s="138"/>
    </row>
    <row r="340" spans="1:22" outlineLevel="1">
      <c r="A340" s="157" t="s">
        <v>272</v>
      </c>
      <c r="B340" s="138" t="s">
        <v>382</v>
      </c>
      <c r="C340" s="148">
        <v>43473</v>
      </c>
      <c r="D340" s="138" t="s">
        <v>681</v>
      </c>
      <c r="E340" s="139" t="s">
        <v>682</v>
      </c>
      <c r="F340" s="140">
        <v>74791</v>
      </c>
      <c r="G340" s="141">
        <v>95.42</v>
      </c>
      <c r="H340" s="138">
        <v>121.76</v>
      </c>
      <c r="I340" s="138" t="s">
        <v>292</v>
      </c>
      <c r="J340" s="149">
        <v>121.76</v>
      </c>
      <c r="K340" s="150" t="s">
        <v>683</v>
      </c>
      <c r="L340" s="151" t="s">
        <v>400</v>
      </c>
      <c r="M340" s="151" t="s">
        <v>309</v>
      </c>
      <c r="N340" s="151"/>
      <c r="O340" s="151"/>
      <c r="P340" s="151" t="s">
        <v>381</v>
      </c>
      <c r="Q340" s="151" t="s">
        <v>295</v>
      </c>
      <c r="R340" s="150" t="s">
        <v>379</v>
      </c>
      <c r="S340" s="138"/>
      <c r="T340" s="138" t="s">
        <v>381</v>
      </c>
      <c r="U340" s="138" t="s">
        <v>295</v>
      </c>
      <c r="V340" s="157" t="s">
        <v>379</v>
      </c>
    </row>
    <row r="341" spans="1:22" outlineLevel="1">
      <c r="A341" s="157" t="s">
        <v>272</v>
      </c>
      <c r="B341" s="138" t="s">
        <v>382</v>
      </c>
      <c r="C341" s="148">
        <v>43496</v>
      </c>
      <c r="D341" s="138" t="s">
        <v>684</v>
      </c>
      <c r="E341" s="139" t="s">
        <v>685</v>
      </c>
      <c r="F341" s="140">
        <v>74791</v>
      </c>
      <c r="G341" s="141">
        <v>190.75</v>
      </c>
      <c r="H341" s="138">
        <v>243.4</v>
      </c>
      <c r="I341" s="138" t="s">
        <v>292</v>
      </c>
      <c r="J341" s="149">
        <v>243.4</v>
      </c>
      <c r="K341" s="150" t="s">
        <v>683</v>
      </c>
      <c r="L341" s="151" t="s">
        <v>400</v>
      </c>
      <c r="M341" s="151" t="s">
        <v>309</v>
      </c>
      <c r="N341" s="151"/>
      <c r="O341" s="151"/>
      <c r="P341" s="151" t="s">
        <v>381</v>
      </c>
      <c r="Q341" s="151" t="s">
        <v>295</v>
      </c>
      <c r="R341" s="150" t="s">
        <v>379</v>
      </c>
      <c r="S341" s="138"/>
      <c r="T341" s="138" t="s">
        <v>381</v>
      </c>
      <c r="U341" s="138" t="s">
        <v>295</v>
      </c>
      <c r="V341" s="157" t="s">
        <v>379</v>
      </c>
    </row>
    <row r="342" spans="1:22" outlineLevel="1">
      <c r="A342" s="157" t="s">
        <v>272</v>
      </c>
      <c r="B342" s="138" t="s">
        <v>393</v>
      </c>
      <c r="C342" s="148">
        <v>43503</v>
      </c>
      <c r="D342" s="138" t="s">
        <v>458</v>
      </c>
      <c r="E342" s="139" t="s">
        <v>686</v>
      </c>
      <c r="F342" s="140">
        <v>75030</v>
      </c>
      <c r="G342" s="141">
        <v>15.23</v>
      </c>
      <c r="H342" s="138">
        <v>20</v>
      </c>
      <c r="I342" s="138" t="s">
        <v>292</v>
      </c>
      <c r="J342" s="149">
        <v>20</v>
      </c>
      <c r="K342" s="150" t="s">
        <v>683</v>
      </c>
      <c r="L342" s="151" t="s">
        <v>396</v>
      </c>
      <c r="M342" s="151" t="s">
        <v>309</v>
      </c>
      <c r="N342" s="151"/>
      <c r="O342" s="151"/>
      <c r="P342" s="151" t="s">
        <v>381</v>
      </c>
      <c r="Q342" s="151" t="s">
        <v>295</v>
      </c>
      <c r="R342" s="150" t="s">
        <v>379</v>
      </c>
      <c r="S342" s="138"/>
      <c r="T342" s="138" t="s">
        <v>381</v>
      </c>
      <c r="U342" s="138" t="s">
        <v>295</v>
      </c>
      <c r="V342" s="157" t="s">
        <v>379</v>
      </c>
    </row>
    <row r="343" spans="1:22" outlineLevel="1">
      <c r="A343" s="157" t="s">
        <v>272</v>
      </c>
      <c r="B343" s="138" t="s">
        <v>393</v>
      </c>
      <c r="C343" s="148">
        <v>43523</v>
      </c>
      <c r="D343" s="138" t="s">
        <v>687</v>
      </c>
      <c r="E343" s="139" t="s">
        <v>688</v>
      </c>
      <c r="F343" s="140">
        <v>75040</v>
      </c>
      <c r="G343" s="141">
        <v>92.7</v>
      </c>
      <c r="H343" s="138">
        <v>121.76</v>
      </c>
      <c r="I343" s="138" t="s">
        <v>292</v>
      </c>
      <c r="J343" s="149">
        <v>121.76</v>
      </c>
      <c r="K343" s="150" t="s">
        <v>683</v>
      </c>
      <c r="L343" s="151" t="s">
        <v>400</v>
      </c>
      <c r="M343" s="151" t="s">
        <v>309</v>
      </c>
      <c r="N343" s="151"/>
      <c r="O343" s="151"/>
      <c r="P343" s="151" t="s">
        <v>381</v>
      </c>
      <c r="Q343" s="151" t="s">
        <v>295</v>
      </c>
      <c r="R343" s="150" t="s">
        <v>379</v>
      </c>
      <c r="S343" s="138"/>
      <c r="T343" s="138" t="s">
        <v>381</v>
      </c>
      <c r="U343" s="138" t="s">
        <v>295</v>
      </c>
      <c r="V343" s="157" t="s">
        <v>379</v>
      </c>
    </row>
    <row r="344" spans="1:22" outlineLevel="1">
      <c r="A344" s="157" t="s">
        <v>272</v>
      </c>
      <c r="B344" s="138" t="s">
        <v>349</v>
      </c>
      <c r="C344" s="148">
        <v>43552</v>
      </c>
      <c r="D344" s="138" t="s">
        <v>689</v>
      </c>
      <c r="E344" s="139" t="s">
        <v>690</v>
      </c>
      <c r="F344" s="140">
        <v>75358</v>
      </c>
      <c r="G344" s="141">
        <v>91.71</v>
      </c>
      <c r="H344" s="138">
        <v>121.76</v>
      </c>
      <c r="I344" s="138" t="s">
        <v>292</v>
      </c>
      <c r="J344" s="149">
        <v>121.76</v>
      </c>
      <c r="K344" s="150" t="s">
        <v>683</v>
      </c>
      <c r="L344" s="151" t="s">
        <v>400</v>
      </c>
      <c r="M344" s="151" t="s">
        <v>309</v>
      </c>
      <c r="N344" s="151"/>
      <c r="O344" s="151"/>
      <c r="P344" s="151" t="s">
        <v>381</v>
      </c>
      <c r="Q344" s="151" t="s">
        <v>295</v>
      </c>
      <c r="R344" s="150" t="s">
        <v>379</v>
      </c>
      <c r="S344" s="138"/>
      <c r="T344" s="138" t="s">
        <v>381</v>
      </c>
      <c r="U344" s="138" t="s">
        <v>295</v>
      </c>
      <c r="V344" s="157" t="s">
        <v>379</v>
      </c>
    </row>
    <row r="345" spans="1:22">
      <c r="A345" s="152" t="s">
        <v>378</v>
      </c>
      <c r="B345" s="152"/>
      <c r="C345" s="152"/>
      <c r="D345" s="152"/>
      <c r="E345" s="153"/>
      <c r="F345" s="154"/>
      <c r="G345" s="155">
        <f>SUM(G340:G344)</f>
        <v>485.81</v>
      </c>
      <c r="H345" s="156">
        <f>SUM(H340:H344)</f>
        <v>628.68000000000006</v>
      </c>
      <c r="I345" s="152"/>
      <c r="J345" s="156">
        <f>SUM(J340:J344)</f>
        <v>628.68000000000006</v>
      </c>
      <c r="K345" s="152"/>
      <c r="L345" s="152"/>
      <c r="M345" s="152"/>
      <c r="N345" s="152"/>
      <c r="O345" s="152"/>
      <c r="P345" s="152"/>
      <c r="Q345" s="152"/>
      <c r="R345" s="152"/>
      <c r="S345" s="138"/>
      <c r="T345" s="138"/>
      <c r="U345" s="138"/>
      <c r="V345" s="138"/>
    </row>
    <row r="346" spans="1:22" outlineLevel="1">
      <c r="A346" s="157" t="s">
        <v>273</v>
      </c>
      <c r="B346" s="138" t="s">
        <v>382</v>
      </c>
      <c r="C346" s="148">
        <v>43496</v>
      </c>
      <c r="D346" s="138" t="s">
        <v>691</v>
      </c>
      <c r="E346" s="139" t="s">
        <v>692</v>
      </c>
      <c r="F346" s="140">
        <v>74770</v>
      </c>
      <c r="G346" s="141">
        <v>0.63</v>
      </c>
      <c r="H346" s="138">
        <v>0.8</v>
      </c>
      <c r="I346" s="138" t="s">
        <v>292</v>
      </c>
      <c r="J346" s="149">
        <v>0.8</v>
      </c>
      <c r="K346" s="150" t="s">
        <v>380</v>
      </c>
      <c r="L346" s="151" t="s">
        <v>396</v>
      </c>
      <c r="M346" s="151" t="s">
        <v>309</v>
      </c>
      <c r="N346" s="151"/>
      <c r="O346" s="151"/>
      <c r="P346" s="151" t="s">
        <v>381</v>
      </c>
      <c r="Q346" s="151" t="s">
        <v>295</v>
      </c>
      <c r="R346" s="150" t="s">
        <v>379</v>
      </c>
      <c r="S346" s="138"/>
      <c r="T346" s="138" t="s">
        <v>381</v>
      </c>
      <c r="U346" s="138" t="s">
        <v>295</v>
      </c>
      <c r="V346" s="157" t="s">
        <v>379</v>
      </c>
    </row>
    <row r="347" spans="1:22" outlineLevel="1">
      <c r="A347" s="157" t="s">
        <v>273</v>
      </c>
      <c r="B347" s="138" t="s">
        <v>382</v>
      </c>
      <c r="C347" s="148">
        <v>43496</v>
      </c>
      <c r="D347" s="138" t="s">
        <v>691</v>
      </c>
      <c r="E347" s="139" t="s">
        <v>692</v>
      </c>
      <c r="F347" s="140">
        <v>74770</v>
      </c>
      <c r="G347" s="141">
        <v>1.79</v>
      </c>
      <c r="H347" s="138">
        <v>2.29</v>
      </c>
      <c r="I347" s="138" t="s">
        <v>292</v>
      </c>
      <c r="J347" s="149">
        <v>2.2799999999999998</v>
      </c>
      <c r="K347" s="150" t="s">
        <v>380</v>
      </c>
      <c r="L347" s="151" t="s">
        <v>396</v>
      </c>
      <c r="M347" s="151" t="s">
        <v>309</v>
      </c>
      <c r="N347" s="151"/>
      <c r="O347" s="151"/>
      <c r="P347" s="151" t="s">
        <v>381</v>
      </c>
      <c r="Q347" s="151" t="s">
        <v>295</v>
      </c>
      <c r="R347" s="150" t="s">
        <v>379</v>
      </c>
      <c r="S347" s="138"/>
      <c r="T347" s="138" t="s">
        <v>381</v>
      </c>
      <c r="U347" s="138" t="s">
        <v>295</v>
      </c>
      <c r="V347" s="157" t="s">
        <v>379</v>
      </c>
    </row>
    <row r="348" spans="1:22" outlineLevel="1">
      <c r="A348" s="157" t="s">
        <v>273</v>
      </c>
      <c r="B348" s="138" t="s">
        <v>382</v>
      </c>
      <c r="C348" s="148">
        <v>43496</v>
      </c>
      <c r="D348" s="138" t="s">
        <v>691</v>
      </c>
      <c r="E348" s="139" t="s">
        <v>692</v>
      </c>
      <c r="F348" s="140">
        <v>74770</v>
      </c>
      <c r="G348" s="141">
        <v>0.59</v>
      </c>
      <c r="H348" s="138">
        <v>0.75</v>
      </c>
      <c r="I348" s="138" t="s">
        <v>292</v>
      </c>
      <c r="J348" s="149">
        <v>0.75</v>
      </c>
      <c r="K348" s="150" t="s">
        <v>380</v>
      </c>
      <c r="L348" s="151" t="s">
        <v>396</v>
      </c>
      <c r="M348" s="151" t="s">
        <v>309</v>
      </c>
      <c r="N348" s="151"/>
      <c r="O348" s="151"/>
      <c r="P348" s="151" t="s">
        <v>381</v>
      </c>
      <c r="Q348" s="151" t="s">
        <v>295</v>
      </c>
      <c r="R348" s="150" t="s">
        <v>379</v>
      </c>
      <c r="S348" s="138"/>
      <c r="T348" s="138" t="s">
        <v>381</v>
      </c>
      <c r="U348" s="138" t="s">
        <v>295</v>
      </c>
      <c r="V348" s="157" t="s">
        <v>379</v>
      </c>
    </row>
    <row r="349" spans="1:22" outlineLevel="1">
      <c r="A349" s="157" t="s">
        <v>273</v>
      </c>
      <c r="B349" s="138" t="s">
        <v>382</v>
      </c>
      <c r="C349" s="148">
        <v>43496</v>
      </c>
      <c r="D349" s="138" t="s">
        <v>691</v>
      </c>
      <c r="E349" s="139" t="s">
        <v>692</v>
      </c>
      <c r="F349" s="140">
        <v>74770</v>
      </c>
      <c r="G349" s="141">
        <v>1.46</v>
      </c>
      <c r="H349" s="138">
        <v>1.86</v>
      </c>
      <c r="I349" s="138" t="s">
        <v>292</v>
      </c>
      <c r="J349" s="149">
        <v>1.86</v>
      </c>
      <c r="K349" s="150" t="s">
        <v>380</v>
      </c>
      <c r="L349" s="151" t="s">
        <v>396</v>
      </c>
      <c r="M349" s="151" t="s">
        <v>309</v>
      </c>
      <c r="N349" s="151"/>
      <c r="O349" s="151"/>
      <c r="P349" s="151" t="s">
        <v>381</v>
      </c>
      <c r="Q349" s="151" t="s">
        <v>295</v>
      </c>
      <c r="R349" s="150" t="s">
        <v>379</v>
      </c>
      <c r="S349" s="138"/>
      <c r="T349" s="138" t="s">
        <v>381</v>
      </c>
      <c r="U349" s="138" t="s">
        <v>295</v>
      </c>
      <c r="V349" s="157" t="s">
        <v>379</v>
      </c>
    </row>
    <row r="350" spans="1:22" outlineLevel="1">
      <c r="A350" s="157" t="s">
        <v>273</v>
      </c>
      <c r="B350" s="138" t="s">
        <v>382</v>
      </c>
      <c r="C350" s="148">
        <v>43496</v>
      </c>
      <c r="D350" s="138" t="s">
        <v>691</v>
      </c>
      <c r="E350" s="139" t="s">
        <v>692</v>
      </c>
      <c r="F350" s="140">
        <v>74770</v>
      </c>
      <c r="G350" s="141">
        <v>5.13</v>
      </c>
      <c r="H350" s="138">
        <v>6.54</v>
      </c>
      <c r="I350" s="138" t="s">
        <v>292</v>
      </c>
      <c r="J350" s="149">
        <v>6.55</v>
      </c>
      <c r="K350" s="150" t="s">
        <v>380</v>
      </c>
      <c r="L350" s="151" t="s">
        <v>396</v>
      </c>
      <c r="M350" s="151" t="s">
        <v>309</v>
      </c>
      <c r="N350" s="151"/>
      <c r="O350" s="151"/>
      <c r="P350" s="151" t="s">
        <v>381</v>
      </c>
      <c r="Q350" s="151" t="s">
        <v>295</v>
      </c>
      <c r="R350" s="150" t="s">
        <v>379</v>
      </c>
      <c r="S350" s="138"/>
      <c r="T350" s="138" t="s">
        <v>381</v>
      </c>
      <c r="U350" s="138" t="s">
        <v>295</v>
      </c>
      <c r="V350" s="157" t="s">
        <v>379</v>
      </c>
    </row>
    <row r="351" spans="1:22" outlineLevel="1">
      <c r="A351" s="157" t="s">
        <v>273</v>
      </c>
      <c r="B351" s="138" t="s">
        <v>382</v>
      </c>
      <c r="C351" s="148">
        <v>43496</v>
      </c>
      <c r="D351" s="138" t="s">
        <v>691</v>
      </c>
      <c r="E351" s="139" t="s">
        <v>693</v>
      </c>
      <c r="F351" s="140">
        <v>74770</v>
      </c>
      <c r="G351" s="141">
        <v>31.16</v>
      </c>
      <c r="H351" s="138">
        <v>39.76</v>
      </c>
      <c r="I351" s="138" t="s">
        <v>292</v>
      </c>
      <c r="J351" s="149">
        <v>39.76</v>
      </c>
      <c r="K351" s="150" t="s">
        <v>380</v>
      </c>
      <c r="L351" s="151" t="s">
        <v>396</v>
      </c>
      <c r="M351" s="151" t="s">
        <v>309</v>
      </c>
      <c r="N351" s="151"/>
      <c r="O351" s="151"/>
      <c r="P351" s="151" t="s">
        <v>381</v>
      </c>
      <c r="Q351" s="151" t="s">
        <v>295</v>
      </c>
      <c r="R351" s="150" t="s">
        <v>379</v>
      </c>
      <c r="S351" s="138"/>
      <c r="T351" s="138" t="s">
        <v>381</v>
      </c>
      <c r="U351" s="138" t="s">
        <v>295</v>
      </c>
      <c r="V351" s="157" t="s">
        <v>379</v>
      </c>
    </row>
    <row r="352" spans="1:22" outlineLevel="1">
      <c r="A352" s="157" t="s">
        <v>273</v>
      </c>
      <c r="B352" s="138" t="s">
        <v>382</v>
      </c>
      <c r="C352" s="148">
        <v>43496</v>
      </c>
      <c r="D352" s="138" t="s">
        <v>691</v>
      </c>
      <c r="E352" s="139" t="s">
        <v>694</v>
      </c>
      <c r="F352" s="140">
        <v>74770</v>
      </c>
      <c r="G352" s="141">
        <v>0.59</v>
      </c>
      <c r="H352" s="138">
        <v>0.75</v>
      </c>
      <c r="I352" s="138" t="s">
        <v>292</v>
      </c>
      <c r="J352" s="149">
        <v>0.75</v>
      </c>
      <c r="K352" s="150" t="s">
        <v>380</v>
      </c>
      <c r="L352" s="151" t="s">
        <v>396</v>
      </c>
      <c r="M352" s="151" t="s">
        <v>309</v>
      </c>
      <c r="N352" s="151"/>
      <c r="O352" s="151"/>
      <c r="P352" s="151" t="s">
        <v>381</v>
      </c>
      <c r="Q352" s="151" t="s">
        <v>295</v>
      </c>
      <c r="R352" s="150" t="s">
        <v>379</v>
      </c>
      <c r="S352" s="138"/>
      <c r="T352" s="138" t="s">
        <v>381</v>
      </c>
      <c r="U352" s="138" t="s">
        <v>295</v>
      </c>
      <c r="V352" s="157" t="s">
        <v>379</v>
      </c>
    </row>
    <row r="353" spans="1:22" outlineLevel="1">
      <c r="A353" s="157" t="s">
        <v>273</v>
      </c>
      <c r="B353" s="138" t="s">
        <v>382</v>
      </c>
      <c r="C353" s="148">
        <v>43496</v>
      </c>
      <c r="D353" s="138" t="s">
        <v>691</v>
      </c>
      <c r="E353" s="139" t="s">
        <v>692</v>
      </c>
      <c r="F353" s="140">
        <v>74770</v>
      </c>
      <c r="G353" s="141">
        <v>0.49</v>
      </c>
      <c r="H353" s="138">
        <v>0.62</v>
      </c>
      <c r="I353" s="138" t="s">
        <v>292</v>
      </c>
      <c r="J353" s="149">
        <v>0.63</v>
      </c>
      <c r="K353" s="150" t="s">
        <v>380</v>
      </c>
      <c r="L353" s="151" t="s">
        <v>396</v>
      </c>
      <c r="M353" s="151" t="s">
        <v>309</v>
      </c>
      <c r="N353" s="151"/>
      <c r="O353" s="151"/>
      <c r="P353" s="151" t="s">
        <v>381</v>
      </c>
      <c r="Q353" s="151" t="s">
        <v>295</v>
      </c>
      <c r="R353" s="150" t="s">
        <v>379</v>
      </c>
      <c r="S353" s="138"/>
      <c r="T353" s="138" t="s">
        <v>381</v>
      </c>
      <c r="U353" s="138" t="s">
        <v>295</v>
      </c>
      <c r="V353" s="157" t="s">
        <v>379</v>
      </c>
    </row>
    <row r="354" spans="1:22" outlineLevel="1">
      <c r="A354" s="157" t="s">
        <v>273</v>
      </c>
      <c r="B354" s="138" t="s">
        <v>382</v>
      </c>
      <c r="C354" s="148">
        <v>43496</v>
      </c>
      <c r="D354" s="138" t="s">
        <v>691</v>
      </c>
      <c r="E354" s="139" t="s">
        <v>695</v>
      </c>
      <c r="F354" s="140">
        <v>74770</v>
      </c>
      <c r="G354" s="141">
        <v>1.45</v>
      </c>
      <c r="H354" s="138">
        <v>1.85</v>
      </c>
      <c r="I354" s="138" t="s">
        <v>292</v>
      </c>
      <c r="J354" s="149">
        <v>1.85</v>
      </c>
      <c r="K354" s="150" t="s">
        <v>380</v>
      </c>
      <c r="L354" s="151" t="s">
        <v>396</v>
      </c>
      <c r="M354" s="151" t="s">
        <v>309</v>
      </c>
      <c r="N354" s="151"/>
      <c r="O354" s="151"/>
      <c r="P354" s="151" t="s">
        <v>381</v>
      </c>
      <c r="Q354" s="151" t="s">
        <v>295</v>
      </c>
      <c r="R354" s="150" t="s">
        <v>379</v>
      </c>
      <c r="S354" s="138"/>
      <c r="T354" s="138" t="s">
        <v>381</v>
      </c>
      <c r="U354" s="138" t="s">
        <v>295</v>
      </c>
      <c r="V354" s="157" t="s">
        <v>379</v>
      </c>
    </row>
    <row r="355" spans="1:22" outlineLevel="1">
      <c r="A355" s="157" t="s">
        <v>273</v>
      </c>
      <c r="B355" s="138" t="s">
        <v>382</v>
      </c>
      <c r="C355" s="148">
        <v>43496</v>
      </c>
      <c r="D355" s="138" t="s">
        <v>691</v>
      </c>
      <c r="E355" s="139" t="s">
        <v>695</v>
      </c>
      <c r="F355" s="140">
        <v>74770</v>
      </c>
      <c r="G355" s="141">
        <v>1.45</v>
      </c>
      <c r="H355" s="138">
        <v>1.85</v>
      </c>
      <c r="I355" s="138" t="s">
        <v>292</v>
      </c>
      <c r="J355" s="149">
        <v>1.85</v>
      </c>
      <c r="K355" s="150" t="s">
        <v>380</v>
      </c>
      <c r="L355" s="151" t="s">
        <v>396</v>
      </c>
      <c r="M355" s="151" t="s">
        <v>309</v>
      </c>
      <c r="N355" s="151"/>
      <c r="O355" s="151"/>
      <c r="P355" s="151" t="s">
        <v>381</v>
      </c>
      <c r="Q355" s="151" t="s">
        <v>295</v>
      </c>
      <c r="R355" s="150" t="s">
        <v>379</v>
      </c>
      <c r="S355" s="138"/>
      <c r="T355" s="138" t="s">
        <v>381</v>
      </c>
      <c r="U355" s="138" t="s">
        <v>295</v>
      </c>
      <c r="V355" s="157" t="s">
        <v>379</v>
      </c>
    </row>
    <row r="356" spans="1:22" outlineLevel="1">
      <c r="A356" s="157" t="s">
        <v>273</v>
      </c>
      <c r="B356" s="138" t="s">
        <v>393</v>
      </c>
      <c r="C356" s="148">
        <v>43524</v>
      </c>
      <c r="D356" s="138" t="s">
        <v>696</v>
      </c>
      <c r="E356" s="139" t="s">
        <v>697</v>
      </c>
      <c r="F356" s="140">
        <v>75030</v>
      </c>
      <c r="G356" s="141">
        <v>7.97</v>
      </c>
      <c r="H356" s="138">
        <v>10.47</v>
      </c>
      <c r="I356" s="138" t="s">
        <v>292</v>
      </c>
      <c r="J356" s="149">
        <v>10.47</v>
      </c>
      <c r="K356" s="150" t="s">
        <v>380</v>
      </c>
      <c r="L356" s="151" t="s">
        <v>396</v>
      </c>
      <c r="M356" s="151" t="s">
        <v>309</v>
      </c>
      <c r="N356" s="151"/>
      <c r="O356" s="151"/>
      <c r="P356" s="151" t="s">
        <v>381</v>
      </c>
      <c r="Q356" s="151" t="s">
        <v>295</v>
      </c>
      <c r="R356" s="150" t="s">
        <v>379</v>
      </c>
      <c r="S356" s="138"/>
      <c r="T356" s="138" t="s">
        <v>381</v>
      </c>
      <c r="U356" s="138" t="s">
        <v>295</v>
      </c>
      <c r="V356" s="157" t="s">
        <v>379</v>
      </c>
    </row>
    <row r="357" spans="1:22" outlineLevel="1">
      <c r="A357" s="157" t="s">
        <v>273</v>
      </c>
      <c r="B357" s="138" t="s">
        <v>393</v>
      </c>
      <c r="C357" s="148">
        <v>43524</v>
      </c>
      <c r="D357" s="138" t="s">
        <v>696</v>
      </c>
      <c r="E357" s="139" t="s">
        <v>698</v>
      </c>
      <c r="F357" s="140">
        <v>75030</v>
      </c>
      <c r="G357" s="141">
        <v>3.81</v>
      </c>
      <c r="H357" s="138">
        <v>5</v>
      </c>
      <c r="I357" s="138" t="s">
        <v>292</v>
      </c>
      <c r="J357" s="149">
        <v>5</v>
      </c>
      <c r="K357" s="150" t="s">
        <v>380</v>
      </c>
      <c r="L357" s="151" t="s">
        <v>396</v>
      </c>
      <c r="M357" s="151" t="s">
        <v>309</v>
      </c>
      <c r="N357" s="151"/>
      <c r="O357" s="151"/>
      <c r="P357" s="151" t="s">
        <v>381</v>
      </c>
      <c r="Q357" s="151" t="s">
        <v>295</v>
      </c>
      <c r="R357" s="150" t="s">
        <v>379</v>
      </c>
      <c r="S357" s="138"/>
      <c r="T357" s="138" t="s">
        <v>381</v>
      </c>
      <c r="U357" s="138" t="s">
        <v>295</v>
      </c>
      <c r="V357" s="157" t="s">
        <v>379</v>
      </c>
    </row>
    <row r="358" spans="1:22" outlineLevel="1">
      <c r="A358" s="157" t="s">
        <v>273</v>
      </c>
      <c r="B358" s="138" t="s">
        <v>393</v>
      </c>
      <c r="C358" s="148">
        <v>43524</v>
      </c>
      <c r="D358" s="138" t="s">
        <v>696</v>
      </c>
      <c r="E358" s="139" t="s">
        <v>699</v>
      </c>
      <c r="F358" s="140">
        <v>75030</v>
      </c>
      <c r="G358" s="141">
        <v>0.61</v>
      </c>
      <c r="H358" s="138">
        <v>0.8</v>
      </c>
      <c r="I358" s="138" t="s">
        <v>292</v>
      </c>
      <c r="J358" s="149">
        <v>0.8</v>
      </c>
      <c r="K358" s="150" t="s">
        <v>380</v>
      </c>
      <c r="L358" s="151" t="s">
        <v>396</v>
      </c>
      <c r="M358" s="151" t="s">
        <v>309</v>
      </c>
      <c r="N358" s="151"/>
      <c r="O358" s="151"/>
      <c r="P358" s="151" t="s">
        <v>381</v>
      </c>
      <c r="Q358" s="151" t="s">
        <v>295</v>
      </c>
      <c r="R358" s="150" t="s">
        <v>379</v>
      </c>
      <c r="S358" s="138"/>
      <c r="T358" s="138" t="s">
        <v>381</v>
      </c>
      <c r="U358" s="138" t="s">
        <v>295</v>
      </c>
      <c r="V358" s="157" t="s">
        <v>379</v>
      </c>
    </row>
    <row r="359" spans="1:22" outlineLevel="1">
      <c r="A359" s="157" t="s">
        <v>273</v>
      </c>
      <c r="B359" s="138" t="s">
        <v>393</v>
      </c>
      <c r="C359" s="148">
        <v>43524</v>
      </c>
      <c r="D359" s="138" t="s">
        <v>696</v>
      </c>
      <c r="E359" s="139" t="s">
        <v>692</v>
      </c>
      <c r="F359" s="140">
        <v>75030</v>
      </c>
      <c r="G359" s="141">
        <v>1.42</v>
      </c>
      <c r="H359" s="138">
        <v>1.86</v>
      </c>
      <c r="I359" s="138" t="s">
        <v>292</v>
      </c>
      <c r="J359" s="149">
        <v>1.87</v>
      </c>
      <c r="K359" s="150" t="s">
        <v>380</v>
      </c>
      <c r="L359" s="151" t="s">
        <v>396</v>
      </c>
      <c r="M359" s="151" t="s">
        <v>309</v>
      </c>
      <c r="N359" s="151"/>
      <c r="O359" s="151"/>
      <c r="P359" s="151" t="s">
        <v>381</v>
      </c>
      <c r="Q359" s="151" t="s">
        <v>295</v>
      </c>
      <c r="R359" s="150" t="s">
        <v>379</v>
      </c>
      <c r="S359" s="138"/>
      <c r="T359" s="138" t="s">
        <v>381</v>
      </c>
      <c r="U359" s="138" t="s">
        <v>295</v>
      </c>
      <c r="V359" s="157" t="s">
        <v>379</v>
      </c>
    </row>
    <row r="360" spans="1:22" outlineLevel="1">
      <c r="A360" s="157" t="s">
        <v>273</v>
      </c>
      <c r="B360" s="138" t="s">
        <v>393</v>
      </c>
      <c r="C360" s="148">
        <v>43524</v>
      </c>
      <c r="D360" s="138" t="s">
        <v>696</v>
      </c>
      <c r="E360" s="139" t="s">
        <v>692</v>
      </c>
      <c r="F360" s="140">
        <v>75030</v>
      </c>
      <c r="G360" s="141">
        <v>0.85</v>
      </c>
      <c r="H360" s="138">
        <v>1.1100000000000001</v>
      </c>
      <c r="I360" s="138" t="s">
        <v>292</v>
      </c>
      <c r="J360" s="149">
        <v>1.1200000000000001</v>
      </c>
      <c r="K360" s="150" t="s">
        <v>380</v>
      </c>
      <c r="L360" s="151" t="s">
        <v>396</v>
      </c>
      <c r="M360" s="151" t="s">
        <v>309</v>
      </c>
      <c r="N360" s="151"/>
      <c r="O360" s="151"/>
      <c r="P360" s="151" t="s">
        <v>381</v>
      </c>
      <c r="Q360" s="151" t="s">
        <v>295</v>
      </c>
      <c r="R360" s="150" t="s">
        <v>379</v>
      </c>
      <c r="S360" s="138"/>
      <c r="T360" s="138" t="s">
        <v>381</v>
      </c>
      <c r="U360" s="138" t="s">
        <v>295</v>
      </c>
      <c r="V360" s="157" t="s">
        <v>379</v>
      </c>
    </row>
    <row r="361" spans="1:22" outlineLevel="1">
      <c r="A361" s="157" t="s">
        <v>273</v>
      </c>
      <c r="B361" s="138" t="s">
        <v>393</v>
      </c>
      <c r="C361" s="148">
        <v>43524</v>
      </c>
      <c r="D361" s="138" t="s">
        <v>696</v>
      </c>
      <c r="E361" s="139" t="s">
        <v>692</v>
      </c>
      <c r="F361" s="140">
        <v>75030</v>
      </c>
      <c r="G361" s="141">
        <v>3.39</v>
      </c>
      <c r="H361" s="138">
        <v>4.45</v>
      </c>
      <c r="I361" s="138" t="s">
        <v>292</v>
      </c>
      <c r="J361" s="149">
        <v>4.45</v>
      </c>
      <c r="K361" s="150" t="s">
        <v>380</v>
      </c>
      <c r="L361" s="151" t="s">
        <v>396</v>
      </c>
      <c r="M361" s="151" t="s">
        <v>309</v>
      </c>
      <c r="N361" s="151"/>
      <c r="O361" s="151"/>
      <c r="P361" s="151" t="s">
        <v>381</v>
      </c>
      <c r="Q361" s="151" t="s">
        <v>295</v>
      </c>
      <c r="R361" s="150" t="s">
        <v>379</v>
      </c>
      <c r="S361" s="138"/>
      <c r="T361" s="138" t="s">
        <v>381</v>
      </c>
      <c r="U361" s="138" t="s">
        <v>295</v>
      </c>
      <c r="V361" s="157" t="s">
        <v>379</v>
      </c>
    </row>
    <row r="362" spans="1:22" outlineLevel="1">
      <c r="A362" s="157" t="s">
        <v>273</v>
      </c>
      <c r="B362" s="138" t="s">
        <v>393</v>
      </c>
      <c r="C362" s="148">
        <v>43524</v>
      </c>
      <c r="D362" s="138" t="s">
        <v>696</v>
      </c>
      <c r="E362" s="139" t="s">
        <v>700</v>
      </c>
      <c r="F362" s="140">
        <v>75030</v>
      </c>
      <c r="G362" s="141">
        <v>10.26</v>
      </c>
      <c r="H362" s="138">
        <v>13.48</v>
      </c>
      <c r="I362" s="138" t="s">
        <v>292</v>
      </c>
      <c r="J362" s="149">
        <v>13.48</v>
      </c>
      <c r="K362" s="150" t="s">
        <v>380</v>
      </c>
      <c r="L362" s="151" t="s">
        <v>396</v>
      </c>
      <c r="M362" s="151" t="s">
        <v>309</v>
      </c>
      <c r="N362" s="151"/>
      <c r="O362" s="151"/>
      <c r="P362" s="151" t="s">
        <v>381</v>
      </c>
      <c r="Q362" s="151" t="s">
        <v>295</v>
      </c>
      <c r="R362" s="150" t="s">
        <v>379</v>
      </c>
      <c r="S362" s="138"/>
      <c r="T362" s="138" t="s">
        <v>381</v>
      </c>
      <c r="U362" s="138" t="s">
        <v>295</v>
      </c>
      <c r="V362" s="157" t="s">
        <v>379</v>
      </c>
    </row>
    <row r="363" spans="1:22" outlineLevel="1">
      <c r="A363" s="157" t="s">
        <v>273</v>
      </c>
      <c r="B363" s="138" t="s">
        <v>393</v>
      </c>
      <c r="C363" s="148">
        <v>43524</v>
      </c>
      <c r="D363" s="138" t="s">
        <v>696</v>
      </c>
      <c r="E363" s="139" t="s">
        <v>692</v>
      </c>
      <c r="F363" s="140">
        <v>75030</v>
      </c>
      <c r="G363" s="141">
        <v>1.42</v>
      </c>
      <c r="H363" s="138">
        <v>1.86</v>
      </c>
      <c r="I363" s="138" t="s">
        <v>292</v>
      </c>
      <c r="J363" s="149">
        <v>1.87</v>
      </c>
      <c r="K363" s="150" t="s">
        <v>380</v>
      </c>
      <c r="L363" s="151" t="s">
        <v>396</v>
      </c>
      <c r="M363" s="151" t="s">
        <v>309</v>
      </c>
      <c r="N363" s="151"/>
      <c r="O363" s="151"/>
      <c r="P363" s="151" t="s">
        <v>381</v>
      </c>
      <c r="Q363" s="151" t="s">
        <v>295</v>
      </c>
      <c r="R363" s="150" t="s">
        <v>379</v>
      </c>
      <c r="S363" s="138"/>
      <c r="T363" s="138" t="s">
        <v>381</v>
      </c>
      <c r="U363" s="138" t="s">
        <v>295</v>
      </c>
      <c r="V363" s="157" t="s">
        <v>379</v>
      </c>
    </row>
    <row r="364" spans="1:22" outlineLevel="1">
      <c r="A364" s="157" t="s">
        <v>273</v>
      </c>
      <c r="B364" s="138" t="s">
        <v>393</v>
      </c>
      <c r="C364" s="148">
        <v>43524</v>
      </c>
      <c r="D364" s="138" t="s">
        <v>696</v>
      </c>
      <c r="E364" s="139" t="s">
        <v>692</v>
      </c>
      <c r="F364" s="140">
        <v>75030</v>
      </c>
      <c r="G364" s="141">
        <v>1.42</v>
      </c>
      <c r="H364" s="138">
        <v>1.86</v>
      </c>
      <c r="I364" s="138" t="s">
        <v>292</v>
      </c>
      <c r="J364" s="149">
        <v>1.87</v>
      </c>
      <c r="K364" s="150" t="s">
        <v>380</v>
      </c>
      <c r="L364" s="151" t="s">
        <v>396</v>
      </c>
      <c r="M364" s="151" t="s">
        <v>309</v>
      </c>
      <c r="N364" s="151"/>
      <c r="O364" s="151"/>
      <c r="P364" s="151" t="s">
        <v>381</v>
      </c>
      <c r="Q364" s="151" t="s">
        <v>295</v>
      </c>
      <c r="R364" s="150" t="s">
        <v>379</v>
      </c>
      <c r="S364" s="138"/>
      <c r="T364" s="138" t="s">
        <v>381</v>
      </c>
      <c r="U364" s="138" t="s">
        <v>295</v>
      </c>
      <c r="V364" s="157" t="s">
        <v>379</v>
      </c>
    </row>
    <row r="365" spans="1:22" outlineLevel="1">
      <c r="A365" s="157" t="s">
        <v>273</v>
      </c>
      <c r="B365" s="138" t="s">
        <v>393</v>
      </c>
      <c r="C365" s="148">
        <v>43524</v>
      </c>
      <c r="D365" s="138" t="s">
        <v>696</v>
      </c>
      <c r="E365" s="139" t="s">
        <v>692</v>
      </c>
      <c r="F365" s="140">
        <v>75030</v>
      </c>
      <c r="G365" s="141">
        <v>1.42</v>
      </c>
      <c r="H365" s="138">
        <v>1.86</v>
      </c>
      <c r="I365" s="138" t="s">
        <v>292</v>
      </c>
      <c r="J365" s="149">
        <v>1.87</v>
      </c>
      <c r="K365" s="150" t="s">
        <v>380</v>
      </c>
      <c r="L365" s="151" t="s">
        <v>396</v>
      </c>
      <c r="M365" s="151" t="s">
        <v>309</v>
      </c>
      <c r="N365" s="151"/>
      <c r="O365" s="151"/>
      <c r="P365" s="151" t="s">
        <v>381</v>
      </c>
      <c r="Q365" s="151" t="s">
        <v>295</v>
      </c>
      <c r="R365" s="150" t="s">
        <v>379</v>
      </c>
      <c r="S365" s="138"/>
      <c r="T365" s="138" t="s">
        <v>381</v>
      </c>
      <c r="U365" s="138" t="s">
        <v>295</v>
      </c>
      <c r="V365" s="157" t="s">
        <v>379</v>
      </c>
    </row>
    <row r="366" spans="1:22" outlineLevel="1">
      <c r="A366" s="157" t="s">
        <v>273</v>
      </c>
      <c r="B366" s="138" t="s">
        <v>349</v>
      </c>
      <c r="C366" s="148">
        <v>43553</v>
      </c>
      <c r="D366" s="138" t="s">
        <v>701</v>
      </c>
      <c r="E366" s="139" t="s">
        <v>702</v>
      </c>
      <c r="F366" s="140">
        <v>75358</v>
      </c>
      <c r="G366" s="141">
        <v>6.73</v>
      </c>
      <c r="H366" s="138">
        <v>8.94</v>
      </c>
      <c r="I366" s="138" t="s">
        <v>292</v>
      </c>
      <c r="J366" s="149">
        <v>8.93</v>
      </c>
      <c r="K366" s="150" t="s">
        <v>380</v>
      </c>
      <c r="L366" s="151" t="s">
        <v>400</v>
      </c>
      <c r="M366" s="151" t="s">
        <v>309</v>
      </c>
      <c r="N366" s="151"/>
      <c r="O366" s="151"/>
      <c r="P366" s="151" t="s">
        <v>381</v>
      </c>
      <c r="Q366" s="151" t="s">
        <v>295</v>
      </c>
      <c r="R366" s="150" t="s">
        <v>379</v>
      </c>
      <c r="S366" s="138"/>
      <c r="T366" s="138" t="s">
        <v>381</v>
      </c>
      <c r="U366" s="138" t="s">
        <v>295</v>
      </c>
      <c r="V366" s="157" t="s">
        <v>379</v>
      </c>
    </row>
    <row r="367" spans="1:22" outlineLevel="1">
      <c r="A367" s="157" t="s">
        <v>273</v>
      </c>
      <c r="B367" s="138" t="s">
        <v>349</v>
      </c>
      <c r="C367" s="148">
        <v>43553</v>
      </c>
      <c r="D367" s="138" t="s">
        <v>703</v>
      </c>
      <c r="E367" s="139" t="s">
        <v>704</v>
      </c>
      <c r="F367" s="140">
        <v>75390</v>
      </c>
      <c r="G367" s="141">
        <v>8.0399999999999991</v>
      </c>
      <c r="H367" s="138">
        <v>10.67</v>
      </c>
      <c r="I367" s="138" t="s">
        <v>292</v>
      </c>
      <c r="J367" s="149">
        <v>10.67</v>
      </c>
      <c r="K367" s="150" t="s">
        <v>380</v>
      </c>
      <c r="L367" s="151" t="s">
        <v>396</v>
      </c>
      <c r="M367" s="151" t="s">
        <v>309</v>
      </c>
      <c r="N367" s="151"/>
      <c r="O367" s="151"/>
      <c r="P367" s="151" t="s">
        <v>381</v>
      </c>
      <c r="Q367" s="151" t="s">
        <v>295</v>
      </c>
      <c r="R367" s="150" t="s">
        <v>379</v>
      </c>
      <c r="S367" s="138"/>
      <c r="T367" s="138" t="s">
        <v>381</v>
      </c>
      <c r="U367" s="138" t="s">
        <v>295</v>
      </c>
      <c r="V367" s="157" t="s">
        <v>379</v>
      </c>
    </row>
    <row r="368" spans="1:22" outlineLevel="1">
      <c r="A368" s="157" t="s">
        <v>273</v>
      </c>
      <c r="B368" s="138" t="s">
        <v>349</v>
      </c>
      <c r="C368" s="148">
        <v>43553</v>
      </c>
      <c r="D368" s="138" t="s">
        <v>703</v>
      </c>
      <c r="E368" s="139" t="s">
        <v>705</v>
      </c>
      <c r="F368" s="140">
        <v>75390</v>
      </c>
      <c r="G368" s="141">
        <v>0.44</v>
      </c>
      <c r="H368" s="138">
        <v>0.57999999999999996</v>
      </c>
      <c r="I368" s="138" t="s">
        <v>292</v>
      </c>
      <c r="J368" s="149">
        <v>0.57999999999999996</v>
      </c>
      <c r="K368" s="150" t="s">
        <v>380</v>
      </c>
      <c r="L368" s="151" t="s">
        <v>396</v>
      </c>
      <c r="M368" s="151" t="s">
        <v>309</v>
      </c>
      <c r="N368" s="151"/>
      <c r="O368" s="151"/>
      <c r="P368" s="151" t="s">
        <v>381</v>
      </c>
      <c r="Q368" s="151" t="s">
        <v>295</v>
      </c>
      <c r="R368" s="150" t="s">
        <v>379</v>
      </c>
      <c r="S368" s="138"/>
      <c r="T368" s="138" t="s">
        <v>381</v>
      </c>
      <c r="U368" s="138" t="s">
        <v>295</v>
      </c>
      <c r="V368" s="157" t="s">
        <v>379</v>
      </c>
    </row>
    <row r="369" spans="1:22" outlineLevel="1">
      <c r="A369" s="157" t="s">
        <v>273</v>
      </c>
      <c r="B369" s="138" t="s">
        <v>349</v>
      </c>
      <c r="C369" s="148">
        <v>43553</v>
      </c>
      <c r="D369" s="138" t="s">
        <v>703</v>
      </c>
      <c r="E369" s="139" t="s">
        <v>698</v>
      </c>
      <c r="F369" s="140">
        <v>75390</v>
      </c>
      <c r="G369" s="141">
        <v>3.77</v>
      </c>
      <c r="H369" s="138">
        <v>5</v>
      </c>
      <c r="I369" s="138" t="s">
        <v>292</v>
      </c>
      <c r="J369" s="149">
        <v>5.01</v>
      </c>
      <c r="K369" s="150" t="s">
        <v>380</v>
      </c>
      <c r="L369" s="151" t="s">
        <v>396</v>
      </c>
      <c r="M369" s="151" t="s">
        <v>309</v>
      </c>
      <c r="N369" s="151"/>
      <c r="O369" s="151"/>
      <c r="P369" s="151" t="s">
        <v>381</v>
      </c>
      <c r="Q369" s="151" t="s">
        <v>295</v>
      </c>
      <c r="R369" s="150" t="s">
        <v>379</v>
      </c>
      <c r="S369" s="138"/>
      <c r="T369" s="138" t="s">
        <v>381</v>
      </c>
      <c r="U369" s="138" t="s">
        <v>295</v>
      </c>
      <c r="V369" s="157" t="s">
        <v>379</v>
      </c>
    </row>
    <row r="370" spans="1:22" outlineLevel="1">
      <c r="A370" s="157" t="s">
        <v>273</v>
      </c>
      <c r="B370" s="138" t="s">
        <v>349</v>
      </c>
      <c r="C370" s="148">
        <v>43553</v>
      </c>
      <c r="D370" s="138" t="s">
        <v>703</v>
      </c>
      <c r="E370" s="139" t="s">
        <v>699</v>
      </c>
      <c r="F370" s="140">
        <v>75390</v>
      </c>
      <c r="G370" s="141">
        <v>0.6</v>
      </c>
      <c r="H370" s="138">
        <v>0.8</v>
      </c>
      <c r="I370" s="138" t="s">
        <v>292</v>
      </c>
      <c r="J370" s="149">
        <v>0.8</v>
      </c>
      <c r="K370" s="150" t="s">
        <v>380</v>
      </c>
      <c r="L370" s="151" t="s">
        <v>396</v>
      </c>
      <c r="M370" s="151" t="s">
        <v>309</v>
      </c>
      <c r="N370" s="151"/>
      <c r="O370" s="151"/>
      <c r="P370" s="151" t="s">
        <v>381</v>
      </c>
      <c r="Q370" s="151" t="s">
        <v>295</v>
      </c>
      <c r="R370" s="150" t="s">
        <v>379</v>
      </c>
      <c r="S370" s="138"/>
      <c r="T370" s="138" t="s">
        <v>381</v>
      </c>
      <c r="U370" s="138" t="s">
        <v>295</v>
      </c>
      <c r="V370" s="157" t="s">
        <v>379</v>
      </c>
    </row>
    <row r="371" spans="1:22" outlineLevel="1">
      <c r="A371" s="157" t="s">
        <v>273</v>
      </c>
      <c r="B371" s="138" t="s">
        <v>349</v>
      </c>
      <c r="C371" s="148">
        <v>43553</v>
      </c>
      <c r="D371" s="138" t="s">
        <v>703</v>
      </c>
      <c r="E371" s="139" t="s">
        <v>706</v>
      </c>
      <c r="F371" s="140">
        <v>75390</v>
      </c>
      <c r="G371" s="141">
        <v>0.02</v>
      </c>
      <c r="H371" s="138">
        <v>0.03</v>
      </c>
      <c r="I371" s="138" t="s">
        <v>292</v>
      </c>
      <c r="J371" s="149">
        <v>0.03</v>
      </c>
      <c r="K371" s="150" t="s">
        <v>380</v>
      </c>
      <c r="L371" s="151" t="s">
        <v>396</v>
      </c>
      <c r="M371" s="151" t="s">
        <v>309</v>
      </c>
      <c r="N371" s="151"/>
      <c r="O371" s="151"/>
      <c r="P371" s="151" t="s">
        <v>381</v>
      </c>
      <c r="Q371" s="151" t="s">
        <v>295</v>
      </c>
      <c r="R371" s="150" t="s">
        <v>379</v>
      </c>
      <c r="S371" s="138"/>
      <c r="T371" s="138" t="s">
        <v>381</v>
      </c>
      <c r="U371" s="138" t="s">
        <v>295</v>
      </c>
      <c r="V371" s="157" t="s">
        <v>379</v>
      </c>
    </row>
    <row r="372" spans="1:22" outlineLevel="1">
      <c r="A372" s="157" t="s">
        <v>273</v>
      </c>
      <c r="B372" s="138" t="s">
        <v>349</v>
      </c>
      <c r="C372" s="148">
        <v>43553</v>
      </c>
      <c r="D372" s="138" t="s">
        <v>703</v>
      </c>
      <c r="E372" s="139" t="s">
        <v>707</v>
      </c>
      <c r="F372" s="140">
        <v>75390</v>
      </c>
      <c r="G372" s="141">
        <v>7.53</v>
      </c>
      <c r="H372" s="138">
        <v>10</v>
      </c>
      <c r="I372" s="138" t="s">
        <v>292</v>
      </c>
      <c r="J372" s="149">
        <v>10</v>
      </c>
      <c r="K372" s="150" t="s">
        <v>380</v>
      </c>
      <c r="L372" s="151" t="s">
        <v>396</v>
      </c>
      <c r="M372" s="151" t="s">
        <v>309</v>
      </c>
      <c r="N372" s="151"/>
      <c r="O372" s="151"/>
      <c r="P372" s="151" t="s">
        <v>381</v>
      </c>
      <c r="Q372" s="151" t="s">
        <v>295</v>
      </c>
      <c r="R372" s="150" t="s">
        <v>379</v>
      </c>
      <c r="S372" s="138"/>
      <c r="T372" s="138" t="s">
        <v>381</v>
      </c>
      <c r="U372" s="138" t="s">
        <v>295</v>
      </c>
      <c r="V372" s="157" t="s">
        <v>379</v>
      </c>
    </row>
    <row r="373" spans="1:22" outlineLevel="1">
      <c r="A373" s="157" t="s">
        <v>273</v>
      </c>
      <c r="B373" s="138" t="s">
        <v>349</v>
      </c>
      <c r="C373" s="148">
        <v>43553</v>
      </c>
      <c r="D373" s="138" t="s">
        <v>703</v>
      </c>
      <c r="E373" s="139" t="s">
        <v>708</v>
      </c>
      <c r="F373" s="140">
        <v>75390</v>
      </c>
      <c r="G373" s="141">
        <v>0.14000000000000001</v>
      </c>
      <c r="H373" s="138">
        <v>0.18</v>
      </c>
      <c r="I373" s="138" t="s">
        <v>292</v>
      </c>
      <c r="J373" s="149">
        <v>0.19</v>
      </c>
      <c r="K373" s="150" t="s">
        <v>380</v>
      </c>
      <c r="L373" s="151" t="s">
        <v>396</v>
      </c>
      <c r="M373" s="151" t="s">
        <v>309</v>
      </c>
      <c r="N373" s="151"/>
      <c r="O373" s="151"/>
      <c r="P373" s="151" t="s">
        <v>381</v>
      </c>
      <c r="Q373" s="151" t="s">
        <v>295</v>
      </c>
      <c r="R373" s="150" t="s">
        <v>379</v>
      </c>
      <c r="S373" s="138"/>
      <c r="T373" s="138" t="s">
        <v>381</v>
      </c>
      <c r="U373" s="138" t="s">
        <v>295</v>
      </c>
      <c r="V373" s="157" t="s">
        <v>379</v>
      </c>
    </row>
    <row r="374" spans="1:22" outlineLevel="1">
      <c r="A374" s="157" t="s">
        <v>273</v>
      </c>
      <c r="B374" s="138" t="s">
        <v>349</v>
      </c>
      <c r="C374" s="148">
        <v>43553</v>
      </c>
      <c r="D374" s="138" t="s">
        <v>703</v>
      </c>
      <c r="E374" s="139" t="s">
        <v>708</v>
      </c>
      <c r="F374" s="140">
        <v>75390</v>
      </c>
      <c r="G374" s="141">
        <v>0.04</v>
      </c>
      <c r="H374" s="138">
        <v>0.05</v>
      </c>
      <c r="I374" s="138" t="s">
        <v>292</v>
      </c>
      <c r="J374" s="149">
        <v>0.05</v>
      </c>
      <c r="K374" s="150" t="s">
        <v>380</v>
      </c>
      <c r="L374" s="151" t="s">
        <v>396</v>
      </c>
      <c r="M374" s="151" t="s">
        <v>309</v>
      </c>
      <c r="N374" s="151"/>
      <c r="O374" s="151"/>
      <c r="P374" s="151" t="s">
        <v>381</v>
      </c>
      <c r="Q374" s="151" t="s">
        <v>295</v>
      </c>
      <c r="R374" s="150" t="s">
        <v>379</v>
      </c>
      <c r="S374" s="138"/>
      <c r="T374" s="138" t="s">
        <v>381</v>
      </c>
      <c r="U374" s="138" t="s">
        <v>295</v>
      </c>
      <c r="V374" s="157" t="s">
        <v>379</v>
      </c>
    </row>
    <row r="375" spans="1:22" outlineLevel="1">
      <c r="A375" s="157" t="s">
        <v>273</v>
      </c>
      <c r="B375" s="138" t="s">
        <v>349</v>
      </c>
      <c r="C375" s="148">
        <v>43553</v>
      </c>
      <c r="D375" s="138" t="s">
        <v>703</v>
      </c>
      <c r="E375" s="139" t="s">
        <v>709</v>
      </c>
      <c r="F375" s="140">
        <v>75390</v>
      </c>
      <c r="G375" s="141">
        <v>0.23</v>
      </c>
      <c r="H375" s="138">
        <v>0.3</v>
      </c>
      <c r="I375" s="138" t="s">
        <v>292</v>
      </c>
      <c r="J375" s="149">
        <v>0.31</v>
      </c>
      <c r="K375" s="150" t="s">
        <v>380</v>
      </c>
      <c r="L375" s="151" t="s">
        <v>396</v>
      </c>
      <c r="M375" s="151" t="s">
        <v>309</v>
      </c>
      <c r="N375" s="151"/>
      <c r="O375" s="151"/>
      <c r="P375" s="151" t="s">
        <v>381</v>
      </c>
      <c r="Q375" s="151" t="s">
        <v>295</v>
      </c>
      <c r="R375" s="150" t="s">
        <v>379</v>
      </c>
      <c r="S375" s="138"/>
      <c r="T375" s="138" t="s">
        <v>381</v>
      </c>
      <c r="U375" s="138" t="s">
        <v>295</v>
      </c>
      <c r="V375" s="157" t="s">
        <v>379</v>
      </c>
    </row>
    <row r="376" spans="1:22" outlineLevel="1">
      <c r="A376" s="157" t="s">
        <v>273</v>
      </c>
      <c r="B376" s="138" t="s">
        <v>349</v>
      </c>
      <c r="C376" s="148">
        <v>43553</v>
      </c>
      <c r="D376" s="138" t="s">
        <v>703</v>
      </c>
      <c r="E376" s="139" t="s">
        <v>704</v>
      </c>
      <c r="F376" s="140">
        <v>75390</v>
      </c>
      <c r="G376" s="141">
        <v>3.77</v>
      </c>
      <c r="H376" s="138">
        <v>5</v>
      </c>
      <c r="I376" s="138" t="s">
        <v>292</v>
      </c>
      <c r="J376" s="149">
        <v>5.01</v>
      </c>
      <c r="K376" s="150" t="s">
        <v>380</v>
      </c>
      <c r="L376" s="151" t="s">
        <v>396</v>
      </c>
      <c r="M376" s="151" t="s">
        <v>309</v>
      </c>
      <c r="N376" s="151"/>
      <c r="O376" s="151"/>
      <c r="P376" s="151" t="s">
        <v>381</v>
      </c>
      <c r="Q376" s="151" t="s">
        <v>295</v>
      </c>
      <c r="R376" s="150" t="s">
        <v>379</v>
      </c>
      <c r="S376" s="138"/>
      <c r="T376" s="138" t="s">
        <v>381</v>
      </c>
      <c r="U376" s="138" t="s">
        <v>295</v>
      </c>
      <c r="V376" s="157" t="s">
        <v>379</v>
      </c>
    </row>
    <row r="377" spans="1:22" outlineLevel="1">
      <c r="A377" s="157" t="s">
        <v>273</v>
      </c>
      <c r="B377" s="138" t="s">
        <v>349</v>
      </c>
      <c r="C377" s="148">
        <v>43553</v>
      </c>
      <c r="D377" s="138" t="s">
        <v>703</v>
      </c>
      <c r="E377" s="139" t="s">
        <v>704</v>
      </c>
      <c r="F377" s="140">
        <v>75390</v>
      </c>
      <c r="G377" s="141">
        <v>6.21</v>
      </c>
      <c r="H377" s="138">
        <v>8.25</v>
      </c>
      <c r="I377" s="138" t="s">
        <v>292</v>
      </c>
      <c r="J377" s="149">
        <v>8.24</v>
      </c>
      <c r="K377" s="150" t="s">
        <v>380</v>
      </c>
      <c r="L377" s="151" t="s">
        <v>396</v>
      </c>
      <c r="M377" s="151" t="s">
        <v>309</v>
      </c>
      <c r="N377" s="151"/>
      <c r="O377" s="151"/>
      <c r="P377" s="151" t="s">
        <v>381</v>
      </c>
      <c r="Q377" s="151" t="s">
        <v>295</v>
      </c>
      <c r="R377" s="150" t="s">
        <v>379</v>
      </c>
      <c r="S377" s="138"/>
      <c r="T377" s="138" t="s">
        <v>381</v>
      </c>
      <c r="U377" s="138" t="s">
        <v>295</v>
      </c>
      <c r="V377" s="157" t="s">
        <v>379</v>
      </c>
    </row>
    <row r="378" spans="1:22" outlineLevel="1">
      <c r="A378" s="157" t="s">
        <v>273</v>
      </c>
      <c r="B378" s="138" t="s">
        <v>349</v>
      </c>
      <c r="C378" s="148">
        <v>43553</v>
      </c>
      <c r="D378" s="138" t="s">
        <v>703</v>
      </c>
      <c r="E378" s="139" t="s">
        <v>708</v>
      </c>
      <c r="F378" s="140">
        <v>75390</v>
      </c>
      <c r="G378" s="141">
        <v>4.0199999999999996</v>
      </c>
      <c r="H378" s="138">
        <v>5.34</v>
      </c>
      <c r="I378" s="138" t="s">
        <v>292</v>
      </c>
      <c r="J378" s="149">
        <v>5.34</v>
      </c>
      <c r="K378" s="150" t="s">
        <v>380</v>
      </c>
      <c r="L378" s="151" t="s">
        <v>396</v>
      </c>
      <c r="M378" s="151" t="s">
        <v>309</v>
      </c>
      <c r="N378" s="151"/>
      <c r="O378" s="151"/>
      <c r="P378" s="151" t="s">
        <v>381</v>
      </c>
      <c r="Q378" s="151" t="s">
        <v>295</v>
      </c>
      <c r="R378" s="150" t="s">
        <v>379</v>
      </c>
      <c r="S378" s="138"/>
      <c r="T378" s="138" t="s">
        <v>381</v>
      </c>
      <c r="U378" s="138" t="s">
        <v>295</v>
      </c>
      <c r="V378" s="157" t="s">
        <v>379</v>
      </c>
    </row>
    <row r="379" spans="1:22" outlineLevel="1">
      <c r="A379" s="157" t="s">
        <v>273</v>
      </c>
      <c r="B379" s="138" t="s">
        <v>349</v>
      </c>
      <c r="C379" s="148">
        <v>43553</v>
      </c>
      <c r="D379" s="138" t="s">
        <v>703</v>
      </c>
      <c r="E379" s="139" t="s">
        <v>704</v>
      </c>
      <c r="F379" s="140">
        <v>75390</v>
      </c>
      <c r="G379" s="141">
        <v>85.64</v>
      </c>
      <c r="H379" s="138">
        <v>113.7</v>
      </c>
      <c r="I379" s="138" t="s">
        <v>292</v>
      </c>
      <c r="J379" s="149">
        <v>113.7</v>
      </c>
      <c r="K379" s="150" t="s">
        <v>380</v>
      </c>
      <c r="L379" s="151" t="s">
        <v>396</v>
      </c>
      <c r="M379" s="151" t="s">
        <v>309</v>
      </c>
      <c r="N379" s="151"/>
      <c r="O379" s="151"/>
      <c r="P379" s="151" t="s">
        <v>381</v>
      </c>
      <c r="Q379" s="151" t="s">
        <v>295</v>
      </c>
      <c r="R379" s="150" t="s">
        <v>379</v>
      </c>
      <c r="S379" s="138"/>
      <c r="T379" s="138" t="s">
        <v>381</v>
      </c>
      <c r="U379" s="138" t="s">
        <v>295</v>
      </c>
      <c r="V379" s="157" t="s">
        <v>379</v>
      </c>
    </row>
    <row r="380" spans="1:22" outlineLevel="1">
      <c r="A380" s="157" t="s">
        <v>273</v>
      </c>
      <c r="B380" s="138" t="s">
        <v>349</v>
      </c>
      <c r="C380" s="148">
        <v>43553</v>
      </c>
      <c r="D380" s="138" t="s">
        <v>703</v>
      </c>
      <c r="E380" s="139" t="s">
        <v>704</v>
      </c>
      <c r="F380" s="140">
        <v>75390</v>
      </c>
      <c r="G380" s="141">
        <v>37.22</v>
      </c>
      <c r="H380" s="138">
        <v>49.42</v>
      </c>
      <c r="I380" s="138" t="s">
        <v>292</v>
      </c>
      <c r="J380" s="149">
        <v>49.41</v>
      </c>
      <c r="K380" s="150" t="s">
        <v>380</v>
      </c>
      <c r="L380" s="151" t="s">
        <v>396</v>
      </c>
      <c r="M380" s="151" t="s">
        <v>309</v>
      </c>
      <c r="N380" s="151"/>
      <c r="O380" s="151"/>
      <c r="P380" s="151" t="s">
        <v>381</v>
      </c>
      <c r="Q380" s="151" t="s">
        <v>295</v>
      </c>
      <c r="R380" s="150" t="s">
        <v>379</v>
      </c>
      <c r="S380" s="138"/>
      <c r="T380" s="138" t="s">
        <v>381</v>
      </c>
      <c r="U380" s="138" t="s">
        <v>295</v>
      </c>
      <c r="V380" s="157" t="s">
        <v>379</v>
      </c>
    </row>
    <row r="381" spans="1:22" outlineLevel="1">
      <c r="A381" s="157" t="s">
        <v>273</v>
      </c>
      <c r="B381" s="138" t="s">
        <v>349</v>
      </c>
      <c r="C381" s="148">
        <v>43553</v>
      </c>
      <c r="D381" s="138" t="s">
        <v>703</v>
      </c>
      <c r="E381" s="139" t="s">
        <v>708</v>
      </c>
      <c r="F381" s="140">
        <v>75390</v>
      </c>
      <c r="G381" s="141">
        <v>0.41</v>
      </c>
      <c r="H381" s="138">
        <v>0.55000000000000004</v>
      </c>
      <c r="I381" s="138" t="s">
        <v>292</v>
      </c>
      <c r="J381" s="149">
        <v>0.54</v>
      </c>
      <c r="K381" s="150" t="s">
        <v>380</v>
      </c>
      <c r="L381" s="151" t="s">
        <v>396</v>
      </c>
      <c r="M381" s="151" t="s">
        <v>309</v>
      </c>
      <c r="N381" s="151"/>
      <c r="O381" s="151"/>
      <c r="P381" s="151" t="s">
        <v>381</v>
      </c>
      <c r="Q381" s="151" t="s">
        <v>295</v>
      </c>
      <c r="R381" s="150" t="s">
        <v>379</v>
      </c>
      <c r="S381" s="138"/>
      <c r="T381" s="138" t="s">
        <v>381</v>
      </c>
      <c r="U381" s="138" t="s">
        <v>295</v>
      </c>
      <c r="V381" s="157" t="s">
        <v>379</v>
      </c>
    </row>
    <row r="382" spans="1:22" outlineLevel="1">
      <c r="A382" s="157" t="s">
        <v>273</v>
      </c>
      <c r="B382" s="138" t="s">
        <v>349</v>
      </c>
      <c r="C382" s="148">
        <v>43553</v>
      </c>
      <c r="D382" s="138" t="s">
        <v>703</v>
      </c>
      <c r="E382" s="139" t="s">
        <v>708</v>
      </c>
      <c r="F382" s="140">
        <v>75390</v>
      </c>
      <c r="G382" s="141">
        <v>0.36</v>
      </c>
      <c r="H382" s="138">
        <v>0.48</v>
      </c>
      <c r="I382" s="138" t="s">
        <v>292</v>
      </c>
      <c r="J382" s="149">
        <v>0.48</v>
      </c>
      <c r="K382" s="150" t="s">
        <v>380</v>
      </c>
      <c r="L382" s="151" t="s">
        <v>396</v>
      </c>
      <c r="M382" s="151" t="s">
        <v>309</v>
      </c>
      <c r="N382" s="151"/>
      <c r="O382" s="151"/>
      <c r="P382" s="151" t="s">
        <v>381</v>
      </c>
      <c r="Q382" s="151" t="s">
        <v>295</v>
      </c>
      <c r="R382" s="150" t="s">
        <v>379</v>
      </c>
      <c r="S382" s="138"/>
      <c r="T382" s="138" t="s">
        <v>381</v>
      </c>
      <c r="U382" s="138" t="s">
        <v>295</v>
      </c>
      <c r="V382" s="157" t="s">
        <v>379</v>
      </c>
    </row>
    <row r="383" spans="1:22" outlineLevel="1">
      <c r="A383" s="157" t="s">
        <v>273</v>
      </c>
      <c r="B383" s="138" t="s">
        <v>349</v>
      </c>
      <c r="C383" s="148">
        <v>43553</v>
      </c>
      <c r="D383" s="138" t="s">
        <v>703</v>
      </c>
      <c r="E383" s="139" t="s">
        <v>708</v>
      </c>
      <c r="F383" s="140">
        <v>75390</v>
      </c>
      <c r="G383" s="141">
        <v>0.36</v>
      </c>
      <c r="H383" s="138">
        <v>0.48</v>
      </c>
      <c r="I383" s="138" t="s">
        <v>292</v>
      </c>
      <c r="J383" s="149">
        <v>0.48</v>
      </c>
      <c r="K383" s="150" t="s">
        <v>380</v>
      </c>
      <c r="L383" s="151" t="s">
        <v>396</v>
      </c>
      <c r="M383" s="151" t="s">
        <v>309</v>
      </c>
      <c r="N383" s="151"/>
      <c r="O383" s="151"/>
      <c r="P383" s="151" t="s">
        <v>381</v>
      </c>
      <c r="Q383" s="151" t="s">
        <v>295</v>
      </c>
      <c r="R383" s="150" t="s">
        <v>379</v>
      </c>
      <c r="S383" s="138"/>
      <c r="T383" s="138" t="s">
        <v>381</v>
      </c>
      <c r="U383" s="138" t="s">
        <v>295</v>
      </c>
      <c r="V383" s="157" t="s">
        <v>379</v>
      </c>
    </row>
    <row r="384" spans="1:22" outlineLevel="1">
      <c r="A384" s="157" t="s">
        <v>273</v>
      </c>
      <c r="B384" s="138" t="s">
        <v>349</v>
      </c>
      <c r="C384" s="148">
        <v>43553</v>
      </c>
      <c r="D384" s="138" t="s">
        <v>703</v>
      </c>
      <c r="E384" s="139" t="s">
        <v>708</v>
      </c>
      <c r="F384" s="140">
        <v>75390</v>
      </c>
      <c r="G384" s="141">
        <v>3.73</v>
      </c>
      <c r="H384" s="138">
        <v>4.95</v>
      </c>
      <c r="I384" s="138" t="s">
        <v>292</v>
      </c>
      <c r="J384" s="149">
        <v>4.95</v>
      </c>
      <c r="K384" s="150" t="s">
        <v>380</v>
      </c>
      <c r="L384" s="151" t="s">
        <v>396</v>
      </c>
      <c r="M384" s="151" t="s">
        <v>309</v>
      </c>
      <c r="N384" s="151"/>
      <c r="O384" s="151"/>
      <c r="P384" s="151" t="s">
        <v>381</v>
      </c>
      <c r="Q384" s="151" t="s">
        <v>295</v>
      </c>
      <c r="R384" s="150" t="s">
        <v>379</v>
      </c>
      <c r="S384" s="138"/>
      <c r="T384" s="138" t="s">
        <v>381</v>
      </c>
      <c r="U384" s="138" t="s">
        <v>295</v>
      </c>
      <c r="V384" s="157" t="s">
        <v>379</v>
      </c>
    </row>
    <row r="385" spans="1:22" outlineLevel="1">
      <c r="A385" s="157" t="s">
        <v>273</v>
      </c>
      <c r="B385" s="138" t="s">
        <v>349</v>
      </c>
      <c r="C385" s="148">
        <v>43553</v>
      </c>
      <c r="D385" s="138" t="s">
        <v>703</v>
      </c>
      <c r="E385" s="139" t="s">
        <v>704</v>
      </c>
      <c r="F385" s="140">
        <v>75390</v>
      </c>
      <c r="G385" s="141">
        <v>296.2</v>
      </c>
      <c r="H385" s="138">
        <v>393.24</v>
      </c>
      <c r="I385" s="138" t="s">
        <v>292</v>
      </c>
      <c r="J385" s="149">
        <v>393.24</v>
      </c>
      <c r="K385" s="150" t="s">
        <v>380</v>
      </c>
      <c r="L385" s="151" t="s">
        <v>396</v>
      </c>
      <c r="M385" s="151" t="s">
        <v>309</v>
      </c>
      <c r="N385" s="151"/>
      <c r="O385" s="151"/>
      <c r="P385" s="151" t="s">
        <v>381</v>
      </c>
      <c r="Q385" s="151" t="s">
        <v>295</v>
      </c>
      <c r="R385" s="150" t="s">
        <v>379</v>
      </c>
      <c r="S385" s="138"/>
      <c r="T385" s="138" t="s">
        <v>381</v>
      </c>
      <c r="U385" s="138" t="s">
        <v>295</v>
      </c>
      <c r="V385" s="157" t="s">
        <v>379</v>
      </c>
    </row>
    <row r="386" spans="1:22" outlineLevel="1">
      <c r="A386" s="157" t="s">
        <v>273</v>
      </c>
      <c r="B386" s="138" t="s">
        <v>347</v>
      </c>
      <c r="C386" s="148">
        <v>43553</v>
      </c>
      <c r="D386" s="138" t="s">
        <v>745</v>
      </c>
      <c r="E386" s="139" t="s">
        <v>372</v>
      </c>
      <c r="F386" s="140" t="s">
        <v>746</v>
      </c>
      <c r="G386" s="141">
        <v>7.1</v>
      </c>
      <c r="H386" s="138">
        <v>9.06</v>
      </c>
      <c r="I386" s="138" t="s">
        <v>292</v>
      </c>
      <c r="J386" s="149">
        <v>9.06</v>
      </c>
      <c r="K386" s="150" t="s">
        <v>380</v>
      </c>
      <c r="L386" s="151" t="s">
        <v>374</v>
      </c>
      <c r="M386" s="151" t="s">
        <v>309</v>
      </c>
      <c r="N386" s="151"/>
      <c r="O386" s="151"/>
      <c r="P386" s="151" t="s">
        <v>381</v>
      </c>
      <c r="Q386" s="151" t="s">
        <v>295</v>
      </c>
      <c r="R386" s="151" t="s">
        <v>379</v>
      </c>
      <c r="S386" s="138"/>
      <c r="T386" s="138" t="s">
        <v>381</v>
      </c>
      <c r="U386" s="138" t="s">
        <v>295</v>
      </c>
      <c r="V386" s="138" t="s">
        <v>379</v>
      </c>
    </row>
    <row r="387" spans="1:22" outlineLevel="1">
      <c r="A387" s="157" t="s">
        <v>273</v>
      </c>
      <c r="B387" s="138" t="s">
        <v>349</v>
      </c>
      <c r="C387" s="148">
        <v>43553</v>
      </c>
      <c r="D387" s="138" t="s">
        <v>703</v>
      </c>
      <c r="E387" s="139" t="s">
        <v>704</v>
      </c>
      <c r="F387" s="140">
        <v>75390</v>
      </c>
      <c r="G387" s="141">
        <v>213.19</v>
      </c>
      <c r="H387" s="138">
        <v>283.04000000000002</v>
      </c>
      <c r="I387" s="138" t="s">
        <v>292</v>
      </c>
      <c r="J387" s="149">
        <v>283.02999999999997</v>
      </c>
      <c r="K387" s="150" t="s">
        <v>380</v>
      </c>
      <c r="L387" s="151" t="s">
        <v>396</v>
      </c>
      <c r="M387" s="151" t="s">
        <v>309</v>
      </c>
      <c r="N387" s="151"/>
      <c r="O387" s="151"/>
      <c r="P387" s="151" t="s">
        <v>381</v>
      </c>
      <c r="Q387" s="151" t="s">
        <v>295</v>
      </c>
      <c r="R387" s="150" t="s">
        <v>379</v>
      </c>
      <c r="S387" s="138"/>
      <c r="T387" s="138" t="s">
        <v>381</v>
      </c>
      <c r="U387" s="138" t="s">
        <v>295</v>
      </c>
      <c r="V387" s="157" t="s">
        <v>379</v>
      </c>
    </row>
    <row r="388" spans="1:22">
      <c r="A388" s="152" t="s">
        <v>378</v>
      </c>
      <c r="B388" s="152"/>
      <c r="C388" s="152"/>
      <c r="D388" s="152"/>
      <c r="E388" s="153"/>
      <c r="F388" s="154"/>
      <c r="G388" s="155">
        <f>SUM(G346:G387)</f>
        <v>763.06</v>
      </c>
      <c r="H388" s="156">
        <f>SUM(H346:H387)</f>
        <v>1009.8800000000001</v>
      </c>
      <c r="I388" s="152"/>
      <c r="J388" s="156">
        <f>SUM(J346:J387)</f>
        <v>1009.9300000000001</v>
      </c>
      <c r="K388" s="152"/>
      <c r="L388" s="152"/>
      <c r="M388" s="152"/>
      <c r="N388" s="152"/>
      <c r="O388" s="152"/>
      <c r="P388" s="152"/>
      <c r="Q388" s="152"/>
      <c r="R388" s="152"/>
      <c r="S388" s="138"/>
      <c r="T388" s="138"/>
      <c r="U388" s="138"/>
      <c r="V388" s="138"/>
    </row>
    <row r="389" spans="1:22" outlineLevel="1">
      <c r="A389" s="157" t="s">
        <v>276</v>
      </c>
      <c r="B389" s="138" t="s">
        <v>349</v>
      </c>
      <c r="C389" s="148">
        <v>43553</v>
      </c>
      <c r="D389" s="138" t="s">
        <v>710</v>
      </c>
      <c r="E389" s="139" t="s">
        <v>711</v>
      </c>
      <c r="F389" s="140">
        <v>75390</v>
      </c>
      <c r="G389" s="141">
        <v>45.19</v>
      </c>
      <c r="H389" s="138">
        <v>60</v>
      </c>
      <c r="I389" s="138" t="s">
        <v>292</v>
      </c>
      <c r="J389" s="149">
        <v>59.99</v>
      </c>
      <c r="K389" s="150" t="s">
        <v>615</v>
      </c>
      <c r="L389" s="151" t="s">
        <v>396</v>
      </c>
      <c r="M389" s="151" t="s">
        <v>309</v>
      </c>
      <c r="N389" s="151" t="s">
        <v>449</v>
      </c>
      <c r="O389" s="151"/>
      <c r="P389" s="151" t="s">
        <v>381</v>
      </c>
      <c r="Q389" s="151" t="s">
        <v>295</v>
      </c>
      <c r="R389" s="150" t="s">
        <v>379</v>
      </c>
      <c r="S389" s="138"/>
      <c r="T389" s="138" t="s">
        <v>381</v>
      </c>
      <c r="U389" s="138" t="s">
        <v>295</v>
      </c>
      <c r="V389" s="157" t="s">
        <v>379</v>
      </c>
    </row>
    <row r="390" spans="1:22">
      <c r="A390" s="152" t="s">
        <v>378</v>
      </c>
      <c r="B390" s="152"/>
      <c r="C390" s="152"/>
      <c r="D390" s="152"/>
      <c r="E390" s="153"/>
      <c r="F390" s="154"/>
      <c r="G390" s="155">
        <f>SUM(G389:G389)</f>
        <v>45.19</v>
      </c>
      <c r="H390" s="156">
        <f>SUM(H389:H389)</f>
        <v>60</v>
      </c>
      <c r="I390" s="152"/>
      <c r="J390" s="156">
        <f>SUM(J389:J389)</f>
        <v>59.99</v>
      </c>
      <c r="K390" s="152"/>
      <c r="L390" s="152"/>
      <c r="M390" s="152"/>
      <c r="N390" s="152"/>
      <c r="O390" s="152"/>
      <c r="P390" s="152"/>
      <c r="Q390" s="152"/>
      <c r="R390" s="152"/>
      <c r="S390" s="138"/>
      <c r="T390" s="138"/>
      <c r="U390" s="138"/>
      <c r="V390" s="138"/>
    </row>
    <row r="391" spans="1:22" outlineLevel="1">
      <c r="A391" s="157" t="s">
        <v>277</v>
      </c>
      <c r="B391" s="138" t="s">
        <v>393</v>
      </c>
      <c r="C391" s="148">
        <v>43516</v>
      </c>
      <c r="D391" s="138" t="s">
        <v>712</v>
      </c>
      <c r="E391" s="139" t="s">
        <v>713</v>
      </c>
      <c r="F391" s="140">
        <v>75030</v>
      </c>
      <c r="G391" s="141">
        <v>95.17</v>
      </c>
      <c r="H391" s="138">
        <v>125</v>
      </c>
      <c r="I391" s="138" t="s">
        <v>292</v>
      </c>
      <c r="J391" s="149">
        <v>125</v>
      </c>
      <c r="K391" s="150" t="s">
        <v>714</v>
      </c>
      <c r="L391" s="151" t="s">
        <v>396</v>
      </c>
      <c r="M391" s="151" t="s">
        <v>309</v>
      </c>
      <c r="N391" s="151"/>
      <c r="O391" s="151"/>
      <c r="P391" s="151" t="s">
        <v>381</v>
      </c>
      <c r="Q391" s="151" t="s">
        <v>295</v>
      </c>
      <c r="R391" s="150" t="s">
        <v>379</v>
      </c>
      <c r="S391" s="138"/>
      <c r="T391" s="138" t="s">
        <v>381</v>
      </c>
      <c r="U391" s="138" t="s">
        <v>295</v>
      </c>
      <c r="V391" s="157" t="s">
        <v>379</v>
      </c>
    </row>
    <row r="392" spans="1:22" outlineLevel="1">
      <c r="A392" s="157" t="s">
        <v>277</v>
      </c>
      <c r="B392" s="138" t="s">
        <v>393</v>
      </c>
      <c r="C392" s="148">
        <v>43516</v>
      </c>
      <c r="D392" s="138" t="s">
        <v>712</v>
      </c>
      <c r="E392" s="139" t="s">
        <v>715</v>
      </c>
      <c r="F392" s="140">
        <v>75030</v>
      </c>
      <c r="G392" s="141">
        <v>67.760000000000005</v>
      </c>
      <c r="H392" s="138">
        <v>89</v>
      </c>
      <c r="I392" s="138" t="s">
        <v>292</v>
      </c>
      <c r="J392" s="149">
        <v>89</v>
      </c>
      <c r="K392" s="150" t="s">
        <v>716</v>
      </c>
      <c r="L392" s="151" t="s">
        <v>396</v>
      </c>
      <c r="M392" s="151" t="s">
        <v>309</v>
      </c>
      <c r="N392" s="151"/>
      <c r="O392" s="151"/>
      <c r="P392" s="151" t="s">
        <v>381</v>
      </c>
      <c r="Q392" s="151" t="s">
        <v>295</v>
      </c>
      <c r="R392" s="150" t="s">
        <v>379</v>
      </c>
      <c r="S392" s="138"/>
      <c r="T392" s="138" t="s">
        <v>381</v>
      </c>
      <c r="U392" s="138" t="s">
        <v>295</v>
      </c>
      <c r="V392" s="157" t="s">
        <v>379</v>
      </c>
    </row>
    <row r="393" spans="1:22" outlineLevel="1">
      <c r="A393" s="157" t="s">
        <v>277</v>
      </c>
      <c r="B393" s="138" t="s">
        <v>393</v>
      </c>
      <c r="C393" s="148">
        <v>43516</v>
      </c>
      <c r="D393" s="138" t="s">
        <v>712</v>
      </c>
      <c r="E393" s="139" t="s">
        <v>717</v>
      </c>
      <c r="F393" s="140">
        <v>75030</v>
      </c>
      <c r="G393" s="141">
        <v>223.84</v>
      </c>
      <c r="H393" s="138">
        <v>294</v>
      </c>
      <c r="I393" s="138" t="s">
        <v>292</v>
      </c>
      <c r="J393" s="149">
        <v>294</v>
      </c>
      <c r="K393" s="150" t="s">
        <v>718</v>
      </c>
      <c r="L393" s="151" t="s">
        <v>396</v>
      </c>
      <c r="M393" s="151" t="s">
        <v>309</v>
      </c>
      <c r="N393" s="151"/>
      <c r="O393" s="151"/>
      <c r="P393" s="151" t="s">
        <v>381</v>
      </c>
      <c r="Q393" s="151" t="s">
        <v>295</v>
      </c>
      <c r="R393" s="150" t="s">
        <v>379</v>
      </c>
      <c r="S393" s="138"/>
      <c r="T393" s="138" t="s">
        <v>381</v>
      </c>
      <c r="U393" s="138" t="s">
        <v>295</v>
      </c>
      <c r="V393" s="157" t="s">
        <v>379</v>
      </c>
    </row>
    <row r="394" spans="1:22" outlineLevel="1">
      <c r="A394" s="157" t="s">
        <v>277</v>
      </c>
      <c r="B394" s="138" t="s">
        <v>349</v>
      </c>
      <c r="C394" s="148">
        <v>43544</v>
      </c>
      <c r="D394" s="138" t="s">
        <v>719</v>
      </c>
      <c r="E394" s="139" t="s">
        <v>720</v>
      </c>
      <c r="F394" s="140">
        <v>75390</v>
      </c>
      <c r="G394" s="141">
        <v>210.9</v>
      </c>
      <c r="H394" s="138">
        <v>280</v>
      </c>
      <c r="I394" s="138" t="s">
        <v>292</v>
      </c>
      <c r="J394" s="149">
        <v>279.99</v>
      </c>
      <c r="K394" s="150" t="s">
        <v>716</v>
      </c>
      <c r="L394" s="151" t="s">
        <v>396</v>
      </c>
      <c r="M394" s="151" t="s">
        <v>309</v>
      </c>
      <c r="N394" s="151"/>
      <c r="O394" s="151"/>
      <c r="P394" s="151" t="s">
        <v>381</v>
      </c>
      <c r="Q394" s="151" t="s">
        <v>295</v>
      </c>
      <c r="R394" s="150" t="s">
        <v>379</v>
      </c>
      <c r="S394" s="138"/>
      <c r="T394" s="138" t="s">
        <v>381</v>
      </c>
      <c r="U394" s="138" t="s">
        <v>295</v>
      </c>
      <c r="V394" s="157" t="s">
        <v>379</v>
      </c>
    </row>
    <row r="395" spans="1:22" outlineLevel="1">
      <c r="A395" s="157" t="s">
        <v>277</v>
      </c>
      <c r="B395" s="138" t="s">
        <v>349</v>
      </c>
      <c r="C395" s="148">
        <v>43544</v>
      </c>
      <c r="D395" s="138" t="s">
        <v>719</v>
      </c>
      <c r="E395" s="139" t="s">
        <v>721</v>
      </c>
      <c r="F395" s="140">
        <v>75390</v>
      </c>
      <c r="G395" s="141">
        <v>105.45</v>
      </c>
      <c r="H395" s="138">
        <v>140</v>
      </c>
      <c r="I395" s="138" t="s">
        <v>292</v>
      </c>
      <c r="J395" s="149">
        <v>140</v>
      </c>
      <c r="K395" s="150" t="s">
        <v>716</v>
      </c>
      <c r="L395" s="151" t="s">
        <v>396</v>
      </c>
      <c r="M395" s="151" t="s">
        <v>309</v>
      </c>
      <c r="N395" s="151"/>
      <c r="O395" s="151"/>
      <c r="P395" s="151" t="s">
        <v>381</v>
      </c>
      <c r="Q395" s="151" t="s">
        <v>295</v>
      </c>
      <c r="R395" s="150" t="s">
        <v>379</v>
      </c>
      <c r="S395" s="138"/>
      <c r="T395" s="138" t="s">
        <v>381</v>
      </c>
      <c r="U395" s="138" t="s">
        <v>295</v>
      </c>
      <c r="V395" s="157" t="s">
        <v>379</v>
      </c>
    </row>
    <row r="396" spans="1:22">
      <c r="A396" s="152" t="s">
        <v>378</v>
      </c>
      <c r="B396" s="152"/>
      <c r="C396" s="152"/>
      <c r="D396" s="152"/>
      <c r="E396" s="153"/>
      <c r="F396" s="154"/>
      <c r="G396" s="155">
        <f>SUM(G391:G395)</f>
        <v>703.12</v>
      </c>
      <c r="H396" s="156">
        <f>SUM(H391:H395)</f>
        <v>928</v>
      </c>
      <c r="I396" s="152"/>
      <c r="J396" s="156">
        <f>SUM(J391:J395)</f>
        <v>927.99</v>
      </c>
      <c r="K396" s="152"/>
      <c r="L396" s="152"/>
      <c r="M396" s="152"/>
      <c r="N396" s="152"/>
      <c r="O396" s="152"/>
      <c r="P396" s="152"/>
      <c r="Q396" s="152"/>
      <c r="R396" s="152"/>
      <c r="S396" s="138"/>
      <c r="T396" s="138"/>
      <c r="U396" s="138"/>
      <c r="V396" s="138"/>
    </row>
    <row r="397" spans="1:22" outlineLevel="1">
      <c r="A397" s="157" t="s">
        <v>284</v>
      </c>
      <c r="B397" s="138" t="s">
        <v>382</v>
      </c>
      <c r="C397" s="148">
        <v>43496</v>
      </c>
      <c r="D397" s="138" t="s">
        <v>423</v>
      </c>
      <c r="E397" s="139" t="s">
        <v>722</v>
      </c>
      <c r="F397" s="140">
        <v>74791</v>
      </c>
      <c r="G397" s="141">
        <v>243.08</v>
      </c>
      <c r="H397" s="138">
        <v>310.18</v>
      </c>
      <c r="I397" s="138" t="s">
        <v>292</v>
      </c>
      <c r="J397" s="149">
        <v>310.18</v>
      </c>
      <c r="K397" s="150" t="s">
        <v>385</v>
      </c>
      <c r="L397" s="151" t="s">
        <v>400</v>
      </c>
      <c r="M397" s="151" t="s">
        <v>309</v>
      </c>
      <c r="N397" s="151" t="s">
        <v>556</v>
      </c>
      <c r="O397" s="151"/>
      <c r="P397" s="151" t="s">
        <v>381</v>
      </c>
      <c r="Q397" s="151" t="s">
        <v>295</v>
      </c>
      <c r="R397" s="150" t="s">
        <v>379</v>
      </c>
      <c r="S397" s="138"/>
      <c r="T397" s="138" t="s">
        <v>381</v>
      </c>
      <c r="U397" s="138" t="s">
        <v>295</v>
      </c>
      <c r="V397" s="157" t="s">
        <v>379</v>
      </c>
    </row>
    <row r="398" spans="1:22" outlineLevel="1">
      <c r="A398" s="157" t="s">
        <v>284</v>
      </c>
      <c r="B398" s="138" t="s">
        <v>382</v>
      </c>
      <c r="C398" s="148">
        <v>43496</v>
      </c>
      <c r="D398" s="138" t="s">
        <v>426</v>
      </c>
      <c r="E398" s="139" t="s">
        <v>723</v>
      </c>
      <c r="F398" s="140">
        <v>74791</v>
      </c>
      <c r="G398" s="141">
        <v>34.14</v>
      </c>
      <c r="H398" s="138">
        <v>43.56</v>
      </c>
      <c r="I398" s="138" t="s">
        <v>292</v>
      </c>
      <c r="J398" s="149">
        <v>43.56</v>
      </c>
      <c r="K398" s="150" t="s">
        <v>391</v>
      </c>
      <c r="L398" s="151" t="s">
        <v>400</v>
      </c>
      <c r="M398" s="151" t="s">
        <v>309</v>
      </c>
      <c r="N398" s="151" t="s">
        <v>556</v>
      </c>
      <c r="O398" s="151"/>
      <c r="P398" s="151" t="s">
        <v>381</v>
      </c>
      <c r="Q398" s="151" t="s">
        <v>295</v>
      </c>
      <c r="R398" s="150" t="s">
        <v>379</v>
      </c>
      <c r="S398" s="138"/>
      <c r="T398" s="138" t="s">
        <v>381</v>
      </c>
      <c r="U398" s="138" t="s">
        <v>295</v>
      </c>
      <c r="V398" s="157" t="s">
        <v>379</v>
      </c>
    </row>
    <row r="399" spans="1:22" outlineLevel="1">
      <c r="A399" s="157" t="s">
        <v>284</v>
      </c>
      <c r="B399" s="138" t="s">
        <v>382</v>
      </c>
      <c r="C399" s="148">
        <v>43496</v>
      </c>
      <c r="D399" s="138" t="s">
        <v>430</v>
      </c>
      <c r="E399" s="139" t="s">
        <v>724</v>
      </c>
      <c r="F399" s="140">
        <v>74791</v>
      </c>
      <c r="G399" s="141">
        <v>5.69</v>
      </c>
      <c r="H399" s="138">
        <v>7.26</v>
      </c>
      <c r="I399" s="138" t="s">
        <v>292</v>
      </c>
      <c r="J399" s="149">
        <v>7.26</v>
      </c>
      <c r="K399" s="150" t="s">
        <v>405</v>
      </c>
      <c r="L399" s="151" t="s">
        <v>400</v>
      </c>
      <c r="M399" s="151" t="s">
        <v>309</v>
      </c>
      <c r="N399" s="151" t="s">
        <v>556</v>
      </c>
      <c r="O399" s="151"/>
      <c r="P399" s="151" t="s">
        <v>381</v>
      </c>
      <c r="Q399" s="151" t="s">
        <v>295</v>
      </c>
      <c r="R399" s="150" t="s">
        <v>379</v>
      </c>
      <c r="S399" s="138"/>
      <c r="T399" s="138" t="s">
        <v>381</v>
      </c>
      <c r="U399" s="138" t="s">
        <v>295</v>
      </c>
      <c r="V399" s="157" t="s">
        <v>379</v>
      </c>
    </row>
    <row r="400" spans="1:22" outlineLevel="1">
      <c r="A400" s="157" t="s">
        <v>284</v>
      </c>
      <c r="B400" s="138" t="s">
        <v>382</v>
      </c>
      <c r="C400" s="148">
        <v>43495</v>
      </c>
      <c r="D400" s="138" t="s">
        <v>428</v>
      </c>
      <c r="E400" s="139" t="s">
        <v>725</v>
      </c>
      <c r="F400" s="140">
        <v>74791</v>
      </c>
      <c r="G400" s="141">
        <v>0.6</v>
      </c>
      <c r="H400" s="138">
        <v>0.76</v>
      </c>
      <c r="I400" s="138" t="s">
        <v>292</v>
      </c>
      <c r="J400" s="149">
        <v>0.77</v>
      </c>
      <c r="K400" s="150" t="s">
        <v>405</v>
      </c>
      <c r="L400" s="151" t="s">
        <v>400</v>
      </c>
      <c r="M400" s="151" t="s">
        <v>309</v>
      </c>
      <c r="N400" s="151" t="s">
        <v>556</v>
      </c>
      <c r="O400" s="151"/>
      <c r="P400" s="151" t="s">
        <v>381</v>
      </c>
      <c r="Q400" s="151" t="s">
        <v>295</v>
      </c>
      <c r="R400" s="150" t="s">
        <v>379</v>
      </c>
      <c r="S400" s="138"/>
      <c r="T400" s="138" t="s">
        <v>381</v>
      </c>
      <c r="U400" s="138" t="s">
        <v>295</v>
      </c>
      <c r="V400" s="157" t="s">
        <v>379</v>
      </c>
    </row>
    <row r="401" spans="1:22" outlineLevel="1">
      <c r="A401" s="157" t="s">
        <v>284</v>
      </c>
      <c r="B401" s="138" t="s">
        <v>393</v>
      </c>
      <c r="C401" s="148">
        <v>43523</v>
      </c>
      <c r="D401" s="138" t="s">
        <v>432</v>
      </c>
      <c r="E401" s="139" t="s">
        <v>722</v>
      </c>
      <c r="F401" s="140">
        <v>75040</v>
      </c>
      <c r="G401" s="141">
        <v>237.98</v>
      </c>
      <c r="H401" s="138">
        <v>312.58</v>
      </c>
      <c r="I401" s="138" t="s">
        <v>292</v>
      </c>
      <c r="J401" s="149">
        <v>312.58</v>
      </c>
      <c r="K401" s="150" t="s">
        <v>385</v>
      </c>
      <c r="L401" s="151" t="s">
        <v>400</v>
      </c>
      <c r="M401" s="151" t="s">
        <v>309</v>
      </c>
      <c r="N401" s="151" t="s">
        <v>556</v>
      </c>
      <c r="O401" s="151"/>
      <c r="P401" s="151" t="s">
        <v>381</v>
      </c>
      <c r="Q401" s="151" t="s">
        <v>295</v>
      </c>
      <c r="R401" s="150" t="s">
        <v>379</v>
      </c>
      <c r="S401" s="138"/>
      <c r="T401" s="138" t="s">
        <v>381</v>
      </c>
      <c r="U401" s="138" t="s">
        <v>295</v>
      </c>
      <c r="V401" s="157" t="s">
        <v>379</v>
      </c>
    </row>
    <row r="402" spans="1:22" outlineLevel="1">
      <c r="A402" s="157" t="s">
        <v>284</v>
      </c>
      <c r="B402" s="138" t="s">
        <v>393</v>
      </c>
      <c r="C402" s="148">
        <v>43523</v>
      </c>
      <c r="D402" s="138" t="s">
        <v>433</v>
      </c>
      <c r="E402" s="139" t="s">
        <v>723</v>
      </c>
      <c r="F402" s="140">
        <v>75040</v>
      </c>
      <c r="G402" s="141">
        <v>33.159999999999997</v>
      </c>
      <c r="H402" s="138">
        <v>43.56</v>
      </c>
      <c r="I402" s="138" t="s">
        <v>292</v>
      </c>
      <c r="J402" s="149">
        <v>43.55</v>
      </c>
      <c r="K402" s="150" t="s">
        <v>391</v>
      </c>
      <c r="L402" s="151" t="s">
        <v>400</v>
      </c>
      <c r="M402" s="151" t="s">
        <v>309</v>
      </c>
      <c r="N402" s="151" t="s">
        <v>556</v>
      </c>
      <c r="O402" s="151"/>
      <c r="P402" s="151" t="s">
        <v>381</v>
      </c>
      <c r="Q402" s="151" t="s">
        <v>295</v>
      </c>
      <c r="R402" s="150" t="s">
        <v>379</v>
      </c>
      <c r="S402" s="138"/>
      <c r="T402" s="138" t="s">
        <v>381</v>
      </c>
      <c r="U402" s="138" t="s">
        <v>295</v>
      </c>
      <c r="V402" s="157" t="s">
        <v>379</v>
      </c>
    </row>
    <row r="403" spans="1:22" outlineLevel="1">
      <c r="A403" s="157" t="s">
        <v>284</v>
      </c>
      <c r="B403" s="138" t="s">
        <v>393</v>
      </c>
      <c r="C403" s="148">
        <v>43523</v>
      </c>
      <c r="D403" s="138" t="s">
        <v>434</v>
      </c>
      <c r="E403" s="139" t="s">
        <v>725</v>
      </c>
      <c r="F403" s="140">
        <v>75040</v>
      </c>
      <c r="G403" s="141">
        <v>0.37</v>
      </c>
      <c r="H403" s="138">
        <v>0.48</v>
      </c>
      <c r="I403" s="138" t="s">
        <v>292</v>
      </c>
      <c r="J403" s="149">
        <v>0.49</v>
      </c>
      <c r="K403" s="150" t="s">
        <v>405</v>
      </c>
      <c r="L403" s="151" t="s">
        <v>400</v>
      </c>
      <c r="M403" s="151" t="s">
        <v>309</v>
      </c>
      <c r="N403" s="151" t="s">
        <v>556</v>
      </c>
      <c r="O403" s="151"/>
      <c r="P403" s="151" t="s">
        <v>381</v>
      </c>
      <c r="Q403" s="151" t="s">
        <v>295</v>
      </c>
      <c r="R403" s="150" t="s">
        <v>379</v>
      </c>
      <c r="S403" s="138"/>
      <c r="T403" s="138" t="s">
        <v>381</v>
      </c>
      <c r="U403" s="138" t="s">
        <v>295</v>
      </c>
      <c r="V403" s="157" t="s">
        <v>379</v>
      </c>
    </row>
    <row r="404" spans="1:22" outlineLevel="1">
      <c r="A404" s="157" t="s">
        <v>284</v>
      </c>
      <c r="B404" s="138" t="s">
        <v>393</v>
      </c>
      <c r="C404" s="148">
        <v>43523</v>
      </c>
      <c r="D404" s="138" t="s">
        <v>435</v>
      </c>
      <c r="E404" s="139" t="s">
        <v>724</v>
      </c>
      <c r="F404" s="140">
        <v>75040</v>
      </c>
      <c r="G404" s="141">
        <v>5.53</v>
      </c>
      <c r="H404" s="138">
        <v>7.26</v>
      </c>
      <c r="I404" s="138" t="s">
        <v>292</v>
      </c>
      <c r="J404" s="149">
        <v>7.26</v>
      </c>
      <c r="K404" s="150" t="s">
        <v>405</v>
      </c>
      <c r="L404" s="151" t="s">
        <v>400</v>
      </c>
      <c r="M404" s="151" t="s">
        <v>309</v>
      </c>
      <c r="N404" s="151" t="s">
        <v>556</v>
      </c>
      <c r="O404" s="151"/>
      <c r="P404" s="151" t="s">
        <v>381</v>
      </c>
      <c r="Q404" s="151" t="s">
        <v>295</v>
      </c>
      <c r="R404" s="150" t="s">
        <v>379</v>
      </c>
      <c r="S404" s="138"/>
      <c r="T404" s="138" t="s">
        <v>381</v>
      </c>
      <c r="U404" s="138" t="s">
        <v>295</v>
      </c>
      <c r="V404" s="157" t="s">
        <v>379</v>
      </c>
    </row>
    <row r="405" spans="1:22" outlineLevel="1">
      <c r="A405" s="157" t="s">
        <v>284</v>
      </c>
      <c r="B405" s="138" t="s">
        <v>349</v>
      </c>
      <c r="C405" s="148">
        <v>43553</v>
      </c>
      <c r="D405" s="138" t="s">
        <v>436</v>
      </c>
      <c r="E405" s="139" t="s">
        <v>722</v>
      </c>
      <c r="F405" s="140">
        <v>75358</v>
      </c>
      <c r="G405" s="141">
        <v>234.84</v>
      </c>
      <c r="H405" s="138">
        <v>311.77999999999997</v>
      </c>
      <c r="I405" s="138" t="s">
        <v>292</v>
      </c>
      <c r="J405" s="149">
        <v>311.77999999999997</v>
      </c>
      <c r="K405" s="150" t="s">
        <v>385</v>
      </c>
      <c r="L405" s="151" t="s">
        <v>400</v>
      </c>
      <c r="M405" s="151" t="s">
        <v>309</v>
      </c>
      <c r="N405" s="151" t="s">
        <v>556</v>
      </c>
      <c r="O405" s="151"/>
      <c r="P405" s="151" t="s">
        <v>381</v>
      </c>
      <c r="Q405" s="151" t="s">
        <v>295</v>
      </c>
      <c r="R405" s="150" t="s">
        <v>379</v>
      </c>
      <c r="S405" s="138"/>
      <c r="T405" s="138" t="s">
        <v>381</v>
      </c>
      <c r="U405" s="138" t="s">
        <v>295</v>
      </c>
      <c r="V405" s="157" t="s">
        <v>379</v>
      </c>
    </row>
    <row r="406" spans="1:22" outlineLevel="1">
      <c r="A406" s="157" t="s">
        <v>284</v>
      </c>
      <c r="B406" s="138" t="s">
        <v>349</v>
      </c>
      <c r="C406" s="148">
        <v>43553</v>
      </c>
      <c r="D406" s="138" t="s">
        <v>437</v>
      </c>
      <c r="E406" s="139" t="s">
        <v>723</v>
      </c>
      <c r="F406" s="140">
        <v>75358</v>
      </c>
      <c r="G406" s="141">
        <v>32.81</v>
      </c>
      <c r="H406" s="138">
        <v>43.56</v>
      </c>
      <c r="I406" s="138" t="s">
        <v>292</v>
      </c>
      <c r="J406" s="149">
        <v>43.56</v>
      </c>
      <c r="K406" s="150" t="s">
        <v>391</v>
      </c>
      <c r="L406" s="151" t="s">
        <v>400</v>
      </c>
      <c r="M406" s="151" t="s">
        <v>309</v>
      </c>
      <c r="N406" s="151" t="s">
        <v>556</v>
      </c>
      <c r="O406" s="151"/>
      <c r="P406" s="151" t="s">
        <v>381</v>
      </c>
      <c r="Q406" s="151" t="s">
        <v>295</v>
      </c>
      <c r="R406" s="150" t="s">
        <v>379</v>
      </c>
      <c r="S406" s="138"/>
      <c r="T406" s="138" t="s">
        <v>381</v>
      </c>
      <c r="U406" s="138" t="s">
        <v>295</v>
      </c>
      <c r="V406" s="157" t="s">
        <v>379</v>
      </c>
    </row>
    <row r="407" spans="1:22" outlineLevel="1">
      <c r="A407" s="157" t="s">
        <v>284</v>
      </c>
      <c r="B407" s="138" t="s">
        <v>349</v>
      </c>
      <c r="C407" s="148">
        <v>43553</v>
      </c>
      <c r="D407" s="138" t="s">
        <v>439</v>
      </c>
      <c r="E407" s="139" t="s">
        <v>724</v>
      </c>
      <c r="F407" s="140">
        <v>75358</v>
      </c>
      <c r="G407" s="141">
        <v>5.47</v>
      </c>
      <c r="H407" s="138">
        <v>7.26</v>
      </c>
      <c r="I407" s="138" t="s">
        <v>292</v>
      </c>
      <c r="J407" s="149">
        <v>7.26</v>
      </c>
      <c r="K407" s="150" t="s">
        <v>405</v>
      </c>
      <c r="L407" s="151" t="s">
        <v>400</v>
      </c>
      <c r="M407" s="151" t="s">
        <v>309</v>
      </c>
      <c r="N407" s="151" t="s">
        <v>556</v>
      </c>
      <c r="O407" s="151"/>
      <c r="P407" s="151" t="s">
        <v>381</v>
      </c>
      <c r="Q407" s="151" t="s">
        <v>295</v>
      </c>
      <c r="R407" s="150" t="s">
        <v>379</v>
      </c>
      <c r="S407" s="138"/>
      <c r="T407" s="138" t="s">
        <v>381</v>
      </c>
      <c r="U407" s="138" t="s">
        <v>295</v>
      </c>
      <c r="V407" s="157" t="s">
        <v>379</v>
      </c>
    </row>
    <row r="408" spans="1:22" outlineLevel="1">
      <c r="A408" s="157" t="s">
        <v>284</v>
      </c>
      <c r="B408" s="138" t="s">
        <v>349</v>
      </c>
      <c r="C408" s="148">
        <v>43552</v>
      </c>
      <c r="D408" s="138" t="s">
        <v>438</v>
      </c>
      <c r="E408" s="139" t="s">
        <v>725</v>
      </c>
      <c r="F408" s="140">
        <v>75358</v>
      </c>
      <c r="G408" s="141">
        <v>0.36</v>
      </c>
      <c r="H408" s="138">
        <v>0.48</v>
      </c>
      <c r="I408" s="138" t="s">
        <v>292</v>
      </c>
      <c r="J408" s="149">
        <v>0.48</v>
      </c>
      <c r="K408" s="150" t="s">
        <v>405</v>
      </c>
      <c r="L408" s="151" t="s">
        <v>400</v>
      </c>
      <c r="M408" s="151" t="s">
        <v>309</v>
      </c>
      <c r="N408" s="151" t="s">
        <v>556</v>
      </c>
      <c r="O408" s="151"/>
      <c r="P408" s="151" t="s">
        <v>381</v>
      </c>
      <c r="Q408" s="151" t="s">
        <v>295</v>
      </c>
      <c r="R408" s="150" t="s">
        <v>379</v>
      </c>
      <c r="S408" s="138"/>
      <c r="T408" s="138" t="s">
        <v>381</v>
      </c>
      <c r="U408" s="138" t="s">
        <v>295</v>
      </c>
      <c r="V408" s="157" t="s">
        <v>379</v>
      </c>
    </row>
    <row r="409" spans="1:22">
      <c r="A409" s="152" t="s">
        <v>378</v>
      </c>
      <c r="B409" s="152"/>
      <c r="C409" s="152"/>
      <c r="D409" s="152"/>
      <c r="E409" s="153"/>
      <c r="F409" s="154"/>
      <c r="G409" s="155">
        <f>SUM(G397:G408)</f>
        <v>834.03000000000009</v>
      </c>
      <c r="H409" s="156">
        <f>SUM(H397:H408)</f>
        <v>1088.7199999999998</v>
      </c>
      <c r="I409" s="152"/>
      <c r="J409" s="156">
        <f>SUM(J397:J408)</f>
        <v>1088.7299999999998</v>
      </c>
      <c r="K409" s="152"/>
      <c r="L409" s="152"/>
      <c r="M409" s="152"/>
      <c r="N409" s="152"/>
      <c r="O409" s="152"/>
      <c r="P409" s="152"/>
      <c r="Q409" s="152"/>
      <c r="R409" s="152"/>
      <c r="S409" s="138"/>
      <c r="T409" s="138"/>
      <c r="U409" s="138"/>
      <c r="V409" s="138"/>
    </row>
    <row r="410" spans="1:22" outlineLevel="1">
      <c r="A410" s="157" t="s">
        <v>287</v>
      </c>
      <c r="B410" s="138" t="s">
        <v>382</v>
      </c>
      <c r="C410" s="148">
        <v>43496</v>
      </c>
      <c r="D410" s="138" t="s">
        <v>383</v>
      </c>
      <c r="E410" s="139" t="s">
        <v>726</v>
      </c>
      <c r="F410" s="140">
        <v>75031</v>
      </c>
      <c r="G410" s="141">
        <v>542.41</v>
      </c>
      <c r="H410" s="138">
        <v>542.41</v>
      </c>
      <c r="I410" s="138" t="s">
        <v>293</v>
      </c>
      <c r="J410" s="149">
        <v>692.13</v>
      </c>
      <c r="K410" s="150" t="s">
        <v>385</v>
      </c>
      <c r="L410" s="151" t="s">
        <v>374</v>
      </c>
      <c r="M410" s="151" t="s">
        <v>309</v>
      </c>
      <c r="N410" s="151" t="s">
        <v>727</v>
      </c>
      <c r="O410" s="151"/>
      <c r="P410" s="151" t="s">
        <v>381</v>
      </c>
      <c r="Q410" s="151" t="s">
        <v>295</v>
      </c>
      <c r="R410" s="150" t="s">
        <v>379</v>
      </c>
      <c r="S410" s="138"/>
      <c r="T410" s="138" t="s">
        <v>381</v>
      </c>
      <c r="U410" s="138" t="s">
        <v>295</v>
      </c>
      <c r="V410" s="157" t="s">
        <v>379</v>
      </c>
    </row>
    <row r="411" spans="1:22" outlineLevel="1">
      <c r="A411" s="157" t="s">
        <v>287</v>
      </c>
      <c r="B411" s="138" t="s">
        <v>382</v>
      </c>
      <c r="C411" s="148">
        <v>43496</v>
      </c>
      <c r="D411" s="138" t="s">
        <v>383</v>
      </c>
      <c r="E411" s="139" t="s">
        <v>389</v>
      </c>
      <c r="F411" s="140">
        <v>75033</v>
      </c>
      <c r="G411" s="141">
        <v>8.14</v>
      </c>
      <c r="H411" s="138">
        <v>8.14</v>
      </c>
      <c r="I411" s="138" t="s">
        <v>293</v>
      </c>
      <c r="J411" s="149">
        <v>10.39</v>
      </c>
      <c r="K411" s="150" t="s">
        <v>385</v>
      </c>
      <c r="L411" s="151" t="s">
        <v>374</v>
      </c>
      <c r="M411" s="151" t="s">
        <v>309</v>
      </c>
      <c r="N411" s="151" t="s">
        <v>727</v>
      </c>
      <c r="O411" s="151"/>
      <c r="P411" s="151" t="s">
        <v>390</v>
      </c>
      <c r="Q411" s="151" t="s">
        <v>295</v>
      </c>
      <c r="R411" s="150" t="s">
        <v>379</v>
      </c>
      <c r="S411" s="138"/>
      <c r="T411" s="138" t="s">
        <v>390</v>
      </c>
      <c r="U411" s="138" t="s">
        <v>295</v>
      </c>
      <c r="V411" s="157" t="s">
        <v>379</v>
      </c>
    </row>
    <row r="412" spans="1:22" outlineLevel="1">
      <c r="A412" s="157" t="s">
        <v>287</v>
      </c>
      <c r="B412" s="138" t="s">
        <v>382</v>
      </c>
      <c r="C412" s="148">
        <v>43496</v>
      </c>
      <c r="D412" s="138" t="s">
        <v>383</v>
      </c>
      <c r="E412" s="139" t="s">
        <v>387</v>
      </c>
      <c r="F412" s="140">
        <v>75032</v>
      </c>
      <c r="G412" s="141">
        <v>27.12</v>
      </c>
      <c r="H412" s="138">
        <v>27.12</v>
      </c>
      <c r="I412" s="138" t="s">
        <v>293</v>
      </c>
      <c r="J412" s="149">
        <v>34.61</v>
      </c>
      <c r="K412" s="150" t="s">
        <v>385</v>
      </c>
      <c r="L412" s="151" t="s">
        <v>374</v>
      </c>
      <c r="M412" s="151" t="s">
        <v>309</v>
      </c>
      <c r="N412" s="151" t="s">
        <v>727</v>
      </c>
      <c r="O412" s="151"/>
      <c r="P412" s="151" t="s">
        <v>388</v>
      </c>
      <c r="Q412" s="151" t="s">
        <v>295</v>
      </c>
      <c r="R412" s="150" t="s">
        <v>287</v>
      </c>
      <c r="S412" s="138"/>
      <c r="T412" s="138" t="s">
        <v>388</v>
      </c>
      <c r="U412" s="138" t="s">
        <v>295</v>
      </c>
      <c r="V412" s="157" t="s">
        <v>287</v>
      </c>
    </row>
    <row r="413" spans="1:22" outlineLevel="1">
      <c r="A413" s="157" t="s">
        <v>287</v>
      </c>
      <c r="B413" s="138" t="s">
        <v>382</v>
      </c>
      <c r="C413" s="148">
        <v>43496</v>
      </c>
      <c r="D413" s="138" t="s">
        <v>383</v>
      </c>
      <c r="E413" s="139" t="s">
        <v>726</v>
      </c>
      <c r="F413" s="140">
        <v>75031</v>
      </c>
      <c r="G413" s="141">
        <v>54.24</v>
      </c>
      <c r="H413" s="138">
        <v>54.24</v>
      </c>
      <c r="I413" s="138" t="s">
        <v>293</v>
      </c>
      <c r="J413" s="149">
        <v>69.209999999999994</v>
      </c>
      <c r="K413" s="150" t="s">
        <v>391</v>
      </c>
      <c r="L413" s="151" t="s">
        <v>374</v>
      </c>
      <c r="M413" s="151" t="s">
        <v>309</v>
      </c>
      <c r="N413" s="151" t="s">
        <v>727</v>
      </c>
      <c r="O413" s="151"/>
      <c r="P413" s="151" t="s">
        <v>381</v>
      </c>
      <c r="Q413" s="151" t="s">
        <v>295</v>
      </c>
      <c r="R413" s="150" t="s">
        <v>379</v>
      </c>
      <c r="S413" s="138"/>
      <c r="T413" s="138" t="s">
        <v>381</v>
      </c>
      <c r="U413" s="138" t="s">
        <v>295</v>
      </c>
      <c r="V413" s="157" t="s">
        <v>379</v>
      </c>
    </row>
    <row r="414" spans="1:22" outlineLevel="1">
      <c r="A414" s="157" t="s">
        <v>287</v>
      </c>
      <c r="B414" s="138" t="s">
        <v>382</v>
      </c>
      <c r="C414" s="148">
        <v>43496</v>
      </c>
      <c r="D414" s="138" t="s">
        <v>383</v>
      </c>
      <c r="E414" s="139" t="s">
        <v>726</v>
      </c>
      <c r="F414" s="140">
        <v>75031</v>
      </c>
      <c r="G414" s="141">
        <v>60.32</v>
      </c>
      <c r="H414" s="138">
        <v>60.32</v>
      </c>
      <c r="I414" s="138" t="s">
        <v>293</v>
      </c>
      <c r="J414" s="149">
        <v>76.97</v>
      </c>
      <c r="K414" s="150" t="s">
        <v>392</v>
      </c>
      <c r="L414" s="151" t="s">
        <v>374</v>
      </c>
      <c r="M414" s="151" t="s">
        <v>309</v>
      </c>
      <c r="N414" s="151" t="s">
        <v>727</v>
      </c>
      <c r="O414" s="151"/>
      <c r="P414" s="151" t="s">
        <v>381</v>
      </c>
      <c r="Q414" s="151" t="s">
        <v>295</v>
      </c>
      <c r="R414" s="150" t="s">
        <v>379</v>
      </c>
      <c r="S414" s="138"/>
      <c r="T414" s="138" t="s">
        <v>381</v>
      </c>
      <c r="U414" s="138" t="s">
        <v>295</v>
      </c>
      <c r="V414" s="157" t="s">
        <v>379</v>
      </c>
    </row>
    <row r="415" spans="1:22">
      <c r="A415" s="152" t="s">
        <v>378</v>
      </c>
      <c r="B415" s="152"/>
      <c r="C415" s="152"/>
      <c r="D415" s="152"/>
      <c r="E415" s="153"/>
      <c r="F415" s="154"/>
      <c r="G415" s="155">
        <f>SUM(G410:G414)</f>
        <v>692.23</v>
      </c>
      <c r="H415" s="156">
        <f>SUM(H410:H414)</f>
        <v>692.23</v>
      </c>
      <c r="I415" s="152"/>
      <c r="J415" s="156">
        <f>SUM(J410:J414)</f>
        <v>883.31000000000006</v>
      </c>
      <c r="K415" s="152"/>
      <c r="L415" s="152"/>
      <c r="M415" s="152"/>
      <c r="N415" s="152"/>
      <c r="O415" s="152"/>
      <c r="P415" s="152"/>
      <c r="Q415" s="152"/>
      <c r="R415" s="152"/>
      <c r="S415" s="138"/>
      <c r="T415" s="138"/>
      <c r="U415" s="138"/>
      <c r="V415" s="138"/>
    </row>
    <row r="416" spans="1:22" outlineLevel="1">
      <c r="A416" s="157" t="s">
        <v>288</v>
      </c>
      <c r="B416" s="138" t="s">
        <v>393</v>
      </c>
      <c r="C416" s="148">
        <v>43524</v>
      </c>
      <c r="D416" s="138" t="s">
        <v>728</v>
      </c>
      <c r="E416" s="139" t="s">
        <v>729</v>
      </c>
      <c r="F416" s="140">
        <v>75097</v>
      </c>
      <c r="G416" s="141">
        <v>425.95</v>
      </c>
      <c r="H416" s="138">
        <v>425.95</v>
      </c>
      <c r="I416" s="138" t="s">
        <v>293</v>
      </c>
      <c r="J416" s="149">
        <v>559.47</v>
      </c>
      <c r="K416" s="150" t="s">
        <v>730</v>
      </c>
      <c r="L416" s="151" t="s">
        <v>374</v>
      </c>
      <c r="M416" s="151" t="s">
        <v>309</v>
      </c>
      <c r="N416" s="151"/>
      <c r="O416" s="151"/>
      <c r="P416" s="151" t="s">
        <v>731</v>
      </c>
      <c r="Q416" s="151" t="s">
        <v>295</v>
      </c>
      <c r="R416" s="150" t="s">
        <v>379</v>
      </c>
      <c r="S416" s="138"/>
      <c r="T416" s="138" t="s">
        <v>731</v>
      </c>
      <c r="U416" s="138" t="s">
        <v>295</v>
      </c>
      <c r="V416" s="157" t="s">
        <v>379</v>
      </c>
    </row>
    <row r="417" spans="1:22" outlineLevel="1">
      <c r="A417" s="157" t="s">
        <v>288</v>
      </c>
      <c r="B417" s="138" t="s">
        <v>349</v>
      </c>
      <c r="C417" s="148">
        <v>43555</v>
      </c>
      <c r="D417" s="138" t="s">
        <v>732</v>
      </c>
      <c r="E417" s="139" t="s">
        <v>729</v>
      </c>
      <c r="F417" s="140">
        <v>75419</v>
      </c>
      <c r="G417" s="141">
        <v>1544.21</v>
      </c>
      <c r="H417" s="138">
        <v>1544.21</v>
      </c>
      <c r="I417" s="138" t="s">
        <v>293</v>
      </c>
      <c r="J417" s="149">
        <v>2050.12</v>
      </c>
      <c r="K417" s="150" t="s">
        <v>730</v>
      </c>
      <c r="L417" s="151" t="s">
        <v>374</v>
      </c>
      <c r="M417" s="151" t="s">
        <v>309</v>
      </c>
      <c r="N417" s="151"/>
      <c r="O417" s="151"/>
      <c r="P417" s="151" t="s">
        <v>731</v>
      </c>
      <c r="Q417" s="151" t="s">
        <v>295</v>
      </c>
      <c r="R417" s="150" t="s">
        <v>379</v>
      </c>
      <c r="S417" s="138"/>
      <c r="T417" s="138" t="s">
        <v>731</v>
      </c>
      <c r="U417" s="138" t="s">
        <v>295</v>
      </c>
      <c r="V417" s="157" t="s">
        <v>379</v>
      </c>
    </row>
    <row r="418" spans="1:22">
      <c r="A418" s="152" t="s">
        <v>378</v>
      </c>
      <c r="B418" s="152"/>
      <c r="C418" s="152"/>
      <c r="D418" s="152"/>
      <c r="E418" s="153"/>
      <c r="F418" s="154"/>
      <c r="G418" s="155">
        <f>SUM(G416:G417)</f>
        <v>1970.16</v>
      </c>
      <c r="H418" s="156">
        <f>SUM(H416:H417)</f>
        <v>1970.16</v>
      </c>
      <c r="I418" s="152"/>
      <c r="J418" s="156">
        <f>SUM(J416:J417)</f>
        <v>2609.59</v>
      </c>
      <c r="K418" s="152"/>
      <c r="L418" s="152"/>
      <c r="M418" s="152"/>
      <c r="N418" s="152"/>
      <c r="O418" s="152"/>
      <c r="P418" s="152"/>
      <c r="Q418" s="152"/>
      <c r="R418" s="152"/>
      <c r="S418" s="138"/>
      <c r="T418" s="138"/>
      <c r="U418" s="138"/>
      <c r="V418" s="138"/>
    </row>
    <row r="419" spans="1:22" outlineLevel="1">
      <c r="A419" s="157" t="s">
        <v>733</v>
      </c>
      <c r="B419" s="138" t="s">
        <v>349</v>
      </c>
      <c r="C419" s="148">
        <v>43544</v>
      </c>
      <c r="D419" s="138" t="s">
        <v>734</v>
      </c>
      <c r="E419" s="139" t="s">
        <v>735</v>
      </c>
      <c r="F419" s="140">
        <v>75390</v>
      </c>
      <c r="G419" s="141">
        <v>58702.28</v>
      </c>
      <c r="H419" s="138">
        <v>77934</v>
      </c>
      <c r="I419" s="138" t="s">
        <v>292</v>
      </c>
      <c r="J419" s="149">
        <v>77934</v>
      </c>
      <c r="K419" s="150" t="s">
        <v>736</v>
      </c>
      <c r="L419" s="151" t="s">
        <v>396</v>
      </c>
      <c r="M419" s="151" t="s">
        <v>309</v>
      </c>
      <c r="N419" s="151"/>
      <c r="O419" s="151" t="s">
        <v>737</v>
      </c>
      <c r="P419" s="151" t="s">
        <v>381</v>
      </c>
      <c r="Q419" s="151" t="s">
        <v>295</v>
      </c>
      <c r="R419" s="150" t="s">
        <v>379</v>
      </c>
      <c r="S419" s="138" t="s">
        <v>737</v>
      </c>
      <c r="T419" s="138" t="s">
        <v>381</v>
      </c>
      <c r="U419" s="138" t="s">
        <v>295</v>
      </c>
      <c r="V419" s="157" t="s">
        <v>379</v>
      </c>
    </row>
    <row r="420" spans="1:22" outlineLevel="1">
      <c r="A420" s="157" t="s">
        <v>733</v>
      </c>
      <c r="B420" s="138" t="s">
        <v>349</v>
      </c>
      <c r="C420" s="148">
        <v>43544</v>
      </c>
      <c r="D420" s="138" t="s">
        <v>738</v>
      </c>
      <c r="E420" s="139" t="s">
        <v>739</v>
      </c>
      <c r="F420" s="140">
        <v>75390</v>
      </c>
      <c r="G420" s="141">
        <v>46305.99</v>
      </c>
      <c r="H420" s="138">
        <v>61476.5</v>
      </c>
      <c r="I420" s="138" t="s">
        <v>292</v>
      </c>
      <c r="J420" s="149">
        <v>61476.51</v>
      </c>
      <c r="K420" s="150" t="s">
        <v>736</v>
      </c>
      <c r="L420" s="151" t="s">
        <v>396</v>
      </c>
      <c r="M420" s="151" t="s">
        <v>309</v>
      </c>
      <c r="N420" s="151"/>
      <c r="O420" s="151" t="s">
        <v>740</v>
      </c>
      <c r="P420" s="151" t="s">
        <v>381</v>
      </c>
      <c r="Q420" s="151" t="s">
        <v>295</v>
      </c>
      <c r="R420" s="150" t="s">
        <v>379</v>
      </c>
      <c r="S420" s="138" t="s">
        <v>740</v>
      </c>
      <c r="T420" s="138" t="s">
        <v>381</v>
      </c>
      <c r="U420" s="138" t="s">
        <v>295</v>
      </c>
      <c r="V420" s="157" t="s">
        <v>379</v>
      </c>
    </row>
    <row r="421" spans="1:22" outlineLevel="1">
      <c r="A421" s="157" t="s">
        <v>733</v>
      </c>
      <c r="B421" s="138" t="s">
        <v>349</v>
      </c>
      <c r="C421" s="148">
        <v>43544</v>
      </c>
      <c r="D421" s="138" t="s">
        <v>741</v>
      </c>
      <c r="E421" s="139" t="s">
        <v>742</v>
      </c>
      <c r="F421" s="140">
        <v>75390</v>
      </c>
      <c r="G421" s="141">
        <v>33420.85</v>
      </c>
      <c r="H421" s="138">
        <v>44370</v>
      </c>
      <c r="I421" s="138" t="s">
        <v>292</v>
      </c>
      <c r="J421" s="149">
        <v>44370.01</v>
      </c>
      <c r="K421" s="150" t="s">
        <v>736</v>
      </c>
      <c r="L421" s="151" t="s">
        <v>396</v>
      </c>
      <c r="M421" s="151" t="s">
        <v>309</v>
      </c>
      <c r="N421" s="151"/>
      <c r="O421" s="151" t="s">
        <v>743</v>
      </c>
      <c r="P421" s="151" t="s">
        <v>381</v>
      </c>
      <c r="Q421" s="151" t="s">
        <v>295</v>
      </c>
      <c r="R421" s="150" t="s">
        <v>379</v>
      </c>
      <c r="S421" s="138" t="s">
        <v>743</v>
      </c>
      <c r="T421" s="138" t="s">
        <v>381</v>
      </c>
      <c r="U421" s="138" t="s">
        <v>295</v>
      </c>
      <c r="V421" s="157" t="s">
        <v>379</v>
      </c>
    </row>
    <row r="422" spans="1:22">
      <c r="A422" s="152" t="s">
        <v>378</v>
      </c>
      <c r="B422" s="152"/>
      <c r="C422" s="152"/>
      <c r="D422" s="152"/>
      <c r="E422" s="153"/>
      <c r="F422" s="154"/>
      <c r="G422" s="155">
        <f>SUM(G419:G421)</f>
        <v>138429.12</v>
      </c>
      <c r="H422" s="156">
        <f>SUM(H419:H421)</f>
        <v>183780.5</v>
      </c>
      <c r="I422" s="152"/>
      <c r="J422" s="156">
        <f>SUM(J419:J421)</f>
        <v>183780.52000000002</v>
      </c>
      <c r="K422" s="152"/>
      <c r="L422" s="152"/>
      <c r="M422" s="152"/>
      <c r="N422" s="152"/>
      <c r="O422" s="152"/>
      <c r="P422" s="152"/>
      <c r="Q422" s="152"/>
      <c r="R422" s="152"/>
      <c r="S422" s="138"/>
      <c r="T422" s="138"/>
      <c r="U422" s="138"/>
      <c r="V422" s="138"/>
    </row>
    <row r="423" spans="1:22">
      <c r="A423" s="138" t="s">
        <v>744</v>
      </c>
      <c r="B423" s="138"/>
      <c r="C423" s="138"/>
      <c r="D423" s="138"/>
      <c r="E423" s="139"/>
      <c r="F423" s="140"/>
      <c r="G423" s="141"/>
      <c r="H423" s="138"/>
      <c r="I423" s="138"/>
      <c r="J423" s="138"/>
      <c r="K423" s="138"/>
      <c r="L423" s="138"/>
      <c r="M423" s="138"/>
      <c r="N423" s="138"/>
      <c r="O423" s="138"/>
      <c r="P423" s="138"/>
      <c r="Q423" s="138"/>
      <c r="R423" s="138"/>
      <c r="S423" s="138"/>
      <c r="T423" s="138"/>
      <c r="U423" s="138"/>
      <c r="V423" s="138"/>
    </row>
    <row r="424" spans="1:22">
      <c r="A424" s="138"/>
      <c r="B424" s="138"/>
      <c r="C424" s="138"/>
      <c r="D424" s="138"/>
      <c r="E424" s="139"/>
      <c r="F424" s="140"/>
      <c r="G424" s="141">
        <f>+G15+G18+G29+G39+G52+G68+G81+G91+G104+G118+G155+G254+G273+G279+G282+G285+G304+G306+G308+G313+G315+G325+G329+G339+G345+G388+G390+G396+G409+G415+G418+G422</f>
        <v>-242883.78999999998</v>
      </c>
      <c r="H424" s="158">
        <f>+H15+H18+H29+H39+H52+H68+H81+H91+H104+H118+H155+H254+H273+H279+H282+H285+H304+H306+H308+H313+H315+H325+H329+H339+H345+H388+H390+H396+H409+H415+H418+H422</f>
        <v>-303623.86000000016</v>
      </c>
      <c r="I424" s="138"/>
      <c r="J424" s="158">
        <f>+J15+J18+J29+J39+J52+J68+J81+J91+J104+J118+J155+J254+J273+J279+J282+J285+J304+J306+J308+J313+J315+J325+J329+J339+J345+J388+J390+J396+J409+J415+J418+J422</f>
        <v>-301697.13000000012</v>
      </c>
      <c r="K424" s="138"/>
      <c r="L424" s="138"/>
      <c r="M424" s="138"/>
      <c r="N424" s="138"/>
      <c r="O424" s="138"/>
      <c r="P424" s="138"/>
      <c r="Q424" s="138"/>
      <c r="R424" s="138"/>
      <c r="S424" s="138"/>
      <c r="T424" s="138"/>
      <c r="U424" s="138"/>
      <c r="V424" s="138"/>
    </row>
    <row r="425" spans="1:22">
      <c r="D425"/>
      <c r="E425"/>
      <c r="F425"/>
    </row>
    <row r="426" spans="1:22">
      <c r="D426"/>
      <c r="E426"/>
      <c r="F426"/>
    </row>
    <row r="427" spans="1:22">
      <c r="D427"/>
      <c r="E427"/>
      <c r="F427"/>
    </row>
    <row r="428" spans="1:22">
      <c r="D428"/>
      <c r="E428"/>
      <c r="F428"/>
    </row>
    <row r="429" spans="1:22">
      <c r="D429"/>
      <c r="E429"/>
      <c r="F429"/>
    </row>
    <row r="430" spans="1:22">
      <c r="D430"/>
      <c r="E430"/>
      <c r="F430"/>
    </row>
    <row r="431" spans="1:22">
      <c r="D431"/>
      <c r="E431"/>
      <c r="F431"/>
    </row>
    <row r="432" spans="1:22">
      <c r="D432"/>
      <c r="E432"/>
      <c r="F432"/>
    </row>
    <row r="433" spans="4:6">
      <c r="D433"/>
      <c r="E433"/>
      <c r="F433"/>
    </row>
    <row r="434" spans="4:6">
      <c r="D434"/>
      <c r="E434"/>
      <c r="F434"/>
    </row>
    <row r="435" spans="4:6">
      <c r="D435"/>
      <c r="E435"/>
      <c r="F435"/>
    </row>
    <row r="436" spans="4:6">
      <c r="D436"/>
      <c r="E436"/>
      <c r="F436"/>
    </row>
    <row r="437" spans="4:6">
      <c r="D437"/>
      <c r="E437"/>
      <c r="F437"/>
    </row>
    <row r="438" spans="4:6">
      <c r="D438"/>
      <c r="E438"/>
      <c r="F438"/>
    </row>
    <row r="439" spans="4:6">
      <c r="D439"/>
      <c r="E439"/>
      <c r="F439"/>
    </row>
    <row r="440" spans="4:6">
      <c r="D440"/>
      <c r="E440"/>
      <c r="F440"/>
    </row>
    <row r="441" spans="4:6">
      <c r="D441"/>
      <c r="E441"/>
      <c r="F441"/>
    </row>
    <row r="442" spans="4:6">
      <c r="D442"/>
      <c r="E442"/>
      <c r="F442"/>
    </row>
    <row r="443" spans="4:6">
      <c r="D443"/>
      <c r="E443"/>
      <c r="F443"/>
    </row>
    <row r="444" spans="4:6">
      <c r="D444"/>
      <c r="E444"/>
      <c r="F444"/>
    </row>
    <row r="445" spans="4:6">
      <c r="D445"/>
      <c r="E445"/>
      <c r="F445"/>
    </row>
    <row r="446" spans="4:6">
      <c r="D446"/>
      <c r="E446"/>
      <c r="F446"/>
    </row>
    <row r="447" spans="4:6">
      <c r="D447"/>
      <c r="E447"/>
      <c r="F447"/>
    </row>
    <row r="448" spans="4:6">
      <c r="D448"/>
      <c r="E448"/>
      <c r="F448"/>
    </row>
    <row r="449" spans="4:6">
      <c r="D449"/>
      <c r="E449"/>
      <c r="F449"/>
    </row>
    <row r="450" spans="4:6">
      <c r="D450"/>
      <c r="E450"/>
      <c r="F450"/>
    </row>
    <row r="451" spans="4:6">
      <c r="D451"/>
      <c r="E451"/>
      <c r="F451"/>
    </row>
    <row r="452" spans="4:6">
      <c r="D452"/>
      <c r="E452"/>
      <c r="F452"/>
    </row>
    <row r="453" spans="4:6">
      <c r="D453"/>
      <c r="E453"/>
      <c r="F453"/>
    </row>
    <row r="454" spans="4:6">
      <c r="D454"/>
      <c r="E454"/>
      <c r="F454"/>
    </row>
    <row r="455" spans="4:6">
      <c r="D455"/>
      <c r="E455"/>
      <c r="F455"/>
    </row>
    <row r="456" spans="4:6">
      <c r="D456"/>
      <c r="E456"/>
      <c r="F456"/>
    </row>
    <row r="457" spans="4:6">
      <c r="D457"/>
      <c r="E457"/>
      <c r="F457"/>
    </row>
    <row r="458" spans="4:6">
      <c r="D458"/>
      <c r="E458"/>
      <c r="F458"/>
    </row>
    <row r="459" spans="4:6">
      <c r="D459"/>
      <c r="E459"/>
      <c r="F459"/>
    </row>
    <row r="460" spans="4:6">
      <c r="D460"/>
      <c r="E460"/>
      <c r="F460"/>
    </row>
    <row r="461" spans="4:6">
      <c r="D461"/>
      <c r="E461"/>
      <c r="F461"/>
    </row>
    <row r="462" spans="4:6">
      <c r="D462"/>
      <c r="E462"/>
      <c r="F462"/>
    </row>
    <row r="463" spans="4:6">
      <c r="D463"/>
      <c r="E463"/>
      <c r="F463"/>
    </row>
    <row r="464" spans="4:6">
      <c r="D464"/>
      <c r="E464"/>
      <c r="F464"/>
    </row>
    <row r="465" spans="4:6">
      <c r="D465"/>
      <c r="E465"/>
      <c r="F465"/>
    </row>
    <row r="466" spans="4:6">
      <c r="D466"/>
      <c r="E466"/>
      <c r="F466"/>
    </row>
    <row r="467" spans="4:6">
      <c r="D467"/>
      <c r="E467"/>
      <c r="F467"/>
    </row>
    <row r="468" spans="4:6">
      <c r="D468"/>
      <c r="E468"/>
      <c r="F468"/>
    </row>
    <row r="469" spans="4:6">
      <c r="D469"/>
      <c r="E469"/>
      <c r="F469"/>
    </row>
    <row r="470" spans="4:6">
      <c r="D470"/>
      <c r="E470"/>
      <c r="F470"/>
    </row>
    <row r="471" spans="4:6">
      <c r="D471"/>
      <c r="E471"/>
      <c r="F471"/>
    </row>
    <row r="472" spans="4:6">
      <c r="D472"/>
      <c r="E472"/>
      <c r="F472"/>
    </row>
    <row r="473" spans="4:6">
      <c r="D473"/>
      <c r="E473"/>
      <c r="F473"/>
    </row>
    <row r="474" spans="4:6">
      <c r="D474"/>
      <c r="E474"/>
      <c r="F474"/>
    </row>
    <row r="475" spans="4:6">
      <c r="D475"/>
      <c r="E475"/>
      <c r="F475"/>
    </row>
    <row r="476" spans="4:6">
      <c r="D476"/>
      <c r="E476"/>
      <c r="F476"/>
    </row>
    <row r="477" spans="4:6">
      <c r="D477"/>
      <c r="E477"/>
      <c r="F477"/>
    </row>
    <row r="478" spans="4:6">
      <c r="D478"/>
      <c r="E478"/>
      <c r="F478"/>
    </row>
    <row r="479" spans="4:6">
      <c r="D479"/>
      <c r="E479"/>
      <c r="F479"/>
    </row>
    <row r="480" spans="4:6">
      <c r="D480"/>
      <c r="E480"/>
      <c r="F480"/>
    </row>
    <row r="481" spans="4:6">
      <c r="D481"/>
      <c r="E481"/>
      <c r="F481"/>
    </row>
    <row r="482" spans="4:6">
      <c r="D482"/>
      <c r="E482"/>
      <c r="F482"/>
    </row>
    <row r="483" spans="4:6">
      <c r="D483"/>
      <c r="E483"/>
      <c r="F483"/>
    </row>
    <row r="484" spans="4:6">
      <c r="D484"/>
      <c r="E484"/>
      <c r="F484"/>
    </row>
    <row r="485" spans="4:6">
      <c r="D485"/>
      <c r="E485"/>
      <c r="F485"/>
    </row>
    <row r="486" spans="4:6">
      <c r="D486"/>
      <c r="E486"/>
      <c r="F486"/>
    </row>
    <row r="487" spans="4:6">
      <c r="D487"/>
      <c r="E487"/>
      <c r="F487"/>
    </row>
    <row r="488" spans="4:6">
      <c r="D488"/>
      <c r="E488"/>
      <c r="F488"/>
    </row>
    <row r="489" spans="4:6">
      <c r="D489"/>
      <c r="E489"/>
      <c r="F489"/>
    </row>
    <row r="490" spans="4:6">
      <c r="D490"/>
      <c r="E490"/>
      <c r="F490"/>
    </row>
    <row r="491" spans="4:6">
      <c r="D491"/>
      <c r="E491"/>
      <c r="F491"/>
    </row>
    <row r="492" spans="4:6">
      <c r="D492"/>
      <c r="E492"/>
      <c r="F492"/>
    </row>
    <row r="493" spans="4:6">
      <c r="D493"/>
      <c r="E493"/>
      <c r="F493"/>
    </row>
    <row r="494" spans="4:6">
      <c r="D494"/>
      <c r="E494"/>
      <c r="F494"/>
    </row>
    <row r="495" spans="4:6">
      <c r="D495"/>
      <c r="E495"/>
      <c r="F495"/>
    </row>
    <row r="496" spans="4:6">
      <c r="D496"/>
      <c r="E496"/>
      <c r="F496"/>
    </row>
    <row r="497" spans="4:6">
      <c r="D497"/>
      <c r="E497"/>
      <c r="F497"/>
    </row>
    <row r="498" spans="4:6">
      <c r="D498"/>
      <c r="E498"/>
      <c r="F498"/>
    </row>
    <row r="499" spans="4:6">
      <c r="D499"/>
      <c r="E499"/>
      <c r="F499"/>
    </row>
    <row r="500" spans="4:6">
      <c r="D500"/>
      <c r="E500"/>
      <c r="F500"/>
    </row>
    <row r="501" spans="4:6">
      <c r="D501"/>
      <c r="E501"/>
      <c r="F501"/>
    </row>
    <row r="502" spans="4:6">
      <c r="D502"/>
      <c r="E502"/>
      <c r="F502"/>
    </row>
    <row r="503" spans="4:6">
      <c r="D503"/>
      <c r="E503"/>
      <c r="F503"/>
    </row>
    <row r="504" spans="4:6">
      <c r="D504"/>
      <c r="E504"/>
      <c r="F504"/>
    </row>
    <row r="505" spans="4:6">
      <c r="D505"/>
      <c r="E505"/>
      <c r="F505"/>
    </row>
    <row r="506" spans="4:6">
      <c r="D506"/>
      <c r="E506"/>
      <c r="F506"/>
    </row>
    <row r="507" spans="4:6">
      <c r="D507"/>
      <c r="E507"/>
      <c r="F507"/>
    </row>
    <row r="508" spans="4:6">
      <c r="D508"/>
      <c r="E508"/>
      <c r="F508"/>
    </row>
    <row r="509" spans="4:6">
      <c r="D509"/>
      <c r="E509"/>
      <c r="F509"/>
    </row>
    <row r="510" spans="4:6">
      <c r="D510"/>
      <c r="E510"/>
      <c r="F510"/>
    </row>
    <row r="511" spans="4:6">
      <c r="D511"/>
      <c r="E511"/>
      <c r="F511"/>
    </row>
    <row r="512" spans="4:6">
      <c r="D512"/>
      <c r="E512"/>
      <c r="F512"/>
    </row>
    <row r="513" spans="4:6">
      <c r="D513"/>
      <c r="E513"/>
      <c r="F513"/>
    </row>
    <row r="514" spans="4:6">
      <c r="D514"/>
      <c r="E514"/>
      <c r="F514"/>
    </row>
    <row r="515" spans="4:6">
      <c r="D515"/>
      <c r="E515"/>
      <c r="F515"/>
    </row>
    <row r="516" spans="4:6">
      <c r="D516"/>
      <c r="E516"/>
      <c r="F516"/>
    </row>
    <row r="517" spans="4:6">
      <c r="D517"/>
      <c r="E517"/>
      <c r="F517"/>
    </row>
    <row r="518" spans="4:6">
      <c r="D518"/>
      <c r="E518"/>
      <c r="F518"/>
    </row>
    <row r="519" spans="4:6">
      <c r="D519"/>
      <c r="E519"/>
      <c r="F519"/>
    </row>
    <row r="520" spans="4:6">
      <c r="D520"/>
      <c r="E520"/>
      <c r="F520"/>
    </row>
    <row r="521" spans="4:6">
      <c r="D521"/>
      <c r="E521"/>
      <c r="F521"/>
    </row>
    <row r="522" spans="4:6" outlineLevel="1">
      <c r="D522"/>
      <c r="E522"/>
      <c r="F522"/>
    </row>
    <row r="523" spans="4:6" outlineLevel="1">
      <c r="D523"/>
      <c r="E523"/>
      <c r="F523"/>
    </row>
    <row r="524" spans="4:6" outlineLevel="1">
      <c r="D524"/>
      <c r="E524"/>
      <c r="F524"/>
    </row>
    <row r="525" spans="4:6" outlineLevel="1">
      <c r="D525"/>
      <c r="E525"/>
      <c r="F525"/>
    </row>
    <row r="526" spans="4:6">
      <c r="D526"/>
      <c r="E526"/>
      <c r="F526"/>
    </row>
    <row r="527" spans="4:6" outlineLevel="1">
      <c r="D527"/>
      <c r="E527"/>
      <c r="F527"/>
    </row>
    <row r="528" spans="4:6" outlineLevel="1">
      <c r="D528"/>
      <c r="E528"/>
      <c r="F528"/>
    </row>
    <row r="529" spans="4:6" outlineLevel="1">
      <c r="D529"/>
      <c r="E529"/>
      <c r="F529"/>
    </row>
    <row r="530" spans="4:6" outlineLevel="1">
      <c r="D530"/>
      <c r="E530"/>
      <c r="F530"/>
    </row>
    <row r="531" spans="4:6" outlineLevel="1">
      <c r="D531"/>
      <c r="E531"/>
      <c r="F531"/>
    </row>
    <row r="532" spans="4:6" outlineLevel="1">
      <c r="D532"/>
      <c r="E532"/>
      <c r="F532"/>
    </row>
    <row r="533" spans="4:6">
      <c r="D533"/>
      <c r="E533"/>
      <c r="F533"/>
    </row>
    <row r="534" spans="4:6" outlineLevel="1">
      <c r="D534"/>
      <c r="E534"/>
      <c r="F534"/>
    </row>
    <row r="535" spans="4:6" outlineLevel="1">
      <c r="D535"/>
      <c r="E535"/>
      <c r="F535"/>
    </row>
    <row r="536" spans="4:6" outlineLevel="1">
      <c r="D536"/>
      <c r="E536"/>
      <c r="F536"/>
    </row>
    <row r="537" spans="4:6" outlineLevel="1">
      <c r="D537"/>
      <c r="E537"/>
      <c r="F537"/>
    </row>
    <row r="538" spans="4:6" outlineLevel="1">
      <c r="D538"/>
      <c r="E538"/>
      <c r="F538"/>
    </row>
    <row r="539" spans="4:6" outlineLevel="1">
      <c r="D539"/>
      <c r="E539"/>
      <c r="F539"/>
    </row>
    <row r="540" spans="4:6" outlineLevel="1">
      <c r="D540"/>
      <c r="E540"/>
      <c r="F540"/>
    </row>
    <row r="541" spans="4:6">
      <c r="D541"/>
      <c r="E541"/>
      <c r="F541"/>
    </row>
    <row r="542" spans="4:6" outlineLevel="1">
      <c r="D542"/>
      <c r="E542"/>
      <c r="F542"/>
    </row>
    <row r="543" spans="4:6" outlineLevel="1">
      <c r="D543"/>
      <c r="E543"/>
      <c r="F543"/>
    </row>
    <row r="544" spans="4:6" outlineLevel="1">
      <c r="D544"/>
      <c r="E544"/>
      <c r="F544"/>
    </row>
    <row r="545" spans="4:6" outlineLevel="1">
      <c r="D545"/>
      <c r="E545"/>
      <c r="F545"/>
    </row>
    <row r="546" spans="4:6" outlineLevel="1">
      <c r="D546"/>
      <c r="E546"/>
      <c r="F546"/>
    </row>
    <row r="547" spans="4:6" outlineLevel="1">
      <c r="D547"/>
      <c r="E547"/>
      <c r="F547"/>
    </row>
    <row r="548" spans="4:6" outlineLevel="1">
      <c r="D548"/>
      <c r="E548"/>
      <c r="F548"/>
    </row>
    <row r="549" spans="4:6" outlineLevel="1">
      <c r="D549"/>
      <c r="E549"/>
      <c r="F549"/>
    </row>
    <row r="550" spans="4:6" outlineLevel="1">
      <c r="D550"/>
      <c r="E550"/>
      <c r="F550"/>
    </row>
    <row r="551" spans="4:6" outlineLevel="1">
      <c r="D551"/>
      <c r="E551"/>
      <c r="F551"/>
    </row>
    <row r="552" spans="4:6" outlineLevel="1">
      <c r="D552"/>
      <c r="E552"/>
      <c r="F552"/>
    </row>
    <row r="553" spans="4:6" outlineLevel="1">
      <c r="D553"/>
      <c r="E553"/>
      <c r="F553"/>
    </row>
    <row r="554" spans="4:6" outlineLevel="1">
      <c r="D554"/>
      <c r="E554"/>
      <c r="F554"/>
    </row>
    <row r="555" spans="4:6" outlineLevel="1">
      <c r="D555"/>
      <c r="E555"/>
      <c r="F555"/>
    </row>
    <row r="556" spans="4:6" outlineLevel="1">
      <c r="D556"/>
      <c r="E556"/>
      <c r="F556"/>
    </row>
    <row r="557" spans="4:6" outlineLevel="1">
      <c r="D557"/>
      <c r="E557"/>
      <c r="F557"/>
    </row>
    <row r="558" spans="4:6" outlineLevel="1">
      <c r="D558"/>
      <c r="E558"/>
      <c r="F558"/>
    </row>
    <row r="559" spans="4:6" outlineLevel="1">
      <c r="D559"/>
      <c r="E559"/>
      <c r="F559"/>
    </row>
    <row r="560" spans="4:6" outlineLevel="1">
      <c r="D560"/>
      <c r="E560"/>
      <c r="F560"/>
    </row>
    <row r="561" spans="4:6" outlineLevel="1">
      <c r="D561"/>
      <c r="E561"/>
      <c r="F561"/>
    </row>
    <row r="562" spans="4:6" outlineLevel="1">
      <c r="D562"/>
      <c r="E562"/>
      <c r="F562"/>
    </row>
    <row r="563" spans="4:6" outlineLevel="1">
      <c r="D563"/>
      <c r="E563"/>
      <c r="F563"/>
    </row>
    <row r="564" spans="4:6" outlineLevel="1">
      <c r="D564"/>
      <c r="E564"/>
      <c r="F564"/>
    </row>
    <row r="565" spans="4:6" outlineLevel="1">
      <c r="D565"/>
      <c r="E565"/>
      <c r="F565"/>
    </row>
    <row r="566" spans="4:6" outlineLevel="1">
      <c r="D566"/>
      <c r="E566"/>
      <c r="F566"/>
    </row>
    <row r="567" spans="4:6" outlineLevel="1">
      <c r="D567"/>
      <c r="E567"/>
      <c r="F567"/>
    </row>
    <row r="568" spans="4:6" outlineLevel="1">
      <c r="D568"/>
      <c r="E568"/>
      <c r="F568"/>
    </row>
    <row r="569" spans="4:6" outlineLevel="1">
      <c r="D569"/>
      <c r="E569"/>
      <c r="F569"/>
    </row>
    <row r="570" spans="4:6" outlineLevel="1">
      <c r="D570"/>
      <c r="E570"/>
      <c r="F570"/>
    </row>
    <row r="571" spans="4:6" outlineLevel="1">
      <c r="D571"/>
      <c r="E571"/>
      <c r="F571"/>
    </row>
    <row r="572" spans="4:6" outlineLevel="1">
      <c r="D572"/>
      <c r="E572"/>
      <c r="F572"/>
    </row>
    <row r="573" spans="4:6" outlineLevel="1">
      <c r="D573"/>
      <c r="E573"/>
      <c r="F573"/>
    </row>
    <row r="574" spans="4:6" outlineLevel="1">
      <c r="D574"/>
      <c r="E574"/>
      <c r="F574"/>
    </row>
    <row r="575" spans="4:6" outlineLevel="1">
      <c r="D575"/>
      <c r="E575"/>
      <c r="F575"/>
    </row>
    <row r="576" spans="4:6" outlineLevel="1">
      <c r="D576"/>
      <c r="E576"/>
      <c r="F576"/>
    </row>
    <row r="577" spans="4:6" outlineLevel="1">
      <c r="D577"/>
      <c r="E577"/>
      <c r="F577"/>
    </row>
    <row r="578" spans="4:6" outlineLevel="1">
      <c r="D578"/>
      <c r="E578"/>
      <c r="F578"/>
    </row>
    <row r="579" spans="4:6" outlineLevel="1">
      <c r="D579"/>
      <c r="E579"/>
      <c r="F579"/>
    </row>
    <row r="580" spans="4:6" outlineLevel="1">
      <c r="D580"/>
      <c r="E580"/>
      <c r="F580"/>
    </row>
    <row r="581" spans="4:6" outlineLevel="1">
      <c r="D581"/>
      <c r="E581"/>
      <c r="F581"/>
    </row>
    <row r="582" spans="4:6" outlineLevel="1">
      <c r="D582"/>
      <c r="E582"/>
      <c r="F582"/>
    </row>
    <row r="583" spans="4:6" outlineLevel="1">
      <c r="D583"/>
      <c r="E583"/>
      <c r="F583"/>
    </row>
    <row r="584" spans="4:6" outlineLevel="1">
      <c r="D584"/>
      <c r="E584"/>
      <c r="F584"/>
    </row>
    <row r="585" spans="4:6" outlineLevel="1">
      <c r="D585"/>
      <c r="E585"/>
      <c r="F585"/>
    </row>
    <row r="586" spans="4:6" outlineLevel="1">
      <c r="D586"/>
      <c r="E586"/>
      <c r="F586"/>
    </row>
    <row r="587" spans="4:6" outlineLevel="1">
      <c r="D587"/>
      <c r="E587"/>
      <c r="F587"/>
    </row>
    <row r="588" spans="4:6" outlineLevel="1">
      <c r="D588"/>
      <c r="E588"/>
      <c r="F588"/>
    </row>
    <row r="589" spans="4:6" outlineLevel="1">
      <c r="D589"/>
      <c r="E589"/>
      <c r="F589"/>
    </row>
    <row r="590" spans="4:6" outlineLevel="1">
      <c r="D590"/>
      <c r="E590"/>
      <c r="F590"/>
    </row>
    <row r="591" spans="4:6" outlineLevel="1">
      <c r="D591"/>
      <c r="E591"/>
      <c r="F591"/>
    </row>
    <row r="592" spans="4:6" outlineLevel="1">
      <c r="D592"/>
      <c r="E592"/>
      <c r="F592"/>
    </row>
    <row r="593" spans="4:6" outlineLevel="1">
      <c r="D593"/>
      <c r="E593"/>
      <c r="F593"/>
    </row>
    <row r="594" spans="4:6" outlineLevel="1">
      <c r="D594"/>
      <c r="E594"/>
      <c r="F594"/>
    </row>
    <row r="595" spans="4:6" outlineLevel="1">
      <c r="D595"/>
      <c r="E595"/>
      <c r="F595"/>
    </row>
    <row r="596" spans="4:6" outlineLevel="1">
      <c r="D596"/>
      <c r="E596"/>
      <c r="F596"/>
    </row>
    <row r="597" spans="4:6" outlineLevel="1">
      <c r="D597"/>
      <c r="E597"/>
      <c r="F597"/>
    </row>
    <row r="598" spans="4:6" outlineLevel="1">
      <c r="D598"/>
      <c r="E598"/>
      <c r="F598"/>
    </row>
    <row r="599" spans="4:6" outlineLevel="1">
      <c r="D599"/>
      <c r="E599"/>
      <c r="F599"/>
    </row>
    <row r="600" spans="4:6" outlineLevel="1">
      <c r="D600"/>
      <c r="E600"/>
      <c r="F600"/>
    </row>
    <row r="601" spans="4:6" outlineLevel="1">
      <c r="D601"/>
      <c r="E601"/>
      <c r="F601"/>
    </row>
    <row r="602" spans="4:6" outlineLevel="1">
      <c r="D602"/>
      <c r="E602"/>
      <c r="F602"/>
    </row>
    <row r="603" spans="4:6" outlineLevel="1">
      <c r="D603"/>
      <c r="E603"/>
      <c r="F603"/>
    </row>
    <row r="604" spans="4:6" outlineLevel="1">
      <c r="D604"/>
      <c r="E604"/>
      <c r="F604"/>
    </row>
    <row r="605" spans="4:6" outlineLevel="1">
      <c r="D605"/>
      <c r="E605"/>
      <c r="F605"/>
    </row>
    <row r="606" spans="4:6" outlineLevel="1">
      <c r="D606"/>
      <c r="E606"/>
      <c r="F606"/>
    </row>
    <row r="607" spans="4:6">
      <c r="D607"/>
      <c r="E607"/>
      <c r="F607"/>
    </row>
    <row r="608" spans="4:6" outlineLevel="1">
      <c r="D608"/>
      <c r="E608"/>
      <c r="F608"/>
    </row>
    <row r="609" spans="4:6" outlineLevel="1">
      <c r="D609"/>
      <c r="E609"/>
      <c r="F609"/>
    </row>
    <row r="610" spans="4:6">
      <c r="D610"/>
      <c r="E610"/>
      <c r="F610"/>
    </row>
    <row r="611" spans="4:6" outlineLevel="1">
      <c r="D611"/>
      <c r="E611"/>
      <c r="F611"/>
    </row>
    <row r="612" spans="4:6">
      <c r="D612"/>
      <c r="E612"/>
      <c r="F612"/>
    </row>
    <row r="613" spans="4:6" outlineLevel="1">
      <c r="D613"/>
      <c r="E613"/>
      <c r="F613"/>
    </row>
    <row r="614" spans="4:6" outlineLevel="1">
      <c r="D614"/>
      <c r="E614"/>
      <c r="F614"/>
    </row>
    <row r="615" spans="4:6" outlineLevel="1">
      <c r="D615"/>
      <c r="E615"/>
      <c r="F615"/>
    </row>
    <row r="616" spans="4:6" outlineLevel="1">
      <c r="D616"/>
      <c r="E616"/>
      <c r="F616"/>
    </row>
    <row r="617" spans="4:6" outlineLevel="1">
      <c r="D617"/>
      <c r="E617"/>
      <c r="F617"/>
    </row>
    <row r="618" spans="4:6">
      <c r="D618"/>
      <c r="E618"/>
      <c r="F618"/>
    </row>
    <row r="619" spans="4:6" outlineLevel="1">
      <c r="D619"/>
      <c r="E619"/>
      <c r="F619"/>
    </row>
    <row r="620" spans="4:6" outlineLevel="1">
      <c r="D620"/>
      <c r="E620"/>
      <c r="F620"/>
    </row>
    <row r="621" spans="4:6" outlineLevel="1">
      <c r="D621"/>
      <c r="E621"/>
      <c r="F621"/>
    </row>
    <row r="622" spans="4:6" outlineLevel="1">
      <c r="D622"/>
      <c r="E622"/>
      <c r="F622"/>
    </row>
    <row r="623" spans="4:6" outlineLevel="1">
      <c r="D623"/>
      <c r="E623"/>
      <c r="F623"/>
    </row>
    <row r="624" spans="4:6">
      <c r="D624"/>
      <c r="E624"/>
      <c r="F624"/>
    </row>
    <row r="625" spans="4:6" outlineLevel="1">
      <c r="D625"/>
      <c r="E625"/>
      <c r="F625"/>
    </row>
    <row r="626" spans="4:6" outlineLevel="1">
      <c r="D626"/>
      <c r="E626"/>
      <c r="F626"/>
    </row>
    <row r="627" spans="4:6" outlineLevel="1">
      <c r="D627"/>
      <c r="E627"/>
      <c r="F627"/>
    </row>
    <row r="628" spans="4:6">
      <c r="D628"/>
      <c r="E628"/>
      <c r="F628"/>
    </row>
    <row r="629" spans="4:6" outlineLevel="1">
      <c r="D629"/>
      <c r="E629"/>
      <c r="F629"/>
    </row>
    <row r="630" spans="4:6" outlineLevel="1">
      <c r="D630"/>
      <c r="E630"/>
      <c r="F630"/>
    </row>
    <row r="631" spans="4:6" outlineLevel="1">
      <c r="D631"/>
      <c r="E631"/>
      <c r="F631"/>
    </row>
    <row r="632" spans="4:6" outlineLevel="1">
      <c r="D632"/>
      <c r="E632"/>
      <c r="F632"/>
    </row>
    <row r="633" spans="4:6" outlineLevel="1">
      <c r="D633"/>
      <c r="E633"/>
      <c r="F633"/>
    </row>
    <row r="634" spans="4:6" outlineLevel="1">
      <c r="D634"/>
      <c r="E634"/>
      <c r="F634"/>
    </row>
    <row r="635" spans="4:6" outlineLevel="1">
      <c r="D635"/>
      <c r="E635"/>
      <c r="F635"/>
    </row>
    <row r="636" spans="4:6" outlineLevel="1">
      <c r="D636"/>
      <c r="E636"/>
      <c r="F636"/>
    </row>
    <row r="637" spans="4:6" outlineLevel="1">
      <c r="D637"/>
      <c r="E637"/>
      <c r="F637"/>
    </row>
    <row r="638" spans="4:6" outlineLevel="1">
      <c r="D638"/>
      <c r="E638"/>
      <c r="F638"/>
    </row>
    <row r="639" spans="4:6" outlineLevel="1">
      <c r="D639"/>
      <c r="E639"/>
      <c r="F639"/>
    </row>
    <row r="640" spans="4:6" outlineLevel="1">
      <c r="D640"/>
      <c r="E640"/>
      <c r="F640"/>
    </row>
    <row r="641" spans="4:6" outlineLevel="1">
      <c r="D641"/>
      <c r="E641"/>
      <c r="F641"/>
    </row>
    <row r="642" spans="4:6" outlineLevel="1">
      <c r="D642"/>
      <c r="E642"/>
      <c r="F642"/>
    </row>
    <row r="643" spans="4:6" outlineLevel="1">
      <c r="D643"/>
      <c r="E643"/>
      <c r="F643"/>
    </row>
    <row r="644" spans="4:6" outlineLevel="1">
      <c r="D644"/>
      <c r="E644"/>
      <c r="F644"/>
    </row>
    <row r="645" spans="4:6" outlineLevel="1">
      <c r="D645"/>
      <c r="E645"/>
      <c r="F645"/>
    </row>
    <row r="646" spans="4:6" outlineLevel="1">
      <c r="D646"/>
      <c r="E646"/>
      <c r="F646"/>
    </row>
    <row r="647" spans="4:6" outlineLevel="1">
      <c r="D647"/>
      <c r="E647"/>
      <c r="F647"/>
    </row>
    <row r="648" spans="4:6" outlineLevel="1">
      <c r="D648"/>
      <c r="E648"/>
      <c r="F648"/>
    </row>
    <row r="649" spans="4:6" outlineLevel="1">
      <c r="D649"/>
      <c r="E649"/>
      <c r="F649"/>
    </row>
    <row r="650" spans="4:6" outlineLevel="1">
      <c r="D650"/>
      <c r="E650"/>
      <c r="F650"/>
    </row>
    <row r="651" spans="4:6" outlineLevel="1">
      <c r="D651"/>
      <c r="E651"/>
      <c r="F651"/>
    </row>
    <row r="652" spans="4:6" outlineLevel="1">
      <c r="D652"/>
      <c r="E652"/>
      <c r="F652"/>
    </row>
    <row r="653" spans="4:6" outlineLevel="1">
      <c r="D653"/>
      <c r="E653"/>
      <c r="F653"/>
    </row>
    <row r="654" spans="4:6" outlineLevel="1">
      <c r="D654"/>
      <c r="E654"/>
      <c r="F654"/>
    </row>
    <row r="655" spans="4:6" outlineLevel="1">
      <c r="D655"/>
      <c r="E655"/>
      <c r="F655"/>
    </row>
    <row r="656" spans="4:6" outlineLevel="1">
      <c r="D656"/>
      <c r="E656"/>
      <c r="F656"/>
    </row>
    <row r="657" spans="4:6" outlineLevel="1">
      <c r="D657"/>
      <c r="E657"/>
      <c r="F657"/>
    </row>
    <row r="658" spans="4:6" outlineLevel="1">
      <c r="D658"/>
      <c r="E658"/>
      <c r="F658"/>
    </row>
    <row r="659" spans="4:6" outlineLevel="1">
      <c r="D659"/>
      <c r="E659"/>
      <c r="F659"/>
    </row>
    <row r="660" spans="4:6" outlineLevel="1">
      <c r="D660"/>
      <c r="E660"/>
      <c r="F660"/>
    </row>
    <row r="661" spans="4:6" outlineLevel="1">
      <c r="D661"/>
      <c r="E661"/>
      <c r="F661"/>
    </row>
    <row r="662" spans="4:6" outlineLevel="1">
      <c r="D662"/>
      <c r="E662"/>
      <c r="F662"/>
    </row>
    <row r="663" spans="4:6" outlineLevel="1">
      <c r="D663"/>
      <c r="E663"/>
      <c r="F663"/>
    </row>
    <row r="664" spans="4:6" outlineLevel="1">
      <c r="D664"/>
      <c r="E664"/>
      <c r="F664"/>
    </row>
    <row r="665" spans="4:6" outlineLevel="1">
      <c r="D665"/>
      <c r="E665"/>
      <c r="F665"/>
    </row>
    <row r="666" spans="4:6" outlineLevel="1">
      <c r="D666"/>
      <c r="E666"/>
      <c r="F666"/>
    </row>
    <row r="667" spans="4:6" outlineLevel="1">
      <c r="D667"/>
      <c r="E667"/>
      <c r="F667"/>
    </row>
    <row r="668" spans="4:6" outlineLevel="1">
      <c r="D668"/>
      <c r="E668"/>
      <c r="F668"/>
    </row>
    <row r="669" spans="4:6" outlineLevel="1">
      <c r="D669"/>
      <c r="E669"/>
      <c r="F669"/>
    </row>
    <row r="670" spans="4:6" outlineLevel="1">
      <c r="D670"/>
      <c r="E670"/>
      <c r="F670"/>
    </row>
    <row r="671" spans="4:6" outlineLevel="1">
      <c r="D671"/>
      <c r="E671"/>
      <c r="F671"/>
    </row>
    <row r="672" spans="4:6" outlineLevel="1">
      <c r="D672"/>
      <c r="E672"/>
      <c r="F672"/>
    </row>
    <row r="673" spans="4:6" outlineLevel="1">
      <c r="D673"/>
      <c r="E673"/>
      <c r="F673"/>
    </row>
    <row r="674" spans="4:6" outlineLevel="1">
      <c r="D674"/>
      <c r="E674"/>
      <c r="F674"/>
    </row>
    <row r="675" spans="4:6" outlineLevel="1">
      <c r="D675"/>
      <c r="E675"/>
      <c r="F675"/>
    </row>
    <row r="676" spans="4:6" outlineLevel="1">
      <c r="D676"/>
      <c r="E676"/>
      <c r="F676"/>
    </row>
    <row r="677" spans="4:6" outlineLevel="1">
      <c r="D677"/>
      <c r="E677"/>
      <c r="F677"/>
    </row>
    <row r="678" spans="4:6" outlineLevel="1">
      <c r="D678"/>
      <c r="E678"/>
      <c r="F678"/>
    </row>
    <row r="679" spans="4:6" outlineLevel="1">
      <c r="D679"/>
      <c r="E679"/>
      <c r="F679"/>
    </row>
    <row r="680" spans="4:6" outlineLevel="1">
      <c r="D680"/>
      <c r="E680"/>
      <c r="F680"/>
    </row>
    <row r="681" spans="4:6" outlineLevel="1">
      <c r="D681"/>
      <c r="E681"/>
      <c r="F681"/>
    </row>
    <row r="682" spans="4:6" outlineLevel="1">
      <c r="D682"/>
      <c r="E682"/>
      <c r="F682"/>
    </row>
    <row r="683" spans="4:6" outlineLevel="1">
      <c r="D683"/>
      <c r="E683"/>
      <c r="F683"/>
    </row>
    <row r="684" spans="4:6" outlineLevel="1">
      <c r="D684"/>
      <c r="E684"/>
      <c r="F684"/>
    </row>
    <row r="685" spans="4:6" outlineLevel="1">
      <c r="D685"/>
      <c r="E685"/>
      <c r="F685"/>
    </row>
    <row r="686" spans="4:6">
      <c r="D686"/>
      <c r="E686"/>
      <c r="F686"/>
    </row>
    <row r="687" spans="4:6" outlineLevel="1">
      <c r="D687"/>
      <c r="E687"/>
      <c r="F687"/>
    </row>
    <row r="688" spans="4:6" outlineLevel="1">
      <c r="D688"/>
      <c r="E688"/>
      <c r="F688"/>
    </row>
    <row r="689" spans="4:6" outlineLevel="1">
      <c r="D689"/>
      <c r="E689"/>
      <c r="F689"/>
    </row>
    <row r="690" spans="4:6" outlineLevel="1">
      <c r="D690"/>
      <c r="E690"/>
      <c r="F690"/>
    </row>
    <row r="691" spans="4:6" outlineLevel="1">
      <c r="D691"/>
      <c r="E691"/>
      <c r="F691"/>
    </row>
    <row r="692" spans="4:6" outlineLevel="1">
      <c r="D692"/>
      <c r="E692"/>
      <c r="F692"/>
    </row>
    <row r="693" spans="4:6" outlineLevel="1">
      <c r="D693"/>
      <c r="E693"/>
      <c r="F693"/>
    </row>
    <row r="694" spans="4:6">
      <c r="D694"/>
      <c r="E694"/>
      <c r="F694"/>
    </row>
    <row r="695" spans="4:6" outlineLevel="1">
      <c r="D695"/>
      <c r="E695"/>
      <c r="F695"/>
    </row>
    <row r="696" spans="4:6" outlineLevel="1">
      <c r="D696"/>
      <c r="E696"/>
      <c r="F696"/>
    </row>
    <row r="697" spans="4:6" outlineLevel="1">
      <c r="D697"/>
      <c r="E697"/>
      <c r="F697"/>
    </row>
    <row r="698" spans="4:6" outlineLevel="1">
      <c r="D698"/>
      <c r="E698"/>
      <c r="F698"/>
    </row>
    <row r="699" spans="4:6">
      <c r="D699"/>
      <c r="E699"/>
      <c r="F699"/>
    </row>
    <row r="700" spans="4:6" outlineLevel="1">
      <c r="D700"/>
      <c r="E700"/>
      <c r="F700"/>
    </row>
    <row r="701" spans="4:6">
      <c r="D701"/>
      <c r="E701"/>
      <c r="F701"/>
    </row>
    <row r="702" spans="4:6" outlineLevel="1">
      <c r="D702"/>
      <c r="E702"/>
      <c r="F702"/>
    </row>
    <row r="703" spans="4:6">
      <c r="D703"/>
      <c r="E703"/>
      <c r="F703"/>
    </row>
    <row r="704" spans="4:6" outlineLevel="1">
      <c r="D704"/>
      <c r="E704"/>
      <c r="F704"/>
    </row>
    <row r="705" spans="4:6">
      <c r="D705"/>
      <c r="E705"/>
      <c r="F705"/>
    </row>
    <row r="706" spans="4:6" outlineLevel="1">
      <c r="D706"/>
      <c r="E706"/>
      <c r="F706"/>
    </row>
    <row r="707" spans="4:6" outlineLevel="1">
      <c r="D707"/>
      <c r="E707"/>
      <c r="F707"/>
    </row>
    <row r="708" spans="4:6">
      <c r="D708"/>
      <c r="E708"/>
      <c r="F708"/>
    </row>
    <row r="709" spans="4:6" outlineLevel="1">
      <c r="D709"/>
      <c r="E709"/>
      <c r="F709"/>
    </row>
    <row r="710" spans="4:6">
      <c r="D710"/>
      <c r="E710"/>
      <c r="F710"/>
    </row>
    <row r="711" spans="4:6" outlineLevel="1">
      <c r="D711"/>
      <c r="E711"/>
      <c r="F711"/>
    </row>
    <row r="712" spans="4:6" outlineLevel="1">
      <c r="D712"/>
      <c r="E712"/>
      <c r="F712"/>
    </row>
    <row r="713" spans="4:6" outlineLevel="1">
      <c r="D713"/>
      <c r="E713"/>
      <c r="F713"/>
    </row>
    <row r="714" spans="4:6" outlineLevel="1">
      <c r="D714"/>
      <c r="E714"/>
      <c r="F714"/>
    </row>
    <row r="715" spans="4:6" outlineLevel="1">
      <c r="D715"/>
      <c r="E715"/>
      <c r="F715"/>
    </row>
    <row r="716" spans="4:6" outlineLevel="1">
      <c r="D716"/>
      <c r="E716"/>
      <c r="F716"/>
    </row>
    <row r="717" spans="4:6" outlineLevel="1">
      <c r="D717"/>
      <c r="E717"/>
      <c r="F717"/>
    </row>
    <row r="718" spans="4:6" outlineLevel="1">
      <c r="D718"/>
      <c r="E718"/>
      <c r="F718"/>
    </row>
    <row r="719" spans="4:6" outlineLevel="1">
      <c r="D719"/>
      <c r="E719"/>
      <c r="F719"/>
    </row>
    <row r="720" spans="4:6" outlineLevel="1">
      <c r="D720"/>
      <c r="E720"/>
      <c r="F720"/>
    </row>
    <row r="721" spans="4:6" outlineLevel="1">
      <c r="D721"/>
      <c r="E721"/>
      <c r="F721"/>
    </row>
    <row r="722" spans="4:6" outlineLevel="1">
      <c r="D722"/>
      <c r="E722"/>
      <c r="F722"/>
    </row>
    <row r="723" spans="4:6" outlineLevel="1">
      <c r="D723"/>
      <c r="E723"/>
      <c r="F723"/>
    </row>
    <row r="724" spans="4:6" outlineLevel="1">
      <c r="D724"/>
      <c r="E724"/>
      <c r="F724"/>
    </row>
    <row r="725" spans="4:6" outlineLevel="1">
      <c r="D725"/>
      <c r="E725"/>
      <c r="F725"/>
    </row>
    <row r="726" spans="4:6" outlineLevel="1">
      <c r="D726"/>
      <c r="E726"/>
      <c r="F726"/>
    </row>
    <row r="727" spans="4:6" outlineLevel="1">
      <c r="D727"/>
      <c r="E727"/>
      <c r="F727"/>
    </row>
    <row r="728" spans="4:6" outlineLevel="1">
      <c r="D728"/>
      <c r="E728"/>
      <c r="F728"/>
    </row>
    <row r="729" spans="4:6" outlineLevel="1">
      <c r="D729"/>
      <c r="E729"/>
      <c r="F729"/>
    </row>
    <row r="730" spans="4:6" outlineLevel="1">
      <c r="D730"/>
      <c r="E730"/>
      <c r="F730"/>
    </row>
    <row r="731" spans="4:6" outlineLevel="1">
      <c r="D731"/>
      <c r="E731"/>
      <c r="F731"/>
    </row>
    <row r="732" spans="4:6" outlineLevel="1">
      <c r="D732"/>
      <c r="E732"/>
      <c r="F732"/>
    </row>
    <row r="733" spans="4:6" outlineLevel="1">
      <c r="D733"/>
      <c r="E733"/>
      <c r="F733"/>
    </row>
    <row r="734" spans="4:6" outlineLevel="1">
      <c r="D734"/>
      <c r="E734"/>
      <c r="F734"/>
    </row>
    <row r="735" spans="4:6" outlineLevel="1">
      <c r="D735"/>
      <c r="E735"/>
      <c r="F735"/>
    </row>
    <row r="736" spans="4:6" outlineLevel="1">
      <c r="D736"/>
      <c r="E736"/>
      <c r="F736"/>
    </row>
    <row r="737" spans="4:6" outlineLevel="1">
      <c r="D737"/>
      <c r="E737"/>
      <c r="F737"/>
    </row>
    <row r="738" spans="4:6">
      <c r="D738"/>
      <c r="E738"/>
      <c r="F738"/>
    </row>
    <row r="739" spans="4:6" outlineLevel="1">
      <c r="D739"/>
      <c r="E739"/>
      <c r="F739"/>
    </row>
    <row r="740" spans="4:6" outlineLevel="1">
      <c r="D740"/>
      <c r="E740"/>
      <c r="F740"/>
    </row>
    <row r="741" spans="4:6" outlineLevel="1">
      <c r="D741"/>
      <c r="E741"/>
      <c r="F741"/>
    </row>
    <row r="742" spans="4:6" outlineLevel="1">
      <c r="D742"/>
      <c r="E742"/>
      <c r="F742"/>
    </row>
    <row r="743" spans="4:6" outlineLevel="1">
      <c r="D743"/>
      <c r="E743"/>
      <c r="F743"/>
    </row>
    <row r="744" spans="4:6" outlineLevel="1">
      <c r="D744"/>
      <c r="E744"/>
      <c r="F744"/>
    </row>
    <row r="745" spans="4:6" outlineLevel="1">
      <c r="D745"/>
      <c r="E745"/>
      <c r="F745"/>
    </row>
    <row r="746" spans="4:6" outlineLevel="1">
      <c r="D746"/>
      <c r="E746"/>
      <c r="F746"/>
    </row>
    <row r="747" spans="4:6">
      <c r="D747"/>
      <c r="E747"/>
      <c r="F747"/>
    </row>
    <row r="748" spans="4:6" outlineLevel="1">
      <c r="D748"/>
      <c r="E748"/>
      <c r="F748"/>
    </row>
    <row r="749" spans="4:6" outlineLevel="1">
      <c r="D749"/>
      <c r="E749"/>
      <c r="F749"/>
    </row>
    <row r="750" spans="4:6" outlineLevel="1">
      <c r="D750"/>
      <c r="E750"/>
      <c r="F750"/>
    </row>
    <row r="751" spans="4:6" outlineLevel="1">
      <c r="D751"/>
      <c r="E751"/>
      <c r="F751"/>
    </row>
    <row r="752" spans="4:6" outlineLevel="1">
      <c r="D752"/>
      <c r="E752"/>
      <c r="F752"/>
    </row>
    <row r="753" spans="4:6" outlineLevel="1">
      <c r="D753"/>
      <c r="E753"/>
      <c r="F753"/>
    </row>
    <row r="754" spans="4:6" outlineLevel="1">
      <c r="D754"/>
      <c r="E754"/>
      <c r="F754"/>
    </row>
    <row r="755" spans="4:6" outlineLevel="1">
      <c r="D755"/>
      <c r="E755"/>
      <c r="F755"/>
    </row>
    <row r="756" spans="4:6" outlineLevel="1">
      <c r="D756"/>
      <c r="E756"/>
      <c r="F756"/>
    </row>
    <row r="757" spans="4:6" outlineLevel="1">
      <c r="D757"/>
      <c r="E757"/>
      <c r="F757"/>
    </row>
    <row r="758" spans="4:6" outlineLevel="1">
      <c r="D758"/>
      <c r="E758"/>
      <c r="F758"/>
    </row>
    <row r="759" spans="4:6" outlineLevel="1">
      <c r="D759"/>
      <c r="E759"/>
      <c r="F759"/>
    </row>
    <row r="760" spans="4:6" outlineLevel="1">
      <c r="D760"/>
      <c r="E760"/>
      <c r="F760"/>
    </row>
    <row r="761" spans="4:6" outlineLevel="1">
      <c r="D761"/>
      <c r="E761"/>
      <c r="F761"/>
    </row>
    <row r="762" spans="4:6" outlineLevel="1">
      <c r="D762"/>
      <c r="E762"/>
      <c r="F762"/>
    </row>
    <row r="763" spans="4:6" outlineLevel="1">
      <c r="D763"/>
      <c r="E763"/>
      <c r="F763"/>
    </row>
    <row r="764" spans="4:6">
      <c r="D764"/>
      <c r="E764"/>
      <c r="F764"/>
    </row>
    <row r="765" spans="4:6" outlineLevel="1">
      <c r="D765"/>
      <c r="E765"/>
      <c r="F765"/>
    </row>
    <row r="766" spans="4:6" outlineLevel="1">
      <c r="D766"/>
      <c r="E766"/>
      <c r="F766"/>
    </row>
    <row r="767" spans="4:6" outlineLevel="1">
      <c r="D767"/>
      <c r="E767"/>
      <c r="F767"/>
    </row>
    <row r="768" spans="4:6" outlineLevel="1">
      <c r="D768"/>
      <c r="E768"/>
      <c r="F768"/>
    </row>
    <row r="769" spans="4:6" outlineLevel="1">
      <c r="D769"/>
      <c r="E769"/>
      <c r="F769"/>
    </row>
    <row r="770" spans="4:6" outlineLevel="1">
      <c r="D770"/>
      <c r="E770"/>
      <c r="F770"/>
    </row>
    <row r="771" spans="4:6" outlineLevel="1">
      <c r="D771"/>
      <c r="E771"/>
      <c r="F771"/>
    </row>
    <row r="772" spans="4:6" outlineLevel="1">
      <c r="D772"/>
      <c r="E772"/>
      <c r="F772"/>
    </row>
    <row r="773" spans="4:6" outlineLevel="1">
      <c r="D773"/>
      <c r="E773"/>
      <c r="F773"/>
    </row>
    <row r="774" spans="4:6" outlineLevel="1">
      <c r="D774"/>
      <c r="E774"/>
      <c r="F774"/>
    </row>
    <row r="775" spans="4:6" outlineLevel="1">
      <c r="D775"/>
      <c r="E775"/>
      <c r="F775"/>
    </row>
    <row r="776" spans="4:6" outlineLevel="1">
      <c r="D776"/>
      <c r="E776"/>
      <c r="F776"/>
    </row>
    <row r="777" spans="4:6" outlineLevel="1">
      <c r="D777"/>
      <c r="E777"/>
      <c r="F777"/>
    </row>
    <row r="778" spans="4:6" outlineLevel="1">
      <c r="D778"/>
      <c r="E778"/>
      <c r="F778"/>
    </row>
    <row r="779" spans="4:6" outlineLevel="1">
      <c r="D779"/>
      <c r="E779"/>
      <c r="F779"/>
    </row>
    <row r="780" spans="4:6" outlineLevel="1">
      <c r="D780"/>
      <c r="E780"/>
      <c r="F780"/>
    </row>
    <row r="781" spans="4:6">
      <c r="D781"/>
      <c r="E781"/>
      <c r="F781"/>
    </row>
    <row r="782" spans="4:6" outlineLevel="1">
      <c r="D782"/>
      <c r="E782"/>
      <c r="F782"/>
    </row>
    <row r="783" spans="4:6" outlineLevel="1">
      <c r="D783"/>
      <c r="E783"/>
      <c r="F783"/>
    </row>
    <row r="784" spans="4:6" outlineLevel="1">
      <c r="D784"/>
      <c r="E784"/>
      <c r="F784"/>
    </row>
    <row r="785" spans="4:6" outlineLevel="1">
      <c r="D785"/>
      <c r="E785"/>
      <c r="F785"/>
    </row>
    <row r="786" spans="4:6" outlineLevel="1">
      <c r="D786"/>
      <c r="E786"/>
      <c r="F786"/>
    </row>
    <row r="787" spans="4:6" outlineLevel="1">
      <c r="D787"/>
      <c r="E787"/>
      <c r="F787"/>
    </row>
    <row r="788" spans="4:6" outlineLevel="1">
      <c r="D788"/>
      <c r="E788"/>
      <c r="F788"/>
    </row>
    <row r="789" spans="4:6" outlineLevel="1">
      <c r="D789"/>
      <c r="E789"/>
      <c r="F789"/>
    </row>
    <row r="790" spans="4:6" outlineLevel="1">
      <c r="D790"/>
      <c r="E790"/>
      <c r="F790"/>
    </row>
    <row r="791" spans="4:6" outlineLevel="1">
      <c r="D791"/>
      <c r="E791"/>
      <c r="F791"/>
    </row>
    <row r="792" spans="4:6" outlineLevel="1">
      <c r="D792"/>
      <c r="E792"/>
      <c r="F792"/>
    </row>
    <row r="793" spans="4:6" outlineLevel="1">
      <c r="D793"/>
      <c r="E793"/>
      <c r="F793"/>
    </row>
    <row r="794" spans="4:6" outlineLevel="1">
      <c r="D794"/>
      <c r="E794"/>
      <c r="F794"/>
    </row>
    <row r="795" spans="4:6" outlineLevel="1">
      <c r="D795"/>
      <c r="E795"/>
      <c r="F795"/>
    </row>
    <row r="796" spans="4:6" outlineLevel="1">
      <c r="D796"/>
      <c r="E796"/>
      <c r="F796"/>
    </row>
    <row r="797" spans="4:6" outlineLevel="1">
      <c r="D797"/>
      <c r="E797"/>
      <c r="F797"/>
    </row>
    <row r="798" spans="4:6" outlineLevel="1">
      <c r="D798"/>
      <c r="E798"/>
      <c r="F798"/>
    </row>
    <row r="799" spans="4:6" outlineLevel="1">
      <c r="D799"/>
      <c r="E799"/>
      <c r="F799"/>
    </row>
    <row r="800" spans="4:6" outlineLevel="1">
      <c r="D800"/>
      <c r="E800"/>
      <c r="F800"/>
    </row>
    <row r="801" spans="4:6" outlineLevel="1">
      <c r="D801"/>
      <c r="E801"/>
      <c r="F801"/>
    </row>
    <row r="802" spans="4:6" outlineLevel="1">
      <c r="D802"/>
      <c r="E802"/>
      <c r="F802"/>
    </row>
    <row r="803" spans="4:6" outlineLevel="1">
      <c r="D803"/>
      <c r="E803"/>
      <c r="F803"/>
    </row>
    <row r="804" spans="4:6" outlineLevel="1">
      <c r="D804"/>
      <c r="E804"/>
      <c r="F804"/>
    </row>
    <row r="805" spans="4:6" outlineLevel="1">
      <c r="D805"/>
      <c r="E805"/>
      <c r="F805"/>
    </row>
    <row r="806" spans="4:6" outlineLevel="1">
      <c r="D806"/>
      <c r="E806"/>
      <c r="F806"/>
    </row>
    <row r="807" spans="4:6" outlineLevel="1">
      <c r="D807"/>
      <c r="E807"/>
      <c r="F807"/>
    </row>
    <row r="808" spans="4:6" outlineLevel="1">
      <c r="D808"/>
      <c r="E808"/>
      <c r="F808"/>
    </row>
    <row r="809" spans="4:6" outlineLevel="1">
      <c r="D809"/>
      <c r="E809"/>
      <c r="F809"/>
    </row>
    <row r="810" spans="4:6" outlineLevel="1">
      <c r="D810"/>
      <c r="E810"/>
      <c r="F810"/>
    </row>
    <row r="811" spans="4:6" outlineLevel="1">
      <c r="D811"/>
      <c r="E811"/>
      <c r="F811"/>
    </row>
    <row r="812" spans="4:6" outlineLevel="1">
      <c r="D812"/>
      <c r="E812"/>
      <c r="F812"/>
    </row>
    <row r="813" spans="4:6" outlineLevel="1">
      <c r="D813"/>
      <c r="E813"/>
      <c r="F813"/>
    </row>
    <row r="814" spans="4:6" outlineLevel="1">
      <c r="D814"/>
      <c r="E814"/>
      <c r="F814"/>
    </row>
    <row r="815" spans="4:6" outlineLevel="1">
      <c r="D815"/>
      <c r="E815"/>
      <c r="F815"/>
    </row>
    <row r="816" spans="4:6" outlineLevel="1">
      <c r="D816"/>
      <c r="E816"/>
      <c r="F816"/>
    </row>
    <row r="817" spans="4:6" outlineLevel="1">
      <c r="D817"/>
      <c r="E817"/>
      <c r="F817"/>
    </row>
    <row r="818" spans="4:6" outlineLevel="1">
      <c r="D818"/>
      <c r="E818"/>
      <c r="F818"/>
    </row>
    <row r="819" spans="4:6" outlineLevel="1">
      <c r="D819"/>
      <c r="E819"/>
      <c r="F819"/>
    </row>
    <row r="820" spans="4:6" outlineLevel="1">
      <c r="D820"/>
      <c r="E820"/>
      <c r="F820"/>
    </row>
    <row r="821" spans="4:6" outlineLevel="1">
      <c r="D821"/>
      <c r="E821"/>
      <c r="F821"/>
    </row>
    <row r="822" spans="4:6" outlineLevel="1">
      <c r="D822"/>
      <c r="E822"/>
      <c r="F822"/>
    </row>
    <row r="823" spans="4:6" outlineLevel="1">
      <c r="D823"/>
      <c r="E823"/>
      <c r="F823"/>
    </row>
    <row r="824" spans="4:6" outlineLevel="1">
      <c r="D824"/>
      <c r="E824"/>
      <c r="F824"/>
    </row>
    <row r="825" spans="4:6" outlineLevel="1">
      <c r="D825"/>
      <c r="E825"/>
      <c r="F825"/>
    </row>
    <row r="826" spans="4:6" outlineLevel="1">
      <c r="D826"/>
      <c r="E826"/>
      <c r="F826"/>
    </row>
    <row r="827" spans="4:6" outlineLevel="1">
      <c r="D827"/>
      <c r="E827"/>
      <c r="F827"/>
    </row>
    <row r="828" spans="4:6" outlineLevel="1">
      <c r="D828"/>
      <c r="E828"/>
      <c r="F828"/>
    </row>
    <row r="829" spans="4:6" outlineLevel="1">
      <c r="D829"/>
      <c r="E829"/>
      <c r="F829"/>
    </row>
    <row r="830" spans="4:6" outlineLevel="1">
      <c r="D830"/>
      <c r="E830"/>
      <c r="F830"/>
    </row>
    <row r="831" spans="4:6" outlineLevel="1">
      <c r="D831"/>
      <c r="E831"/>
      <c r="F831"/>
    </row>
    <row r="832" spans="4:6" outlineLevel="1">
      <c r="D832"/>
      <c r="E832"/>
      <c r="F832"/>
    </row>
    <row r="833" spans="4:6" outlineLevel="1">
      <c r="D833"/>
      <c r="E833"/>
      <c r="F833"/>
    </row>
    <row r="834" spans="4:6" outlineLevel="1">
      <c r="D834"/>
      <c r="E834"/>
      <c r="F834"/>
    </row>
    <row r="835" spans="4:6" outlineLevel="1">
      <c r="D835"/>
      <c r="E835"/>
      <c r="F835"/>
    </row>
    <row r="836" spans="4:6" outlineLevel="1">
      <c r="D836"/>
      <c r="E836"/>
      <c r="F836"/>
    </row>
    <row r="837" spans="4:6" outlineLevel="1">
      <c r="D837"/>
      <c r="E837"/>
      <c r="F837"/>
    </row>
    <row r="838" spans="4:6" outlineLevel="1">
      <c r="D838"/>
      <c r="E838"/>
      <c r="F838"/>
    </row>
    <row r="839" spans="4:6" outlineLevel="1">
      <c r="D839"/>
      <c r="E839"/>
      <c r="F839"/>
    </row>
    <row r="840" spans="4:6" outlineLevel="1">
      <c r="D840"/>
      <c r="E840"/>
      <c r="F840"/>
    </row>
    <row r="841" spans="4:6" outlineLevel="1">
      <c r="D841"/>
      <c r="E841"/>
      <c r="F841"/>
    </row>
    <row r="842" spans="4:6" outlineLevel="1">
      <c r="D842"/>
      <c r="E842"/>
      <c r="F842"/>
    </row>
    <row r="843" spans="4:6" outlineLevel="1">
      <c r="D843"/>
      <c r="E843"/>
      <c r="F843"/>
    </row>
    <row r="844" spans="4:6" outlineLevel="1">
      <c r="D844"/>
      <c r="E844"/>
      <c r="F844"/>
    </row>
    <row r="845" spans="4:6" outlineLevel="1">
      <c r="D845"/>
      <c r="E845"/>
      <c r="F845"/>
    </row>
    <row r="846" spans="4:6" outlineLevel="1">
      <c r="D846"/>
      <c r="E846"/>
      <c r="F846"/>
    </row>
    <row r="847" spans="4:6" outlineLevel="1">
      <c r="D847"/>
      <c r="E847"/>
      <c r="F847"/>
    </row>
    <row r="848" spans="4:6" outlineLevel="1">
      <c r="D848"/>
      <c r="E848"/>
      <c r="F848"/>
    </row>
    <row r="849" spans="4:6" outlineLevel="1">
      <c r="D849"/>
      <c r="E849"/>
      <c r="F849"/>
    </row>
    <row r="850" spans="4:6" outlineLevel="1">
      <c r="D850"/>
      <c r="E850"/>
      <c r="F850"/>
    </row>
    <row r="851" spans="4:6" outlineLevel="1">
      <c r="D851"/>
      <c r="E851"/>
      <c r="F851"/>
    </row>
    <row r="852" spans="4:6" outlineLevel="1">
      <c r="D852"/>
      <c r="E852"/>
      <c r="F852"/>
    </row>
    <row r="853" spans="4:6" outlineLevel="1">
      <c r="D853"/>
      <c r="E853"/>
      <c r="F853"/>
    </row>
    <row r="854" spans="4:6" outlineLevel="1">
      <c r="D854"/>
      <c r="E854"/>
      <c r="F854"/>
    </row>
    <row r="855" spans="4:6" outlineLevel="1">
      <c r="D855"/>
      <c r="E855"/>
      <c r="F855"/>
    </row>
    <row r="856" spans="4:6" outlineLevel="1">
      <c r="D856"/>
      <c r="E856"/>
      <c r="F856"/>
    </row>
    <row r="857" spans="4:6" outlineLevel="1">
      <c r="D857"/>
      <c r="E857"/>
      <c r="F857"/>
    </row>
    <row r="858" spans="4:6" outlineLevel="1">
      <c r="D858"/>
      <c r="E858"/>
      <c r="F858"/>
    </row>
    <row r="859" spans="4:6" outlineLevel="1">
      <c r="D859"/>
      <c r="E859"/>
      <c r="F859"/>
    </row>
    <row r="860" spans="4:6" outlineLevel="1">
      <c r="D860"/>
      <c r="E860"/>
      <c r="F860"/>
    </row>
    <row r="861" spans="4:6" outlineLevel="1">
      <c r="D861"/>
      <c r="E861"/>
      <c r="F861"/>
    </row>
    <row r="862" spans="4:6" outlineLevel="1">
      <c r="D862"/>
      <c r="E862"/>
      <c r="F862"/>
    </row>
    <row r="863" spans="4:6" outlineLevel="1">
      <c r="D863"/>
      <c r="E863"/>
      <c r="F863"/>
    </row>
    <row r="864" spans="4:6" outlineLevel="1">
      <c r="D864"/>
      <c r="E864"/>
      <c r="F864"/>
    </row>
    <row r="865" spans="4:6" outlineLevel="1">
      <c r="D865"/>
      <c r="E865"/>
      <c r="F865"/>
    </row>
    <row r="866" spans="4:6" outlineLevel="1">
      <c r="D866"/>
      <c r="E866"/>
      <c r="F866"/>
    </row>
    <row r="867" spans="4:6" outlineLevel="1">
      <c r="D867"/>
      <c r="E867"/>
      <c r="F867"/>
    </row>
    <row r="868" spans="4:6" outlineLevel="1">
      <c r="D868"/>
      <c r="E868"/>
      <c r="F868"/>
    </row>
    <row r="869" spans="4:6" outlineLevel="1">
      <c r="D869"/>
      <c r="E869"/>
      <c r="F869"/>
    </row>
    <row r="870" spans="4:6" outlineLevel="1">
      <c r="D870"/>
      <c r="E870"/>
      <c r="F870"/>
    </row>
    <row r="871" spans="4:6" outlineLevel="1">
      <c r="D871"/>
      <c r="E871"/>
      <c r="F871"/>
    </row>
    <row r="872" spans="4:6" outlineLevel="1">
      <c r="D872"/>
      <c r="E872"/>
      <c r="F872"/>
    </row>
    <row r="873" spans="4:6" outlineLevel="1">
      <c r="D873"/>
      <c r="E873"/>
      <c r="F873"/>
    </row>
    <row r="874" spans="4:6" outlineLevel="1">
      <c r="D874"/>
      <c r="E874"/>
      <c r="F874"/>
    </row>
    <row r="875" spans="4:6" outlineLevel="1">
      <c r="D875"/>
      <c r="E875"/>
      <c r="F875"/>
    </row>
    <row r="876" spans="4:6" outlineLevel="1">
      <c r="D876"/>
      <c r="E876"/>
      <c r="F876"/>
    </row>
    <row r="877" spans="4:6" outlineLevel="1">
      <c r="D877"/>
      <c r="E877"/>
      <c r="F877"/>
    </row>
    <row r="878" spans="4:6" outlineLevel="1">
      <c r="D878"/>
      <c r="E878"/>
      <c r="F878"/>
    </row>
    <row r="879" spans="4:6" outlineLevel="1">
      <c r="D879"/>
      <c r="E879"/>
      <c r="F879"/>
    </row>
    <row r="880" spans="4:6" outlineLevel="1">
      <c r="D880"/>
      <c r="E880"/>
      <c r="F880"/>
    </row>
    <row r="881" spans="4:6" outlineLevel="1">
      <c r="D881"/>
      <c r="E881"/>
      <c r="F881"/>
    </row>
    <row r="882" spans="4:6" outlineLevel="1">
      <c r="D882"/>
      <c r="E882"/>
      <c r="F882"/>
    </row>
    <row r="883" spans="4:6" outlineLevel="1">
      <c r="D883"/>
      <c r="E883"/>
      <c r="F883"/>
    </row>
    <row r="884" spans="4:6" outlineLevel="1">
      <c r="D884"/>
      <c r="E884"/>
      <c r="F884"/>
    </row>
    <row r="885" spans="4:6" outlineLevel="1">
      <c r="D885"/>
      <c r="E885"/>
      <c r="F885"/>
    </row>
    <row r="886" spans="4:6" outlineLevel="1">
      <c r="D886"/>
      <c r="E886"/>
      <c r="F886"/>
    </row>
    <row r="887" spans="4:6" outlineLevel="1">
      <c r="D887"/>
      <c r="E887"/>
      <c r="F887"/>
    </row>
    <row r="888" spans="4:6" outlineLevel="1">
      <c r="D888"/>
      <c r="E888"/>
      <c r="F888"/>
    </row>
    <row r="889" spans="4:6">
      <c r="D889"/>
      <c r="E889"/>
      <c r="F889"/>
    </row>
    <row r="890" spans="4:6" outlineLevel="1">
      <c r="D890"/>
      <c r="E890"/>
      <c r="F890"/>
    </row>
    <row r="891" spans="4:6" outlineLevel="1">
      <c r="D891"/>
      <c r="E891"/>
      <c r="F891"/>
    </row>
    <row r="892" spans="4:6">
      <c r="D892"/>
      <c r="E892"/>
      <c r="F892"/>
    </row>
    <row r="893" spans="4:6" outlineLevel="1">
      <c r="D893"/>
      <c r="E893"/>
      <c r="F893"/>
    </row>
    <row r="894" spans="4:6">
      <c r="D894"/>
      <c r="E894"/>
      <c r="F894"/>
    </row>
    <row r="895" spans="4:6" outlineLevel="1">
      <c r="D895"/>
      <c r="E895"/>
      <c r="F895"/>
    </row>
    <row r="896" spans="4:6" outlineLevel="1">
      <c r="D896"/>
      <c r="E896"/>
      <c r="F896"/>
    </row>
    <row r="897" spans="4:6" outlineLevel="1">
      <c r="D897"/>
      <c r="E897"/>
      <c r="F897"/>
    </row>
    <row r="898" spans="4:6">
      <c r="D898"/>
      <c r="E898"/>
      <c r="F898"/>
    </row>
    <row r="899" spans="4:6" outlineLevel="1">
      <c r="D899"/>
      <c r="E899"/>
      <c r="F899"/>
    </row>
    <row r="900" spans="4:6" outlineLevel="1">
      <c r="D900"/>
      <c r="E900"/>
      <c r="F900"/>
    </row>
    <row r="901" spans="4:6">
      <c r="D901"/>
      <c r="E901"/>
      <c r="F901"/>
    </row>
    <row r="902" spans="4:6" outlineLevel="1">
      <c r="D902"/>
      <c r="E902"/>
      <c r="F902"/>
    </row>
    <row r="903" spans="4:6">
      <c r="D903"/>
      <c r="E903"/>
      <c r="F903"/>
    </row>
    <row r="904" spans="4:6">
      <c r="D904"/>
      <c r="E904"/>
      <c r="F904"/>
    </row>
    <row r="905" spans="4:6">
      <c r="D905"/>
      <c r="E905"/>
      <c r="F905"/>
    </row>
    <row r="906" spans="4:6">
      <c r="D906"/>
      <c r="E906"/>
      <c r="F906"/>
    </row>
    <row r="907" spans="4:6">
      <c r="D907"/>
      <c r="E907"/>
      <c r="F907"/>
    </row>
    <row r="908" spans="4:6">
      <c r="D908"/>
      <c r="E908"/>
      <c r="F908"/>
    </row>
    <row r="909" spans="4:6">
      <c r="D909"/>
      <c r="E909"/>
      <c r="F909"/>
    </row>
    <row r="910" spans="4:6">
      <c r="D910"/>
      <c r="E910"/>
      <c r="F910"/>
    </row>
    <row r="911" spans="4:6">
      <c r="D911"/>
      <c r="E911"/>
      <c r="F911"/>
    </row>
    <row r="912" spans="4:6">
      <c r="D912"/>
      <c r="E912"/>
      <c r="F912"/>
    </row>
    <row r="913" spans="4:6">
      <c r="D913"/>
      <c r="E913"/>
      <c r="F913"/>
    </row>
    <row r="914" spans="4:6">
      <c r="D914"/>
      <c r="E914"/>
      <c r="F914"/>
    </row>
    <row r="915" spans="4:6">
      <c r="D915"/>
      <c r="E915"/>
      <c r="F915"/>
    </row>
    <row r="916" spans="4:6">
      <c r="D916"/>
      <c r="E916"/>
      <c r="F916"/>
    </row>
    <row r="917" spans="4:6">
      <c r="D917"/>
      <c r="E917"/>
      <c r="F917"/>
    </row>
    <row r="918" spans="4:6">
      <c r="D918"/>
      <c r="E918"/>
      <c r="F918"/>
    </row>
    <row r="919" spans="4:6">
      <c r="D919"/>
      <c r="E919"/>
      <c r="F919"/>
    </row>
    <row r="920" spans="4:6">
      <c r="D920"/>
      <c r="E920"/>
      <c r="F920"/>
    </row>
    <row r="921" spans="4:6">
      <c r="D921"/>
      <c r="E921"/>
      <c r="F921"/>
    </row>
    <row r="922" spans="4:6">
      <c r="D922"/>
      <c r="E922"/>
      <c r="F922"/>
    </row>
    <row r="923" spans="4:6">
      <c r="D923"/>
      <c r="E923"/>
      <c r="F923"/>
    </row>
    <row r="924" spans="4:6">
      <c r="D924"/>
      <c r="E924"/>
      <c r="F924"/>
    </row>
    <row r="925" spans="4:6">
      <c r="D925"/>
      <c r="E925"/>
      <c r="F925"/>
    </row>
    <row r="926" spans="4:6">
      <c r="D926"/>
      <c r="E926"/>
      <c r="F926"/>
    </row>
    <row r="927" spans="4:6">
      <c r="D927"/>
      <c r="E927"/>
      <c r="F927"/>
    </row>
    <row r="928" spans="4:6">
      <c r="D928"/>
      <c r="E928"/>
      <c r="F928"/>
    </row>
    <row r="929" spans="4:6">
      <c r="D929"/>
      <c r="E929"/>
      <c r="F929"/>
    </row>
    <row r="930" spans="4:6">
      <c r="D930"/>
      <c r="E930"/>
      <c r="F930"/>
    </row>
    <row r="931" spans="4:6">
      <c r="D931"/>
      <c r="E931"/>
      <c r="F931"/>
    </row>
    <row r="932" spans="4:6">
      <c r="D932"/>
      <c r="E932"/>
      <c r="F932"/>
    </row>
    <row r="933" spans="4:6">
      <c r="D933"/>
      <c r="E933"/>
      <c r="F933"/>
    </row>
    <row r="934" spans="4:6">
      <c r="D934"/>
      <c r="E934"/>
      <c r="F934"/>
    </row>
    <row r="935" spans="4:6">
      <c r="D935"/>
      <c r="E935"/>
      <c r="F935"/>
    </row>
    <row r="936" spans="4:6">
      <c r="D936"/>
      <c r="E936"/>
      <c r="F936"/>
    </row>
    <row r="937" spans="4:6">
      <c r="D937"/>
      <c r="E937"/>
      <c r="F937"/>
    </row>
    <row r="938" spans="4:6">
      <c r="D938"/>
      <c r="E938"/>
      <c r="F938"/>
    </row>
    <row r="939" spans="4:6">
      <c r="D939"/>
      <c r="E939"/>
      <c r="F939"/>
    </row>
    <row r="940" spans="4:6">
      <c r="D940"/>
      <c r="E940"/>
      <c r="F940"/>
    </row>
    <row r="941" spans="4:6">
      <c r="D941"/>
      <c r="E941"/>
      <c r="F941"/>
    </row>
    <row r="942" spans="4:6">
      <c r="D942"/>
      <c r="E942"/>
      <c r="F942"/>
    </row>
    <row r="943" spans="4:6">
      <c r="D943"/>
      <c r="E943"/>
      <c r="F943"/>
    </row>
    <row r="944" spans="4:6">
      <c r="D944"/>
      <c r="E944"/>
      <c r="F944"/>
    </row>
    <row r="945" spans="4:6">
      <c r="D945"/>
      <c r="E945"/>
      <c r="F945"/>
    </row>
    <row r="946" spans="4:6">
      <c r="D946"/>
      <c r="E946"/>
      <c r="F946"/>
    </row>
    <row r="947" spans="4:6">
      <c r="D947"/>
      <c r="E947"/>
      <c r="F947"/>
    </row>
    <row r="948" spans="4:6">
      <c r="D948"/>
      <c r="E948"/>
      <c r="F948"/>
    </row>
    <row r="949" spans="4:6">
      <c r="D949"/>
      <c r="E949"/>
      <c r="F949"/>
    </row>
    <row r="950" spans="4:6">
      <c r="D950"/>
      <c r="E950"/>
      <c r="F950"/>
    </row>
    <row r="951" spans="4:6">
      <c r="D951"/>
      <c r="E951"/>
      <c r="F951"/>
    </row>
    <row r="952" spans="4:6">
      <c r="D952"/>
      <c r="E952"/>
      <c r="F952"/>
    </row>
    <row r="953" spans="4:6">
      <c r="D953"/>
      <c r="E953"/>
      <c r="F953"/>
    </row>
    <row r="954" spans="4:6">
      <c r="D954"/>
      <c r="E954"/>
      <c r="F954"/>
    </row>
    <row r="955" spans="4:6">
      <c r="D955"/>
      <c r="E955"/>
      <c r="F955"/>
    </row>
    <row r="956" spans="4:6">
      <c r="D956"/>
      <c r="E956"/>
      <c r="F956"/>
    </row>
    <row r="957" spans="4:6">
      <c r="D957"/>
      <c r="E957"/>
      <c r="F957"/>
    </row>
    <row r="958" spans="4:6">
      <c r="D958"/>
      <c r="E958"/>
      <c r="F958"/>
    </row>
    <row r="959" spans="4:6">
      <c r="D959"/>
      <c r="E959"/>
      <c r="F959"/>
    </row>
    <row r="960" spans="4:6">
      <c r="D960"/>
      <c r="E960"/>
      <c r="F960"/>
    </row>
    <row r="961" spans="4:6">
      <c r="D961"/>
      <c r="E961"/>
      <c r="F961"/>
    </row>
    <row r="962" spans="4:6">
      <c r="D962"/>
      <c r="E962"/>
      <c r="F962"/>
    </row>
    <row r="963" spans="4:6">
      <c r="D963"/>
      <c r="E963"/>
      <c r="F963"/>
    </row>
    <row r="964" spans="4:6">
      <c r="D964"/>
      <c r="E964"/>
      <c r="F964"/>
    </row>
    <row r="965" spans="4:6">
      <c r="D965"/>
      <c r="E965"/>
      <c r="F965"/>
    </row>
    <row r="966" spans="4:6">
      <c r="D966"/>
      <c r="E966"/>
      <c r="F966"/>
    </row>
    <row r="967" spans="4:6">
      <c r="D967"/>
      <c r="E967"/>
      <c r="F967"/>
    </row>
    <row r="968" spans="4:6">
      <c r="D968"/>
      <c r="E968"/>
      <c r="F968"/>
    </row>
    <row r="969" spans="4:6">
      <c r="D969"/>
      <c r="E969"/>
      <c r="F969"/>
    </row>
    <row r="970" spans="4:6">
      <c r="D970"/>
      <c r="E970"/>
      <c r="F970"/>
    </row>
    <row r="971" spans="4:6">
      <c r="D971"/>
      <c r="E971"/>
      <c r="F971"/>
    </row>
    <row r="972" spans="4:6">
      <c r="D972"/>
      <c r="E972"/>
      <c r="F972"/>
    </row>
    <row r="973" spans="4:6">
      <c r="D973"/>
      <c r="E973"/>
      <c r="F973"/>
    </row>
    <row r="974" spans="4:6">
      <c r="D974"/>
      <c r="E974"/>
      <c r="F974"/>
    </row>
    <row r="975" spans="4:6">
      <c r="D975"/>
      <c r="E975"/>
      <c r="F975"/>
    </row>
    <row r="976" spans="4:6">
      <c r="D976"/>
      <c r="E976"/>
      <c r="F976"/>
    </row>
    <row r="977" spans="4:6">
      <c r="D977"/>
      <c r="E977"/>
      <c r="F977"/>
    </row>
    <row r="978" spans="4:6">
      <c r="D978"/>
      <c r="E978"/>
      <c r="F978"/>
    </row>
    <row r="979" spans="4:6">
      <c r="D979"/>
      <c r="E979"/>
      <c r="F979"/>
    </row>
    <row r="980" spans="4:6">
      <c r="D980"/>
      <c r="E980"/>
      <c r="F980"/>
    </row>
    <row r="981" spans="4:6">
      <c r="D981"/>
      <c r="E981"/>
      <c r="F981"/>
    </row>
    <row r="982" spans="4:6">
      <c r="D982"/>
      <c r="E982"/>
      <c r="F982"/>
    </row>
    <row r="983" spans="4:6">
      <c r="D983"/>
      <c r="E983"/>
      <c r="F983"/>
    </row>
    <row r="984" spans="4:6">
      <c r="D984"/>
      <c r="E984"/>
      <c r="F984"/>
    </row>
    <row r="985" spans="4:6">
      <c r="D985"/>
      <c r="E985"/>
      <c r="F985"/>
    </row>
    <row r="986" spans="4:6">
      <c r="D986"/>
      <c r="E986"/>
      <c r="F986"/>
    </row>
    <row r="987" spans="4:6">
      <c r="D987"/>
      <c r="E987"/>
      <c r="F987"/>
    </row>
    <row r="988" spans="4:6">
      <c r="D988"/>
      <c r="E988"/>
      <c r="F988"/>
    </row>
    <row r="989" spans="4:6">
      <c r="D989"/>
      <c r="E989"/>
      <c r="F989"/>
    </row>
    <row r="990" spans="4:6">
      <c r="D990"/>
      <c r="E990"/>
      <c r="F990"/>
    </row>
    <row r="991" spans="4:6">
      <c r="D991"/>
      <c r="E991"/>
      <c r="F991"/>
    </row>
    <row r="992" spans="4:6">
      <c r="D992"/>
      <c r="E992"/>
      <c r="F992"/>
    </row>
    <row r="993" spans="4:6">
      <c r="D993"/>
      <c r="E993"/>
      <c r="F993"/>
    </row>
    <row r="994" spans="4:6">
      <c r="D994"/>
      <c r="E994"/>
      <c r="F994"/>
    </row>
    <row r="995" spans="4:6">
      <c r="D995"/>
      <c r="E995"/>
      <c r="F995"/>
    </row>
    <row r="996" spans="4:6">
      <c r="D996"/>
      <c r="E996"/>
      <c r="F996"/>
    </row>
    <row r="997" spans="4:6">
      <c r="D997"/>
      <c r="E997"/>
      <c r="F997"/>
    </row>
    <row r="998" spans="4:6">
      <c r="D998"/>
      <c r="E998"/>
      <c r="F998"/>
    </row>
    <row r="999" spans="4:6">
      <c r="D999"/>
      <c r="E999"/>
      <c r="F999"/>
    </row>
    <row r="1000" spans="4:6">
      <c r="D1000"/>
      <c r="E1000"/>
      <c r="F1000"/>
    </row>
    <row r="1001" spans="4:6">
      <c r="D1001"/>
      <c r="E1001"/>
      <c r="F1001"/>
    </row>
    <row r="1002" spans="4:6">
      <c r="D1002"/>
      <c r="E1002"/>
      <c r="F1002"/>
    </row>
    <row r="1003" spans="4:6" outlineLevel="1">
      <c r="D1003"/>
      <c r="E1003"/>
      <c r="F1003"/>
    </row>
    <row r="1004" spans="4:6" outlineLevel="1">
      <c r="D1004"/>
      <c r="E1004"/>
      <c r="F1004"/>
    </row>
    <row r="1005" spans="4:6" outlineLevel="1">
      <c r="D1005"/>
      <c r="E1005"/>
      <c r="F1005"/>
    </row>
    <row r="1006" spans="4:6" outlineLevel="1">
      <c r="D1006"/>
      <c r="E1006"/>
      <c r="F1006"/>
    </row>
    <row r="1007" spans="4:6" outlineLevel="1">
      <c r="D1007"/>
      <c r="E1007"/>
      <c r="F1007"/>
    </row>
    <row r="1008" spans="4:6" outlineLevel="1">
      <c r="D1008"/>
      <c r="E1008"/>
      <c r="F1008"/>
    </row>
    <row r="1009" spans="4:6" outlineLevel="1">
      <c r="D1009"/>
      <c r="E1009"/>
      <c r="F1009"/>
    </row>
    <row r="1010" spans="4:6" outlineLevel="1">
      <c r="D1010"/>
      <c r="E1010"/>
      <c r="F1010"/>
    </row>
    <row r="1011" spans="4:6" outlineLevel="1">
      <c r="D1011"/>
      <c r="E1011"/>
      <c r="F1011"/>
    </row>
    <row r="1012" spans="4:6" outlineLevel="1">
      <c r="D1012"/>
      <c r="E1012"/>
      <c r="F1012"/>
    </row>
    <row r="1013" spans="4:6" outlineLevel="1">
      <c r="D1013"/>
      <c r="E1013"/>
      <c r="F1013"/>
    </row>
    <row r="1014" spans="4:6" outlineLevel="1">
      <c r="D1014"/>
      <c r="E1014"/>
      <c r="F1014"/>
    </row>
    <row r="1015" spans="4:6" outlineLevel="1">
      <c r="D1015"/>
      <c r="E1015"/>
      <c r="F1015"/>
    </row>
    <row r="1016" spans="4:6" outlineLevel="1">
      <c r="D1016"/>
      <c r="E1016"/>
      <c r="F1016"/>
    </row>
    <row r="1017" spans="4:6" outlineLevel="1">
      <c r="D1017"/>
      <c r="E1017"/>
      <c r="F1017"/>
    </row>
    <row r="1018" spans="4:6" outlineLevel="1">
      <c r="D1018"/>
      <c r="E1018"/>
      <c r="F1018"/>
    </row>
    <row r="1019" spans="4:6" outlineLevel="1">
      <c r="D1019"/>
      <c r="E1019"/>
      <c r="F1019"/>
    </row>
    <row r="1020" spans="4:6" outlineLevel="1">
      <c r="D1020"/>
      <c r="E1020"/>
      <c r="F1020"/>
    </row>
    <row r="1021" spans="4:6" outlineLevel="1">
      <c r="D1021"/>
      <c r="E1021"/>
      <c r="F1021"/>
    </row>
    <row r="1022" spans="4:6" outlineLevel="1">
      <c r="D1022"/>
      <c r="E1022"/>
      <c r="F1022"/>
    </row>
    <row r="1023" spans="4:6" outlineLevel="1">
      <c r="D1023"/>
      <c r="E1023"/>
      <c r="F1023"/>
    </row>
    <row r="1024" spans="4:6" outlineLevel="1">
      <c r="D1024"/>
      <c r="E1024"/>
      <c r="F1024"/>
    </row>
    <row r="1025" spans="4:6" outlineLevel="1">
      <c r="D1025"/>
      <c r="E1025"/>
      <c r="F1025"/>
    </row>
    <row r="1026" spans="4:6" outlineLevel="1">
      <c r="D1026"/>
      <c r="E1026"/>
      <c r="F1026"/>
    </row>
    <row r="1027" spans="4:6" outlineLevel="1">
      <c r="D1027"/>
      <c r="E1027"/>
      <c r="F1027"/>
    </row>
    <row r="1028" spans="4:6" outlineLevel="1">
      <c r="D1028"/>
      <c r="E1028"/>
      <c r="F1028"/>
    </row>
    <row r="1029" spans="4:6" outlineLevel="1">
      <c r="D1029"/>
      <c r="E1029"/>
      <c r="F1029"/>
    </row>
    <row r="1030" spans="4:6" outlineLevel="1">
      <c r="D1030"/>
      <c r="E1030"/>
      <c r="F1030"/>
    </row>
    <row r="1031" spans="4:6" outlineLevel="1">
      <c r="D1031"/>
      <c r="E1031"/>
      <c r="F1031"/>
    </row>
    <row r="1032" spans="4:6" outlineLevel="1">
      <c r="D1032"/>
      <c r="E1032"/>
      <c r="F1032"/>
    </row>
    <row r="1033" spans="4:6" outlineLevel="1">
      <c r="D1033"/>
      <c r="E1033"/>
      <c r="F1033"/>
    </row>
    <row r="1034" spans="4:6" outlineLevel="1">
      <c r="D1034"/>
      <c r="E1034"/>
      <c r="F1034"/>
    </row>
    <row r="1035" spans="4:6" outlineLevel="1">
      <c r="D1035"/>
      <c r="E1035"/>
      <c r="F1035"/>
    </row>
    <row r="1036" spans="4:6" outlineLevel="1">
      <c r="D1036"/>
      <c r="E1036"/>
      <c r="F1036"/>
    </row>
    <row r="1037" spans="4:6" outlineLevel="1">
      <c r="D1037"/>
      <c r="E1037"/>
      <c r="F1037"/>
    </row>
    <row r="1038" spans="4:6" outlineLevel="1">
      <c r="D1038"/>
      <c r="E1038"/>
      <c r="F1038"/>
    </row>
    <row r="1039" spans="4:6" outlineLevel="1">
      <c r="D1039"/>
      <c r="E1039"/>
      <c r="F1039"/>
    </row>
    <row r="1040" spans="4:6" outlineLevel="1">
      <c r="D1040"/>
      <c r="E1040"/>
      <c r="F1040"/>
    </row>
    <row r="1041" spans="4:6" outlineLevel="1">
      <c r="D1041"/>
      <c r="E1041"/>
      <c r="F1041"/>
    </row>
    <row r="1042" spans="4:6" outlineLevel="1">
      <c r="D1042"/>
      <c r="E1042"/>
      <c r="F1042"/>
    </row>
    <row r="1043" spans="4:6" outlineLevel="1">
      <c r="D1043"/>
      <c r="E1043"/>
      <c r="F1043"/>
    </row>
    <row r="1044" spans="4:6" outlineLevel="1">
      <c r="D1044"/>
      <c r="E1044"/>
      <c r="F1044"/>
    </row>
    <row r="1045" spans="4:6" outlineLevel="1">
      <c r="D1045"/>
      <c r="E1045"/>
      <c r="F1045"/>
    </row>
    <row r="1046" spans="4:6" outlineLevel="1">
      <c r="D1046"/>
      <c r="E1046"/>
      <c r="F1046"/>
    </row>
    <row r="1047" spans="4:6" outlineLevel="1">
      <c r="D1047"/>
      <c r="E1047"/>
      <c r="F1047"/>
    </row>
    <row r="1048" spans="4:6" outlineLevel="1">
      <c r="D1048"/>
      <c r="E1048"/>
      <c r="F1048"/>
    </row>
    <row r="1049" spans="4:6" outlineLevel="1">
      <c r="D1049"/>
      <c r="E1049"/>
      <c r="F1049"/>
    </row>
    <row r="1050" spans="4:6" outlineLevel="1">
      <c r="D1050"/>
      <c r="E1050"/>
      <c r="F1050"/>
    </row>
    <row r="1051" spans="4:6" outlineLevel="1">
      <c r="D1051"/>
      <c r="E1051"/>
      <c r="F1051"/>
    </row>
    <row r="1052" spans="4:6" outlineLevel="1">
      <c r="D1052"/>
      <c r="E1052"/>
      <c r="F1052"/>
    </row>
    <row r="1053" spans="4:6" outlineLevel="1">
      <c r="D1053"/>
      <c r="E1053"/>
      <c r="F1053"/>
    </row>
    <row r="1054" spans="4:6" outlineLevel="1">
      <c r="D1054"/>
      <c r="E1054"/>
      <c r="F1054"/>
    </row>
    <row r="1055" spans="4:6" outlineLevel="1">
      <c r="D1055"/>
      <c r="E1055"/>
      <c r="F1055"/>
    </row>
    <row r="1056" spans="4:6">
      <c r="D1056"/>
      <c r="E1056"/>
      <c r="F1056"/>
    </row>
    <row r="1057" spans="4:6" outlineLevel="1">
      <c r="D1057"/>
      <c r="E1057"/>
      <c r="F1057"/>
    </row>
    <row r="1058" spans="4:6" outlineLevel="1">
      <c r="D1058"/>
      <c r="E1058"/>
      <c r="F1058"/>
    </row>
    <row r="1059" spans="4:6" outlineLevel="1">
      <c r="D1059"/>
      <c r="E1059"/>
      <c r="F1059"/>
    </row>
    <row r="1060" spans="4:6" outlineLevel="1">
      <c r="D1060"/>
      <c r="E1060"/>
      <c r="F1060"/>
    </row>
    <row r="1061" spans="4:6" outlineLevel="1">
      <c r="D1061"/>
      <c r="E1061"/>
      <c r="F1061"/>
    </row>
    <row r="1062" spans="4:6" outlineLevel="1">
      <c r="D1062"/>
      <c r="E1062"/>
      <c r="F1062"/>
    </row>
    <row r="1063" spans="4:6" outlineLevel="1">
      <c r="D1063"/>
      <c r="E1063"/>
      <c r="F1063"/>
    </row>
    <row r="1064" spans="4:6" outlineLevel="1">
      <c r="D1064"/>
      <c r="E1064"/>
      <c r="F1064"/>
    </row>
    <row r="1065" spans="4:6" outlineLevel="1">
      <c r="D1065"/>
      <c r="E1065"/>
      <c r="F1065"/>
    </row>
    <row r="1066" spans="4:6" outlineLevel="1">
      <c r="D1066"/>
      <c r="E1066"/>
      <c r="F1066"/>
    </row>
    <row r="1067" spans="4:6" outlineLevel="1">
      <c r="D1067"/>
      <c r="E1067"/>
      <c r="F1067"/>
    </row>
    <row r="1068" spans="4:6" outlineLevel="1">
      <c r="D1068"/>
      <c r="E1068"/>
      <c r="F1068"/>
    </row>
    <row r="1069" spans="4:6" outlineLevel="1">
      <c r="D1069"/>
      <c r="E1069"/>
      <c r="F1069"/>
    </row>
    <row r="1070" spans="4:6" outlineLevel="1">
      <c r="D1070"/>
      <c r="E1070"/>
      <c r="F1070"/>
    </row>
    <row r="1071" spans="4:6" outlineLevel="1">
      <c r="D1071"/>
      <c r="E1071"/>
      <c r="F1071"/>
    </row>
    <row r="1072" spans="4:6" outlineLevel="1">
      <c r="D1072"/>
      <c r="E1072"/>
      <c r="F1072"/>
    </row>
    <row r="1073" spans="4:6" outlineLevel="1">
      <c r="D1073"/>
      <c r="E1073"/>
      <c r="F1073"/>
    </row>
    <row r="1074" spans="4:6" outlineLevel="1">
      <c r="D1074"/>
      <c r="E1074"/>
      <c r="F1074"/>
    </row>
    <row r="1075" spans="4:6" outlineLevel="1">
      <c r="D1075"/>
      <c r="E1075"/>
      <c r="F1075"/>
    </row>
    <row r="1076" spans="4:6" outlineLevel="1">
      <c r="D1076"/>
      <c r="E1076"/>
      <c r="F1076"/>
    </row>
    <row r="1077" spans="4:6" outlineLevel="1">
      <c r="D1077"/>
      <c r="E1077"/>
      <c r="F1077"/>
    </row>
    <row r="1078" spans="4:6" outlineLevel="1">
      <c r="D1078"/>
      <c r="E1078"/>
      <c r="F1078"/>
    </row>
    <row r="1079" spans="4:6" outlineLevel="1">
      <c r="D1079"/>
      <c r="E1079"/>
      <c r="F1079"/>
    </row>
    <row r="1080" spans="4:6" outlineLevel="1">
      <c r="D1080"/>
      <c r="E1080"/>
      <c r="F1080"/>
    </row>
    <row r="1081" spans="4:6" outlineLevel="1">
      <c r="D1081"/>
      <c r="E1081"/>
      <c r="F1081"/>
    </row>
    <row r="1082" spans="4:6" outlineLevel="1">
      <c r="D1082"/>
      <c r="E1082"/>
      <c r="F1082"/>
    </row>
    <row r="1083" spans="4:6" outlineLevel="1">
      <c r="D1083"/>
      <c r="E1083"/>
      <c r="F1083"/>
    </row>
    <row r="1084" spans="4:6" outlineLevel="1">
      <c r="D1084"/>
      <c r="E1084"/>
      <c r="F1084"/>
    </row>
    <row r="1085" spans="4:6" outlineLevel="1">
      <c r="D1085"/>
      <c r="E1085"/>
      <c r="F1085"/>
    </row>
    <row r="1086" spans="4:6" outlineLevel="1">
      <c r="D1086"/>
      <c r="E1086"/>
      <c r="F1086"/>
    </row>
    <row r="1087" spans="4:6" outlineLevel="1">
      <c r="D1087"/>
      <c r="E1087"/>
      <c r="F1087"/>
    </row>
    <row r="1088" spans="4:6" outlineLevel="1">
      <c r="D1088"/>
      <c r="E1088"/>
      <c r="F1088"/>
    </row>
    <row r="1089" spans="4:6" outlineLevel="1">
      <c r="D1089"/>
      <c r="E1089"/>
      <c r="F1089"/>
    </row>
    <row r="1090" spans="4:6" outlineLevel="1">
      <c r="D1090"/>
      <c r="E1090"/>
      <c r="F1090"/>
    </row>
    <row r="1091" spans="4:6" outlineLevel="1">
      <c r="D1091"/>
      <c r="E1091"/>
      <c r="F1091"/>
    </row>
    <row r="1092" spans="4:6" outlineLevel="1">
      <c r="D1092"/>
      <c r="E1092"/>
      <c r="F1092"/>
    </row>
    <row r="1093" spans="4:6" outlineLevel="1">
      <c r="D1093"/>
      <c r="E1093"/>
      <c r="F1093"/>
    </row>
    <row r="1094" spans="4:6" outlineLevel="1">
      <c r="D1094"/>
      <c r="E1094"/>
      <c r="F1094"/>
    </row>
    <row r="1095" spans="4:6" outlineLevel="1">
      <c r="D1095"/>
      <c r="E1095"/>
      <c r="F1095"/>
    </row>
    <row r="1096" spans="4:6" outlineLevel="1">
      <c r="D1096"/>
      <c r="E1096"/>
      <c r="F1096"/>
    </row>
    <row r="1097" spans="4:6" outlineLevel="1">
      <c r="D1097"/>
      <c r="E1097"/>
      <c r="F1097"/>
    </row>
    <row r="1098" spans="4:6" outlineLevel="1">
      <c r="D1098"/>
      <c r="E1098"/>
      <c r="F1098"/>
    </row>
    <row r="1099" spans="4:6" outlineLevel="1">
      <c r="D1099"/>
      <c r="E1099"/>
      <c r="F1099"/>
    </row>
    <row r="1100" spans="4:6" outlineLevel="1">
      <c r="D1100"/>
      <c r="E1100"/>
      <c r="F1100"/>
    </row>
    <row r="1101" spans="4:6" outlineLevel="1">
      <c r="D1101"/>
      <c r="E1101"/>
      <c r="F1101"/>
    </row>
    <row r="1102" spans="4:6" outlineLevel="1">
      <c r="D1102"/>
      <c r="E1102"/>
      <c r="F1102"/>
    </row>
    <row r="1103" spans="4:6" outlineLevel="1">
      <c r="D1103"/>
      <c r="E1103"/>
      <c r="F1103"/>
    </row>
    <row r="1104" spans="4:6" outlineLevel="1">
      <c r="D1104"/>
      <c r="E1104"/>
      <c r="F1104"/>
    </row>
    <row r="1105" spans="4:6" outlineLevel="1">
      <c r="D1105"/>
      <c r="E1105"/>
      <c r="F1105"/>
    </row>
    <row r="1106" spans="4:6" outlineLevel="1">
      <c r="D1106"/>
      <c r="E1106"/>
      <c r="F1106"/>
    </row>
    <row r="1107" spans="4:6" outlineLevel="1">
      <c r="D1107"/>
      <c r="E1107"/>
      <c r="F1107"/>
    </row>
    <row r="1108" spans="4:6" outlineLevel="1">
      <c r="D1108"/>
      <c r="E1108"/>
      <c r="F1108"/>
    </row>
    <row r="1109" spans="4:6" outlineLevel="1">
      <c r="D1109"/>
      <c r="E1109"/>
      <c r="F1109"/>
    </row>
    <row r="1110" spans="4:6" outlineLevel="1">
      <c r="D1110"/>
      <c r="E1110"/>
      <c r="F1110"/>
    </row>
    <row r="1111" spans="4:6" outlineLevel="1">
      <c r="D1111"/>
      <c r="E1111"/>
      <c r="F1111"/>
    </row>
    <row r="1112" spans="4:6" outlineLevel="1">
      <c r="D1112"/>
      <c r="E1112"/>
      <c r="F1112"/>
    </row>
    <row r="1113" spans="4:6" outlineLevel="1">
      <c r="D1113"/>
      <c r="E1113"/>
      <c r="F1113"/>
    </row>
    <row r="1114" spans="4:6" outlineLevel="1">
      <c r="D1114"/>
      <c r="E1114"/>
      <c r="F1114"/>
    </row>
    <row r="1115" spans="4:6" outlineLevel="1">
      <c r="D1115"/>
      <c r="E1115"/>
      <c r="F1115"/>
    </row>
    <row r="1116" spans="4:6" outlineLevel="1">
      <c r="D1116"/>
      <c r="E1116"/>
      <c r="F1116"/>
    </row>
    <row r="1117" spans="4:6" outlineLevel="1">
      <c r="D1117"/>
      <c r="E1117"/>
      <c r="F1117"/>
    </row>
    <row r="1118" spans="4:6" outlineLevel="1">
      <c r="D1118"/>
      <c r="E1118"/>
      <c r="F1118"/>
    </row>
    <row r="1119" spans="4:6" outlineLevel="1">
      <c r="D1119"/>
      <c r="E1119"/>
      <c r="F1119"/>
    </row>
    <row r="1120" spans="4:6" outlineLevel="1">
      <c r="D1120"/>
      <c r="E1120"/>
      <c r="F1120"/>
    </row>
    <row r="1121" spans="4:6" outlineLevel="1">
      <c r="D1121"/>
      <c r="E1121"/>
      <c r="F1121"/>
    </row>
    <row r="1122" spans="4:6" outlineLevel="1">
      <c r="D1122"/>
      <c r="E1122"/>
      <c r="F1122"/>
    </row>
    <row r="1123" spans="4:6" outlineLevel="1">
      <c r="D1123"/>
      <c r="E1123"/>
      <c r="F1123"/>
    </row>
    <row r="1124" spans="4:6" outlineLevel="1">
      <c r="D1124"/>
      <c r="E1124"/>
      <c r="F1124"/>
    </row>
    <row r="1125" spans="4:6" outlineLevel="1">
      <c r="D1125"/>
      <c r="E1125"/>
      <c r="F1125"/>
    </row>
    <row r="1126" spans="4:6" outlineLevel="1">
      <c r="D1126"/>
      <c r="E1126"/>
      <c r="F1126"/>
    </row>
    <row r="1127" spans="4:6" outlineLevel="1">
      <c r="D1127"/>
      <c r="E1127"/>
      <c r="F1127"/>
    </row>
    <row r="1128" spans="4:6" outlineLevel="1">
      <c r="D1128"/>
      <c r="E1128"/>
      <c r="F1128"/>
    </row>
    <row r="1129" spans="4:6" outlineLevel="1">
      <c r="D1129"/>
      <c r="E1129"/>
      <c r="F1129"/>
    </row>
    <row r="1130" spans="4:6" outlineLevel="1">
      <c r="D1130"/>
      <c r="E1130"/>
      <c r="F1130"/>
    </row>
    <row r="1131" spans="4:6" outlineLevel="1">
      <c r="D1131"/>
      <c r="E1131"/>
      <c r="F1131"/>
    </row>
    <row r="1132" spans="4:6" outlineLevel="1">
      <c r="D1132"/>
      <c r="E1132"/>
      <c r="F1132"/>
    </row>
    <row r="1133" spans="4:6" outlineLevel="1">
      <c r="D1133"/>
      <c r="E1133"/>
      <c r="F1133"/>
    </row>
    <row r="1134" spans="4:6" outlineLevel="1">
      <c r="D1134"/>
      <c r="E1134"/>
      <c r="F1134"/>
    </row>
    <row r="1135" spans="4:6" outlineLevel="1">
      <c r="D1135"/>
      <c r="E1135"/>
      <c r="F1135"/>
    </row>
    <row r="1136" spans="4:6" outlineLevel="1">
      <c r="D1136"/>
      <c r="E1136"/>
      <c r="F1136"/>
    </row>
    <row r="1137" spans="4:6" outlineLevel="1">
      <c r="D1137"/>
      <c r="E1137"/>
      <c r="F1137"/>
    </row>
    <row r="1138" spans="4:6" outlineLevel="1">
      <c r="D1138"/>
      <c r="E1138"/>
      <c r="F1138"/>
    </row>
    <row r="1139" spans="4:6" outlineLevel="1">
      <c r="D1139"/>
      <c r="E1139"/>
      <c r="F1139"/>
    </row>
    <row r="1140" spans="4:6" outlineLevel="1">
      <c r="D1140"/>
      <c r="E1140"/>
      <c r="F1140"/>
    </row>
    <row r="1141" spans="4:6" outlineLevel="1">
      <c r="D1141"/>
      <c r="E1141"/>
      <c r="F1141"/>
    </row>
    <row r="1142" spans="4:6" outlineLevel="1">
      <c r="D1142"/>
      <c r="E1142"/>
      <c r="F1142"/>
    </row>
    <row r="1143" spans="4:6" outlineLevel="1">
      <c r="D1143"/>
      <c r="E1143"/>
      <c r="F1143"/>
    </row>
    <row r="1144" spans="4:6" outlineLevel="1">
      <c r="D1144"/>
      <c r="E1144"/>
      <c r="F1144"/>
    </row>
    <row r="1145" spans="4:6" outlineLevel="1">
      <c r="D1145"/>
      <c r="E1145"/>
      <c r="F1145"/>
    </row>
    <row r="1146" spans="4:6" outlineLevel="1">
      <c r="D1146"/>
      <c r="E1146"/>
      <c r="F1146"/>
    </row>
    <row r="1147" spans="4:6" outlineLevel="1">
      <c r="D1147"/>
      <c r="E1147"/>
      <c r="F1147"/>
    </row>
    <row r="1148" spans="4:6" outlineLevel="1">
      <c r="D1148"/>
      <c r="E1148"/>
      <c r="F1148"/>
    </row>
    <row r="1149" spans="4:6" outlineLevel="1">
      <c r="D1149"/>
      <c r="E1149"/>
      <c r="F1149"/>
    </row>
    <row r="1150" spans="4:6" outlineLevel="1">
      <c r="D1150"/>
      <c r="E1150"/>
      <c r="F1150"/>
    </row>
    <row r="1151" spans="4:6" outlineLevel="1">
      <c r="D1151"/>
      <c r="E1151"/>
      <c r="F1151"/>
    </row>
    <row r="1152" spans="4:6" outlineLevel="1">
      <c r="D1152"/>
      <c r="E1152"/>
      <c r="F1152"/>
    </row>
    <row r="1153" spans="4:6" outlineLevel="1">
      <c r="D1153"/>
      <c r="E1153"/>
      <c r="F1153"/>
    </row>
    <row r="1154" spans="4:6" outlineLevel="1">
      <c r="D1154"/>
      <c r="E1154"/>
      <c r="F1154"/>
    </row>
    <row r="1155" spans="4:6" outlineLevel="1">
      <c r="D1155"/>
      <c r="E1155"/>
      <c r="F1155"/>
    </row>
    <row r="1156" spans="4:6" outlineLevel="1">
      <c r="D1156"/>
      <c r="E1156"/>
      <c r="F1156"/>
    </row>
    <row r="1157" spans="4:6" outlineLevel="1">
      <c r="D1157"/>
      <c r="E1157"/>
      <c r="F1157"/>
    </row>
    <row r="1158" spans="4:6" outlineLevel="1">
      <c r="D1158"/>
      <c r="E1158"/>
      <c r="F1158"/>
    </row>
    <row r="1159" spans="4:6" outlineLevel="1">
      <c r="D1159"/>
      <c r="E1159"/>
      <c r="F1159"/>
    </row>
    <row r="1160" spans="4:6" outlineLevel="1">
      <c r="D1160"/>
      <c r="E1160"/>
      <c r="F1160"/>
    </row>
    <row r="1161" spans="4:6">
      <c r="D1161"/>
      <c r="E1161"/>
      <c r="F1161"/>
    </row>
    <row r="1162" spans="4:6" outlineLevel="1">
      <c r="D1162"/>
      <c r="E1162"/>
      <c r="F1162"/>
    </row>
    <row r="1163" spans="4:6" outlineLevel="1">
      <c r="D1163"/>
      <c r="E1163"/>
      <c r="F1163"/>
    </row>
    <row r="1164" spans="4:6" outlineLevel="1">
      <c r="D1164"/>
      <c r="E1164"/>
      <c r="F1164"/>
    </row>
    <row r="1165" spans="4:6" outlineLevel="1">
      <c r="D1165"/>
      <c r="E1165"/>
      <c r="F1165"/>
    </row>
    <row r="1166" spans="4:6" outlineLevel="1">
      <c r="D1166"/>
      <c r="E1166"/>
      <c r="F1166"/>
    </row>
    <row r="1167" spans="4:6" outlineLevel="1">
      <c r="D1167"/>
      <c r="E1167"/>
      <c r="F1167"/>
    </row>
    <row r="1168" spans="4:6" outlineLevel="1">
      <c r="D1168"/>
      <c r="E1168"/>
      <c r="F1168"/>
    </row>
    <row r="1169" spans="4:6" outlineLevel="1">
      <c r="D1169"/>
      <c r="E1169"/>
      <c r="F1169"/>
    </row>
    <row r="1170" spans="4:6" outlineLevel="1">
      <c r="D1170"/>
      <c r="E1170"/>
      <c r="F1170"/>
    </row>
    <row r="1171" spans="4:6" outlineLevel="1">
      <c r="D1171"/>
      <c r="E1171"/>
      <c r="F1171"/>
    </row>
    <row r="1172" spans="4:6" outlineLevel="1">
      <c r="D1172"/>
      <c r="E1172"/>
      <c r="F1172"/>
    </row>
    <row r="1173" spans="4:6" outlineLevel="1">
      <c r="D1173"/>
      <c r="E1173"/>
      <c r="F1173"/>
    </row>
    <row r="1174" spans="4:6" outlineLevel="1">
      <c r="D1174"/>
      <c r="E1174"/>
      <c r="F1174"/>
    </row>
    <row r="1175" spans="4:6" outlineLevel="1">
      <c r="D1175"/>
      <c r="E1175"/>
      <c r="F1175"/>
    </row>
    <row r="1176" spans="4:6" outlineLevel="1">
      <c r="D1176"/>
      <c r="E1176"/>
      <c r="F1176"/>
    </row>
    <row r="1177" spans="4:6" outlineLevel="1">
      <c r="D1177"/>
      <c r="E1177"/>
      <c r="F1177"/>
    </row>
    <row r="1178" spans="4:6" outlineLevel="1">
      <c r="D1178"/>
      <c r="E1178"/>
      <c r="F1178"/>
    </row>
    <row r="1179" spans="4:6" outlineLevel="1">
      <c r="D1179"/>
      <c r="E1179"/>
      <c r="F1179"/>
    </row>
    <row r="1180" spans="4:6" outlineLevel="1">
      <c r="D1180"/>
      <c r="E1180"/>
      <c r="F1180"/>
    </row>
    <row r="1181" spans="4:6" outlineLevel="1">
      <c r="D1181"/>
      <c r="E1181"/>
      <c r="F1181"/>
    </row>
    <row r="1182" spans="4:6" outlineLevel="1">
      <c r="D1182"/>
      <c r="E1182"/>
      <c r="F1182"/>
    </row>
    <row r="1183" spans="4:6" outlineLevel="1">
      <c r="D1183"/>
      <c r="E1183"/>
      <c r="F1183"/>
    </row>
    <row r="1184" spans="4:6" outlineLevel="1">
      <c r="D1184"/>
      <c r="E1184"/>
      <c r="F1184"/>
    </row>
    <row r="1185" spans="4:6" outlineLevel="1">
      <c r="D1185"/>
      <c r="E1185"/>
      <c r="F1185"/>
    </row>
    <row r="1186" spans="4:6" outlineLevel="1">
      <c r="D1186"/>
      <c r="E1186"/>
      <c r="F1186"/>
    </row>
    <row r="1187" spans="4:6" outlineLevel="1">
      <c r="D1187"/>
      <c r="E1187"/>
      <c r="F1187"/>
    </row>
    <row r="1188" spans="4:6" outlineLevel="1">
      <c r="D1188"/>
      <c r="E1188"/>
      <c r="F1188"/>
    </row>
    <row r="1189" spans="4:6" outlineLevel="1">
      <c r="D1189"/>
      <c r="E1189"/>
      <c r="F1189"/>
    </row>
    <row r="1190" spans="4:6" outlineLevel="1">
      <c r="D1190"/>
      <c r="E1190"/>
      <c r="F1190"/>
    </row>
    <row r="1191" spans="4:6" outlineLevel="1">
      <c r="D1191"/>
      <c r="E1191"/>
      <c r="F1191"/>
    </row>
    <row r="1192" spans="4:6" outlineLevel="1">
      <c r="D1192"/>
      <c r="E1192"/>
      <c r="F1192"/>
    </row>
    <row r="1193" spans="4:6" outlineLevel="1">
      <c r="D1193"/>
      <c r="E1193"/>
      <c r="F1193"/>
    </row>
    <row r="1194" spans="4:6" outlineLevel="1">
      <c r="D1194"/>
      <c r="E1194"/>
      <c r="F1194"/>
    </row>
    <row r="1195" spans="4:6" outlineLevel="1">
      <c r="D1195"/>
      <c r="E1195"/>
      <c r="F1195"/>
    </row>
    <row r="1196" spans="4:6" outlineLevel="1">
      <c r="D1196"/>
      <c r="E1196"/>
      <c r="F1196"/>
    </row>
    <row r="1197" spans="4:6" outlineLevel="1">
      <c r="D1197"/>
      <c r="E1197"/>
      <c r="F1197"/>
    </row>
    <row r="1198" spans="4:6" outlineLevel="1">
      <c r="D1198"/>
      <c r="E1198"/>
      <c r="F1198"/>
    </row>
    <row r="1199" spans="4:6" outlineLevel="1">
      <c r="D1199"/>
      <c r="E1199"/>
      <c r="F1199"/>
    </row>
    <row r="1200" spans="4:6" outlineLevel="1">
      <c r="D1200"/>
      <c r="E1200"/>
      <c r="F1200"/>
    </row>
    <row r="1201" spans="4:6" outlineLevel="1">
      <c r="D1201"/>
      <c r="E1201"/>
      <c r="F1201"/>
    </row>
    <row r="1202" spans="4:6" outlineLevel="1">
      <c r="D1202"/>
      <c r="E1202"/>
      <c r="F1202"/>
    </row>
    <row r="1203" spans="4:6" outlineLevel="1">
      <c r="D1203"/>
      <c r="E1203"/>
      <c r="F1203"/>
    </row>
    <row r="1204" spans="4:6" outlineLevel="1">
      <c r="D1204"/>
      <c r="E1204"/>
      <c r="F1204"/>
    </row>
    <row r="1205" spans="4:6" outlineLevel="1">
      <c r="D1205"/>
      <c r="E1205"/>
      <c r="F1205"/>
    </row>
    <row r="1206" spans="4:6" outlineLevel="1">
      <c r="D1206"/>
      <c r="E1206"/>
      <c r="F1206"/>
    </row>
    <row r="1207" spans="4:6" outlineLevel="1">
      <c r="D1207"/>
      <c r="E1207"/>
      <c r="F1207"/>
    </row>
    <row r="1208" spans="4:6" outlineLevel="1">
      <c r="D1208"/>
      <c r="E1208"/>
      <c r="F1208"/>
    </row>
    <row r="1209" spans="4:6" outlineLevel="1">
      <c r="D1209"/>
      <c r="E1209"/>
      <c r="F1209"/>
    </row>
    <row r="1210" spans="4:6" outlineLevel="1">
      <c r="D1210"/>
      <c r="E1210"/>
      <c r="F1210"/>
    </row>
    <row r="1211" spans="4:6" outlineLevel="1">
      <c r="D1211"/>
      <c r="E1211"/>
      <c r="F1211"/>
    </row>
    <row r="1212" spans="4:6" outlineLevel="1">
      <c r="D1212"/>
      <c r="E1212"/>
      <c r="F1212"/>
    </row>
    <row r="1213" spans="4:6" outlineLevel="1">
      <c r="D1213"/>
      <c r="E1213"/>
      <c r="F1213"/>
    </row>
    <row r="1214" spans="4:6" outlineLevel="1">
      <c r="D1214"/>
      <c r="E1214"/>
      <c r="F1214"/>
    </row>
    <row r="1215" spans="4:6" outlineLevel="1">
      <c r="D1215"/>
      <c r="E1215"/>
      <c r="F1215"/>
    </row>
    <row r="1216" spans="4:6" outlineLevel="1">
      <c r="D1216"/>
      <c r="E1216"/>
      <c r="F1216"/>
    </row>
    <row r="1217" spans="4:6" outlineLevel="1">
      <c r="D1217"/>
      <c r="E1217"/>
      <c r="F1217"/>
    </row>
    <row r="1218" spans="4:6" outlineLevel="1">
      <c r="D1218"/>
      <c r="E1218"/>
      <c r="F1218"/>
    </row>
    <row r="1219" spans="4:6" outlineLevel="1">
      <c r="D1219"/>
      <c r="E1219"/>
      <c r="F1219"/>
    </row>
    <row r="1220" spans="4:6" outlineLevel="1">
      <c r="D1220"/>
      <c r="E1220"/>
      <c r="F1220"/>
    </row>
    <row r="1221" spans="4:6" outlineLevel="1">
      <c r="D1221"/>
      <c r="E1221"/>
      <c r="F1221"/>
    </row>
    <row r="1222" spans="4:6" outlineLevel="1">
      <c r="D1222"/>
      <c r="E1222"/>
      <c r="F1222"/>
    </row>
    <row r="1223" spans="4:6" outlineLevel="1">
      <c r="D1223"/>
      <c r="E1223"/>
      <c r="F1223"/>
    </row>
    <row r="1224" spans="4:6" outlineLevel="1">
      <c r="D1224"/>
      <c r="E1224"/>
      <c r="F1224"/>
    </row>
    <row r="1225" spans="4:6" outlineLevel="1">
      <c r="D1225"/>
      <c r="E1225"/>
      <c r="F1225"/>
    </row>
    <row r="1226" spans="4:6" outlineLevel="1">
      <c r="D1226"/>
      <c r="E1226"/>
      <c r="F1226"/>
    </row>
    <row r="1227" spans="4:6" outlineLevel="1">
      <c r="D1227"/>
      <c r="E1227"/>
      <c r="F1227"/>
    </row>
    <row r="1228" spans="4:6" outlineLevel="1">
      <c r="D1228"/>
      <c r="E1228"/>
      <c r="F1228"/>
    </row>
    <row r="1229" spans="4:6" outlineLevel="1">
      <c r="D1229"/>
      <c r="E1229"/>
      <c r="F1229"/>
    </row>
    <row r="1230" spans="4:6" outlineLevel="1">
      <c r="D1230"/>
      <c r="E1230"/>
      <c r="F1230"/>
    </row>
    <row r="1231" spans="4:6" outlineLevel="1">
      <c r="D1231"/>
      <c r="E1231"/>
      <c r="F1231"/>
    </row>
    <row r="1232" spans="4:6" outlineLevel="1">
      <c r="D1232"/>
      <c r="E1232"/>
      <c r="F1232"/>
    </row>
    <row r="1233" spans="4:6" outlineLevel="1">
      <c r="D1233"/>
      <c r="E1233"/>
      <c r="F1233"/>
    </row>
    <row r="1234" spans="4:6" outlineLevel="1">
      <c r="D1234"/>
      <c r="E1234"/>
      <c r="F1234"/>
    </row>
    <row r="1235" spans="4:6" outlineLevel="1">
      <c r="D1235"/>
      <c r="E1235"/>
      <c r="F1235"/>
    </row>
    <row r="1236" spans="4:6" outlineLevel="1">
      <c r="D1236"/>
      <c r="E1236"/>
      <c r="F1236"/>
    </row>
    <row r="1237" spans="4:6" outlineLevel="1">
      <c r="D1237"/>
      <c r="E1237"/>
      <c r="F1237"/>
    </row>
    <row r="1238" spans="4:6" outlineLevel="1">
      <c r="D1238"/>
      <c r="E1238"/>
      <c r="F1238"/>
    </row>
    <row r="1239" spans="4:6" outlineLevel="1">
      <c r="D1239"/>
      <c r="E1239"/>
      <c r="F1239"/>
    </row>
    <row r="1240" spans="4:6" outlineLevel="1">
      <c r="D1240"/>
      <c r="E1240"/>
      <c r="F1240"/>
    </row>
    <row r="1241" spans="4:6" outlineLevel="1">
      <c r="D1241"/>
      <c r="E1241"/>
      <c r="F1241"/>
    </row>
    <row r="1242" spans="4:6" outlineLevel="1">
      <c r="D1242"/>
      <c r="E1242"/>
      <c r="F1242"/>
    </row>
    <row r="1243" spans="4:6" outlineLevel="1">
      <c r="D1243"/>
      <c r="E1243"/>
      <c r="F1243"/>
    </row>
    <row r="1244" spans="4:6" outlineLevel="1">
      <c r="D1244"/>
      <c r="E1244"/>
      <c r="F1244"/>
    </row>
    <row r="1245" spans="4:6" outlineLevel="1">
      <c r="D1245"/>
      <c r="E1245"/>
      <c r="F1245"/>
    </row>
    <row r="1246" spans="4:6" outlineLevel="1">
      <c r="D1246"/>
      <c r="E1246"/>
      <c r="F1246"/>
    </row>
    <row r="1247" spans="4:6" outlineLevel="1">
      <c r="D1247"/>
      <c r="E1247"/>
      <c r="F1247"/>
    </row>
    <row r="1248" spans="4:6" outlineLevel="1">
      <c r="D1248"/>
      <c r="E1248"/>
      <c r="F1248"/>
    </row>
    <row r="1249" spans="4:6" outlineLevel="1">
      <c r="D1249"/>
      <c r="E1249"/>
      <c r="F1249"/>
    </row>
    <row r="1250" spans="4:6" outlineLevel="1">
      <c r="D1250"/>
      <c r="E1250"/>
      <c r="F1250"/>
    </row>
    <row r="1251" spans="4:6" outlineLevel="1">
      <c r="D1251"/>
      <c r="E1251"/>
      <c r="F1251"/>
    </row>
    <row r="1252" spans="4:6" outlineLevel="1">
      <c r="D1252"/>
      <c r="E1252"/>
      <c r="F1252"/>
    </row>
    <row r="1253" spans="4:6" outlineLevel="1">
      <c r="D1253"/>
      <c r="E1253"/>
      <c r="F1253"/>
    </row>
    <row r="1254" spans="4:6" outlineLevel="1">
      <c r="D1254"/>
      <c r="E1254"/>
      <c r="F1254"/>
    </row>
    <row r="1255" spans="4:6" outlineLevel="1">
      <c r="D1255"/>
      <c r="E1255"/>
      <c r="F1255"/>
    </row>
    <row r="1256" spans="4:6" outlineLevel="1">
      <c r="D1256"/>
      <c r="E1256"/>
      <c r="F1256"/>
    </row>
    <row r="1257" spans="4:6" outlineLevel="1">
      <c r="D1257"/>
      <c r="E1257"/>
      <c r="F1257"/>
    </row>
    <row r="1258" spans="4:6" outlineLevel="1">
      <c r="D1258"/>
      <c r="E1258"/>
      <c r="F1258"/>
    </row>
    <row r="1259" spans="4:6" outlineLevel="1">
      <c r="D1259"/>
      <c r="E1259"/>
      <c r="F1259"/>
    </row>
    <row r="1260" spans="4:6" outlineLevel="1">
      <c r="D1260"/>
      <c r="E1260"/>
      <c r="F1260"/>
    </row>
    <row r="1261" spans="4:6" outlineLevel="1">
      <c r="D1261"/>
      <c r="E1261"/>
      <c r="F1261"/>
    </row>
    <row r="1262" spans="4:6" outlineLevel="1">
      <c r="D1262"/>
      <c r="E1262"/>
      <c r="F1262"/>
    </row>
    <row r="1263" spans="4:6" outlineLevel="1">
      <c r="D1263"/>
      <c r="E1263"/>
      <c r="F1263"/>
    </row>
    <row r="1264" spans="4:6" outlineLevel="1">
      <c r="D1264"/>
      <c r="E1264"/>
      <c r="F1264"/>
    </row>
    <row r="1265" spans="4:6" outlineLevel="1">
      <c r="D1265"/>
      <c r="E1265"/>
      <c r="F1265"/>
    </row>
    <row r="1266" spans="4:6" outlineLevel="1">
      <c r="D1266"/>
      <c r="E1266"/>
      <c r="F1266"/>
    </row>
    <row r="1267" spans="4:6" outlineLevel="1">
      <c r="D1267"/>
      <c r="E1267"/>
      <c r="F1267"/>
    </row>
    <row r="1268" spans="4:6" outlineLevel="1">
      <c r="D1268"/>
      <c r="E1268"/>
      <c r="F1268"/>
    </row>
    <row r="1269" spans="4:6" outlineLevel="1">
      <c r="D1269"/>
      <c r="E1269"/>
      <c r="F1269"/>
    </row>
    <row r="1270" spans="4:6" outlineLevel="1">
      <c r="D1270"/>
      <c r="E1270"/>
      <c r="F1270"/>
    </row>
    <row r="1271" spans="4:6" outlineLevel="1">
      <c r="D1271"/>
      <c r="E1271"/>
      <c r="F1271"/>
    </row>
    <row r="1272" spans="4:6" outlineLevel="1">
      <c r="D1272"/>
      <c r="E1272"/>
      <c r="F1272"/>
    </row>
    <row r="1273" spans="4:6">
      <c r="D1273"/>
      <c r="E1273"/>
      <c r="F1273"/>
    </row>
    <row r="1274" spans="4:6" outlineLevel="1">
      <c r="D1274"/>
      <c r="E1274"/>
      <c r="F1274"/>
    </row>
    <row r="1275" spans="4:6" outlineLevel="1">
      <c r="D1275"/>
      <c r="E1275"/>
      <c r="F1275"/>
    </row>
    <row r="1276" spans="4:6" outlineLevel="1">
      <c r="D1276"/>
      <c r="E1276"/>
      <c r="F1276"/>
    </row>
    <row r="1277" spans="4:6" outlineLevel="1">
      <c r="D1277"/>
      <c r="E1277"/>
      <c r="F1277"/>
    </row>
    <row r="1278" spans="4:6" outlineLevel="1">
      <c r="D1278"/>
      <c r="E1278"/>
      <c r="F1278"/>
    </row>
    <row r="1279" spans="4:6" outlineLevel="1">
      <c r="D1279"/>
      <c r="E1279"/>
      <c r="F1279"/>
    </row>
    <row r="1280" spans="4:6" outlineLevel="1">
      <c r="D1280"/>
      <c r="E1280"/>
      <c r="F1280"/>
    </row>
    <row r="1281" spans="4:6" outlineLevel="1">
      <c r="D1281"/>
      <c r="E1281"/>
      <c r="F1281"/>
    </row>
    <row r="1282" spans="4:6" outlineLevel="1">
      <c r="D1282"/>
      <c r="E1282"/>
      <c r="F1282"/>
    </row>
    <row r="1283" spans="4:6" outlineLevel="1">
      <c r="D1283"/>
      <c r="E1283"/>
      <c r="F1283"/>
    </row>
    <row r="1284" spans="4:6" outlineLevel="1">
      <c r="D1284"/>
      <c r="E1284"/>
      <c r="F1284"/>
    </row>
    <row r="1285" spans="4:6" outlineLevel="1">
      <c r="D1285"/>
      <c r="E1285"/>
      <c r="F1285"/>
    </row>
    <row r="1286" spans="4:6" outlineLevel="1">
      <c r="D1286"/>
      <c r="E1286"/>
      <c r="F1286"/>
    </row>
    <row r="1287" spans="4:6" outlineLevel="1">
      <c r="D1287"/>
      <c r="E1287"/>
      <c r="F1287"/>
    </row>
    <row r="1288" spans="4:6" outlineLevel="1">
      <c r="D1288"/>
      <c r="E1288"/>
      <c r="F1288"/>
    </row>
    <row r="1289" spans="4:6" outlineLevel="1">
      <c r="D1289"/>
      <c r="E1289"/>
      <c r="F1289"/>
    </row>
    <row r="1290" spans="4:6" outlineLevel="1">
      <c r="D1290"/>
      <c r="E1290"/>
      <c r="F1290"/>
    </row>
    <row r="1291" spans="4:6" outlineLevel="1">
      <c r="D1291"/>
      <c r="E1291"/>
      <c r="F1291"/>
    </row>
    <row r="1292" spans="4:6" outlineLevel="1">
      <c r="D1292"/>
      <c r="E1292"/>
      <c r="F1292"/>
    </row>
    <row r="1293" spans="4:6" outlineLevel="1">
      <c r="D1293"/>
      <c r="E1293"/>
      <c r="F1293"/>
    </row>
    <row r="1294" spans="4:6" outlineLevel="1">
      <c r="D1294"/>
      <c r="E1294"/>
      <c r="F1294"/>
    </row>
    <row r="1295" spans="4:6" outlineLevel="1">
      <c r="D1295"/>
      <c r="E1295"/>
      <c r="F1295"/>
    </row>
    <row r="1296" spans="4:6" outlineLevel="1">
      <c r="D1296"/>
      <c r="E1296"/>
      <c r="F1296"/>
    </row>
    <row r="1297" spans="4:6" outlineLevel="1">
      <c r="D1297"/>
      <c r="E1297"/>
      <c r="F1297"/>
    </row>
    <row r="1298" spans="4:6" outlineLevel="1">
      <c r="D1298"/>
      <c r="E1298"/>
      <c r="F1298"/>
    </row>
    <row r="1299" spans="4:6" outlineLevel="1">
      <c r="D1299"/>
      <c r="E1299"/>
      <c r="F1299"/>
    </row>
    <row r="1300" spans="4:6" outlineLevel="1">
      <c r="D1300"/>
      <c r="E1300"/>
      <c r="F1300"/>
    </row>
    <row r="1301" spans="4:6" outlineLevel="1">
      <c r="D1301"/>
      <c r="E1301"/>
      <c r="F1301"/>
    </row>
    <row r="1302" spans="4:6" outlineLevel="1">
      <c r="D1302"/>
      <c r="E1302"/>
      <c r="F1302"/>
    </row>
    <row r="1303" spans="4:6" outlineLevel="1">
      <c r="D1303"/>
      <c r="E1303"/>
      <c r="F1303"/>
    </row>
    <row r="1304" spans="4:6" outlineLevel="1">
      <c r="D1304"/>
      <c r="E1304"/>
      <c r="F1304"/>
    </row>
    <row r="1305" spans="4:6" outlineLevel="1">
      <c r="D1305"/>
      <c r="E1305"/>
      <c r="F1305"/>
    </row>
    <row r="1306" spans="4:6" outlineLevel="1">
      <c r="D1306"/>
      <c r="E1306"/>
      <c r="F1306"/>
    </row>
    <row r="1307" spans="4:6" outlineLevel="1">
      <c r="D1307"/>
      <c r="E1307"/>
      <c r="F1307"/>
    </row>
    <row r="1308" spans="4:6" outlineLevel="1">
      <c r="D1308"/>
      <c r="E1308"/>
      <c r="F1308"/>
    </row>
    <row r="1309" spans="4:6" outlineLevel="1">
      <c r="D1309"/>
      <c r="E1309"/>
      <c r="F1309"/>
    </row>
    <row r="1310" spans="4:6" outlineLevel="1">
      <c r="D1310"/>
      <c r="E1310"/>
      <c r="F1310"/>
    </row>
    <row r="1311" spans="4:6" outlineLevel="1">
      <c r="D1311"/>
      <c r="E1311"/>
      <c r="F1311"/>
    </row>
    <row r="1312" spans="4:6" outlineLevel="1">
      <c r="D1312"/>
      <c r="E1312"/>
      <c r="F1312"/>
    </row>
    <row r="1313" spans="4:6" outlineLevel="1">
      <c r="D1313"/>
      <c r="E1313"/>
      <c r="F1313"/>
    </row>
    <row r="1314" spans="4:6" outlineLevel="1">
      <c r="D1314"/>
      <c r="E1314"/>
      <c r="F1314"/>
    </row>
    <row r="1315" spans="4:6" outlineLevel="1">
      <c r="D1315"/>
      <c r="E1315"/>
      <c r="F1315"/>
    </row>
    <row r="1316" spans="4:6" outlineLevel="1">
      <c r="D1316"/>
      <c r="E1316"/>
      <c r="F1316"/>
    </row>
    <row r="1317" spans="4:6" outlineLevel="1">
      <c r="D1317"/>
      <c r="E1317"/>
      <c r="F1317"/>
    </row>
    <row r="1318" spans="4:6" outlineLevel="1">
      <c r="D1318"/>
      <c r="E1318"/>
      <c r="F1318"/>
    </row>
    <row r="1319" spans="4:6" outlineLevel="1">
      <c r="D1319"/>
      <c r="E1319"/>
      <c r="F1319"/>
    </row>
    <row r="1320" spans="4:6" outlineLevel="1">
      <c r="D1320"/>
      <c r="E1320"/>
      <c r="F1320"/>
    </row>
    <row r="1321" spans="4:6" outlineLevel="1">
      <c r="D1321"/>
      <c r="E1321"/>
      <c r="F1321"/>
    </row>
    <row r="1322" spans="4:6" outlineLevel="1">
      <c r="D1322"/>
      <c r="E1322"/>
      <c r="F1322"/>
    </row>
    <row r="1323" spans="4:6" outlineLevel="1">
      <c r="D1323"/>
      <c r="E1323"/>
      <c r="F1323"/>
    </row>
    <row r="1324" spans="4:6" outlineLevel="1">
      <c r="D1324"/>
      <c r="E1324"/>
      <c r="F1324"/>
    </row>
    <row r="1325" spans="4:6" outlineLevel="1">
      <c r="D1325"/>
      <c r="E1325"/>
      <c r="F1325"/>
    </row>
    <row r="1326" spans="4:6" outlineLevel="1">
      <c r="D1326"/>
      <c r="E1326"/>
      <c r="F1326"/>
    </row>
    <row r="1327" spans="4:6" outlineLevel="1">
      <c r="D1327"/>
      <c r="E1327"/>
      <c r="F1327"/>
    </row>
    <row r="1328" spans="4:6" outlineLevel="1">
      <c r="D1328"/>
      <c r="E1328"/>
      <c r="F1328"/>
    </row>
    <row r="1329" spans="4:6" outlineLevel="1">
      <c r="D1329"/>
      <c r="E1329"/>
      <c r="F1329"/>
    </row>
    <row r="1330" spans="4:6" outlineLevel="1">
      <c r="D1330"/>
      <c r="E1330"/>
      <c r="F1330"/>
    </row>
    <row r="1331" spans="4:6" outlineLevel="1">
      <c r="D1331"/>
      <c r="E1331"/>
      <c r="F1331"/>
    </row>
    <row r="1332" spans="4:6" outlineLevel="1">
      <c r="D1332"/>
      <c r="E1332"/>
      <c r="F1332"/>
    </row>
    <row r="1333" spans="4:6" outlineLevel="1">
      <c r="D1333"/>
      <c r="E1333"/>
      <c r="F1333"/>
    </row>
    <row r="1334" spans="4:6" outlineLevel="1">
      <c r="D1334"/>
      <c r="E1334"/>
      <c r="F1334"/>
    </row>
    <row r="1335" spans="4:6" outlineLevel="1">
      <c r="D1335"/>
      <c r="E1335"/>
      <c r="F1335"/>
    </row>
    <row r="1336" spans="4:6" outlineLevel="1">
      <c r="D1336"/>
      <c r="E1336"/>
      <c r="F1336"/>
    </row>
    <row r="1337" spans="4:6" outlineLevel="1">
      <c r="D1337"/>
      <c r="E1337"/>
      <c r="F1337"/>
    </row>
    <row r="1338" spans="4:6" outlineLevel="1">
      <c r="D1338"/>
      <c r="E1338"/>
      <c r="F1338"/>
    </row>
    <row r="1339" spans="4:6" outlineLevel="1">
      <c r="D1339"/>
      <c r="E1339"/>
      <c r="F1339"/>
    </row>
    <row r="1340" spans="4:6" outlineLevel="1">
      <c r="D1340"/>
      <c r="E1340"/>
      <c r="F1340"/>
    </row>
    <row r="1341" spans="4:6" outlineLevel="1">
      <c r="D1341"/>
      <c r="E1341"/>
      <c r="F1341"/>
    </row>
    <row r="1342" spans="4:6" outlineLevel="1">
      <c r="D1342"/>
      <c r="E1342"/>
      <c r="F1342"/>
    </row>
    <row r="1343" spans="4:6" outlineLevel="1">
      <c r="D1343"/>
      <c r="E1343"/>
      <c r="F1343"/>
    </row>
    <row r="1344" spans="4:6" outlineLevel="1">
      <c r="D1344"/>
      <c r="E1344"/>
      <c r="F1344"/>
    </row>
    <row r="1345" spans="4:6" outlineLevel="1">
      <c r="D1345"/>
      <c r="E1345"/>
      <c r="F1345"/>
    </row>
    <row r="1346" spans="4:6" outlineLevel="1">
      <c r="D1346"/>
      <c r="E1346"/>
      <c r="F1346"/>
    </row>
    <row r="1347" spans="4:6" outlineLevel="1">
      <c r="D1347"/>
      <c r="E1347"/>
      <c r="F1347"/>
    </row>
    <row r="1348" spans="4:6" outlineLevel="1">
      <c r="D1348"/>
      <c r="E1348"/>
      <c r="F1348"/>
    </row>
    <row r="1349" spans="4:6" outlineLevel="1">
      <c r="D1349"/>
      <c r="E1349"/>
      <c r="F1349"/>
    </row>
    <row r="1350" spans="4:6" outlineLevel="1">
      <c r="D1350"/>
      <c r="E1350"/>
      <c r="F1350"/>
    </row>
    <row r="1351" spans="4:6" outlineLevel="1">
      <c r="D1351"/>
      <c r="E1351"/>
      <c r="F1351"/>
    </row>
    <row r="1352" spans="4:6" outlineLevel="1">
      <c r="D1352"/>
      <c r="E1352"/>
      <c r="F1352"/>
    </row>
    <row r="1353" spans="4:6" outlineLevel="1">
      <c r="D1353"/>
      <c r="E1353"/>
      <c r="F1353"/>
    </row>
    <row r="1354" spans="4:6" outlineLevel="1">
      <c r="D1354"/>
      <c r="E1354"/>
      <c r="F1354"/>
    </row>
    <row r="1355" spans="4:6" outlineLevel="1">
      <c r="D1355"/>
      <c r="E1355"/>
      <c r="F1355"/>
    </row>
    <row r="1356" spans="4:6" outlineLevel="1">
      <c r="D1356"/>
      <c r="E1356"/>
      <c r="F1356"/>
    </row>
    <row r="1357" spans="4:6" outlineLevel="1">
      <c r="D1357"/>
      <c r="E1357"/>
      <c r="F1357"/>
    </row>
    <row r="1358" spans="4:6" outlineLevel="1">
      <c r="D1358"/>
      <c r="E1358"/>
      <c r="F1358"/>
    </row>
    <row r="1359" spans="4:6" outlineLevel="1">
      <c r="D1359"/>
      <c r="E1359"/>
      <c r="F1359"/>
    </row>
    <row r="1360" spans="4:6" outlineLevel="1">
      <c r="D1360"/>
      <c r="E1360"/>
      <c r="F1360"/>
    </row>
    <row r="1361" spans="4:6" outlineLevel="1">
      <c r="D1361"/>
      <c r="E1361"/>
      <c r="F1361"/>
    </row>
    <row r="1362" spans="4:6" outlineLevel="1">
      <c r="D1362"/>
      <c r="E1362"/>
      <c r="F1362"/>
    </row>
    <row r="1363" spans="4:6" outlineLevel="1">
      <c r="D1363"/>
      <c r="E1363"/>
      <c r="F1363"/>
    </row>
    <row r="1364" spans="4:6" outlineLevel="1">
      <c r="D1364"/>
      <c r="E1364"/>
      <c r="F1364"/>
    </row>
    <row r="1365" spans="4:6" outlineLevel="1">
      <c r="D1365"/>
      <c r="E1365"/>
      <c r="F1365"/>
    </row>
    <row r="1366" spans="4:6" outlineLevel="1">
      <c r="D1366"/>
      <c r="E1366"/>
      <c r="F1366"/>
    </row>
    <row r="1367" spans="4:6" outlineLevel="1">
      <c r="D1367"/>
      <c r="E1367"/>
      <c r="F1367"/>
    </row>
    <row r="1368" spans="4:6" outlineLevel="1">
      <c r="D1368"/>
      <c r="E1368"/>
      <c r="F1368"/>
    </row>
    <row r="1369" spans="4:6" outlineLevel="1">
      <c r="D1369"/>
      <c r="E1369"/>
      <c r="F1369"/>
    </row>
    <row r="1370" spans="4:6" outlineLevel="1">
      <c r="D1370"/>
      <c r="E1370"/>
      <c r="F1370"/>
    </row>
    <row r="1371" spans="4:6" outlineLevel="1">
      <c r="D1371"/>
      <c r="E1371"/>
      <c r="F1371"/>
    </row>
    <row r="1372" spans="4:6" outlineLevel="1">
      <c r="D1372"/>
      <c r="E1372"/>
      <c r="F1372"/>
    </row>
    <row r="1373" spans="4:6" outlineLevel="1">
      <c r="D1373"/>
      <c r="E1373"/>
      <c r="F1373"/>
    </row>
    <row r="1374" spans="4:6" outlineLevel="1">
      <c r="D1374"/>
      <c r="E1374"/>
      <c r="F1374"/>
    </row>
    <row r="1375" spans="4:6" outlineLevel="1">
      <c r="D1375"/>
      <c r="E1375"/>
      <c r="F1375"/>
    </row>
    <row r="1376" spans="4:6" outlineLevel="1">
      <c r="D1376"/>
      <c r="E1376"/>
      <c r="F1376"/>
    </row>
    <row r="1377" spans="4:6" outlineLevel="1">
      <c r="D1377"/>
      <c r="E1377"/>
      <c r="F1377"/>
    </row>
    <row r="1378" spans="4:6" outlineLevel="1">
      <c r="D1378"/>
      <c r="E1378"/>
      <c r="F1378"/>
    </row>
    <row r="1379" spans="4:6" outlineLevel="1">
      <c r="D1379"/>
      <c r="E1379"/>
      <c r="F1379"/>
    </row>
    <row r="1380" spans="4:6" outlineLevel="1">
      <c r="D1380"/>
      <c r="E1380"/>
      <c r="F1380"/>
    </row>
    <row r="1381" spans="4:6" outlineLevel="1">
      <c r="D1381"/>
      <c r="E1381"/>
      <c r="F1381"/>
    </row>
    <row r="1382" spans="4:6" outlineLevel="1">
      <c r="D1382"/>
      <c r="E1382"/>
      <c r="F1382"/>
    </row>
    <row r="1383" spans="4:6" outlineLevel="1">
      <c r="D1383"/>
      <c r="E1383"/>
      <c r="F1383"/>
    </row>
    <row r="1384" spans="4:6" outlineLevel="1">
      <c r="D1384"/>
      <c r="E1384"/>
      <c r="F1384"/>
    </row>
    <row r="1385" spans="4:6" outlineLevel="1">
      <c r="D1385"/>
      <c r="E1385"/>
      <c r="F1385"/>
    </row>
    <row r="1386" spans="4:6" outlineLevel="1">
      <c r="D1386"/>
      <c r="E1386"/>
      <c r="F1386"/>
    </row>
    <row r="1387" spans="4:6" outlineLevel="1">
      <c r="D1387"/>
      <c r="E1387"/>
      <c r="F1387"/>
    </row>
    <row r="1388" spans="4:6" outlineLevel="1">
      <c r="D1388"/>
      <c r="E1388"/>
      <c r="F1388"/>
    </row>
    <row r="1389" spans="4:6" outlineLevel="1">
      <c r="D1389"/>
      <c r="E1389"/>
      <c r="F1389"/>
    </row>
    <row r="1390" spans="4:6" outlineLevel="1">
      <c r="D1390"/>
      <c r="E1390"/>
      <c r="F1390"/>
    </row>
    <row r="1391" spans="4:6" outlineLevel="1">
      <c r="D1391"/>
      <c r="E1391"/>
      <c r="F1391"/>
    </row>
    <row r="1392" spans="4:6" outlineLevel="1">
      <c r="D1392"/>
      <c r="E1392"/>
      <c r="F1392"/>
    </row>
    <row r="1393" spans="4:6" outlineLevel="1">
      <c r="D1393"/>
      <c r="E1393"/>
      <c r="F1393"/>
    </row>
    <row r="1394" spans="4:6">
      <c r="D1394"/>
      <c r="E1394"/>
      <c r="F1394"/>
    </row>
    <row r="1395" spans="4:6" outlineLevel="1">
      <c r="D1395"/>
      <c r="E1395"/>
      <c r="F1395"/>
    </row>
    <row r="1396" spans="4:6" outlineLevel="1">
      <c r="D1396"/>
      <c r="E1396"/>
      <c r="F1396"/>
    </row>
    <row r="1397" spans="4:6" outlineLevel="1">
      <c r="D1397"/>
      <c r="E1397"/>
      <c r="F1397"/>
    </row>
    <row r="1398" spans="4:6" outlineLevel="1">
      <c r="D1398"/>
      <c r="E1398"/>
      <c r="F1398"/>
    </row>
    <row r="1399" spans="4:6" outlineLevel="1">
      <c r="D1399"/>
      <c r="E1399"/>
      <c r="F1399"/>
    </row>
    <row r="1400" spans="4:6" outlineLevel="1">
      <c r="D1400"/>
      <c r="E1400"/>
      <c r="F1400"/>
    </row>
    <row r="1401" spans="4:6" outlineLevel="1">
      <c r="D1401"/>
      <c r="E1401"/>
      <c r="F1401"/>
    </row>
    <row r="1402" spans="4:6" outlineLevel="1">
      <c r="D1402"/>
      <c r="E1402"/>
      <c r="F1402"/>
    </row>
    <row r="1403" spans="4:6" outlineLevel="1">
      <c r="D1403"/>
      <c r="E1403"/>
      <c r="F1403"/>
    </row>
    <row r="1404" spans="4:6" outlineLevel="1">
      <c r="D1404"/>
      <c r="E1404"/>
      <c r="F1404"/>
    </row>
    <row r="1405" spans="4:6" outlineLevel="1">
      <c r="D1405"/>
      <c r="E1405"/>
      <c r="F1405"/>
    </row>
    <row r="1406" spans="4:6" outlineLevel="1">
      <c r="D1406"/>
      <c r="E1406"/>
      <c r="F1406"/>
    </row>
    <row r="1407" spans="4:6" outlineLevel="1">
      <c r="D1407"/>
      <c r="E1407"/>
      <c r="F1407"/>
    </row>
    <row r="1408" spans="4:6" outlineLevel="1">
      <c r="D1408"/>
      <c r="E1408"/>
      <c r="F1408"/>
    </row>
    <row r="1409" spans="4:6" outlineLevel="1">
      <c r="D1409"/>
      <c r="E1409"/>
      <c r="F1409"/>
    </row>
    <row r="1410" spans="4:6" outlineLevel="1">
      <c r="D1410"/>
      <c r="E1410"/>
      <c r="F1410"/>
    </row>
    <row r="1411" spans="4:6" outlineLevel="1">
      <c r="D1411"/>
      <c r="E1411"/>
      <c r="F1411"/>
    </row>
    <row r="1412" spans="4:6" outlineLevel="1">
      <c r="D1412"/>
      <c r="E1412"/>
      <c r="F1412"/>
    </row>
    <row r="1413" spans="4:6" outlineLevel="1">
      <c r="D1413"/>
      <c r="E1413"/>
      <c r="F1413"/>
    </row>
    <row r="1414" spans="4:6" outlineLevel="1">
      <c r="D1414"/>
      <c r="E1414"/>
      <c r="F1414"/>
    </row>
    <row r="1415" spans="4:6" outlineLevel="1">
      <c r="D1415"/>
      <c r="E1415"/>
      <c r="F1415"/>
    </row>
    <row r="1416" spans="4:6" outlineLevel="1">
      <c r="D1416"/>
      <c r="E1416"/>
      <c r="F1416"/>
    </row>
    <row r="1417" spans="4:6" outlineLevel="1">
      <c r="D1417"/>
      <c r="E1417"/>
      <c r="F1417"/>
    </row>
    <row r="1418" spans="4:6" outlineLevel="1">
      <c r="D1418"/>
      <c r="E1418"/>
      <c r="F1418"/>
    </row>
    <row r="1419" spans="4:6" outlineLevel="1">
      <c r="D1419"/>
      <c r="E1419"/>
      <c r="F1419"/>
    </row>
    <row r="1420" spans="4:6" outlineLevel="1">
      <c r="D1420"/>
      <c r="E1420"/>
      <c r="F1420"/>
    </row>
    <row r="1421" spans="4:6" outlineLevel="1">
      <c r="D1421"/>
      <c r="E1421"/>
      <c r="F1421"/>
    </row>
    <row r="1422" spans="4:6" outlineLevel="1">
      <c r="D1422"/>
      <c r="E1422"/>
      <c r="F1422"/>
    </row>
    <row r="1423" spans="4:6" outlineLevel="1">
      <c r="D1423"/>
      <c r="E1423"/>
      <c r="F1423"/>
    </row>
    <row r="1424" spans="4:6" outlineLevel="1">
      <c r="D1424"/>
      <c r="E1424"/>
      <c r="F1424"/>
    </row>
    <row r="1425" spans="4:6" outlineLevel="1">
      <c r="D1425"/>
      <c r="E1425"/>
      <c r="F1425"/>
    </row>
    <row r="1426" spans="4:6" outlineLevel="1">
      <c r="D1426"/>
      <c r="E1426"/>
      <c r="F1426"/>
    </row>
    <row r="1427" spans="4:6" outlineLevel="1">
      <c r="D1427"/>
      <c r="E1427"/>
      <c r="F1427"/>
    </row>
    <row r="1428" spans="4:6" outlineLevel="1">
      <c r="D1428"/>
      <c r="E1428"/>
      <c r="F1428"/>
    </row>
    <row r="1429" spans="4:6" outlineLevel="1">
      <c r="D1429"/>
      <c r="E1429"/>
      <c r="F1429"/>
    </row>
    <row r="1430" spans="4:6" outlineLevel="1">
      <c r="D1430"/>
      <c r="E1430"/>
      <c r="F1430"/>
    </row>
    <row r="1431" spans="4:6" outlineLevel="1">
      <c r="D1431"/>
      <c r="E1431"/>
      <c r="F1431"/>
    </row>
    <row r="1432" spans="4:6" outlineLevel="1">
      <c r="D1432"/>
      <c r="E1432"/>
      <c r="F1432"/>
    </row>
    <row r="1433" spans="4:6" outlineLevel="1">
      <c r="D1433"/>
      <c r="E1433"/>
      <c r="F1433"/>
    </row>
    <row r="1434" spans="4:6" outlineLevel="1">
      <c r="D1434"/>
      <c r="E1434"/>
      <c r="F1434"/>
    </row>
    <row r="1435" spans="4:6" outlineLevel="1">
      <c r="D1435"/>
      <c r="E1435"/>
      <c r="F1435"/>
    </row>
    <row r="1436" spans="4:6" outlineLevel="1">
      <c r="D1436"/>
      <c r="E1436"/>
      <c r="F1436"/>
    </row>
    <row r="1437" spans="4:6" outlineLevel="1">
      <c r="D1437"/>
      <c r="E1437"/>
      <c r="F1437"/>
    </row>
    <row r="1438" spans="4:6" outlineLevel="1">
      <c r="D1438"/>
      <c r="E1438"/>
      <c r="F1438"/>
    </row>
    <row r="1439" spans="4:6" outlineLevel="1">
      <c r="D1439"/>
      <c r="E1439"/>
      <c r="F1439"/>
    </row>
    <row r="1440" spans="4:6" outlineLevel="1">
      <c r="D1440"/>
      <c r="E1440"/>
      <c r="F1440"/>
    </row>
    <row r="1441" spans="4:6" outlineLevel="1">
      <c r="D1441"/>
      <c r="E1441"/>
      <c r="F1441"/>
    </row>
    <row r="1442" spans="4:6" outlineLevel="1">
      <c r="D1442"/>
      <c r="E1442"/>
      <c r="F1442"/>
    </row>
    <row r="1443" spans="4:6" outlineLevel="1">
      <c r="D1443"/>
      <c r="E1443"/>
      <c r="F1443"/>
    </row>
    <row r="1444" spans="4:6" outlineLevel="1">
      <c r="D1444"/>
      <c r="E1444"/>
      <c r="F1444"/>
    </row>
    <row r="1445" spans="4:6" outlineLevel="1">
      <c r="D1445"/>
      <c r="E1445"/>
      <c r="F1445"/>
    </row>
    <row r="1446" spans="4:6" outlineLevel="1">
      <c r="D1446"/>
      <c r="E1446"/>
      <c r="F1446"/>
    </row>
    <row r="1447" spans="4:6" outlineLevel="1">
      <c r="D1447"/>
      <c r="E1447"/>
      <c r="F1447"/>
    </row>
    <row r="1448" spans="4:6" outlineLevel="1">
      <c r="D1448"/>
      <c r="E1448"/>
      <c r="F1448"/>
    </row>
    <row r="1449" spans="4:6" outlineLevel="1">
      <c r="D1449"/>
      <c r="E1449"/>
      <c r="F1449"/>
    </row>
    <row r="1450" spans="4:6" outlineLevel="1">
      <c r="D1450"/>
      <c r="E1450"/>
      <c r="F1450"/>
    </row>
    <row r="1451" spans="4:6" outlineLevel="1">
      <c r="D1451"/>
      <c r="E1451"/>
      <c r="F1451"/>
    </row>
    <row r="1452" spans="4:6" outlineLevel="1">
      <c r="D1452"/>
      <c r="E1452"/>
      <c r="F1452"/>
    </row>
    <row r="1453" spans="4:6" outlineLevel="1">
      <c r="D1453"/>
      <c r="E1453"/>
      <c r="F1453"/>
    </row>
    <row r="1454" spans="4:6" outlineLevel="1">
      <c r="D1454"/>
      <c r="E1454"/>
      <c r="F1454"/>
    </row>
    <row r="1455" spans="4:6" outlineLevel="1">
      <c r="D1455"/>
      <c r="E1455"/>
      <c r="F1455"/>
    </row>
    <row r="1456" spans="4:6" outlineLevel="1">
      <c r="D1456"/>
      <c r="E1456"/>
      <c r="F1456"/>
    </row>
    <row r="1457" spans="4:6" outlineLevel="1">
      <c r="D1457"/>
      <c r="E1457"/>
      <c r="F1457"/>
    </row>
    <row r="1458" spans="4:6" outlineLevel="1">
      <c r="D1458"/>
      <c r="E1458"/>
      <c r="F1458"/>
    </row>
    <row r="1459" spans="4:6" outlineLevel="1">
      <c r="D1459"/>
      <c r="E1459"/>
      <c r="F1459"/>
    </row>
    <row r="1460" spans="4:6" outlineLevel="1">
      <c r="D1460"/>
      <c r="E1460"/>
      <c r="F1460"/>
    </row>
    <row r="1461" spans="4:6" outlineLevel="1">
      <c r="D1461"/>
      <c r="E1461"/>
      <c r="F1461"/>
    </row>
    <row r="1462" spans="4:6" outlineLevel="1">
      <c r="D1462"/>
      <c r="E1462"/>
      <c r="F1462"/>
    </row>
    <row r="1463" spans="4:6" outlineLevel="1">
      <c r="D1463"/>
      <c r="E1463"/>
      <c r="F1463"/>
    </row>
    <row r="1464" spans="4:6" outlineLevel="1">
      <c r="D1464"/>
      <c r="E1464"/>
      <c r="F1464"/>
    </row>
    <row r="1465" spans="4:6" outlineLevel="1">
      <c r="D1465"/>
      <c r="E1465"/>
      <c r="F1465"/>
    </row>
    <row r="1466" spans="4:6" outlineLevel="1">
      <c r="D1466"/>
      <c r="E1466"/>
      <c r="F1466"/>
    </row>
    <row r="1467" spans="4:6" outlineLevel="1">
      <c r="D1467"/>
      <c r="E1467"/>
      <c r="F1467"/>
    </row>
    <row r="1468" spans="4:6" outlineLevel="1">
      <c r="D1468"/>
      <c r="E1468"/>
      <c r="F1468"/>
    </row>
    <row r="1469" spans="4:6" outlineLevel="1">
      <c r="D1469"/>
      <c r="E1469"/>
      <c r="F1469"/>
    </row>
    <row r="1470" spans="4:6" outlineLevel="1">
      <c r="D1470"/>
      <c r="E1470"/>
      <c r="F1470"/>
    </row>
    <row r="1471" spans="4:6" outlineLevel="1">
      <c r="D1471"/>
      <c r="E1471"/>
      <c r="F1471"/>
    </row>
    <row r="1472" spans="4:6" outlineLevel="1">
      <c r="D1472"/>
      <c r="E1472"/>
      <c r="F1472"/>
    </row>
    <row r="1473" spans="4:6" outlineLevel="1">
      <c r="D1473"/>
      <c r="E1473"/>
      <c r="F1473"/>
    </row>
    <row r="1474" spans="4:6" outlineLevel="1">
      <c r="D1474"/>
      <c r="E1474"/>
      <c r="F1474"/>
    </row>
    <row r="1475" spans="4:6" outlineLevel="1">
      <c r="D1475"/>
      <c r="E1475"/>
      <c r="F1475"/>
    </row>
    <row r="1476" spans="4:6" outlineLevel="1">
      <c r="D1476"/>
      <c r="E1476"/>
      <c r="F1476"/>
    </row>
    <row r="1477" spans="4:6" outlineLevel="1">
      <c r="D1477"/>
      <c r="E1477"/>
      <c r="F1477"/>
    </row>
    <row r="1478" spans="4:6" outlineLevel="1">
      <c r="D1478"/>
      <c r="E1478"/>
      <c r="F1478"/>
    </row>
    <row r="1479" spans="4:6" outlineLevel="1">
      <c r="D1479"/>
      <c r="E1479"/>
      <c r="F1479"/>
    </row>
    <row r="1480" spans="4:6" outlineLevel="1">
      <c r="D1480"/>
      <c r="E1480"/>
      <c r="F1480"/>
    </row>
    <row r="1481" spans="4:6" outlineLevel="1">
      <c r="D1481"/>
      <c r="E1481"/>
      <c r="F1481"/>
    </row>
    <row r="1482" spans="4:6" outlineLevel="1">
      <c r="D1482"/>
      <c r="E1482"/>
      <c r="F1482"/>
    </row>
    <row r="1483" spans="4:6" outlineLevel="1">
      <c r="D1483"/>
      <c r="E1483"/>
      <c r="F1483"/>
    </row>
    <row r="1484" spans="4:6" outlineLevel="1">
      <c r="D1484"/>
      <c r="E1484"/>
      <c r="F1484"/>
    </row>
    <row r="1485" spans="4:6" outlineLevel="1">
      <c r="D1485"/>
      <c r="E1485"/>
      <c r="F1485"/>
    </row>
    <row r="1486" spans="4:6" outlineLevel="1">
      <c r="D1486"/>
      <c r="E1486"/>
      <c r="F1486"/>
    </row>
    <row r="1487" spans="4:6" outlineLevel="1">
      <c r="D1487"/>
      <c r="E1487"/>
      <c r="F1487"/>
    </row>
    <row r="1488" spans="4:6" outlineLevel="1">
      <c r="D1488"/>
      <c r="E1488"/>
      <c r="F1488"/>
    </row>
    <row r="1489" spans="4:6" outlineLevel="1">
      <c r="D1489"/>
      <c r="E1489"/>
      <c r="F1489"/>
    </row>
    <row r="1490" spans="4:6" outlineLevel="1">
      <c r="D1490"/>
      <c r="E1490"/>
      <c r="F1490"/>
    </row>
    <row r="1491" spans="4:6" outlineLevel="1">
      <c r="D1491"/>
      <c r="E1491"/>
      <c r="F1491"/>
    </row>
    <row r="1492" spans="4:6" outlineLevel="1">
      <c r="D1492"/>
      <c r="E1492"/>
      <c r="F1492"/>
    </row>
    <row r="1493" spans="4:6" outlineLevel="1">
      <c r="D1493"/>
      <c r="E1493"/>
      <c r="F1493"/>
    </row>
    <row r="1494" spans="4:6" outlineLevel="1">
      <c r="D1494"/>
      <c r="E1494"/>
      <c r="F1494"/>
    </row>
    <row r="1495" spans="4:6" outlineLevel="1">
      <c r="D1495"/>
      <c r="E1495"/>
      <c r="F1495"/>
    </row>
    <row r="1496" spans="4:6" outlineLevel="1">
      <c r="D1496"/>
      <c r="E1496"/>
      <c r="F1496"/>
    </row>
    <row r="1497" spans="4:6" outlineLevel="1">
      <c r="D1497"/>
      <c r="E1497"/>
      <c r="F1497"/>
    </row>
    <row r="1498" spans="4:6" outlineLevel="1">
      <c r="D1498"/>
      <c r="E1498"/>
      <c r="F1498"/>
    </row>
    <row r="1499" spans="4:6">
      <c r="D1499"/>
      <c r="E1499"/>
      <c r="F1499"/>
    </row>
    <row r="1500" spans="4:6" outlineLevel="1">
      <c r="D1500"/>
      <c r="E1500"/>
      <c r="F1500"/>
    </row>
    <row r="1501" spans="4:6" outlineLevel="1">
      <c r="D1501"/>
      <c r="E1501"/>
      <c r="F1501"/>
    </row>
    <row r="1502" spans="4:6" outlineLevel="1">
      <c r="D1502"/>
      <c r="E1502"/>
      <c r="F1502"/>
    </row>
    <row r="1503" spans="4:6" outlineLevel="1">
      <c r="D1503"/>
      <c r="E1503"/>
      <c r="F1503"/>
    </row>
    <row r="1504" spans="4:6" outlineLevel="1">
      <c r="D1504"/>
      <c r="E1504"/>
      <c r="F1504"/>
    </row>
    <row r="1505" spans="4:6" outlineLevel="1">
      <c r="D1505"/>
      <c r="E1505"/>
      <c r="F1505"/>
    </row>
    <row r="1506" spans="4:6" outlineLevel="1">
      <c r="D1506"/>
      <c r="E1506"/>
      <c r="F1506"/>
    </row>
    <row r="1507" spans="4:6" outlineLevel="1">
      <c r="D1507"/>
      <c r="E1507"/>
      <c r="F1507"/>
    </row>
    <row r="1508" spans="4:6" outlineLevel="1">
      <c r="D1508"/>
      <c r="E1508"/>
      <c r="F1508"/>
    </row>
    <row r="1509" spans="4:6" outlineLevel="1">
      <c r="D1509"/>
      <c r="E1509"/>
      <c r="F1509"/>
    </row>
    <row r="1510" spans="4:6" outlineLevel="1">
      <c r="D1510"/>
      <c r="E1510"/>
      <c r="F1510"/>
    </row>
    <row r="1511" spans="4:6" outlineLevel="1">
      <c r="D1511"/>
      <c r="E1511"/>
      <c r="F1511"/>
    </row>
    <row r="1512" spans="4:6" outlineLevel="1">
      <c r="D1512"/>
      <c r="E1512"/>
      <c r="F1512"/>
    </row>
    <row r="1513" spans="4:6" outlineLevel="1">
      <c r="D1513"/>
      <c r="E1513"/>
      <c r="F1513"/>
    </row>
    <row r="1514" spans="4:6" outlineLevel="1">
      <c r="D1514"/>
      <c r="E1514"/>
      <c r="F1514"/>
    </row>
    <row r="1515" spans="4:6" outlineLevel="1">
      <c r="D1515"/>
      <c r="E1515"/>
      <c r="F1515"/>
    </row>
    <row r="1516" spans="4:6" outlineLevel="1">
      <c r="D1516"/>
      <c r="E1516"/>
      <c r="F1516"/>
    </row>
    <row r="1517" spans="4:6" outlineLevel="1">
      <c r="D1517"/>
      <c r="E1517"/>
      <c r="F1517"/>
    </row>
    <row r="1518" spans="4:6" outlineLevel="1">
      <c r="D1518"/>
      <c r="E1518"/>
      <c r="F1518"/>
    </row>
    <row r="1519" spans="4:6" outlineLevel="1">
      <c r="D1519"/>
      <c r="E1519"/>
      <c r="F1519"/>
    </row>
    <row r="1520" spans="4:6" outlineLevel="1">
      <c r="D1520"/>
      <c r="E1520"/>
      <c r="F1520"/>
    </row>
    <row r="1521" spans="4:6" outlineLevel="1">
      <c r="D1521"/>
      <c r="E1521"/>
      <c r="F1521"/>
    </row>
    <row r="1522" spans="4:6" outlineLevel="1">
      <c r="D1522"/>
      <c r="E1522"/>
      <c r="F1522"/>
    </row>
    <row r="1523" spans="4:6" outlineLevel="1">
      <c r="D1523"/>
      <c r="E1523"/>
      <c r="F1523"/>
    </row>
    <row r="1524" spans="4:6" outlineLevel="1">
      <c r="D1524"/>
      <c r="E1524"/>
      <c r="F1524"/>
    </row>
    <row r="1525" spans="4:6" outlineLevel="1">
      <c r="D1525"/>
      <c r="E1525"/>
      <c r="F1525"/>
    </row>
    <row r="1526" spans="4:6" outlineLevel="1">
      <c r="D1526"/>
      <c r="E1526"/>
      <c r="F1526"/>
    </row>
    <row r="1527" spans="4:6" outlineLevel="1">
      <c r="D1527"/>
      <c r="E1527"/>
      <c r="F1527"/>
    </row>
    <row r="1528" spans="4:6" outlineLevel="1">
      <c r="D1528"/>
      <c r="E1528"/>
      <c r="F1528"/>
    </row>
    <row r="1529" spans="4:6" outlineLevel="1">
      <c r="D1529"/>
      <c r="E1529"/>
      <c r="F1529"/>
    </row>
    <row r="1530" spans="4:6" outlineLevel="1">
      <c r="D1530"/>
      <c r="E1530"/>
      <c r="F1530"/>
    </row>
    <row r="1531" spans="4:6" outlineLevel="1">
      <c r="D1531"/>
      <c r="E1531"/>
      <c r="F1531"/>
    </row>
    <row r="1532" spans="4:6" outlineLevel="1">
      <c r="D1532"/>
      <c r="E1532"/>
      <c r="F1532"/>
    </row>
    <row r="1533" spans="4:6" outlineLevel="1">
      <c r="D1533"/>
      <c r="E1533"/>
      <c r="F1533"/>
    </row>
    <row r="1534" spans="4:6" outlineLevel="1">
      <c r="D1534"/>
      <c r="E1534"/>
      <c r="F1534"/>
    </row>
    <row r="1535" spans="4:6" outlineLevel="1">
      <c r="D1535"/>
      <c r="E1535"/>
      <c r="F1535"/>
    </row>
    <row r="1536" spans="4:6" outlineLevel="1">
      <c r="D1536"/>
      <c r="E1536"/>
      <c r="F1536"/>
    </row>
    <row r="1537" spans="4:6" outlineLevel="1">
      <c r="D1537"/>
      <c r="E1537"/>
      <c r="F1537"/>
    </row>
    <row r="1538" spans="4:6" outlineLevel="1">
      <c r="D1538"/>
      <c r="E1538"/>
      <c r="F1538"/>
    </row>
    <row r="1539" spans="4:6" outlineLevel="1">
      <c r="D1539"/>
      <c r="E1539"/>
      <c r="F1539"/>
    </row>
    <row r="1540" spans="4:6" outlineLevel="1">
      <c r="D1540"/>
      <c r="E1540"/>
      <c r="F1540"/>
    </row>
    <row r="1541" spans="4:6" outlineLevel="1">
      <c r="D1541"/>
      <c r="E1541"/>
      <c r="F1541"/>
    </row>
    <row r="1542" spans="4:6" outlineLevel="1">
      <c r="D1542"/>
      <c r="E1542"/>
      <c r="F1542"/>
    </row>
    <row r="1543" spans="4:6" outlineLevel="1">
      <c r="D1543"/>
      <c r="E1543"/>
      <c r="F1543"/>
    </row>
    <row r="1544" spans="4:6" outlineLevel="1">
      <c r="D1544"/>
      <c r="E1544"/>
      <c r="F1544"/>
    </row>
    <row r="1545" spans="4:6" outlineLevel="1">
      <c r="D1545"/>
      <c r="E1545"/>
      <c r="F1545"/>
    </row>
    <row r="1546" spans="4:6" outlineLevel="1">
      <c r="D1546"/>
      <c r="E1546"/>
      <c r="F1546"/>
    </row>
    <row r="1547" spans="4:6" outlineLevel="1">
      <c r="D1547"/>
      <c r="E1547"/>
      <c r="F1547"/>
    </row>
    <row r="1548" spans="4:6" outlineLevel="1">
      <c r="D1548"/>
      <c r="E1548"/>
      <c r="F1548"/>
    </row>
    <row r="1549" spans="4:6" outlineLevel="1">
      <c r="D1549"/>
      <c r="E1549"/>
      <c r="F1549"/>
    </row>
    <row r="1550" spans="4:6" outlineLevel="1">
      <c r="D1550"/>
      <c r="E1550"/>
      <c r="F1550"/>
    </row>
    <row r="1551" spans="4:6" outlineLevel="1">
      <c r="D1551"/>
      <c r="E1551"/>
      <c r="F1551"/>
    </row>
    <row r="1552" spans="4:6" outlineLevel="1">
      <c r="D1552"/>
      <c r="E1552"/>
      <c r="F1552"/>
    </row>
    <row r="1553" spans="4:6" outlineLevel="1">
      <c r="D1553"/>
      <c r="E1553"/>
      <c r="F1553"/>
    </row>
    <row r="1554" spans="4:6" outlineLevel="1">
      <c r="D1554"/>
      <c r="E1554"/>
      <c r="F1554"/>
    </row>
    <row r="1555" spans="4:6" outlineLevel="1">
      <c r="D1555"/>
      <c r="E1555"/>
      <c r="F1555"/>
    </row>
    <row r="1556" spans="4:6" outlineLevel="1">
      <c r="D1556"/>
      <c r="E1556"/>
      <c r="F1556"/>
    </row>
    <row r="1557" spans="4:6" outlineLevel="1">
      <c r="D1557"/>
      <c r="E1557"/>
      <c r="F1557"/>
    </row>
    <row r="1558" spans="4:6" outlineLevel="1">
      <c r="D1558"/>
      <c r="E1558"/>
      <c r="F1558"/>
    </row>
    <row r="1559" spans="4:6" outlineLevel="1">
      <c r="D1559"/>
      <c r="E1559"/>
      <c r="F1559"/>
    </row>
    <row r="1560" spans="4:6" outlineLevel="1">
      <c r="D1560"/>
      <c r="E1560"/>
      <c r="F1560"/>
    </row>
    <row r="1561" spans="4:6" outlineLevel="1">
      <c r="D1561"/>
      <c r="E1561"/>
      <c r="F1561"/>
    </row>
    <row r="1562" spans="4:6" outlineLevel="1">
      <c r="D1562"/>
      <c r="E1562"/>
      <c r="F1562"/>
    </row>
    <row r="1563" spans="4:6" outlineLevel="1">
      <c r="D1563"/>
      <c r="E1563"/>
      <c r="F1563"/>
    </row>
    <row r="1564" spans="4:6" outlineLevel="1">
      <c r="D1564"/>
      <c r="E1564"/>
      <c r="F1564"/>
    </row>
    <row r="1565" spans="4:6" outlineLevel="1">
      <c r="D1565"/>
      <c r="E1565"/>
      <c r="F1565"/>
    </row>
    <row r="1566" spans="4:6" outlineLevel="1">
      <c r="D1566"/>
      <c r="E1566"/>
      <c r="F1566"/>
    </row>
    <row r="1567" spans="4:6" outlineLevel="1">
      <c r="D1567"/>
      <c r="E1567"/>
      <c r="F1567"/>
    </row>
    <row r="1568" spans="4:6" outlineLevel="1">
      <c r="D1568"/>
      <c r="E1568"/>
      <c r="F1568"/>
    </row>
    <row r="1569" spans="4:6" outlineLevel="1">
      <c r="D1569"/>
      <c r="E1569"/>
      <c r="F1569"/>
    </row>
    <row r="1570" spans="4:6" outlineLevel="1">
      <c r="D1570"/>
      <c r="E1570"/>
      <c r="F1570"/>
    </row>
    <row r="1571" spans="4:6" outlineLevel="1">
      <c r="D1571"/>
      <c r="E1571"/>
      <c r="F1571"/>
    </row>
    <row r="1572" spans="4:6" outlineLevel="1">
      <c r="D1572"/>
      <c r="E1572"/>
      <c r="F1572"/>
    </row>
    <row r="1573" spans="4:6" outlineLevel="1">
      <c r="D1573"/>
      <c r="E1573"/>
      <c r="F1573"/>
    </row>
    <row r="1574" spans="4:6" outlineLevel="1">
      <c r="D1574"/>
      <c r="E1574"/>
      <c r="F1574"/>
    </row>
    <row r="1575" spans="4:6" outlineLevel="1">
      <c r="D1575"/>
      <c r="E1575"/>
      <c r="F1575"/>
    </row>
    <row r="1576" spans="4:6" outlineLevel="1">
      <c r="D1576"/>
      <c r="E1576"/>
      <c r="F1576"/>
    </row>
    <row r="1577" spans="4:6" outlineLevel="1">
      <c r="D1577"/>
      <c r="E1577"/>
      <c r="F1577"/>
    </row>
    <row r="1578" spans="4:6" outlineLevel="1">
      <c r="D1578"/>
      <c r="E1578"/>
      <c r="F1578"/>
    </row>
    <row r="1579" spans="4:6" outlineLevel="1">
      <c r="D1579"/>
      <c r="E1579"/>
      <c r="F1579"/>
    </row>
    <row r="1580" spans="4:6" outlineLevel="1">
      <c r="D1580"/>
      <c r="E1580"/>
      <c r="F1580"/>
    </row>
    <row r="1581" spans="4:6" outlineLevel="1">
      <c r="D1581"/>
      <c r="E1581"/>
      <c r="F1581"/>
    </row>
    <row r="1582" spans="4:6" outlineLevel="1">
      <c r="D1582"/>
      <c r="E1582"/>
      <c r="F1582"/>
    </row>
    <row r="1583" spans="4:6" outlineLevel="1">
      <c r="D1583"/>
      <c r="E1583"/>
      <c r="F1583"/>
    </row>
    <row r="1584" spans="4:6" outlineLevel="1">
      <c r="D1584"/>
      <c r="E1584"/>
      <c r="F1584"/>
    </row>
    <row r="1585" spans="4:6" outlineLevel="1">
      <c r="D1585"/>
      <c r="E1585"/>
      <c r="F1585"/>
    </row>
    <row r="1586" spans="4:6" outlineLevel="1">
      <c r="D1586"/>
      <c r="E1586"/>
      <c r="F1586"/>
    </row>
    <row r="1587" spans="4:6" outlineLevel="1">
      <c r="D1587"/>
      <c r="E1587"/>
      <c r="F1587"/>
    </row>
    <row r="1588" spans="4:6" outlineLevel="1">
      <c r="D1588"/>
      <c r="E1588"/>
      <c r="F1588"/>
    </row>
    <row r="1589" spans="4:6" outlineLevel="1">
      <c r="D1589"/>
      <c r="E1589"/>
      <c r="F1589"/>
    </row>
    <row r="1590" spans="4:6" outlineLevel="1">
      <c r="D1590"/>
      <c r="E1590"/>
      <c r="F1590"/>
    </row>
    <row r="1591" spans="4:6" outlineLevel="1">
      <c r="D1591"/>
      <c r="E1591"/>
      <c r="F1591"/>
    </row>
    <row r="1592" spans="4:6" outlineLevel="1">
      <c r="D1592"/>
      <c r="E1592"/>
      <c r="F1592"/>
    </row>
    <row r="1593" spans="4:6" outlineLevel="1">
      <c r="D1593"/>
      <c r="E1593"/>
      <c r="F1593"/>
    </row>
    <row r="1594" spans="4:6">
      <c r="D1594"/>
      <c r="E1594"/>
      <c r="F1594"/>
    </row>
    <row r="1595" spans="4:6" outlineLevel="1">
      <c r="D1595"/>
      <c r="E1595"/>
      <c r="F1595"/>
    </row>
    <row r="1596" spans="4:6" outlineLevel="1">
      <c r="D1596"/>
      <c r="E1596"/>
      <c r="F1596"/>
    </row>
    <row r="1597" spans="4:6" outlineLevel="1">
      <c r="D1597"/>
      <c r="E1597"/>
      <c r="F1597"/>
    </row>
    <row r="1598" spans="4:6" outlineLevel="1">
      <c r="D1598"/>
      <c r="E1598"/>
      <c r="F1598"/>
    </row>
    <row r="1599" spans="4:6" outlineLevel="1">
      <c r="D1599"/>
      <c r="E1599"/>
      <c r="F1599"/>
    </row>
    <row r="1600" spans="4:6" outlineLevel="1">
      <c r="D1600"/>
      <c r="E1600"/>
      <c r="F1600"/>
    </row>
    <row r="1601" spans="4:6" outlineLevel="1">
      <c r="D1601"/>
      <c r="E1601"/>
      <c r="F1601"/>
    </row>
    <row r="1602" spans="4:6" outlineLevel="1">
      <c r="D1602"/>
      <c r="E1602"/>
      <c r="F1602"/>
    </row>
    <row r="1603" spans="4:6" outlineLevel="1">
      <c r="D1603"/>
      <c r="E1603"/>
      <c r="F1603"/>
    </row>
    <row r="1604" spans="4:6" outlineLevel="1">
      <c r="D1604"/>
      <c r="E1604"/>
      <c r="F1604"/>
    </row>
    <row r="1605" spans="4:6" outlineLevel="1">
      <c r="D1605"/>
      <c r="E1605"/>
      <c r="F1605"/>
    </row>
    <row r="1606" spans="4:6" outlineLevel="1">
      <c r="D1606"/>
      <c r="E1606"/>
      <c r="F1606"/>
    </row>
    <row r="1607" spans="4:6" outlineLevel="1">
      <c r="D1607"/>
      <c r="E1607"/>
      <c r="F1607"/>
    </row>
    <row r="1608" spans="4:6" outlineLevel="1">
      <c r="D1608"/>
      <c r="E1608"/>
      <c r="F1608"/>
    </row>
    <row r="1609" spans="4:6" outlineLevel="1">
      <c r="D1609"/>
      <c r="E1609"/>
      <c r="F1609"/>
    </row>
    <row r="1610" spans="4:6" outlineLevel="1">
      <c r="D1610"/>
      <c r="E1610"/>
      <c r="F1610"/>
    </row>
    <row r="1611" spans="4:6" outlineLevel="1">
      <c r="D1611"/>
      <c r="E1611"/>
      <c r="F1611"/>
    </row>
    <row r="1612" spans="4:6" outlineLevel="1">
      <c r="D1612"/>
      <c r="E1612"/>
      <c r="F1612"/>
    </row>
    <row r="1613" spans="4:6" outlineLevel="1">
      <c r="D1613"/>
      <c r="E1613"/>
      <c r="F1613"/>
    </row>
    <row r="1614" spans="4:6" outlineLevel="1">
      <c r="D1614"/>
      <c r="E1614"/>
      <c r="F1614"/>
    </row>
    <row r="1615" spans="4:6" outlineLevel="1">
      <c r="D1615"/>
      <c r="E1615"/>
      <c r="F1615"/>
    </row>
    <row r="1616" spans="4:6" outlineLevel="1">
      <c r="D1616"/>
      <c r="E1616"/>
      <c r="F1616"/>
    </row>
    <row r="1617" spans="4:6" outlineLevel="1">
      <c r="D1617"/>
      <c r="E1617"/>
      <c r="F1617"/>
    </row>
    <row r="1618" spans="4:6" outlineLevel="1">
      <c r="D1618"/>
      <c r="E1618"/>
      <c r="F1618"/>
    </row>
    <row r="1619" spans="4:6" outlineLevel="1">
      <c r="D1619"/>
      <c r="E1619"/>
      <c r="F1619"/>
    </row>
    <row r="1620" spans="4:6" outlineLevel="1">
      <c r="D1620"/>
      <c r="E1620"/>
      <c r="F1620"/>
    </row>
    <row r="1621" spans="4:6" outlineLevel="1">
      <c r="D1621"/>
      <c r="E1621"/>
      <c r="F1621"/>
    </row>
    <row r="1622" spans="4:6" outlineLevel="1">
      <c r="D1622"/>
      <c r="E1622"/>
      <c r="F1622"/>
    </row>
    <row r="1623" spans="4:6" outlineLevel="1">
      <c r="D1623"/>
      <c r="E1623"/>
      <c r="F1623"/>
    </row>
    <row r="1624" spans="4:6" outlineLevel="1">
      <c r="D1624"/>
      <c r="E1624"/>
      <c r="F1624"/>
    </row>
    <row r="1625" spans="4:6" outlineLevel="1">
      <c r="D1625"/>
      <c r="E1625"/>
      <c r="F1625"/>
    </row>
    <row r="1626" spans="4:6" outlineLevel="1">
      <c r="D1626"/>
      <c r="E1626"/>
      <c r="F1626"/>
    </row>
    <row r="1627" spans="4:6" outlineLevel="1">
      <c r="D1627"/>
      <c r="E1627"/>
      <c r="F1627"/>
    </row>
    <row r="1628" spans="4:6" outlineLevel="1">
      <c r="D1628"/>
      <c r="E1628"/>
      <c r="F1628"/>
    </row>
    <row r="1629" spans="4:6" outlineLevel="1">
      <c r="D1629"/>
      <c r="E1629"/>
      <c r="F1629"/>
    </row>
    <row r="1630" spans="4:6" outlineLevel="1">
      <c r="D1630"/>
      <c r="E1630"/>
      <c r="F1630"/>
    </row>
    <row r="1631" spans="4:6" outlineLevel="1">
      <c r="D1631"/>
      <c r="E1631"/>
      <c r="F1631"/>
    </row>
    <row r="1632" spans="4:6" outlineLevel="1">
      <c r="D1632"/>
      <c r="E1632"/>
      <c r="F1632"/>
    </row>
    <row r="1633" spans="4:6" outlineLevel="1">
      <c r="D1633"/>
      <c r="E1633"/>
      <c r="F1633"/>
    </row>
    <row r="1634" spans="4:6" outlineLevel="1">
      <c r="D1634"/>
      <c r="E1634"/>
      <c r="F1634"/>
    </row>
    <row r="1635" spans="4:6" outlineLevel="1">
      <c r="D1635"/>
      <c r="E1635"/>
      <c r="F1635"/>
    </row>
    <row r="1636" spans="4:6" outlineLevel="1">
      <c r="D1636"/>
      <c r="E1636"/>
      <c r="F1636"/>
    </row>
    <row r="1637" spans="4:6" outlineLevel="1">
      <c r="D1637"/>
      <c r="E1637"/>
      <c r="F1637"/>
    </row>
    <row r="1638" spans="4:6" outlineLevel="1">
      <c r="D1638"/>
      <c r="E1638"/>
      <c r="F1638"/>
    </row>
    <row r="1639" spans="4:6" outlineLevel="1">
      <c r="D1639"/>
      <c r="E1639"/>
      <c r="F1639"/>
    </row>
    <row r="1640" spans="4:6" outlineLevel="1">
      <c r="D1640"/>
      <c r="E1640"/>
      <c r="F1640"/>
    </row>
    <row r="1641" spans="4:6" outlineLevel="1">
      <c r="D1641"/>
      <c r="E1641"/>
      <c r="F1641"/>
    </row>
    <row r="1642" spans="4:6" outlineLevel="1">
      <c r="D1642"/>
      <c r="E1642"/>
      <c r="F1642"/>
    </row>
    <row r="1643" spans="4:6" outlineLevel="1">
      <c r="D1643"/>
      <c r="E1643"/>
      <c r="F1643"/>
    </row>
    <row r="1644" spans="4:6" outlineLevel="1">
      <c r="D1644"/>
      <c r="E1644"/>
      <c r="F1644"/>
    </row>
    <row r="1645" spans="4:6" outlineLevel="1">
      <c r="D1645"/>
      <c r="E1645"/>
      <c r="F1645"/>
    </row>
    <row r="1646" spans="4:6" outlineLevel="1">
      <c r="D1646"/>
      <c r="E1646"/>
      <c r="F1646"/>
    </row>
    <row r="1647" spans="4:6" outlineLevel="1">
      <c r="D1647"/>
      <c r="E1647"/>
      <c r="F1647"/>
    </row>
    <row r="1648" spans="4:6" outlineLevel="1">
      <c r="D1648"/>
      <c r="E1648"/>
      <c r="F1648"/>
    </row>
    <row r="1649" spans="4:6" outlineLevel="1">
      <c r="D1649"/>
      <c r="E1649"/>
      <c r="F1649"/>
    </row>
    <row r="1650" spans="4:6" outlineLevel="1">
      <c r="D1650"/>
      <c r="E1650"/>
      <c r="F1650"/>
    </row>
    <row r="1651" spans="4:6" outlineLevel="1">
      <c r="D1651"/>
      <c r="E1651"/>
      <c r="F1651"/>
    </row>
    <row r="1652" spans="4:6" outlineLevel="1">
      <c r="D1652"/>
      <c r="E1652"/>
      <c r="F1652"/>
    </row>
    <row r="1653" spans="4:6" outlineLevel="1">
      <c r="D1653"/>
      <c r="E1653"/>
      <c r="F1653"/>
    </row>
    <row r="1654" spans="4:6" outlineLevel="1">
      <c r="D1654"/>
      <c r="E1654"/>
      <c r="F1654"/>
    </row>
    <row r="1655" spans="4:6" outlineLevel="1">
      <c r="D1655"/>
      <c r="E1655"/>
      <c r="F1655"/>
    </row>
    <row r="1656" spans="4:6" outlineLevel="1">
      <c r="D1656"/>
      <c r="E1656"/>
      <c r="F1656"/>
    </row>
    <row r="1657" spans="4:6" outlineLevel="1">
      <c r="D1657"/>
      <c r="E1657"/>
      <c r="F1657"/>
    </row>
    <row r="1658" spans="4:6" outlineLevel="1">
      <c r="D1658"/>
      <c r="E1658"/>
      <c r="F1658"/>
    </row>
    <row r="1659" spans="4:6" outlineLevel="1">
      <c r="D1659"/>
      <c r="E1659"/>
      <c r="F1659"/>
    </row>
    <row r="1660" spans="4:6" outlineLevel="1">
      <c r="D1660"/>
      <c r="E1660"/>
      <c r="F1660"/>
    </row>
    <row r="1661" spans="4:6" outlineLevel="1">
      <c r="D1661"/>
      <c r="E1661"/>
      <c r="F1661"/>
    </row>
    <row r="1662" spans="4:6" outlineLevel="1">
      <c r="D1662"/>
      <c r="E1662"/>
      <c r="F1662"/>
    </row>
    <row r="1663" spans="4:6" outlineLevel="1">
      <c r="D1663"/>
      <c r="E1663"/>
      <c r="F1663"/>
    </row>
    <row r="1664" spans="4:6" outlineLevel="1">
      <c r="D1664"/>
      <c r="E1664"/>
      <c r="F1664"/>
    </row>
    <row r="1665" spans="4:6" outlineLevel="1">
      <c r="D1665"/>
      <c r="E1665"/>
      <c r="F1665"/>
    </row>
    <row r="1666" spans="4:6" outlineLevel="1">
      <c r="D1666"/>
      <c r="E1666"/>
      <c r="F1666"/>
    </row>
    <row r="1667" spans="4:6" outlineLevel="1">
      <c r="D1667"/>
      <c r="E1667"/>
      <c r="F1667"/>
    </row>
    <row r="1668" spans="4:6" outlineLevel="1">
      <c r="D1668"/>
      <c r="E1668"/>
      <c r="F1668"/>
    </row>
    <row r="1669" spans="4:6" outlineLevel="1">
      <c r="D1669"/>
      <c r="E1669"/>
      <c r="F1669"/>
    </row>
    <row r="1670" spans="4:6" outlineLevel="1">
      <c r="D1670"/>
      <c r="E1670"/>
      <c r="F1670"/>
    </row>
    <row r="1671" spans="4:6" outlineLevel="1">
      <c r="D1671"/>
      <c r="E1671"/>
      <c r="F1671"/>
    </row>
    <row r="1672" spans="4:6" outlineLevel="1">
      <c r="D1672"/>
      <c r="E1672"/>
      <c r="F1672"/>
    </row>
    <row r="1673" spans="4:6" outlineLevel="1">
      <c r="D1673"/>
      <c r="E1673"/>
      <c r="F1673"/>
    </row>
    <row r="1674" spans="4:6" outlineLevel="1">
      <c r="D1674"/>
      <c r="E1674"/>
      <c r="F1674"/>
    </row>
    <row r="1675" spans="4:6" outlineLevel="1">
      <c r="D1675"/>
      <c r="E1675"/>
      <c r="F1675"/>
    </row>
    <row r="1676" spans="4:6" outlineLevel="1">
      <c r="D1676"/>
      <c r="E1676"/>
      <c r="F1676"/>
    </row>
    <row r="1677" spans="4:6" outlineLevel="1">
      <c r="D1677"/>
      <c r="E1677"/>
      <c r="F1677"/>
    </row>
    <row r="1678" spans="4:6" outlineLevel="1">
      <c r="D1678"/>
      <c r="E1678"/>
      <c r="F1678"/>
    </row>
    <row r="1679" spans="4:6" outlineLevel="1">
      <c r="D1679"/>
      <c r="E1679"/>
      <c r="F1679"/>
    </row>
    <row r="1680" spans="4:6" outlineLevel="1">
      <c r="D1680"/>
      <c r="E1680"/>
      <c r="F1680"/>
    </row>
    <row r="1681" spans="4:6" outlineLevel="1">
      <c r="D1681"/>
      <c r="E1681"/>
      <c r="F1681"/>
    </row>
    <row r="1682" spans="4:6" outlineLevel="1">
      <c r="D1682"/>
      <c r="E1682"/>
      <c r="F1682"/>
    </row>
    <row r="1683" spans="4:6" outlineLevel="1">
      <c r="D1683"/>
      <c r="E1683"/>
      <c r="F1683"/>
    </row>
    <row r="1684" spans="4:6" outlineLevel="1">
      <c r="D1684"/>
      <c r="E1684"/>
      <c r="F1684"/>
    </row>
    <row r="1685" spans="4:6" outlineLevel="1">
      <c r="D1685"/>
      <c r="E1685"/>
      <c r="F1685"/>
    </row>
    <row r="1686" spans="4:6" outlineLevel="1">
      <c r="D1686"/>
      <c r="E1686"/>
      <c r="F1686"/>
    </row>
    <row r="1687" spans="4:6" outlineLevel="1">
      <c r="D1687"/>
      <c r="E1687"/>
      <c r="F1687"/>
    </row>
    <row r="1688" spans="4:6" outlineLevel="1">
      <c r="D1688"/>
      <c r="E1688"/>
      <c r="F1688"/>
    </row>
    <row r="1689" spans="4:6" outlineLevel="1">
      <c r="D1689"/>
      <c r="E1689"/>
      <c r="F1689"/>
    </row>
    <row r="1690" spans="4:6" outlineLevel="1">
      <c r="D1690"/>
      <c r="E1690"/>
      <c r="F1690"/>
    </row>
    <row r="1691" spans="4:6" outlineLevel="1">
      <c r="D1691"/>
      <c r="E1691"/>
      <c r="F1691"/>
    </row>
    <row r="1692" spans="4:6" outlineLevel="1">
      <c r="D1692"/>
      <c r="E1692"/>
      <c r="F1692"/>
    </row>
    <row r="1693" spans="4:6" outlineLevel="1">
      <c r="D1693"/>
      <c r="E1693"/>
      <c r="F1693"/>
    </row>
    <row r="1694" spans="4:6" outlineLevel="1">
      <c r="D1694"/>
      <c r="E1694"/>
      <c r="F1694"/>
    </row>
    <row r="1695" spans="4:6" outlineLevel="1">
      <c r="D1695"/>
      <c r="E1695"/>
      <c r="F1695"/>
    </row>
    <row r="1696" spans="4:6" outlineLevel="1">
      <c r="D1696"/>
      <c r="E1696"/>
      <c r="F1696"/>
    </row>
    <row r="1697" spans="4:6" outlineLevel="1">
      <c r="D1697"/>
      <c r="E1697"/>
      <c r="F1697"/>
    </row>
    <row r="1698" spans="4:6" outlineLevel="1">
      <c r="D1698"/>
      <c r="E1698"/>
      <c r="F1698"/>
    </row>
    <row r="1699" spans="4:6" outlineLevel="1">
      <c r="D1699"/>
      <c r="E1699"/>
      <c r="F1699"/>
    </row>
    <row r="1700" spans="4:6" outlineLevel="1">
      <c r="D1700"/>
      <c r="E1700"/>
      <c r="F1700"/>
    </row>
    <row r="1701" spans="4:6" outlineLevel="1">
      <c r="D1701"/>
      <c r="E1701"/>
      <c r="F1701"/>
    </row>
    <row r="1702" spans="4:6" outlineLevel="1">
      <c r="D1702"/>
      <c r="E1702"/>
      <c r="F1702"/>
    </row>
    <row r="1703" spans="4:6" outlineLevel="1">
      <c r="D1703"/>
      <c r="E1703"/>
      <c r="F1703"/>
    </row>
    <row r="1704" spans="4:6" outlineLevel="1">
      <c r="D1704"/>
      <c r="E1704"/>
      <c r="F1704"/>
    </row>
    <row r="1705" spans="4:6" outlineLevel="1">
      <c r="D1705"/>
      <c r="E1705"/>
      <c r="F1705"/>
    </row>
    <row r="1706" spans="4:6" outlineLevel="1">
      <c r="D1706"/>
      <c r="E1706"/>
      <c r="F1706"/>
    </row>
    <row r="1707" spans="4:6" outlineLevel="1">
      <c r="D1707"/>
      <c r="E1707"/>
      <c r="F1707"/>
    </row>
    <row r="1708" spans="4:6" outlineLevel="1">
      <c r="D1708"/>
      <c r="E1708"/>
      <c r="F1708"/>
    </row>
    <row r="1709" spans="4:6" outlineLevel="1">
      <c r="D1709"/>
      <c r="E1709"/>
      <c r="F1709"/>
    </row>
    <row r="1710" spans="4:6" outlineLevel="1">
      <c r="D1710"/>
      <c r="E1710"/>
      <c r="F1710"/>
    </row>
    <row r="1711" spans="4:6" outlineLevel="1">
      <c r="D1711"/>
      <c r="E1711"/>
      <c r="F1711"/>
    </row>
    <row r="1712" spans="4:6" outlineLevel="1">
      <c r="D1712"/>
      <c r="E1712"/>
      <c r="F1712"/>
    </row>
    <row r="1713" spans="4:6" outlineLevel="1">
      <c r="D1713"/>
      <c r="E1713"/>
      <c r="F1713"/>
    </row>
    <row r="1714" spans="4:6" outlineLevel="1">
      <c r="D1714"/>
      <c r="E1714"/>
      <c r="F1714"/>
    </row>
    <row r="1715" spans="4:6" outlineLevel="1">
      <c r="D1715"/>
      <c r="E1715"/>
      <c r="F1715"/>
    </row>
    <row r="1716" spans="4:6" outlineLevel="1">
      <c r="D1716"/>
      <c r="E1716"/>
      <c r="F1716"/>
    </row>
    <row r="1717" spans="4:6">
      <c r="D1717"/>
      <c r="E1717"/>
      <c r="F1717"/>
    </row>
    <row r="1718" spans="4:6" outlineLevel="1">
      <c r="D1718"/>
      <c r="E1718"/>
      <c r="F1718"/>
    </row>
    <row r="1719" spans="4:6" outlineLevel="1">
      <c r="D1719"/>
      <c r="E1719"/>
      <c r="F1719"/>
    </row>
    <row r="1720" spans="4:6" outlineLevel="1">
      <c r="D1720"/>
      <c r="E1720"/>
      <c r="F1720"/>
    </row>
    <row r="1721" spans="4:6" outlineLevel="1">
      <c r="D1721"/>
      <c r="E1721"/>
      <c r="F1721"/>
    </row>
    <row r="1722" spans="4:6" outlineLevel="1">
      <c r="D1722"/>
      <c r="E1722"/>
      <c r="F1722"/>
    </row>
    <row r="1723" spans="4:6" outlineLevel="1">
      <c r="D1723"/>
      <c r="E1723"/>
      <c r="F1723"/>
    </row>
    <row r="1724" spans="4:6" outlineLevel="1">
      <c r="D1724"/>
      <c r="E1724"/>
      <c r="F1724"/>
    </row>
    <row r="1725" spans="4:6" outlineLevel="1">
      <c r="D1725"/>
      <c r="E1725"/>
      <c r="F1725"/>
    </row>
    <row r="1726" spans="4:6" outlineLevel="1">
      <c r="D1726"/>
      <c r="E1726"/>
      <c r="F1726"/>
    </row>
    <row r="1727" spans="4:6" outlineLevel="1">
      <c r="D1727"/>
      <c r="E1727"/>
      <c r="F1727"/>
    </row>
    <row r="1728" spans="4:6" outlineLevel="1">
      <c r="D1728"/>
      <c r="E1728"/>
      <c r="F1728"/>
    </row>
    <row r="1729" spans="4:6" outlineLevel="1">
      <c r="D1729"/>
      <c r="E1729"/>
      <c r="F1729"/>
    </row>
    <row r="1730" spans="4:6" outlineLevel="1">
      <c r="D1730"/>
      <c r="E1730"/>
      <c r="F1730"/>
    </row>
    <row r="1731" spans="4:6" outlineLevel="1">
      <c r="D1731"/>
      <c r="E1731"/>
      <c r="F1731"/>
    </row>
    <row r="1732" spans="4:6" outlineLevel="1">
      <c r="D1732"/>
      <c r="E1732"/>
      <c r="F1732"/>
    </row>
    <row r="1733" spans="4:6" outlineLevel="1">
      <c r="D1733"/>
      <c r="E1733"/>
      <c r="F1733"/>
    </row>
    <row r="1734" spans="4:6" outlineLevel="1">
      <c r="D1734"/>
      <c r="E1734"/>
      <c r="F1734"/>
    </row>
    <row r="1735" spans="4:6" outlineLevel="1">
      <c r="D1735"/>
      <c r="E1735"/>
      <c r="F1735"/>
    </row>
    <row r="1736" spans="4:6" outlineLevel="1">
      <c r="D1736"/>
      <c r="E1736"/>
      <c r="F1736"/>
    </row>
    <row r="1737" spans="4:6" outlineLevel="1">
      <c r="D1737"/>
      <c r="E1737"/>
      <c r="F1737"/>
    </row>
    <row r="1738" spans="4:6" outlineLevel="1">
      <c r="D1738"/>
      <c r="E1738"/>
      <c r="F1738"/>
    </row>
    <row r="1739" spans="4:6" outlineLevel="1">
      <c r="D1739"/>
      <c r="E1739"/>
      <c r="F1739"/>
    </row>
    <row r="1740" spans="4:6" outlineLevel="1">
      <c r="D1740"/>
      <c r="E1740"/>
      <c r="F1740"/>
    </row>
    <row r="1741" spans="4:6" outlineLevel="1">
      <c r="D1741"/>
      <c r="E1741"/>
      <c r="F1741"/>
    </row>
    <row r="1742" spans="4:6" outlineLevel="1">
      <c r="D1742"/>
      <c r="E1742"/>
      <c r="F1742"/>
    </row>
    <row r="1743" spans="4:6" outlineLevel="1">
      <c r="D1743"/>
      <c r="E1743"/>
      <c r="F1743"/>
    </row>
    <row r="1744" spans="4:6" outlineLevel="1">
      <c r="D1744"/>
      <c r="E1744"/>
      <c r="F1744"/>
    </row>
    <row r="1745" spans="4:6" outlineLevel="1">
      <c r="D1745"/>
      <c r="E1745"/>
      <c r="F1745"/>
    </row>
    <row r="1746" spans="4:6" outlineLevel="1">
      <c r="D1746"/>
      <c r="E1746"/>
      <c r="F1746"/>
    </row>
    <row r="1747" spans="4:6" outlineLevel="1">
      <c r="D1747"/>
      <c r="E1747"/>
      <c r="F1747"/>
    </row>
    <row r="1748" spans="4:6" outlineLevel="1">
      <c r="D1748"/>
      <c r="E1748"/>
      <c r="F1748"/>
    </row>
    <row r="1749" spans="4:6" outlineLevel="1">
      <c r="D1749"/>
      <c r="E1749"/>
      <c r="F1749"/>
    </row>
    <row r="1750" spans="4:6" outlineLevel="1">
      <c r="D1750"/>
      <c r="E1750"/>
      <c r="F1750"/>
    </row>
    <row r="1751" spans="4:6" outlineLevel="1">
      <c r="D1751"/>
      <c r="E1751"/>
      <c r="F1751"/>
    </row>
    <row r="1752" spans="4:6" outlineLevel="1">
      <c r="D1752"/>
      <c r="E1752"/>
      <c r="F1752"/>
    </row>
    <row r="1753" spans="4:6" outlineLevel="1">
      <c r="D1753"/>
      <c r="E1753"/>
      <c r="F1753"/>
    </row>
    <row r="1754" spans="4:6" outlineLevel="1">
      <c r="D1754"/>
      <c r="E1754"/>
      <c r="F1754"/>
    </row>
    <row r="1755" spans="4:6" outlineLevel="1">
      <c r="D1755"/>
      <c r="E1755"/>
      <c r="F1755"/>
    </row>
    <row r="1756" spans="4:6" outlineLevel="1">
      <c r="D1756"/>
      <c r="E1756"/>
      <c r="F1756"/>
    </row>
    <row r="1757" spans="4:6" outlineLevel="1">
      <c r="D1757"/>
      <c r="E1757"/>
      <c r="F1757"/>
    </row>
    <row r="1758" spans="4:6" outlineLevel="1">
      <c r="D1758"/>
      <c r="E1758"/>
      <c r="F1758"/>
    </row>
    <row r="1759" spans="4:6" outlineLevel="1">
      <c r="D1759"/>
      <c r="E1759"/>
      <c r="F1759"/>
    </row>
    <row r="1760" spans="4:6" outlineLevel="1">
      <c r="D1760"/>
      <c r="E1760"/>
      <c r="F1760"/>
    </row>
    <row r="1761" spans="4:6" outlineLevel="1">
      <c r="D1761"/>
      <c r="E1761"/>
      <c r="F1761"/>
    </row>
    <row r="1762" spans="4:6" outlineLevel="1">
      <c r="D1762"/>
      <c r="E1762"/>
      <c r="F1762"/>
    </row>
    <row r="1763" spans="4:6" outlineLevel="1">
      <c r="D1763"/>
      <c r="E1763"/>
      <c r="F1763"/>
    </row>
    <row r="1764" spans="4:6" outlineLevel="1">
      <c r="D1764"/>
      <c r="E1764"/>
      <c r="F1764"/>
    </row>
    <row r="1765" spans="4:6" outlineLevel="1">
      <c r="D1765"/>
      <c r="E1765"/>
      <c r="F1765"/>
    </row>
    <row r="1766" spans="4:6" outlineLevel="1">
      <c r="D1766"/>
      <c r="E1766"/>
      <c r="F1766"/>
    </row>
    <row r="1767" spans="4:6" outlineLevel="1">
      <c r="D1767"/>
      <c r="E1767"/>
      <c r="F1767"/>
    </row>
    <row r="1768" spans="4:6" outlineLevel="1">
      <c r="D1768"/>
      <c r="E1768"/>
      <c r="F1768"/>
    </row>
    <row r="1769" spans="4:6" outlineLevel="1">
      <c r="D1769"/>
      <c r="E1769"/>
      <c r="F1769"/>
    </row>
    <row r="1770" spans="4:6" outlineLevel="1">
      <c r="D1770"/>
      <c r="E1770"/>
      <c r="F1770"/>
    </row>
    <row r="1771" spans="4:6" outlineLevel="1">
      <c r="D1771"/>
      <c r="E1771"/>
      <c r="F1771"/>
    </row>
    <row r="1772" spans="4:6" outlineLevel="1">
      <c r="D1772"/>
      <c r="E1772"/>
      <c r="F1772"/>
    </row>
    <row r="1773" spans="4:6" outlineLevel="1">
      <c r="D1773"/>
      <c r="E1773"/>
      <c r="F1773"/>
    </row>
    <row r="1774" spans="4:6" outlineLevel="1">
      <c r="D1774"/>
      <c r="E1774"/>
      <c r="F1774"/>
    </row>
    <row r="1775" spans="4:6" outlineLevel="1">
      <c r="D1775"/>
      <c r="E1775"/>
      <c r="F1775"/>
    </row>
    <row r="1776" spans="4:6" outlineLevel="1">
      <c r="D1776"/>
      <c r="E1776"/>
      <c r="F1776"/>
    </row>
    <row r="1777" spans="4:6" outlineLevel="1">
      <c r="D1777"/>
      <c r="E1777"/>
      <c r="F1777"/>
    </row>
    <row r="1778" spans="4:6" outlineLevel="1">
      <c r="D1778"/>
      <c r="E1778"/>
      <c r="F1778"/>
    </row>
    <row r="1779" spans="4:6" outlineLevel="1">
      <c r="D1779"/>
      <c r="E1779"/>
      <c r="F1779"/>
    </row>
    <row r="1780" spans="4:6" outlineLevel="1">
      <c r="D1780"/>
      <c r="E1780"/>
      <c r="F1780"/>
    </row>
    <row r="1781" spans="4:6" outlineLevel="1">
      <c r="D1781"/>
      <c r="E1781"/>
      <c r="F1781"/>
    </row>
    <row r="1782" spans="4:6" outlineLevel="1">
      <c r="D1782"/>
      <c r="E1782"/>
      <c r="F1782"/>
    </row>
    <row r="1783" spans="4:6" outlineLevel="1">
      <c r="D1783"/>
      <c r="E1783"/>
      <c r="F1783"/>
    </row>
    <row r="1784" spans="4:6" outlineLevel="1">
      <c r="D1784"/>
      <c r="E1784"/>
      <c r="F1784"/>
    </row>
    <row r="1785" spans="4:6" outlineLevel="1">
      <c r="D1785"/>
      <c r="E1785"/>
      <c r="F1785"/>
    </row>
    <row r="1786" spans="4:6" outlineLevel="1">
      <c r="D1786"/>
      <c r="E1786"/>
      <c r="F1786"/>
    </row>
    <row r="1787" spans="4:6" outlineLevel="1">
      <c r="D1787"/>
      <c r="E1787"/>
      <c r="F1787"/>
    </row>
    <row r="1788" spans="4:6" outlineLevel="1">
      <c r="D1788"/>
      <c r="E1788"/>
      <c r="F1788"/>
    </row>
    <row r="1789" spans="4:6" outlineLevel="1">
      <c r="D1789"/>
      <c r="E1789"/>
      <c r="F1789"/>
    </row>
    <row r="1790" spans="4:6" outlineLevel="1">
      <c r="D1790"/>
      <c r="E1790"/>
      <c r="F1790"/>
    </row>
    <row r="1791" spans="4:6" outlineLevel="1">
      <c r="D1791"/>
      <c r="E1791"/>
      <c r="F1791"/>
    </row>
    <row r="1792" spans="4:6" outlineLevel="1">
      <c r="D1792"/>
      <c r="E1792"/>
      <c r="F1792"/>
    </row>
    <row r="1793" spans="4:6" outlineLevel="1">
      <c r="D1793"/>
      <c r="E1793"/>
      <c r="F1793"/>
    </row>
    <row r="1794" spans="4:6" outlineLevel="1">
      <c r="D1794"/>
      <c r="E1794"/>
      <c r="F1794"/>
    </row>
    <row r="1795" spans="4:6" outlineLevel="1">
      <c r="D1795"/>
      <c r="E1795"/>
      <c r="F1795"/>
    </row>
    <row r="1796" spans="4:6" outlineLevel="1">
      <c r="D1796"/>
      <c r="E1796"/>
      <c r="F1796"/>
    </row>
    <row r="1797" spans="4:6" outlineLevel="1">
      <c r="D1797"/>
      <c r="E1797"/>
      <c r="F1797"/>
    </row>
    <row r="1798" spans="4:6" outlineLevel="1">
      <c r="D1798"/>
      <c r="E1798"/>
      <c r="F1798"/>
    </row>
    <row r="1799" spans="4:6" outlineLevel="1">
      <c r="D1799"/>
      <c r="E1799"/>
      <c r="F1799"/>
    </row>
    <row r="1800" spans="4:6" outlineLevel="1">
      <c r="D1800"/>
      <c r="E1800"/>
      <c r="F1800"/>
    </row>
    <row r="1801" spans="4:6" outlineLevel="1">
      <c r="D1801"/>
      <c r="E1801"/>
      <c r="F1801"/>
    </row>
    <row r="1802" spans="4:6" outlineLevel="1">
      <c r="D1802"/>
      <c r="E1802"/>
      <c r="F1802"/>
    </row>
    <row r="1803" spans="4:6" outlineLevel="1">
      <c r="D1803"/>
      <c r="E1803"/>
      <c r="F1803"/>
    </row>
    <row r="1804" spans="4:6" outlineLevel="1">
      <c r="D1804"/>
      <c r="E1804"/>
      <c r="F1804"/>
    </row>
    <row r="1805" spans="4:6" outlineLevel="1">
      <c r="D1805"/>
      <c r="E1805"/>
      <c r="F1805"/>
    </row>
    <row r="1806" spans="4:6" outlineLevel="1">
      <c r="D1806"/>
      <c r="E1806"/>
      <c r="F1806"/>
    </row>
    <row r="1807" spans="4:6" outlineLevel="1">
      <c r="D1807"/>
      <c r="E1807"/>
      <c r="F1807"/>
    </row>
    <row r="1808" spans="4:6" outlineLevel="1">
      <c r="D1808"/>
      <c r="E1808"/>
      <c r="F1808"/>
    </row>
    <row r="1809" spans="4:6" outlineLevel="1">
      <c r="D1809"/>
      <c r="E1809"/>
      <c r="F1809"/>
    </row>
    <row r="1810" spans="4:6" outlineLevel="1">
      <c r="D1810"/>
      <c r="E1810"/>
      <c r="F1810"/>
    </row>
    <row r="1811" spans="4:6" outlineLevel="1">
      <c r="D1811"/>
      <c r="E1811"/>
      <c r="F1811"/>
    </row>
    <row r="1812" spans="4:6" outlineLevel="1">
      <c r="D1812"/>
      <c r="E1812"/>
      <c r="F1812"/>
    </row>
    <row r="1813" spans="4:6" outlineLevel="1">
      <c r="D1813"/>
      <c r="E1813"/>
      <c r="F1813"/>
    </row>
    <row r="1814" spans="4:6" outlineLevel="1">
      <c r="D1814"/>
      <c r="E1814"/>
      <c r="F1814"/>
    </row>
    <row r="1815" spans="4:6" outlineLevel="1">
      <c r="D1815"/>
      <c r="E1815"/>
      <c r="F1815"/>
    </row>
    <row r="1816" spans="4:6" outlineLevel="1">
      <c r="D1816"/>
      <c r="E1816"/>
      <c r="F1816"/>
    </row>
    <row r="1817" spans="4:6" outlineLevel="1">
      <c r="D1817"/>
      <c r="E1817"/>
      <c r="F1817"/>
    </row>
    <row r="1818" spans="4:6" outlineLevel="1">
      <c r="D1818"/>
      <c r="E1818"/>
      <c r="F1818"/>
    </row>
    <row r="1819" spans="4:6" outlineLevel="1">
      <c r="D1819"/>
      <c r="E1819"/>
      <c r="F1819"/>
    </row>
    <row r="1820" spans="4:6">
      <c r="D1820"/>
      <c r="E1820"/>
      <c r="F1820"/>
    </row>
    <row r="1821" spans="4:6" outlineLevel="1">
      <c r="D1821"/>
      <c r="E1821"/>
      <c r="F1821"/>
    </row>
    <row r="1822" spans="4:6" outlineLevel="1">
      <c r="D1822"/>
      <c r="E1822"/>
      <c r="F1822"/>
    </row>
    <row r="1823" spans="4:6" outlineLevel="1">
      <c r="D1823"/>
      <c r="E1823"/>
      <c r="F1823"/>
    </row>
    <row r="1824" spans="4:6" outlineLevel="1">
      <c r="D1824"/>
      <c r="E1824"/>
      <c r="F1824"/>
    </row>
    <row r="1825" spans="4:6" outlineLevel="1">
      <c r="D1825"/>
      <c r="E1825"/>
      <c r="F1825"/>
    </row>
    <row r="1826" spans="4:6" outlineLevel="1">
      <c r="D1826"/>
      <c r="E1826"/>
      <c r="F1826"/>
    </row>
    <row r="1827" spans="4:6" outlineLevel="1">
      <c r="D1827"/>
      <c r="E1827"/>
      <c r="F1827"/>
    </row>
    <row r="1828" spans="4:6" outlineLevel="1">
      <c r="D1828"/>
      <c r="E1828"/>
      <c r="F1828"/>
    </row>
    <row r="1829" spans="4:6" outlineLevel="1">
      <c r="D1829"/>
      <c r="E1829"/>
      <c r="F1829"/>
    </row>
    <row r="1830" spans="4:6" outlineLevel="1">
      <c r="D1830"/>
      <c r="E1830"/>
      <c r="F1830"/>
    </row>
    <row r="1831" spans="4:6" outlineLevel="1">
      <c r="D1831"/>
      <c r="E1831"/>
      <c r="F1831"/>
    </row>
    <row r="1832" spans="4:6" outlineLevel="1">
      <c r="D1832"/>
      <c r="E1832"/>
      <c r="F1832"/>
    </row>
    <row r="1833" spans="4:6" outlineLevel="1">
      <c r="D1833"/>
      <c r="E1833"/>
      <c r="F1833"/>
    </row>
    <row r="1834" spans="4:6" outlineLevel="1">
      <c r="D1834"/>
      <c r="E1834"/>
      <c r="F1834"/>
    </row>
    <row r="1835" spans="4:6" outlineLevel="1">
      <c r="D1835"/>
      <c r="E1835"/>
      <c r="F1835"/>
    </row>
    <row r="1836" spans="4:6" outlineLevel="1">
      <c r="D1836"/>
      <c r="E1836"/>
      <c r="F1836"/>
    </row>
    <row r="1837" spans="4:6" outlineLevel="1">
      <c r="D1837"/>
      <c r="E1837"/>
      <c r="F1837"/>
    </row>
    <row r="1838" spans="4:6" outlineLevel="1">
      <c r="D1838"/>
      <c r="E1838"/>
      <c r="F1838"/>
    </row>
    <row r="1839" spans="4:6" outlineLevel="1">
      <c r="D1839"/>
      <c r="E1839"/>
      <c r="F1839"/>
    </row>
    <row r="1840" spans="4:6" outlineLevel="1">
      <c r="D1840"/>
      <c r="E1840"/>
      <c r="F1840"/>
    </row>
    <row r="1841" spans="4:6" outlineLevel="1">
      <c r="D1841"/>
      <c r="E1841"/>
      <c r="F1841"/>
    </row>
    <row r="1842" spans="4:6" outlineLevel="1">
      <c r="D1842"/>
      <c r="E1842"/>
      <c r="F1842"/>
    </row>
    <row r="1843" spans="4:6" outlineLevel="1">
      <c r="D1843"/>
      <c r="E1843"/>
      <c r="F1843"/>
    </row>
    <row r="1844" spans="4:6" outlineLevel="1">
      <c r="D1844"/>
      <c r="E1844"/>
      <c r="F1844"/>
    </row>
    <row r="1845" spans="4:6" outlineLevel="1">
      <c r="D1845"/>
      <c r="E1845"/>
      <c r="F1845"/>
    </row>
    <row r="1846" spans="4:6" outlineLevel="1">
      <c r="D1846"/>
      <c r="E1846"/>
      <c r="F1846"/>
    </row>
    <row r="1847" spans="4:6" outlineLevel="1">
      <c r="D1847"/>
      <c r="E1847"/>
      <c r="F1847"/>
    </row>
    <row r="1848" spans="4:6" outlineLevel="1">
      <c r="D1848"/>
      <c r="E1848"/>
      <c r="F1848"/>
    </row>
    <row r="1849" spans="4:6" outlineLevel="1">
      <c r="D1849"/>
      <c r="E1849"/>
      <c r="F1849"/>
    </row>
    <row r="1850" spans="4:6" outlineLevel="1">
      <c r="D1850"/>
      <c r="E1850"/>
      <c r="F1850"/>
    </row>
    <row r="1851" spans="4:6" outlineLevel="1">
      <c r="D1851"/>
      <c r="E1851"/>
      <c r="F1851"/>
    </row>
    <row r="1852" spans="4:6" outlineLevel="1">
      <c r="D1852"/>
      <c r="E1852"/>
      <c r="F1852"/>
    </row>
    <row r="1853" spans="4:6" outlineLevel="1">
      <c r="D1853"/>
      <c r="E1853"/>
      <c r="F1853"/>
    </row>
    <row r="1854" spans="4:6" outlineLevel="1">
      <c r="D1854"/>
      <c r="E1854"/>
      <c r="F1854"/>
    </row>
    <row r="1855" spans="4:6" outlineLevel="1">
      <c r="D1855"/>
      <c r="E1855"/>
      <c r="F1855"/>
    </row>
    <row r="1856" spans="4:6" outlineLevel="1">
      <c r="D1856"/>
      <c r="E1856"/>
      <c r="F1856"/>
    </row>
    <row r="1857" spans="4:6" outlineLevel="1">
      <c r="D1857"/>
      <c r="E1857"/>
      <c r="F1857"/>
    </row>
    <row r="1858" spans="4:6" outlineLevel="1">
      <c r="D1858"/>
      <c r="E1858"/>
      <c r="F1858"/>
    </row>
    <row r="1859" spans="4:6" outlineLevel="1">
      <c r="D1859"/>
      <c r="E1859"/>
      <c r="F1859"/>
    </row>
    <row r="1860" spans="4:6" outlineLevel="1">
      <c r="D1860"/>
      <c r="E1860"/>
      <c r="F1860"/>
    </row>
    <row r="1861" spans="4:6" outlineLevel="1">
      <c r="D1861"/>
      <c r="E1861"/>
      <c r="F1861"/>
    </row>
    <row r="1862" spans="4:6" outlineLevel="1">
      <c r="D1862"/>
      <c r="E1862"/>
      <c r="F1862"/>
    </row>
    <row r="1863" spans="4:6" outlineLevel="1">
      <c r="D1863"/>
      <c r="E1863"/>
      <c r="F1863"/>
    </row>
    <row r="1864" spans="4:6" outlineLevel="1">
      <c r="D1864"/>
      <c r="E1864"/>
      <c r="F1864"/>
    </row>
    <row r="1865" spans="4:6" outlineLevel="1">
      <c r="D1865"/>
      <c r="E1865"/>
      <c r="F1865"/>
    </row>
    <row r="1866" spans="4:6" outlineLevel="1">
      <c r="D1866"/>
      <c r="E1866"/>
      <c r="F1866"/>
    </row>
    <row r="1867" spans="4:6" outlineLevel="1">
      <c r="D1867"/>
      <c r="E1867"/>
      <c r="F1867"/>
    </row>
    <row r="1868" spans="4:6" outlineLevel="1">
      <c r="D1868"/>
      <c r="E1868"/>
      <c r="F1868"/>
    </row>
    <row r="1869" spans="4:6" outlineLevel="1">
      <c r="D1869"/>
      <c r="E1869"/>
      <c r="F1869"/>
    </row>
    <row r="1870" spans="4:6" outlineLevel="1">
      <c r="D1870"/>
      <c r="E1870"/>
      <c r="F1870"/>
    </row>
    <row r="1871" spans="4:6" outlineLevel="1">
      <c r="D1871"/>
      <c r="E1871"/>
      <c r="F1871"/>
    </row>
    <row r="1872" spans="4:6" outlineLevel="1">
      <c r="D1872"/>
      <c r="E1872"/>
      <c r="F1872"/>
    </row>
    <row r="1873" spans="4:6" outlineLevel="1">
      <c r="D1873"/>
      <c r="E1873"/>
      <c r="F1873"/>
    </row>
    <row r="1874" spans="4:6" outlineLevel="1">
      <c r="D1874"/>
      <c r="E1874"/>
      <c r="F1874"/>
    </row>
    <row r="1875" spans="4:6" outlineLevel="1">
      <c r="D1875"/>
      <c r="E1875"/>
      <c r="F1875"/>
    </row>
    <row r="1876" spans="4:6" outlineLevel="1">
      <c r="D1876"/>
      <c r="E1876"/>
      <c r="F1876"/>
    </row>
    <row r="1877" spans="4:6" outlineLevel="1">
      <c r="D1877"/>
      <c r="E1877"/>
      <c r="F1877"/>
    </row>
    <row r="1878" spans="4:6" outlineLevel="1">
      <c r="D1878"/>
      <c r="E1878"/>
      <c r="F1878"/>
    </row>
    <row r="1879" spans="4:6" outlineLevel="1">
      <c r="D1879"/>
      <c r="E1879"/>
      <c r="F1879"/>
    </row>
    <row r="1880" spans="4:6" outlineLevel="1">
      <c r="D1880"/>
      <c r="E1880"/>
      <c r="F1880"/>
    </row>
    <row r="1881" spans="4:6" outlineLevel="1">
      <c r="D1881"/>
      <c r="E1881"/>
      <c r="F1881"/>
    </row>
    <row r="1882" spans="4:6" outlineLevel="1">
      <c r="D1882"/>
      <c r="E1882"/>
      <c r="F1882"/>
    </row>
    <row r="1883" spans="4:6" outlineLevel="1">
      <c r="D1883"/>
      <c r="E1883"/>
      <c r="F1883"/>
    </row>
    <row r="1884" spans="4:6" outlineLevel="1">
      <c r="D1884"/>
      <c r="E1884"/>
      <c r="F1884"/>
    </row>
    <row r="1885" spans="4:6" outlineLevel="1">
      <c r="D1885"/>
      <c r="E1885"/>
      <c r="F1885"/>
    </row>
    <row r="1886" spans="4:6" outlineLevel="1">
      <c r="D1886"/>
      <c r="E1886"/>
      <c r="F1886"/>
    </row>
    <row r="1887" spans="4:6" outlineLevel="1">
      <c r="D1887"/>
      <c r="E1887"/>
      <c r="F1887"/>
    </row>
    <row r="1888" spans="4:6" outlineLevel="1">
      <c r="D1888"/>
      <c r="E1888"/>
      <c r="F1888"/>
    </row>
    <row r="1889" spans="4:6" outlineLevel="1">
      <c r="D1889"/>
      <c r="E1889"/>
      <c r="F1889"/>
    </row>
    <row r="1890" spans="4:6" outlineLevel="1">
      <c r="D1890"/>
      <c r="E1890"/>
      <c r="F1890"/>
    </row>
    <row r="1891" spans="4:6" outlineLevel="1">
      <c r="D1891"/>
      <c r="E1891"/>
      <c r="F1891"/>
    </row>
    <row r="1892" spans="4:6" outlineLevel="1">
      <c r="D1892"/>
      <c r="E1892"/>
      <c r="F1892"/>
    </row>
    <row r="1893" spans="4:6" outlineLevel="1">
      <c r="D1893"/>
      <c r="E1893"/>
      <c r="F1893"/>
    </row>
    <row r="1894" spans="4:6" outlineLevel="1">
      <c r="D1894"/>
      <c r="E1894"/>
      <c r="F1894"/>
    </row>
    <row r="1895" spans="4:6" outlineLevel="1">
      <c r="D1895"/>
      <c r="E1895"/>
      <c r="F1895"/>
    </row>
    <row r="1896" spans="4:6" outlineLevel="1">
      <c r="D1896"/>
      <c r="E1896"/>
      <c r="F1896"/>
    </row>
    <row r="1897" spans="4:6" outlineLevel="1">
      <c r="D1897"/>
      <c r="E1897"/>
      <c r="F1897"/>
    </row>
    <row r="1898" spans="4:6" outlineLevel="1">
      <c r="D1898"/>
      <c r="E1898"/>
      <c r="F1898"/>
    </row>
    <row r="1899" spans="4:6" outlineLevel="1">
      <c r="D1899"/>
      <c r="E1899"/>
      <c r="F1899"/>
    </row>
    <row r="1900" spans="4:6" outlineLevel="1">
      <c r="D1900"/>
      <c r="E1900"/>
      <c r="F1900"/>
    </row>
    <row r="1901" spans="4:6" outlineLevel="1">
      <c r="D1901"/>
      <c r="E1901"/>
      <c r="F1901"/>
    </row>
    <row r="1902" spans="4:6" outlineLevel="1">
      <c r="D1902"/>
      <c r="E1902"/>
      <c r="F1902"/>
    </row>
    <row r="1903" spans="4:6" outlineLevel="1">
      <c r="D1903"/>
      <c r="E1903"/>
      <c r="F1903"/>
    </row>
    <row r="1904" spans="4:6" outlineLevel="1">
      <c r="D1904"/>
      <c r="E1904"/>
      <c r="F1904"/>
    </row>
    <row r="1905" spans="4:6" outlineLevel="1">
      <c r="D1905"/>
      <c r="E1905"/>
      <c r="F1905"/>
    </row>
    <row r="1906" spans="4:6" outlineLevel="1">
      <c r="D1906"/>
      <c r="E1906"/>
      <c r="F1906"/>
    </row>
    <row r="1907" spans="4:6" outlineLevel="1">
      <c r="D1907"/>
      <c r="E1907"/>
      <c r="F1907"/>
    </row>
    <row r="1908" spans="4:6" outlineLevel="1">
      <c r="D1908"/>
      <c r="E1908"/>
      <c r="F1908"/>
    </row>
    <row r="1909" spans="4:6" outlineLevel="1">
      <c r="D1909"/>
      <c r="E1909"/>
      <c r="F1909"/>
    </row>
    <row r="1910" spans="4:6" outlineLevel="1">
      <c r="D1910"/>
      <c r="E1910"/>
      <c r="F1910"/>
    </row>
    <row r="1911" spans="4:6" outlineLevel="1">
      <c r="D1911"/>
      <c r="E1911"/>
      <c r="F1911"/>
    </row>
    <row r="1912" spans="4:6" outlineLevel="1">
      <c r="D1912"/>
      <c r="E1912"/>
      <c r="F1912"/>
    </row>
    <row r="1913" spans="4:6" outlineLevel="1">
      <c r="D1913"/>
      <c r="E1913"/>
      <c r="F1913"/>
    </row>
    <row r="1914" spans="4:6" outlineLevel="1">
      <c r="D1914"/>
      <c r="E1914"/>
      <c r="F1914"/>
    </row>
    <row r="1915" spans="4:6" outlineLevel="1">
      <c r="D1915"/>
      <c r="E1915"/>
      <c r="F1915"/>
    </row>
    <row r="1916" spans="4:6" outlineLevel="1">
      <c r="D1916"/>
      <c r="E1916"/>
      <c r="F1916"/>
    </row>
    <row r="1917" spans="4:6" outlineLevel="1">
      <c r="D1917"/>
      <c r="E1917"/>
      <c r="F1917"/>
    </row>
    <row r="1918" spans="4:6" outlineLevel="1">
      <c r="D1918"/>
      <c r="E1918"/>
      <c r="F1918"/>
    </row>
    <row r="1919" spans="4:6" outlineLevel="1">
      <c r="D1919"/>
      <c r="E1919"/>
      <c r="F1919"/>
    </row>
    <row r="1920" spans="4:6" outlineLevel="1">
      <c r="D1920"/>
      <c r="E1920"/>
      <c r="F1920"/>
    </row>
    <row r="1921" spans="4:6" outlineLevel="1">
      <c r="D1921"/>
      <c r="E1921"/>
      <c r="F1921"/>
    </row>
    <row r="1922" spans="4:6" outlineLevel="1">
      <c r="D1922"/>
      <c r="E1922"/>
      <c r="F1922"/>
    </row>
    <row r="1923" spans="4:6" outlineLevel="1">
      <c r="D1923"/>
      <c r="E1923"/>
      <c r="F1923"/>
    </row>
    <row r="1924" spans="4:6" outlineLevel="1">
      <c r="D1924"/>
      <c r="E1924"/>
      <c r="F1924"/>
    </row>
    <row r="1925" spans="4:6" outlineLevel="1">
      <c r="D1925"/>
      <c r="E1925"/>
      <c r="F1925"/>
    </row>
    <row r="1926" spans="4:6" outlineLevel="1">
      <c r="D1926"/>
      <c r="E1926"/>
      <c r="F1926"/>
    </row>
    <row r="1927" spans="4:6" outlineLevel="1">
      <c r="D1927"/>
      <c r="E1927"/>
      <c r="F1927"/>
    </row>
    <row r="1928" spans="4:6" outlineLevel="1">
      <c r="D1928"/>
      <c r="E1928"/>
      <c r="F1928"/>
    </row>
    <row r="1929" spans="4:6" outlineLevel="1">
      <c r="D1929"/>
      <c r="E1929"/>
      <c r="F1929"/>
    </row>
    <row r="1930" spans="4:6" outlineLevel="1">
      <c r="D1930"/>
      <c r="E1930"/>
      <c r="F1930"/>
    </row>
    <row r="1931" spans="4:6" outlineLevel="1">
      <c r="D1931"/>
      <c r="E1931"/>
      <c r="F1931"/>
    </row>
    <row r="1932" spans="4:6" outlineLevel="1">
      <c r="D1932"/>
      <c r="E1932"/>
      <c r="F1932"/>
    </row>
    <row r="1933" spans="4:6" outlineLevel="1">
      <c r="D1933"/>
      <c r="E1933"/>
      <c r="F1933"/>
    </row>
    <row r="1934" spans="4:6" outlineLevel="1">
      <c r="D1934"/>
      <c r="E1934"/>
      <c r="F1934"/>
    </row>
    <row r="1935" spans="4:6" outlineLevel="1">
      <c r="D1935"/>
      <c r="E1935"/>
      <c r="F1935"/>
    </row>
    <row r="1936" spans="4:6" outlineLevel="1">
      <c r="D1936"/>
      <c r="E1936"/>
      <c r="F1936"/>
    </row>
    <row r="1937" spans="4:6" outlineLevel="1">
      <c r="D1937"/>
      <c r="E1937"/>
      <c r="F1937"/>
    </row>
    <row r="1938" spans="4:6" outlineLevel="1">
      <c r="D1938"/>
      <c r="E1938"/>
      <c r="F1938"/>
    </row>
    <row r="1939" spans="4:6" outlineLevel="1">
      <c r="D1939"/>
      <c r="E1939"/>
      <c r="F1939"/>
    </row>
    <row r="1940" spans="4:6" outlineLevel="1">
      <c r="D1940"/>
      <c r="E1940"/>
      <c r="F1940"/>
    </row>
    <row r="1941" spans="4:6" outlineLevel="1">
      <c r="D1941"/>
      <c r="E1941"/>
      <c r="F1941"/>
    </row>
    <row r="1942" spans="4:6" outlineLevel="1">
      <c r="D1942"/>
      <c r="E1942"/>
      <c r="F1942"/>
    </row>
    <row r="1943" spans="4:6" outlineLevel="1">
      <c r="D1943"/>
      <c r="E1943"/>
      <c r="F1943"/>
    </row>
    <row r="1944" spans="4:6" outlineLevel="1">
      <c r="D1944"/>
      <c r="E1944"/>
      <c r="F1944"/>
    </row>
    <row r="1945" spans="4:6" outlineLevel="1">
      <c r="D1945"/>
      <c r="E1945"/>
      <c r="F1945"/>
    </row>
    <row r="1946" spans="4:6" outlineLevel="1">
      <c r="D1946"/>
      <c r="E1946"/>
      <c r="F1946"/>
    </row>
    <row r="1947" spans="4:6" outlineLevel="1">
      <c r="D1947"/>
      <c r="E1947"/>
      <c r="F1947"/>
    </row>
    <row r="1948" spans="4:6" outlineLevel="1">
      <c r="D1948"/>
      <c r="E1948"/>
      <c r="F1948"/>
    </row>
    <row r="1949" spans="4:6" outlineLevel="1">
      <c r="D1949"/>
      <c r="E1949"/>
      <c r="F1949"/>
    </row>
    <row r="1950" spans="4:6" outlineLevel="1">
      <c r="D1950"/>
      <c r="E1950"/>
      <c r="F1950"/>
    </row>
    <row r="1951" spans="4:6" outlineLevel="1">
      <c r="D1951"/>
      <c r="E1951"/>
      <c r="F1951"/>
    </row>
    <row r="1952" spans="4:6" outlineLevel="1">
      <c r="D1952"/>
      <c r="E1952"/>
      <c r="F1952"/>
    </row>
    <row r="1953" spans="4:6" outlineLevel="1">
      <c r="D1953"/>
      <c r="E1953"/>
      <c r="F1953"/>
    </row>
    <row r="1954" spans="4:6" outlineLevel="1">
      <c r="D1954"/>
      <c r="E1954"/>
      <c r="F1954"/>
    </row>
    <row r="1955" spans="4:6" outlineLevel="1">
      <c r="D1955"/>
      <c r="E1955"/>
      <c r="F1955"/>
    </row>
    <row r="1956" spans="4:6" outlineLevel="1">
      <c r="D1956"/>
      <c r="E1956"/>
      <c r="F1956"/>
    </row>
    <row r="1957" spans="4:6" outlineLevel="1">
      <c r="D1957"/>
      <c r="E1957"/>
      <c r="F1957"/>
    </row>
    <row r="1958" spans="4:6" outlineLevel="1">
      <c r="D1958"/>
      <c r="E1958"/>
      <c r="F1958"/>
    </row>
    <row r="1959" spans="4:6" outlineLevel="1">
      <c r="D1959"/>
      <c r="E1959"/>
      <c r="F1959"/>
    </row>
    <row r="1960" spans="4:6" outlineLevel="1">
      <c r="D1960"/>
      <c r="E1960"/>
      <c r="F1960"/>
    </row>
    <row r="1961" spans="4:6" outlineLevel="1">
      <c r="D1961"/>
      <c r="E1961"/>
      <c r="F1961"/>
    </row>
    <row r="1962" spans="4:6" outlineLevel="1">
      <c r="D1962"/>
      <c r="E1962"/>
      <c r="F1962"/>
    </row>
    <row r="1963" spans="4:6" outlineLevel="1">
      <c r="D1963"/>
      <c r="E1963"/>
      <c r="F1963"/>
    </row>
    <row r="1964" spans="4:6" outlineLevel="1">
      <c r="D1964"/>
      <c r="E1964"/>
      <c r="F1964"/>
    </row>
    <row r="1965" spans="4:6" outlineLevel="1">
      <c r="D1965"/>
      <c r="E1965"/>
      <c r="F1965"/>
    </row>
    <row r="1966" spans="4:6" outlineLevel="1">
      <c r="D1966"/>
      <c r="E1966"/>
      <c r="F1966"/>
    </row>
    <row r="1967" spans="4:6" outlineLevel="1">
      <c r="D1967"/>
      <c r="E1967"/>
      <c r="F1967"/>
    </row>
    <row r="1968" spans="4:6" outlineLevel="1">
      <c r="D1968"/>
      <c r="E1968"/>
      <c r="F1968"/>
    </row>
    <row r="1969" spans="4:6" outlineLevel="1">
      <c r="D1969"/>
      <c r="E1969"/>
      <c r="F1969"/>
    </row>
    <row r="1970" spans="4:6" outlineLevel="1">
      <c r="D1970"/>
      <c r="E1970"/>
      <c r="F1970"/>
    </row>
    <row r="1971" spans="4:6" outlineLevel="1">
      <c r="D1971"/>
      <c r="E1971"/>
      <c r="F1971"/>
    </row>
    <row r="1972" spans="4:6" outlineLevel="1">
      <c r="D1972"/>
      <c r="E1972"/>
      <c r="F1972"/>
    </row>
    <row r="1973" spans="4:6" outlineLevel="1">
      <c r="D1973"/>
      <c r="E1973"/>
      <c r="F1973"/>
    </row>
    <row r="1974" spans="4:6" outlineLevel="1">
      <c r="D1974"/>
      <c r="E1974"/>
      <c r="F1974"/>
    </row>
    <row r="1975" spans="4:6" outlineLevel="1">
      <c r="D1975"/>
      <c r="E1975"/>
      <c r="F1975"/>
    </row>
    <row r="1976" spans="4:6" outlineLevel="1">
      <c r="D1976"/>
      <c r="E1976"/>
      <c r="F1976"/>
    </row>
    <row r="1977" spans="4:6" outlineLevel="1">
      <c r="D1977"/>
      <c r="E1977"/>
      <c r="F1977"/>
    </row>
    <row r="1978" spans="4:6" outlineLevel="1">
      <c r="D1978"/>
      <c r="E1978"/>
      <c r="F1978"/>
    </row>
    <row r="1979" spans="4:6" outlineLevel="1">
      <c r="D1979"/>
      <c r="E1979"/>
      <c r="F1979"/>
    </row>
    <row r="1980" spans="4:6" outlineLevel="1">
      <c r="D1980"/>
      <c r="E1980"/>
      <c r="F1980"/>
    </row>
    <row r="1981" spans="4:6" outlineLevel="1">
      <c r="D1981"/>
      <c r="E1981"/>
      <c r="F1981"/>
    </row>
    <row r="1982" spans="4:6" outlineLevel="1">
      <c r="D1982"/>
      <c r="E1982"/>
      <c r="F1982"/>
    </row>
    <row r="1983" spans="4:6" outlineLevel="1">
      <c r="D1983"/>
      <c r="E1983"/>
      <c r="F1983"/>
    </row>
    <row r="1984" spans="4:6" outlineLevel="1">
      <c r="D1984"/>
      <c r="E1984"/>
      <c r="F1984"/>
    </row>
    <row r="1985" spans="4:6" outlineLevel="1">
      <c r="D1985"/>
      <c r="E1985"/>
      <c r="F1985"/>
    </row>
    <row r="1986" spans="4:6" outlineLevel="1">
      <c r="D1986"/>
      <c r="E1986"/>
      <c r="F1986"/>
    </row>
    <row r="1987" spans="4:6" outlineLevel="1">
      <c r="D1987"/>
      <c r="E1987"/>
      <c r="F1987"/>
    </row>
    <row r="1988" spans="4:6" outlineLevel="1">
      <c r="D1988"/>
      <c r="E1988"/>
      <c r="F1988"/>
    </row>
    <row r="1989" spans="4:6" outlineLevel="1">
      <c r="D1989"/>
      <c r="E1989"/>
      <c r="F1989"/>
    </row>
    <row r="1990" spans="4:6" outlineLevel="1">
      <c r="D1990"/>
      <c r="E1990"/>
      <c r="F1990"/>
    </row>
    <row r="1991" spans="4:6" outlineLevel="1">
      <c r="D1991"/>
      <c r="E1991"/>
      <c r="F1991"/>
    </row>
    <row r="1992" spans="4:6" outlineLevel="1">
      <c r="D1992"/>
      <c r="E1992"/>
      <c r="F1992"/>
    </row>
    <row r="1993" spans="4:6" outlineLevel="1">
      <c r="D1993"/>
      <c r="E1993"/>
      <c r="F1993"/>
    </row>
    <row r="1994" spans="4:6" outlineLevel="1">
      <c r="D1994"/>
      <c r="E1994"/>
      <c r="F1994"/>
    </row>
    <row r="1995" spans="4:6" outlineLevel="1">
      <c r="D1995"/>
      <c r="E1995"/>
      <c r="F1995"/>
    </row>
    <row r="1996" spans="4:6" outlineLevel="1">
      <c r="D1996"/>
      <c r="E1996"/>
      <c r="F1996"/>
    </row>
    <row r="1997" spans="4:6" outlineLevel="1">
      <c r="D1997"/>
      <c r="E1997"/>
      <c r="F1997"/>
    </row>
    <row r="1998" spans="4:6" outlineLevel="1">
      <c r="D1998"/>
      <c r="E1998"/>
      <c r="F1998"/>
    </row>
    <row r="1999" spans="4:6" outlineLevel="1">
      <c r="D1999"/>
      <c r="E1999"/>
      <c r="F1999"/>
    </row>
    <row r="2000" spans="4:6" outlineLevel="1">
      <c r="D2000"/>
      <c r="E2000"/>
      <c r="F2000"/>
    </row>
    <row r="2001" spans="4:6" outlineLevel="1">
      <c r="D2001"/>
      <c r="E2001"/>
      <c r="F2001"/>
    </row>
    <row r="2002" spans="4:6" outlineLevel="1">
      <c r="D2002"/>
      <c r="E2002"/>
      <c r="F2002"/>
    </row>
    <row r="2003" spans="4:6" outlineLevel="1">
      <c r="D2003"/>
      <c r="E2003"/>
      <c r="F2003"/>
    </row>
    <row r="2004" spans="4:6" outlineLevel="1">
      <c r="D2004"/>
      <c r="E2004"/>
      <c r="F2004"/>
    </row>
    <row r="2005" spans="4:6" outlineLevel="1">
      <c r="D2005"/>
      <c r="E2005"/>
      <c r="F2005"/>
    </row>
    <row r="2006" spans="4:6" outlineLevel="1">
      <c r="D2006"/>
      <c r="E2006"/>
      <c r="F2006"/>
    </row>
    <row r="2007" spans="4:6" outlineLevel="1">
      <c r="D2007"/>
      <c r="E2007"/>
      <c r="F2007"/>
    </row>
    <row r="2008" spans="4:6" outlineLevel="1">
      <c r="D2008"/>
      <c r="E2008"/>
      <c r="F2008"/>
    </row>
    <row r="2009" spans="4:6" outlineLevel="1">
      <c r="D2009"/>
      <c r="E2009"/>
      <c r="F2009"/>
    </row>
    <row r="2010" spans="4:6" outlineLevel="1">
      <c r="D2010"/>
      <c r="E2010"/>
      <c r="F2010"/>
    </row>
    <row r="2011" spans="4:6" outlineLevel="1">
      <c r="D2011"/>
      <c r="E2011"/>
      <c r="F2011"/>
    </row>
    <row r="2012" spans="4:6" outlineLevel="1">
      <c r="D2012"/>
      <c r="E2012"/>
      <c r="F2012"/>
    </row>
    <row r="2013" spans="4:6" outlineLevel="1">
      <c r="D2013"/>
      <c r="E2013"/>
      <c r="F2013"/>
    </row>
    <row r="2014" spans="4:6" outlineLevel="1">
      <c r="D2014"/>
      <c r="E2014"/>
      <c r="F2014"/>
    </row>
    <row r="2015" spans="4:6" outlineLevel="1">
      <c r="D2015"/>
      <c r="E2015"/>
      <c r="F2015"/>
    </row>
    <row r="2016" spans="4:6" outlineLevel="1">
      <c r="D2016"/>
      <c r="E2016"/>
      <c r="F2016"/>
    </row>
    <row r="2017" spans="4:6" outlineLevel="1">
      <c r="D2017"/>
      <c r="E2017"/>
      <c r="F2017"/>
    </row>
    <row r="2018" spans="4:6" outlineLevel="1">
      <c r="D2018"/>
      <c r="E2018"/>
      <c r="F2018"/>
    </row>
    <row r="2019" spans="4:6" outlineLevel="1">
      <c r="D2019"/>
      <c r="E2019"/>
      <c r="F2019"/>
    </row>
    <row r="2020" spans="4:6" outlineLevel="1">
      <c r="D2020"/>
      <c r="E2020"/>
      <c r="F2020"/>
    </row>
    <row r="2021" spans="4:6" outlineLevel="1">
      <c r="D2021"/>
      <c r="E2021"/>
      <c r="F2021"/>
    </row>
    <row r="2022" spans="4:6" outlineLevel="1">
      <c r="D2022"/>
      <c r="E2022"/>
      <c r="F2022"/>
    </row>
    <row r="2023" spans="4:6" outlineLevel="1">
      <c r="D2023"/>
      <c r="E2023"/>
      <c r="F2023"/>
    </row>
    <row r="2024" spans="4:6" outlineLevel="1">
      <c r="D2024"/>
      <c r="E2024"/>
      <c r="F2024"/>
    </row>
    <row r="2025" spans="4:6" outlineLevel="1">
      <c r="D2025"/>
      <c r="E2025"/>
      <c r="F2025"/>
    </row>
    <row r="2026" spans="4:6" outlineLevel="1">
      <c r="D2026"/>
      <c r="E2026"/>
      <c r="F2026"/>
    </row>
    <row r="2027" spans="4:6" outlineLevel="1">
      <c r="D2027"/>
      <c r="E2027"/>
      <c r="F2027"/>
    </row>
    <row r="2028" spans="4:6" outlineLevel="1">
      <c r="D2028"/>
      <c r="E2028"/>
      <c r="F2028"/>
    </row>
    <row r="2029" spans="4:6" outlineLevel="1">
      <c r="D2029"/>
      <c r="E2029"/>
      <c r="F2029"/>
    </row>
    <row r="2030" spans="4:6" outlineLevel="1">
      <c r="D2030"/>
      <c r="E2030"/>
      <c r="F2030"/>
    </row>
    <row r="2031" spans="4:6" outlineLevel="1">
      <c r="D2031"/>
      <c r="E2031"/>
      <c r="F2031"/>
    </row>
    <row r="2032" spans="4:6" outlineLevel="1">
      <c r="D2032"/>
      <c r="E2032"/>
      <c r="F2032"/>
    </row>
    <row r="2033" spans="4:6" outlineLevel="1">
      <c r="D2033"/>
      <c r="E2033"/>
      <c r="F2033"/>
    </row>
    <row r="2034" spans="4:6" outlineLevel="1">
      <c r="D2034"/>
      <c r="E2034"/>
      <c r="F2034"/>
    </row>
    <row r="2035" spans="4:6" outlineLevel="1">
      <c r="D2035"/>
      <c r="E2035"/>
      <c r="F2035"/>
    </row>
    <row r="2036" spans="4:6" outlineLevel="1">
      <c r="D2036"/>
      <c r="E2036"/>
      <c r="F2036"/>
    </row>
    <row r="2037" spans="4:6" outlineLevel="1">
      <c r="D2037"/>
      <c r="E2037"/>
      <c r="F2037"/>
    </row>
    <row r="2038" spans="4:6" outlineLevel="1">
      <c r="D2038"/>
      <c r="E2038"/>
      <c r="F2038"/>
    </row>
    <row r="2039" spans="4:6" outlineLevel="1">
      <c r="D2039"/>
      <c r="E2039"/>
      <c r="F2039"/>
    </row>
    <row r="2040" spans="4:6" outlineLevel="1">
      <c r="D2040"/>
      <c r="E2040"/>
      <c r="F2040"/>
    </row>
    <row r="2041" spans="4:6" outlineLevel="1">
      <c r="D2041"/>
      <c r="E2041"/>
      <c r="F2041"/>
    </row>
    <row r="2042" spans="4:6" outlineLevel="1">
      <c r="D2042"/>
      <c r="E2042"/>
      <c r="F2042"/>
    </row>
    <row r="2043" spans="4:6" outlineLevel="1">
      <c r="D2043"/>
      <c r="E2043"/>
      <c r="F2043"/>
    </row>
    <row r="2044" spans="4:6" outlineLevel="1">
      <c r="D2044"/>
      <c r="E2044"/>
      <c r="F2044"/>
    </row>
    <row r="2045" spans="4:6" outlineLevel="1">
      <c r="D2045"/>
      <c r="E2045"/>
      <c r="F2045"/>
    </row>
    <row r="2046" spans="4:6" outlineLevel="1">
      <c r="D2046"/>
      <c r="E2046"/>
      <c r="F2046"/>
    </row>
    <row r="2047" spans="4:6" outlineLevel="1">
      <c r="D2047"/>
      <c r="E2047"/>
      <c r="F2047"/>
    </row>
    <row r="2048" spans="4:6" outlineLevel="1">
      <c r="D2048"/>
      <c r="E2048"/>
      <c r="F2048"/>
    </row>
    <row r="2049" spans="4:6" outlineLevel="1">
      <c r="D2049"/>
      <c r="E2049"/>
      <c r="F2049"/>
    </row>
    <row r="2050" spans="4:6" outlineLevel="1">
      <c r="D2050"/>
      <c r="E2050"/>
      <c r="F2050"/>
    </row>
    <row r="2051" spans="4:6" outlineLevel="1">
      <c r="D2051"/>
      <c r="E2051"/>
      <c r="F2051"/>
    </row>
    <row r="2052" spans="4:6" outlineLevel="1">
      <c r="D2052"/>
      <c r="E2052"/>
      <c r="F2052"/>
    </row>
    <row r="2053" spans="4:6" outlineLevel="1">
      <c r="D2053"/>
      <c r="E2053"/>
      <c r="F2053"/>
    </row>
    <row r="2054" spans="4:6" outlineLevel="1">
      <c r="D2054"/>
      <c r="E2054"/>
      <c r="F2054"/>
    </row>
    <row r="2055" spans="4:6" outlineLevel="1">
      <c r="D2055"/>
      <c r="E2055"/>
      <c r="F2055"/>
    </row>
    <row r="2056" spans="4:6" outlineLevel="1">
      <c r="D2056"/>
      <c r="E2056"/>
      <c r="F2056"/>
    </row>
    <row r="2057" spans="4:6" outlineLevel="1">
      <c r="D2057"/>
      <c r="E2057"/>
      <c r="F2057"/>
    </row>
    <row r="2058" spans="4:6" outlineLevel="1">
      <c r="D2058"/>
      <c r="E2058"/>
      <c r="F2058"/>
    </row>
    <row r="2059" spans="4:6" outlineLevel="1">
      <c r="D2059"/>
      <c r="E2059"/>
      <c r="F2059"/>
    </row>
    <row r="2060" spans="4:6" outlineLevel="1">
      <c r="D2060"/>
      <c r="E2060"/>
      <c r="F2060"/>
    </row>
    <row r="2061" spans="4:6" outlineLevel="1">
      <c r="D2061"/>
      <c r="E2061"/>
      <c r="F2061"/>
    </row>
    <row r="2062" spans="4:6" outlineLevel="1">
      <c r="D2062"/>
      <c r="E2062"/>
      <c r="F2062"/>
    </row>
    <row r="2063" spans="4:6" outlineLevel="1">
      <c r="D2063"/>
      <c r="E2063"/>
      <c r="F2063"/>
    </row>
    <row r="2064" spans="4:6" outlineLevel="1">
      <c r="D2064"/>
      <c r="E2064"/>
      <c r="F2064"/>
    </row>
    <row r="2065" spans="4:6" outlineLevel="1">
      <c r="D2065"/>
      <c r="E2065"/>
      <c r="F2065"/>
    </row>
    <row r="2066" spans="4:6" outlineLevel="1">
      <c r="D2066"/>
      <c r="E2066"/>
      <c r="F2066"/>
    </row>
    <row r="2067" spans="4:6" outlineLevel="1">
      <c r="D2067"/>
      <c r="E2067"/>
      <c r="F2067"/>
    </row>
    <row r="2068" spans="4:6" outlineLevel="1">
      <c r="D2068"/>
      <c r="E2068"/>
      <c r="F2068"/>
    </row>
    <row r="2069" spans="4:6" outlineLevel="1">
      <c r="D2069"/>
      <c r="E2069"/>
      <c r="F2069"/>
    </row>
    <row r="2070" spans="4:6" outlineLevel="1">
      <c r="D2070"/>
      <c r="E2070"/>
      <c r="F2070"/>
    </row>
    <row r="2071" spans="4:6" outlineLevel="1">
      <c r="D2071"/>
      <c r="E2071"/>
      <c r="F2071"/>
    </row>
    <row r="2072" spans="4:6" outlineLevel="1">
      <c r="D2072"/>
      <c r="E2072"/>
      <c r="F2072"/>
    </row>
    <row r="2073" spans="4:6" outlineLevel="1">
      <c r="D2073"/>
      <c r="E2073"/>
      <c r="F2073"/>
    </row>
    <row r="2074" spans="4:6" outlineLevel="1">
      <c r="D2074"/>
      <c r="E2074"/>
      <c r="F2074"/>
    </row>
    <row r="2075" spans="4:6" outlineLevel="1">
      <c r="D2075"/>
      <c r="E2075"/>
      <c r="F2075"/>
    </row>
    <row r="2076" spans="4:6" outlineLevel="1">
      <c r="D2076"/>
      <c r="E2076"/>
      <c r="F2076"/>
    </row>
    <row r="2077" spans="4:6" outlineLevel="1">
      <c r="D2077"/>
      <c r="E2077"/>
      <c r="F2077"/>
    </row>
    <row r="2078" spans="4:6" outlineLevel="1">
      <c r="D2078"/>
      <c r="E2078"/>
      <c r="F2078"/>
    </row>
    <row r="2079" spans="4:6" outlineLevel="1">
      <c r="D2079"/>
      <c r="E2079"/>
      <c r="F2079"/>
    </row>
    <row r="2080" spans="4:6" outlineLevel="1">
      <c r="D2080"/>
      <c r="E2080"/>
      <c r="F2080"/>
    </row>
    <row r="2081" spans="4:6" outlineLevel="1">
      <c r="D2081"/>
      <c r="E2081"/>
      <c r="F2081"/>
    </row>
    <row r="2082" spans="4:6" outlineLevel="1">
      <c r="D2082"/>
      <c r="E2082"/>
      <c r="F2082"/>
    </row>
    <row r="2083" spans="4:6" outlineLevel="1">
      <c r="D2083"/>
      <c r="E2083"/>
      <c r="F2083"/>
    </row>
    <row r="2084" spans="4:6">
      <c r="D2084"/>
      <c r="E2084"/>
      <c r="F2084"/>
    </row>
    <row r="2085" spans="4:6" outlineLevel="1">
      <c r="D2085"/>
      <c r="E2085"/>
      <c r="F2085"/>
    </row>
    <row r="2086" spans="4:6" outlineLevel="1">
      <c r="D2086"/>
      <c r="E2086"/>
      <c r="F2086"/>
    </row>
    <row r="2087" spans="4:6" outlineLevel="1">
      <c r="D2087"/>
      <c r="E2087"/>
      <c r="F2087"/>
    </row>
    <row r="2088" spans="4:6" outlineLevel="1">
      <c r="D2088"/>
      <c r="E2088"/>
      <c r="F2088"/>
    </row>
    <row r="2089" spans="4:6" outlineLevel="1">
      <c r="D2089"/>
      <c r="E2089"/>
      <c r="F2089"/>
    </row>
    <row r="2090" spans="4:6" outlineLevel="1">
      <c r="D2090"/>
      <c r="E2090"/>
      <c r="F2090"/>
    </row>
    <row r="2091" spans="4:6" outlineLevel="1">
      <c r="D2091"/>
      <c r="E2091"/>
      <c r="F2091"/>
    </row>
    <row r="2092" spans="4:6" outlineLevel="1">
      <c r="D2092"/>
      <c r="E2092"/>
      <c r="F2092"/>
    </row>
    <row r="2093" spans="4:6" outlineLevel="1">
      <c r="D2093"/>
      <c r="E2093"/>
      <c r="F2093"/>
    </row>
    <row r="2094" spans="4:6" outlineLevel="1">
      <c r="D2094"/>
      <c r="E2094"/>
      <c r="F2094"/>
    </row>
    <row r="2095" spans="4:6" outlineLevel="1">
      <c r="D2095"/>
      <c r="E2095"/>
      <c r="F2095"/>
    </row>
    <row r="2096" spans="4:6" outlineLevel="1">
      <c r="D2096"/>
      <c r="E2096"/>
      <c r="F2096"/>
    </row>
    <row r="2097" spans="4:6" outlineLevel="1">
      <c r="D2097"/>
      <c r="E2097"/>
      <c r="F2097"/>
    </row>
    <row r="2098" spans="4:6" outlineLevel="1">
      <c r="D2098"/>
      <c r="E2098"/>
      <c r="F2098"/>
    </row>
    <row r="2099" spans="4:6" outlineLevel="1">
      <c r="D2099"/>
      <c r="E2099"/>
      <c r="F2099"/>
    </row>
    <row r="2100" spans="4:6" outlineLevel="1">
      <c r="D2100"/>
      <c r="E2100"/>
      <c r="F2100"/>
    </row>
    <row r="2101" spans="4:6" outlineLevel="1">
      <c r="D2101"/>
      <c r="E2101"/>
      <c r="F2101"/>
    </row>
    <row r="2102" spans="4:6" outlineLevel="1">
      <c r="D2102"/>
      <c r="E2102"/>
      <c r="F2102"/>
    </row>
    <row r="2103" spans="4:6" outlineLevel="1">
      <c r="D2103"/>
      <c r="E2103"/>
      <c r="F2103"/>
    </row>
    <row r="2104" spans="4:6" outlineLevel="1">
      <c r="D2104"/>
      <c r="E2104"/>
      <c r="F2104"/>
    </row>
    <row r="2105" spans="4:6" outlineLevel="1">
      <c r="D2105"/>
      <c r="E2105"/>
      <c r="F2105"/>
    </row>
    <row r="2106" spans="4:6" outlineLevel="1">
      <c r="D2106"/>
      <c r="E2106"/>
      <c r="F2106"/>
    </row>
    <row r="2107" spans="4:6" outlineLevel="1">
      <c r="D2107"/>
      <c r="E2107"/>
      <c r="F2107"/>
    </row>
    <row r="2108" spans="4:6" outlineLevel="1">
      <c r="D2108"/>
      <c r="E2108"/>
      <c r="F2108"/>
    </row>
    <row r="2109" spans="4:6" outlineLevel="1">
      <c r="D2109"/>
      <c r="E2109"/>
      <c r="F2109"/>
    </row>
    <row r="2110" spans="4:6" outlineLevel="1">
      <c r="D2110"/>
      <c r="E2110"/>
      <c r="F2110"/>
    </row>
    <row r="2111" spans="4:6" outlineLevel="1">
      <c r="D2111"/>
      <c r="E2111"/>
      <c r="F2111"/>
    </row>
    <row r="2112" spans="4:6" outlineLevel="1">
      <c r="D2112"/>
      <c r="E2112"/>
      <c r="F2112"/>
    </row>
    <row r="2113" spans="4:6" outlineLevel="1">
      <c r="D2113"/>
      <c r="E2113"/>
      <c r="F2113"/>
    </row>
    <row r="2114" spans="4:6" outlineLevel="1">
      <c r="D2114"/>
      <c r="E2114"/>
      <c r="F2114"/>
    </row>
    <row r="2115" spans="4:6" outlineLevel="1">
      <c r="D2115"/>
      <c r="E2115"/>
      <c r="F2115"/>
    </row>
    <row r="2116" spans="4:6" outlineLevel="1">
      <c r="D2116"/>
      <c r="E2116"/>
      <c r="F2116"/>
    </row>
    <row r="2117" spans="4:6" outlineLevel="1">
      <c r="D2117"/>
      <c r="E2117"/>
      <c r="F2117"/>
    </row>
    <row r="2118" spans="4:6" outlineLevel="1">
      <c r="D2118"/>
      <c r="E2118"/>
      <c r="F2118"/>
    </row>
    <row r="2119" spans="4:6" outlineLevel="1">
      <c r="D2119"/>
      <c r="E2119"/>
      <c r="F2119"/>
    </row>
    <row r="2120" spans="4:6" outlineLevel="1">
      <c r="D2120"/>
      <c r="E2120"/>
      <c r="F2120"/>
    </row>
    <row r="2121" spans="4:6" outlineLevel="1">
      <c r="D2121"/>
      <c r="E2121"/>
      <c r="F2121"/>
    </row>
    <row r="2122" spans="4:6" outlineLevel="1">
      <c r="D2122"/>
      <c r="E2122"/>
      <c r="F2122"/>
    </row>
    <row r="2123" spans="4:6" outlineLevel="1">
      <c r="D2123"/>
      <c r="E2123"/>
      <c r="F2123"/>
    </row>
    <row r="2124" spans="4:6" outlineLevel="1">
      <c r="D2124"/>
      <c r="E2124"/>
      <c r="F2124"/>
    </row>
    <row r="2125" spans="4:6" outlineLevel="1">
      <c r="D2125"/>
      <c r="E2125"/>
      <c r="F2125"/>
    </row>
    <row r="2126" spans="4:6" outlineLevel="1">
      <c r="D2126"/>
      <c r="E2126"/>
      <c r="F2126"/>
    </row>
    <row r="2127" spans="4:6" outlineLevel="1">
      <c r="D2127"/>
      <c r="E2127"/>
      <c r="F2127"/>
    </row>
    <row r="2128" spans="4:6" outlineLevel="1">
      <c r="D2128"/>
      <c r="E2128"/>
      <c r="F2128"/>
    </row>
    <row r="2129" spans="4:6" outlineLevel="1">
      <c r="D2129"/>
      <c r="E2129"/>
      <c r="F2129"/>
    </row>
    <row r="2130" spans="4:6" outlineLevel="1">
      <c r="D2130"/>
      <c r="E2130"/>
      <c r="F2130"/>
    </row>
    <row r="2131" spans="4:6" outlineLevel="1">
      <c r="D2131"/>
      <c r="E2131"/>
      <c r="F2131"/>
    </row>
    <row r="2132" spans="4:6" outlineLevel="1">
      <c r="D2132"/>
      <c r="E2132"/>
      <c r="F2132"/>
    </row>
    <row r="2133" spans="4:6" outlineLevel="1">
      <c r="D2133"/>
      <c r="E2133"/>
      <c r="F2133"/>
    </row>
    <row r="2134" spans="4:6" outlineLevel="1">
      <c r="D2134"/>
      <c r="E2134"/>
      <c r="F2134"/>
    </row>
    <row r="2135" spans="4:6" outlineLevel="1">
      <c r="D2135"/>
      <c r="E2135"/>
      <c r="F2135"/>
    </row>
    <row r="2136" spans="4:6" outlineLevel="1">
      <c r="D2136"/>
      <c r="E2136"/>
      <c r="F2136"/>
    </row>
    <row r="2137" spans="4:6" outlineLevel="1">
      <c r="D2137"/>
      <c r="E2137"/>
      <c r="F2137"/>
    </row>
    <row r="2138" spans="4:6" outlineLevel="1">
      <c r="D2138"/>
      <c r="E2138"/>
      <c r="F2138"/>
    </row>
    <row r="2139" spans="4:6" outlineLevel="1">
      <c r="D2139"/>
      <c r="E2139"/>
      <c r="F2139"/>
    </row>
    <row r="2140" spans="4:6" outlineLevel="1">
      <c r="D2140"/>
      <c r="E2140"/>
      <c r="F2140"/>
    </row>
    <row r="2141" spans="4:6" outlineLevel="1">
      <c r="D2141"/>
      <c r="E2141"/>
      <c r="F2141"/>
    </row>
    <row r="2142" spans="4:6" outlineLevel="1">
      <c r="D2142"/>
      <c r="E2142"/>
      <c r="F2142"/>
    </row>
    <row r="2143" spans="4:6" outlineLevel="1">
      <c r="D2143"/>
      <c r="E2143"/>
      <c r="F2143"/>
    </row>
    <row r="2144" spans="4:6" outlineLevel="1">
      <c r="D2144"/>
      <c r="E2144"/>
      <c r="F2144"/>
    </row>
    <row r="2145" spans="4:6" outlineLevel="1">
      <c r="D2145"/>
      <c r="E2145"/>
      <c r="F2145"/>
    </row>
    <row r="2146" spans="4:6" outlineLevel="1">
      <c r="D2146"/>
      <c r="E2146"/>
      <c r="F2146"/>
    </row>
    <row r="2147" spans="4:6" outlineLevel="1">
      <c r="D2147"/>
      <c r="E2147"/>
      <c r="F2147"/>
    </row>
    <row r="2148" spans="4:6" outlineLevel="1">
      <c r="D2148"/>
      <c r="E2148"/>
      <c r="F2148"/>
    </row>
    <row r="2149" spans="4:6" outlineLevel="1">
      <c r="D2149"/>
      <c r="E2149"/>
      <c r="F2149"/>
    </row>
    <row r="2150" spans="4:6" outlineLevel="1">
      <c r="D2150"/>
      <c r="E2150"/>
      <c r="F2150"/>
    </row>
    <row r="2151" spans="4:6" outlineLevel="1">
      <c r="D2151"/>
      <c r="E2151"/>
      <c r="F2151"/>
    </row>
    <row r="2152" spans="4:6" outlineLevel="1">
      <c r="D2152"/>
      <c r="E2152"/>
      <c r="F2152"/>
    </row>
    <row r="2153" spans="4:6" outlineLevel="1">
      <c r="D2153"/>
      <c r="E2153"/>
      <c r="F2153"/>
    </row>
    <row r="2154" spans="4:6" outlineLevel="1">
      <c r="D2154"/>
      <c r="E2154"/>
      <c r="F2154"/>
    </row>
    <row r="2155" spans="4:6" outlineLevel="1">
      <c r="D2155"/>
      <c r="E2155"/>
      <c r="F2155"/>
    </row>
    <row r="2156" spans="4:6" outlineLevel="1">
      <c r="D2156"/>
      <c r="E2156"/>
      <c r="F2156"/>
    </row>
    <row r="2157" spans="4:6" outlineLevel="1">
      <c r="D2157"/>
      <c r="E2157"/>
      <c r="F2157"/>
    </row>
    <row r="2158" spans="4:6" outlineLevel="1">
      <c r="D2158"/>
      <c r="E2158"/>
      <c r="F2158"/>
    </row>
    <row r="2159" spans="4:6" outlineLevel="1">
      <c r="D2159"/>
      <c r="E2159"/>
      <c r="F2159"/>
    </row>
    <row r="2160" spans="4:6" outlineLevel="1">
      <c r="D2160"/>
      <c r="E2160"/>
      <c r="F2160"/>
    </row>
    <row r="2161" spans="4:6" outlineLevel="1">
      <c r="D2161"/>
      <c r="E2161"/>
      <c r="F2161"/>
    </row>
    <row r="2162" spans="4:6" outlineLevel="1">
      <c r="D2162"/>
      <c r="E2162"/>
      <c r="F2162"/>
    </row>
    <row r="2163" spans="4:6" outlineLevel="1">
      <c r="D2163"/>
      <c r="E2163"/>
      <c r="F2163"/>
    </row>
    <row r="2164" spans="4:6" outlineLevel="1">
      <c r="D2164"/>
      <c r="E2164"/>
      <c r="F2164"/>
    </row>
    <row r="2165" spans="4:6" outlineLevel="1">
      <c r="D2165"/>
      <c r="E2165"/>
      <c r="F2165"/>
    </row>
    <row r="2166" spans="4:6" outlineLevel="1">
      <c r="D2166"/>
      <c r="E2166"/>
      <c r="F2166"/>
    </row>
    <row r="2167" spans="4:6" outlineLevel="1">
      <c r="D2167"/>
      <c r="E2167"/>
      <c r="F2167"/>
    </row>
    <row r="2168" spans="4:6" outlineLevel="1">
      <c r="D2168"/>
      <c r="E2168"/>
      <c r="F2168"/>
    </row>
    <row r="2169" spans="4:6" outlineLevel="1">
      <c r="D2169"/>
      <c r="E2169"/>
      <c r="F2169"/>
    </row>
    <row r="2170" spans="4:6" outlineLevel="1">
      <c r="D2170"/>
      <c r="E2170"/>
      <c r="F2170"/>
    </row>
    <row r="2171" spans="4:6" outlineLevel="1">
      <c r="D2171"/>
      <c r="E2171"/>
      <c r="F2171"/>
    </row>
    <row r="2172" spans="4:6" outlineLevel="1">
      <c r="D2172"/>
      <c r="E2172"/>
      <c r="F2172"/>
    </row>
    <row r="2173" spans="4:6" outlineLevel="1">
      <c r="D2173"/>
      <c r="E2173"/>
      <c r="F2173"/>
    </row>
    <row r="2174" spans="4:6" outlineLevel="1">
      <c r="D2174"/>
      <c r="E2174"/>
      <c r="F2174"/>
    </row>
    <row r="2175" spans="4:6" outlineLevel="1">
      <c r="D2175"/>
      <c r="E2175"/>
      <c r="F2175"/>
    </row>
    <row r="2176" spans="4:6" outlineLevel="1">
      <c r="D2176"/>
      <c r="E2176"/>
      <c r="F2176"/>
    </row>
    <row r="2177" spans="4:6" outlineLevel="1">
      <c r="D2177"/>
      <c r="E2177"/>
      <c r="F2177"/>
    </row>
    <row r="2178" spans="4:6" outlineLevel="1">
      <c r="D2178"/>
      <c r="E2178"/>
      <c r="F2178"/>
    </row>
    <row r="2179" spans="4:6" outlineLevel="1">
      <c r="D2179"/>
      <c r="E2179"/>
      <c r="F2179"/>
    </row>
    <row r="2180" spans="4:6" outlineLevel="1">
      <c r="D2180"/>
      <c r="E2180"/>
      <c r="F2180"/>
    </row>
    <row r="2181" spans="4:6" outlineLevel="1">
      <c r="D2181"/>
      <c r="E2181"/>
      <c r="F2181"/>
    </row>
    <row r="2182" spans="4:6" outlineLevel="1">
      <c r="D2182"/>
      <c r="E2182"/>
      <c r="F2182"/>
    </row>
    <row r="2183" spans="4:6" outlineLevel="1">
      <c r="D2183"/>
      <c r="E2183"/>
      <c r="F2183"/>
    </row>
    <row r="2184" spans="4:6" outlineLevel="1">
      <c r="D2184"/>
      <c r="E2184"/>
      <c r="F2184"/>
    </row>
    <row r="2185" spans="4:6" outlineLevel="1">
      <c r="D2185"/>
      <c r="E2185"/>
      <c r="F2185"/>
    </row>
    <row r="2186" spans="4:6" outlineLevel="1">
      <c r="D2186"/>
      <c r="E2186"/>
      <c r="F2186"/>
    </row>
    <row r="2187" spans="4:6" outlineLevel="1">
      <c r="D2187"/>
      <c r="E2187"/>
      <c r="F2187"/>
    </row>
    <row r="2188" spans="4:6" outlineLevel="1">
      <c r="D2188"/>
      <c r="E2188"/>
      <c r="F2188"/>
    </row>
    <row r="2189" spans="4:6" outlineLevel="1">
      <c r="D2189"/>
      <c r="E2189"/>
      <c r="F2189"/>
    </row>
    <row r="2190" spans="4:6" outlineLevel="1">
      <c r="D2190"/>
      <c r="E2190"/>
      <c r="F2190"/>
    </row>
    <row r="2191" spans="4:6" outlineLevel="1">
      <c r="D2191"/>
      <c r="E2191"/>
      <c r="F2191"/>
    </row>
    <row r="2192" spans="4:6" outlineLevel="1">
      <c r="D2192"/>
      <c r="E2192"/>
      <c r="F2192"/>
    </row>
    <row r="2193" spans="4:6" outlineLevel="1">
      <c r="D2193"/>
      <c r="E2193"/>
      <c r="F2193"/>
    </row>
    <row r="2194" spans="4:6" outlineLevel="1">
      <c r="D2194"/>
      <c r="E2194"/>
      <c r="F2194"/>
    </row>
    <row r="2195" spans="4:6" outlineLevel="1">
      <c r="D2195"/>
      <c r="E2195"/>
      <c r="F2195"/>
    </row>
    <row r="2196" spans="4:6" outlineLevel="1">
      <c r="D2196"/>
      <c r="E2196"/>
      <c r="F2196"/>
    </row>
    <row r="2197" spans="4:6" outlineLevel="1">
      <c r="D2197"/>
      <c r="E2197"/>
      <c r="F2197"/>
    </row>
    <row r="2198" spans="4:6" outlineLevel="1">
      <c r="D2198"/>
      <c r="E2198"/>
      <c r="F2198"/>
    </row>
    <row r="2199" spans="4:6" outlineLevel="1">
      <c r="D2199"/>
      <c r="E2199"/>
      <c r="F2199"/>
    </row>
    <row r="2200" spans="4:6" outlineLevel="1">
      <c r="D2200"/>
      <c r="E2200"/>
      <c r="F2200"/>
    </row>
    <row r="2201" spans="4:6" outlineLevel="1">
      <c r="D2201"/>
      <c r="E2201"/>
      <c r="F2201"/>
    </row>
    <row r="2202" spans="4:6" outlineLevel="1">
      <c r="D2202"/>
      <c r="E2202"/>
      <c r="F2202"/>
    </row>
    <row r="2203" spans="4:6" outlineLevel="1">
      <c r="D2203"/>
      <c r="E2203"/>
      <c r="F2203"/>
    </row>
    <row r="2204" spans="4:6" outlineLevel="1">
      <c r="D2204"/>
      <c r="E2204"/>
      <c r="F2204"/>
    </row>
    <row r="2205" spans="4:6">
      <c r="D2205"/>
      <c r="E2205"/>
      <c r="F2205"/>
    </row>
    <row r="2206" spans="4:6" outlineLevel="1">
      <c r="D2206"/>
      <c r="E2206"/>
      <c r="F2206"/>
    </row>
    <row r="2207" spans="4:6" outlineLevel="1">
      <c r="D2207"/>
      <c r="E2207"/>
      <c r="F2207"/>
    </row>
    <row r="2208" spans="4:6" outlineLevel="1">
      <c r="D2208"/>
      <c r="E2208"/>
      <c r="F2208"/>
    </row>
    <row r="2209" spans="4:6" outlineLevel="1">
      <c r="D2209"/>
      <c r="E2209"/>
      <c r="F2209"/>
    </row>
    <row r="2210" spans="4:6" outlineLevel="1">
      <c r="D2210"/>
      <c r="E2210"/>
      <c r="F2210"/>
    </row>
    <row r="2211" spans="4:6" outlineLevel="1">
      <c r="D2211"/>
      <c r="E2211"/>
      <c r="F2211"/>
    </row>
    <row r="2212" spans="4:6" outlineLevel="1">
      <c r="D2212"/>
      <c r="E2212"/>
      <c r="F2212"/>
    </row>
    <row r="2213" spans="4:6" outlineLevel="1">
      <c r="D2213"/>
      <c r="E2213"/>
      <c r="F2213"/>
    </row>
    <row r="2214" spans="4:6" outlineLevel="1">
      <c r="D2214"/>
      <c r="E2214"/>
      <c r="F2214"/>
    </row>
    <row r="2215" spans="4:6" outlineLevel="1">
      <c r="D2215"/>
      <c r="E2215"/>
      <c r="F2215"/>
    </row>
    <row r="2216" spans="4:6" outlineLevel="1">
      <c r="D2216"/>
      <c r="E2216"/>
      <c r="F2216"/>
    </row>
    <row r="2217" spans="4:6" outlineLevel="1">
      <c r="D2217"/>
      <c r="E2217"/>
      <c r="F2217"/>
    </row>
    <row r="2218" spans="4:6" outlineLevel="1">
      <c r="D2218"/>
      <c r="E2218"/>
      <c r="F2218"/>
    </row>
    <row r="2219" spans="4:6" outlineLevel="1">
      <c r="D2219"/>
      <c r="E2219"/>
      <c r="F2219"/>
    </row>
    <row r="2220" spans="4:6" outlineLevel="1">
      <c r="D2220"/>
      <c r="E2220"/>
      <c r="F2220"/>
    </row>
    <row r="2221" spans="4:6" outlineLevel="1">
      <c r="D2221"/>
      <c r="E2221"/>
      <c r="F2221"/>
    </row>
    <row r="2222" spans="4:6" outlineLevel="1">
      <c r="D2222"/>
      <c r="E2222"/>
      <c r="F2222"/>
    </row>
    <row r="2223" spans="4:6" outlineLevel="1">
      <c r="D2223"/>
      <c r="E2223"/>
      <c r="F2223"/>
    </row>
    <row r="2224" spans="4:6" outlineLevel="1">
      <c r="D2224"/>
      <c r="E2224"/>
      <c r="F2224"/>
    </row>
    <row r="2225" spans="4:6" outlineLevel="1">
      <c r="D2225"/>
      <c r="E2225"/>
      <c r="F2225"/>
    </row>
    <row r="2226" spans="4:6" outlineLevel="1">
      <c r="D2226"/>
      <c r="E2226"/>
      <c r="F2226"/>
    </row>
    <row r="2227" spans="4:6" outlineLevel="1">
      <c r="D2227"/>
      <c r="E2227"/>
      <c r="F2227"/>
    </row>
    <row r="2228" spans="4:6" outlineLevel="1">
      <c r="D2228"/>
      <c r="E2228"/>
      <c r="F2228"/>
    </row>
    <row r="2229" spans="4:6" outlineLevel="1">
      <c r="D2229"/>
      <c r="E2229"/>
      <c r="F2229"/>
    </row>
    <row r="2230" spans="4:6" outlineLevel="1">
      <c r="D2230"/>
      <c r="E2230"/>
      <c r="F2230"/>
    </row>
    <row r="2231" spans="4:6" outlineLevel="1">
      <c r="D2231"/>
      <c r="E2231"/>
      <c r="F2231"/>
    </row>
    <row r="2232" spans="4:6" outlineLevel="1">
      <c r="D2232"/>
      <c r="E2232"/>
      <c r="F2232"/>
    </row>
    <row r="2233" spans="4:6" outlineLevel="1">
      <c r="D2233"/>
      <c r="E2233"/>
      <c r="F2233"/>
    </row>
    <row r="2234" spans="4:6" outlineLevel="1">
      <c r="D2234"/>
      <c r="E2234"/>
      <c r="F2234"/>
    </row>
    <row r="2235" spans="4:6" outlineLevel="1">
      <c r="D2235"/>
      <c r="E2235"/>
      <c r="F2235"/>
    </row>
    <row r="2236" spans="4:6" outlineLevel="1">
      <c r="D2236"/>
      <c r="E2236"/>
      <c r="F2236"/>
    </row>
    <row r="2237" spans="4:6" outlineLevel="1">
      <c r="D2237"/>
      <c r="E2237"/>
      <c r="F2237"/>
    </row>
    <row r="2238" spans="4:6" outlineLevel="1">
      <c r="D2238"/>
      <c r="E2238"/>
      <c r="F2238"/>
    </row>
    <row r="2239" spans="4:6" outlineLevel="1">
      <c r="D2239"/>
      <c r="E2239"/>
      <c r="F2239"/>
    </row>
    <row r="2240" spans="4:6" outlineLevel="1">
      <c r="D2240"/>
      <c r="E2240"/>
      <c r="F2240"/>
    </row>
    <row r="2241" spans="4:6" outlineLevel="1">
      <c r="D2241"/>
      <c r="E2241"/>
      <c r="F2241"/>
    </row>
    <row r="2242" spans="4:6" outlineLevel="1">
      <c r="D2242"/>
      <c r="E2242"/>
      <c r="F2242"/>
    </row>
    <row r="2243" spans="4:6" outlineLevel="1">
      <c r="D2243"/>
      <c r="E2243"/>
      <c r="F2243"/>
    </row>
    <row r="2244" spans="4:6" outlineLevel="1">
      <c r="D2244"/>
      <c r="E2244"/>
      <c r="F2244"/>
    </row>
    <row r="2245" spans="4:6" outlineLevel="1">
      <c r="D2245"/>
      <c r="E2245"/>
      <c r="F2245"/>
    </row>
    <row r="2246" spans="4:6" outlineLevel="1">
      <c r="D2246"/>
      <c r="E2246"/>
      <c r="F2246"/>
    </row>
    <row r="2247" spans="4:6" outlineLevel="1">
      <c r="D2247"/>
      <c r="E2247"/>
      <c r="F2247"/>
    </row>
    <row r="2248" spans="4:6" outlineLevel="1">
      <c r="D2248"/>
      <c r="E2248"/>
      <c r="F2248"/>
    </row>
    <row r="2249" spans="4:6" outlineLevel="1">
      <c r="D2249"/>
      <c r="E2249"/>
      <c r="F2249"/>
    </row>
    <row r="2250" spans="4:6" outlineLevel="1">
      <c r="D2250"/>
      <c r="E2250"/>
      <c r="F2250"/>
    </row>
    <row r="2251" spans="4:6" outlineLevel="1">
      <c r="D2251"/>
      <c r="E2251"/>
      <c r="F2251"/>
    </row>
    <row r="2252" spans="4:6" outlineLevel="1">
      <c r="D2252"/>
      <c r="E2252"/>
      <c r="F2252"/>
    </row>
    <row r="2253" spans="4:6" outlineLevel="1">
      <c r="D2253"/>
      <c r="E2253"/>
      <c r="F2253"/>
    </row>
    <row r="2254" spans="4:6" outlineLevel="1">
      <c r="D2254"/>
      <c r="E2254"/>
      <c r="F2254"/>
    </row>
    <row r="2255" spans="4:6" outlineLevel="1">
      <c r="D2255"/>
      <c r="E2255"/>
      <c r="F2255"/>
    </row>
    <row r="2256" spans="4:6" outlineLevel="1">
      <c r="D2256"/>
      <c r="E2256"/>
      <c r="F2256"/>
    </row>
    <row r="2257" spans="4:6" outlineLevel="1">
      <c r="D2257"/>
      <c r="E2257"/>
      <c r="F2257"/>
    </row>
    <row r="2258" spans="4:6" outlineLevel="1">
      <c r="D2258"/>
      <c r="E2258"/>
      <c r="F2258"/>
    </row>
    <row r="2259" spans="4:6" outlineLevel="1">
      <c r="D2259"/>
      <c r="E2259"/>
      <c r="F2259"/>
    </row>
    <row r="2260" spans="4:6" outlineLevel="1">
      <c r="D2260"/>
      <c r="E2260"/>
      <c r="F2260"/>
    </row>
    <row r="2261" spans="4:6" outlineLevel="1">
      <c r="D2261"/>
      <c r="E2261"/>
      <c r="F2261"/>
    </row>
    <row r="2262" spans="4:6" outlineLevel="1">
      <c r="D2262"/>
      <c r="E2262"/>
      <c r="F2262"/>
    </row>
    <row r="2263" spans="4:6" outlineLevel="1">
      <c r="D2263"/>
      <c r="E2263"/>
      <c r="F2263"/>
    </row>
    <row r="2264" spans="4:6" outlineLevel="1">
      <c r="D2264"/>
      <c r="E2264"/>
      <c r="F2264"/>
    </row>
    <row r="2265" spans="4:6" outlineLevel="1">
      <c r="D2265"/>
      <c r="E2265"/>
      <c r="F2265"/>
    </row>
    <row r="2266" spans="4:6" outlineLevel="1">
      <c r="D2266"/>
      <c r="E2266"/>
      <c r="F2266"/>
    </row>
    <row r="2267" spans="4:6" outlineLevel="1">
      <c r="D2267"/>
      <c r="E2267"/>
      <c r="F2267"/>
    </row>
    <row r="2268" spans="4:6" outlineLevel="1">
      <c r="D2268"/>
      <c r="E2268"/>
      <c r="F2268"/>
    </row>
    <row r="2269" spans="4:6" outlineLevel="1">
      <c r="D2269"/>
      <c r="E2269"/>
      <c r="F2269"/>
    </row>
    <row r="2270" spans="4:6" outlineLevel="1">
      <c r="D2270"/>
      <c r="E2270"/>
      <c r="F2270"/>
    </row>
    <row r="2271" spans="4:6" outlineLevel="1">
      <c r="D2271"/>
      <c r="E2271"/>
      <c r="F2271"/>
    </row>
    <row r="2272" spans="4:6" outlineLevel="1">
      <c r="D2272"/>
      <c r="E2272"/>
      <c r="F2272"/>
    </row>
    <row r="2273" spans="4:6" outlineLevel="1">
      <c r="D2273"/>
      <c r="E2273"/>
      <c r="F2273"/>
    </row>
    <row r="2274" spans="4:6" outlineLevel="1">
      <c r="D2274"/>
      <c r="E2274"/>
      <c r="F2274"/>
    </row>
    <row r="2275" spans="4:6" outlineLevel="1">
      <c r="D2275"/>
      <c r="E2275"/>
      <c r="F2275"/>
    </row>
    <row r="2276" spans="4:6" outlineLevel="1">
      <c r="D2276"/>
      <c r="E2276"/>
      <c r="F2276"/>
    </row>
    <row r="2277" spans="4:6" outlineLevel="1">
      <c r="D2277"/>
      <c r="E2277"/>
      <c r="F2277"/>
    </row>
    <row r="2278" spans="4:6" outlineLevel="1">
      <c r="D2278"/>
      <c r="E2278"/>
      <c r="F2278"/>
    </row>
    <row r="2279" spans="4:6" outlineLevel="1">
      <c r="D2279"/>
      <c r="E2279"/>
      <c r="F2279"/>
    </row>
    <row r="2280" spans="4:6" outlineLevel="1">
      <c r="D2280"/>
      <c r="E2280"/>
      <c r="F2280"/>
    </row>
    <row r="2281" spans="4:6" outlineLevel="1">
      <c r="D2281"/>
      <c r="E2281"/>
      <c r="F2281"/>
    </row>
    <row r="2282" spans="4:6" outlineLevel="1">
      <c r="D2282"/>
      <c r="E2282"/>
      <c r="F2282"/>
    </row>
    <row r="2283" spans="4:6" outlineLevel="1">
      <c r="D2283"/>
      <c r="E2283"/>
      <c r="F2283"/>
    </row>
    <row r="2284" spans="4:6" outlineLevel="1">
      <c r="D2284"/>
      <c r="E2284"/>
      <c r="F2284"/>
    </row>
    <row r="2285" spans="4:6" outlineLevel="1">
      <c r="D2285"/>
      <c r="E2285"/>
      <c r="F2285"/>
    </row>
    <row r="2286" spans="4:6" outlineLevel="1">
      <c r="D2286"/>
      <c r="E2286"/>
      <c r="F2286"/>
    </row>
    <row r="2287" spans="4:6" outlineLevel="1">
      <c r="D2287"/>
      <c r="E2287"/>
      <c r="F2287"/>
    </row>
    <row r="2288" spans="4:6" outlineLevel="1">
      <c r="D2288"/>
      <c r="E2288"/>
      <c r="F2288"/>
    </row>
    <row r="2289" spans="4:6" outlineLevel="1">
      <c r="D2289"/>
      <c r="E2289"/>
      <c r="F2289"/>
    </row>
    <row r="2290" spans="4:6" outlineLevel="1">
      <c r="D2290"/>
      <c r="E2290"/>
      <c r="F2290"/>
    </row>
    <row r="2291" spans="4:6" outlineLevel="1">
      <c r="D2291"/>
      <c r="E2291"/>
      <c r="F2291"/>
    </row>
    <row r="2292" spans="4:6" outlineLevel="1">
      <c r="D2292"/>
      <c r="E2292"/>
      <c r="F2292"/>
    </row>
    <row r="2293" spans="4:6" outlineLevel="1">
      <c r="D2293"/>
      <c r="E2293"/>
      <c r="F2293"/>
    </row>
    <row r="2294" spans="4:6" outlineLevel="1">
      <c r="D2294"/>
      <c r="E2294"/>
      <c r="F2294"/>
    </row>
    <row r="2295" spans="4:6" outlineLevel="1">
      <c r="D2295"/>
      <c r="E2295"/>
      <c r="F2295"/>
    </row>
    <row r="2296" spans="4:6" outlineLevel="1">
      <c r="D2296"/>
      <c r="E2296"/>
      <c r="F2296"/>
    </row>
    <row r="2297" spans="4:6" outlineLevel="1">
      <c r="D2297"/>
      <c r="E2297"/>
      <c r="F2297"/>
    </row>
    <row r="2298" spans="4:6" outlineLevel="1">
      <c r="D2298"/>
      <c r="E2298"/>
      <c r="F2298"/>
    </row>
    <row r="2299" spans="4:6" outlineLevel="1">
      <c r="D2299"/>
      <c r="E2299"/>
      <c r="F2299"/>
    </row>
    <row r="2300" spans="4:6" outlineLevel="1">
      <c r="D2300"/>
      <c r="E2300"/>
      <c r="F2300"/>
    </row>
    <row r="2301" spans="4:6" outlineLevel="1">
      <c r="D2301"/>
      <c r="E2301"/>
      <c r="F2301"/>
    </row>
    <row r="2302" spans="4:6" outlineLevel="1">
      <c r="D2302"/>
      <c r="E2302"/>
      <c r="F2302"/>
    </row>
    <row r="2303" spans="4:6" outlineLevel="1">
      <c r="D2303"/>
      <c r="E2303"/>
      <c r="F2303"/>
    </row>
    <row r="2304" spans="4:6" outlineLevel="1">
      <c r="D2304"/>
      <c r="E2304"/>
      <c r="F2304"/>
    </row>
    <row r="2305" spans="4:6">
      <c r="D2305"/>
      <c r="E2305"/>
      <c r="F2305"/>
    </row>
    <row r="2306" spans="4:6" outlineLevel="1">
      <c r="D2306"/>
      <c r="E2306"/>
      <c r="F2306"/>
    </row>
    <row r="2307" spans="4:6" outlineLevel="1">
      <c r="D2307"/>
      <c r="E2307"/>
      <c r="F2307"/>
    </row>
    <row r="2308" spans="4:6" outlineLevel="1">
      <c r="D2308"/>
      <c r="E2308"/>
      <c r="F2308"/>
    </row>
    <row r="2309" spans="4:6" outlineLevel="1">
      <c r="D2309"/>
      <c r="E2309"/>
      <c r="F2309"/>
    </row>
    <row r="2310" spans="4:6" outlineLevel="1">
      <c r="D2310"/>
      <c r="E2310"/>
      <c r="F2310"/>
    </row>
    <row r="2311" spans="4:6" outlineLevel="1">
      <c r="D2311"/>
      <c r="E2311"/>
      <c r="F2311"/>
    </row>
    <row r="2312" spans="4:6" outlineLevel="1">
      <c r="D2312"/>
      <c r="E2312"/>
      <c r="F2312"/>
    </row>
    <row r="2313" spans="4:6" outlineLevel="1">
      <c r="D2313"/>
      <c r="E2313"/>
      <c r="F2313"/>
    </row>
    <row r="2314" spans="4:6" outlineLevel="1">
      <c r="D2314"/>
      <c r="E2314"/>
      <c r="F2314"/>
    </row>
    <row r="2315" spans="4:6" outlineLevel="1">
      <c r="D2315"/>
      <c r="E2315"/>
      <c r="F2315"/>
    </row>
    <row r="2316" spans="4:6" outlineLevel="1">
      <c r="D2316"/>
      <c r="E2316"/>
      <c r="F2316"/>
    </row>
    <row r="2317" spans="4:6" outlineLevel="1">
      <c r="D2317"/>
      <c r="E2317"/>
      <c r="F2317"/>
    </row>
    <row r="2318" spans="4:6" outlineLevel="1">
      <c r="D2318"/>
      <c r="E2318"/>
      <c r="F2318"/>
    </row>
    <row r="2319" spans="4:6" outlineLevel="1">
      <c r="D2319"/>
      <c r="E2319"/>
      <c r="F2319"/>
    </row>
    <row r="2320" spans="4:6" outlineLevel="1">
      <c r="D2320"/>
      <c r="E2320"/>
      <c r="F2320"/>
    </row>
    <row r="2321" spans="4:6" outlineLevel="1">
      <c r="D2321"/>
      <c r="E2321"/>
      <c r="F2321"/>
    </row>
    <row r="2322" spans="4:6" outlineLevel="1">
      <c r="D2322"/>
      <c r="E2322"/>
      <c r="F2322"/>
    </row>
    <row r="2323" spans="4:6" outlineLevel="1">
      <c r="D2323"/>
      <c r="E2323"/>
      <c r="F2323"/>
    </row>
    <row r="2324" spans="4:6" outlineLevel="1">
      <c r="D2324"/>
      <c r="E2324"/>
      <c r="F2324"/>
    </row>
    <row r="2325" spans="4:6" outlineLevel="1">
      <c r="D2325"/>
      <c r="E2325"/>
      <c r="F2325"/>
    </row>
    <row r="2326" spans="4:6" outlineLevel="1">
      <c r="D2326"/>
      <c r="E2326"/>
      <c r="F2326"/>
    </row>
    <row r="2327" spans="4:6" outlineLevel="1">
      <c r="D2327"/>
      <c r="E2327"/>
      <c r="F2327"/>
    </row>
    <row r="2328" spans="4:6" outlineLevel="1">
      <c r="D2328"/>
      <c r="E2328"/>
      <c r="F2328"/>
    </row>
    <row r="2329" spans="4:6" outlineLevel="1">
      <c r="D2329"/>
      <c r="E2329"/>
      <c r="F2329"/>
    </row>
    <row r="2330" spans="4:6" outlineLevel="1">
      <c r="D2330"/>
      <c r="E2330"/>
      <c r="F2330"/>
    </row>
    <row r="2331" spans="4:6" outlineLevel="1">
      <c r="D2331"/>
      <c r="E2331"/>
      <c r="F2331"/>
    </row>
    <row r="2332" spans="4:6" outlineLevel="1">
      <c r="D2332"/>
      <c r="E2332"/>
      <c r="F2332"/>
    </row>
    <row r="2333" spans="4:6" outlineLevel="1">
      <c r="D2333"/>
      <c r="E2333"/>
      <c r="F2333"/>
    </row>
    <row r="2334" spans="4:6" outlineLevel="1">
      <c r="D2334"/>
      <c r="E2334"/>
      <c r="F2334"/>
    </row>
    <row r="2335" spans="4:6" outlineLevel="1">
      <c r="D2335"/>
      <c r="E2335"/>
      <c r="F2335"/>
    </row>
    <row r="2336" spans="4:6" outlineLevel="1">
      <c r="D2336"/>
      <c r="E2336"/>
      <c r="F2336"/>
    </row>
    <row r="2337" spans="4:6" outlineLevel="1">
      <c r="D2337"/>
      <c r="E2337"/>
      <c r="F2337"/>
    </row>
    <row r="2338" spans="4:6" outlineLevel="1">
      <c r="D2338"/>
      <c r="E2338"/>
      <c r="F2338"/>
    </row>
    <row r="2339" spans="4:6" outlineLevel="1">
      <c r="D2339"/>
      <c r="E2339"/>
      <c r="F2339"/>
    </row>
    <row r="2340" spans="4:6" outlineLevel="1">
      <c r="D2340"/>
      <c r="E2340"/>
      <c r="F2340"/>
    </row>
    <row r="2341" spans="4:6" outlineLevel="1">
      <c r="D2341"/>
      <c r="E2341"/>
      <c r="F2341"/>
    </row>
    <row r="2342" spans="4:6" outlineLevel="1">
      <c r="D2342"/>
      <c r="E2342"/>
      <c r="F2342"/>
    </row>
    <row r="2343" spans="4:6" outlineLevel="1">
      <c r="D2343"/>
      <c r="E2343"/>
      <c r="F2343"/>
    </row>
    <row r="2344" spans="4:6" outlineLevel="1">
      <c r="D2344"/>
      <c r="E2344"/>
      <c r="F2344"/>
    </row>
    <row r="2345" spans="4:6" outlineLevel="1">
      <c r="D2345"/>
      <c r="E2345"/>
      <c r="F2345"/>
    </row>
    <row r="2346" spans="4:6" outlineLevel="1">
      <c r="D2346"/>
      <c r="E2346"/>
      <c r="F2346"/>
    </row>
    <row r="2347" spans="4:6" outlineLevel="1">
      <c r="D2347"/>
      <c r="E2347"/>
      <c r="F2347"/>
    </row>
    <row r="2348" spans="4:6" outlineLevel="1">
      <c r="D2348"/>
      <c r="E2348"/>
      <c r="F2348"/>
    </row>
    <row r="2349" spans="4:6" outlineLevel="1">
      <c r="D2349"/>
      <c r="E2349"/>
      <c r="F2349"/>
    </row>
    <row r="2350" spans="4:6" outlineLevel="1">
      <c r="D2350"/>
      <c r="E2350"/>
      <c r="F2350"/>
    </row>
    <row r="2351" spans="4:6" outlineLevel="1">
      <c r="D2351"/>
      <c r="E2351"/>
      <c r="F2351"/>
    </row>
    <row r="2352" spans="4:6" outlineLevel="1">
      <c r="D2352"/>
      <c r="E2352"/>
      <c r="F2352"/>
    </row>
    <row r="2353" spans="4:6" outlineLevel="1">
      <c r="D2353"/>
      <c r="E2353"/>
      <c r="F2353"/>
    </row>
    <row r="2354" spans="4:6" outlineLevel="1">
      <c r="D2354"/>
      <c r="E2354"/>
      <c r="F2354"/>
    </row>
    <row r="2355" spans="4:6" outlineLevel="1">
      <c r="D2355"/>
      <c r="E2355"/>
      <c r="F2355"/>
    </row>
    <row r="2356" spans="4:6" outlineLevel="1">
      <c r="D2356"/>
      <c r="E2356"/>
      <c r="F2356"/>
    </row>
    <row r="2357" spans="4:6" outlineLevel="1">
      <c r="D2357"/>
      <c r="E2357"/>
      <c r="F2357"/>
    </row>
    <row r="2358" spans="4:6" outlineLevel="1">
      <c r="D2358"/>
      <c r="E2358"/>
      <c r="F2358"/>
    </row>
    <row r="2359" spans="4:6" outlineLevel="1">
      <c r="D2359"/>
      <c r="E2359"/>
      <c r="F2359"/>
    </row>
    <row r="2360" spans="4:6" outlineLevel="1">
      <c r="D2360"/>
      <c r="E2360"/>
      <c r="F2360"/>
    </row>
    <row r="2361" spans="4:6" outlineLevel="1">
      <c r="D2361"/>
      <c r="E2361"/>
      <c r="F2361"/>
    </row>
    <row r="2362" spans="4:6" outlineLevel="1">
      <c r="D2362"/>
      <c r="E2362"/>
      <c r="F2362"/>
    </row>
    <row r="2363" spans="4:6" outlineLevel="1">
      <c r="D2363"/>
      <c r="E2363"/>
      <c r="F2363"/>
    </row>
    <row r="2364" spans="4:6" outlineLevel="1">
      <c r="D2364"/>
      <c r="E2364"/>
      <c r="F2364"/>
    </row>
    <row r="2365" spans="4:6" outlineLevel="1">
      <c r="D2365"/>
      <c r="E2365"/>
      <c r="F2365"/>
    </row>
    <row r="2366" spans="4:6" outlineLevel="1">
      <c r="D2366"/>
      <c r="E2366"/>
      <c r="F2366"/>
    </row>
    <row r="2367" spans="4:6" outlineLevel="1">
      <c r="D2367"/>
      <c r="E2367"/>
      <c r="F2367"/>
    </row>
    <row r="2368" spans="4:6" outlineLevel="1">
      <c r="D2368"/>
      <c r="E2368"/>
      <c r="F2368"/>
    </row>
    <row r="2369" spans="4:6" outlineLevel="1">
      <c r="D2369"/>
      <c r="E2369"/>
      <c r="F2369"/>
    </row>
    <row r="2370" spans="4:6" outlineLevel="1">
      <c r="D2370"/>
      <c r="E2370"/>
      <c r="F2370"/>
    </row>
    <row r="2371" spans="4:6" outlineLevel="1">
      <c r="D2371"/>
      <c r="E2371"/>
      <c r="F2371"/>
    </row>
    <row r="2372" spans="4:6" outlineLevel="1">
      <c r="D2372"/>
      <c r="E2372"/>
      <c r="F2372"/>
    </row>
    <row r="2373" spans="4:6" outlineLevel="1">
      <c r="D2373"/>
      <c r="E2373"/>
      <c r="F2373"/>
    </row>
    <row r="2374" spans="4:6" outlineLevel="1">
      <c r="D2374"/>
      <c r="E2374"/>
      <c r="F2374"/>
    </row>
    <row r="2375" spans="4:6" outlineLevel="1">
      <c r="D2375"/>
      <c r="E2375"/>
      <c r="F2375"/>
    </row>
    <row r="2376" spans="4:6" outlineLevel="1">
      <c r="D2376"/>
      <c r="E2376"/>
      <c r="F2376"/>
    </row>
    <row r="2377" spans="4:6" outlineLevel="1">
      <c r="D2377"/>
      <c r="E2377"/>
      <c r="F2377"/>
    </row>
    <row r="2378" spans="4:6" outlineLevel="1">
      <c r="D2378"/>
      <c r="E2378"/>
      <c r="F2378"/>
    </row>
    <row r="2379" spans="4:6" outlineLevel="1">
      <c r="D2379"/>
      <c r="E2379"/>
      <c r="F2379"/>
    </row>
    <row r="2380" spans="4:6" outlineLevel="1">
      <c r="D2380"/>
      <c r="E2380"/>
      <c r="F2380"/>
    </row>
    <row r="2381" spans="4:6" outlineLevel="1">
      <c r="D2381"/>
      <c r="E2381"/>
      <c r="F2381"/>
    </row>
    <row r="2382" spans="4:6" outlineLevel="1">
      <c r="D2382"/>
      <c r="E2382"/>
      <c r="F2382"/>
    </row>
    <row r="2383" spans="4:6" outlineLevel="1">
      <c r="D2383"/>
      <c r="E2383"/>
      <c r="F2383"/>
    </row>
    <row r="2384" spans="4:6" outlineLevel="1">
      <c r="D2384"/>
      <c r="E2384"/>
      <c r="F2384"/>
    </row>
    <row r="2385" spans="4:6" outlineLevel="1">
      <c r="D2385"/>
      <c r="E2385"/>
      <c r="F2385"/>
    </row>
    <row r="2386" spans="4:6" outlineLevel="1">
      <c r="D2386"/>
      <c r="E2386"/>
      <c r="F2386"/>
    </row>
    <row r="2387" spans="4:6" outlineLevel="1">
      <c r="D2387"/>
      <c r="E2387"/>
      <c r="F2387"/>
    </row>
    <row r="2388" spans="4:6" outlineLevel="1">
      <c r="D2388"/>
      <c r="E2388"/>
      <c r="F2388"/>
    </row>
    <row r="2389" spans="4:6" outlineLevel="1">
      <c r="D2389"/>
      <c r="E2389"/>
      <c r="F2389"/>
    </row>
    <row r="2390" spans="4:6" outlineLevel="1">
      <c r="D2390"/>
      <c r="E2390"/>
      <c r="F2390"/>
    </row>
    <row r="2391" spans="4:6" outlineLevel="1">
      <c r="D2391"/>
      <c r="E2391"/>
      <c r="F2391"/>
    </row>
    <row r="2392" spans="4:6" outlineLevel="1">
      <c r="D2392"/>
      <c r="E2392"/>
      <c r="F2392"/>
    </row>
    <row r="2393" spans="4:6" outlineLevel="1">
      <c r="D2393"/>
      <c r="E2393"/>
      <c r="F2393"/>
    </row>
    <row r="2394" spans="4:6" outlineLevel="1">
      <c r="D2394"/>
      <c r="E2394"/>
      <c r="F2394"/>
    </row>
    <row r="2395" spans="4:6" outlineLevel="1">
      <c r="D2395"/>
      <c r="E2395"/>
      <c r="F2395"/>
    </row>
    <row r="2396" spans="4:6" outlineLevel="1">
      <c r="D2396"/>
      <c r="E2396"/>
      <c r="F2396"/>
    </row>
    <row r="2397" spans="4:6" outlineLevel="1">
      <c r="D2397"/>
      <c r="E2397"/>
      <c r="F2397"/>
    </row>
    <row r="2398" spans="4:6" outlineLevel="1">
      <c r="D2398"/>
      <c r="E2398"/>
      <c r="F2398"/>
    </row>
    <row r="2399" spans="4:6" outlineLevel="1">
      <c r="D2399"/>
      <c r="E2399"/>
      <c r="F2399"/>
    </row>
    <row r="2400" spans="4:6" outlineLevel="1">
      <c r="D2400"/>
      <c r="E2400"/>
      <c r="F2400"/>
    </row>
    <row r="2401" spans="4:6" outlineLevel="1">
      <c r="D2401"/>
      <c r="E2401"/>
      <c r="F2401"/>
    </row>
    <row r="2402" spans="4:6" outlineLevel="1">
      <c r="D2402"/>
      <c r="E2402"/>
      <c r="F2402"/>
    </row>
    <row r="2403" spans="4:6" outlineLevel="1">
      <c r="D2403"/>
      <c r="E2403"/>
      <c r="F2403"/>
    </row>
    <row r="2404" spans="4:6" outlineLevel="1">
      <c r="D2404"/>
      <c r="E2404"/>
      <c r="F2404"/>
    </row>
    <row r="2405" spans="4:6" outlineLevel="1">
      <c r="D2405"/>
      <c r="E2405"/>
      <c r="F2405"/>
    </row>
    <row r="2406" spans="4:6" outlineLevel="1">
      <c r="D2406"/>
      <c r="E2406"/>
      <c r="F2406"/>
    </row>
    <row r="2407" spans="4:6" outlineLevel="1">
      <c r="D2407"/>
      <c r="E2407"/>
      <c r="F2407"/>
    </row>
    <row r="2408" spans="4:6" outlineLevel="1">
      <c r="D2408"/>
      <c r="E2408"/>
      <c r="F2408"/>
    </row>
    <row r="2409" spans="4:6" outlineLevel="1">
      <c r="D2409"/>
      <c r="E2409"/>
      <c r="F2409"/>
    </row>
    <row r="2410" spans="4:6" outlineLevel="1">
      <c r="D2410"/>
      <c r="E2410"/>
      <c r="F2410"/>
    </row>
    <row r="2411" spans="4:6" outlineLevel="1">
      <c r="D2411"/>
      <c r="E2411"/>
      <c r="F2411"/>
    </row>
    <row r="2412" spans="4:6" outlineLevel="1">
      <c r="D2412"/>
      <c r="E2412"/>
      <c r="F2412"/>
    </row>
    <row r="2413" spans="4:6" outlineLevel="1">
      <c r="D2413"/>
      <c r="E2413"/>
      <c r="F2413"/>
    </row>
    <row r="2414" spans="4:6" outlineLevel="1">
      <c r="D2414"/>
      <c r="E2414"/>
      <c r="F2414"/>
    </row>
    <row r="2415" spans="4:6" outlineLevel="1">
      <c r="D2415"/>
      <c r="E2415"/>
      <c r="F2415"/>
    </row>
    <row r="2416" spans="4:6" outlineLevel="1">
      <c r="D2416"/>
      <c r="E2416"/>
      <c r="F2416"/>
    </row>
    <row r="2417" spans="4:6" outlineLevel="1">
      <c r="D2417"/>
      <c r="E2417"/>
      <c r="F2417"/>
    </row>
    <row r="2418" spans="4:6" outlineLevel="1">
      <c r="D2418"/>
      <c r="E2418"/>
      <c r="F2418"/>
    </row>
    <row r="2419" spans="4:6" outlineLevel="1">
      <c r="D2419"/>
      <c r="E2419"/>
      <c r="F2419"/>
    </row>
    <row r="2420" spans="4:6" outlineLevel="1">
      <c r="D2420"/>
      <c r="E2420"/>
      <c r="F2420"/>
    </row>
    <row r="2421" spans="4:6" outlineLevel="1">
      <c r="D2421"/>
      <c r="E2421"/>
      <c r="F2421"/>
    </row>
    <row r="2422" spans="4:6" outlineLevel="1">
      <c r="D2422"/>
      <c r="E2422"/>
      <c r="F2422"/>
    </row>
    <row r="2423" spans="4:6" outlineLevel="1">
      <c r="D2423"/>
      <c r="E2423"/>
      <c r="F2423"/>
    </row>
    <row r="2424" spans="4:6" outlineLevel="1">
      <c r="D2424"/>
      <c r="E2424"/>
      <c r="F2424"/>
    </row>
    <row r="2425" spans="4:6" outlineLevel="1">
      <c r="D2425"/>
      <c r="E2425"/>
      <c r="F2425"/>
    </row>
    <row r="2426" spans="4:6">
      <c r="D2426"/>
      <c r="E2426"/>
      <c r="F2426"/>
    </row>
    <row r="2427" spans="4:6" outlineLevel="1">
      <c r="D2427"/>
      <c r="E2427"/>
      <c r="F2427"/>
    </row>
    <row r="2428" spans="4:6" outlineLevel="1">
      <c r="D2428"/>
      <c r="E2428"/>
      <c r="F2428"/>
    </row>
    <row r="2429" spans="4:6" outlineLevel="1">
      <c r="D2429"/>
      <c r="E2429"/>
      <c r="F2429"/>
    </row>
    <row r="2430" spans="4:6" outlineLevel="1">
      <c r="D2430"/>
      <c r="E2430"/>
      <c r="F2430"/>
    </row>
    <row r="2431" spans="4:6" outlineLevel="1">
      <c r="D2431"/>
      <c r="E2431"/>
      <c r="F2431"/>
    </row>
    <row r="2432" spans="4:6" outlineLevel="1">
      <c r="D2432"/>
      <c r="E2432"/>
      <c r="F2432"/>
    </row>
    <row r="2433" spans="4:6" outlineLevel="1">
      <c r="D2433"/>
      <c r="E2433"/>
      <c r="F2433"/>
    </row>
    <row r="2434" spans="4:6" outlineLevel="1">
      <c r="D2434"/>
      <c r="E2434"/>
      <c r="F2434"/>
    </row>
    <row r="2435" spans="4:6" outlineLevel="1">
      <c r="D2435"/>
      <c r="E2435"/>
      <c r="F2435"/>
    </row>
    <row r="2436" spans="4:6" outlineLevel="1">
      <c r="D2436"/>
      <c r="E2436"/>
      <c r="F2436"/>
    </row>
    <row r="2437" spans="4:6" outlineLevel="1">
      <c r="D2437"/>
      <c r="E2437"/>
      <c r="F2437"/>
    </row>
    <row r="2438" spans="4:6" outlineLevel="1">
      <c r="D2438"/>
      <c r="E2438"/>
      <c r="F2438"/>
    </row>
    <row r="2439" spans="4:6" outlineLevel="1">
      <c r="D2439"/>
      <c r="E2439"/>
      <c r="F2439"/>
    </row>
    <row r="2440" spans="4:6" outlineLevel="1">
      <c r="D2440"/>
      <c r="E2440"/>
      <c r="F2440"/>
    </row>
    <row r="2441" spans="4:6" outlineLevel="1">
      <c r="D2441"/>
      <c r="E2441"/>
      <c r="F2441"/>
    </row>
    <row r="2442" spans="4:6" outlineLevel="1">
      <c r="D2442"/>
      <c r="E2442"/>
      <c r="F2442"/>
    </row>
    <row r="2443" spans="4:6" outlineLevel="1">
      <c r="D2443"/>
      <c r="E2443"/>
      <c r="F2443"/>
    </row>
    <row r="2444" spans="4:6" outlineLevel="1">
      <c r="D2444"/>
      <c r="E2444"/>
      <c r="F2444"/>
    </row>
    <row r="2445" spans="4:6" outlineLevel="1">
      <c r="D2445"/>
      <c r="E2445"/>
      <c r="F2445"/>
    </row>
    <row r="2446" spans="4:6" outlineLevel="1">
      <c r="D2446"/>
      <c r="E2446"/>
      <c r="F2446"/>
    </row>
    <row r="2447" spans="4:6" outlineLevel="1">
      <c r="D2447"/>
      <c r="E2447"/>
      <c r="F2447"/>
    </row>
    <row r="2448" spans="4:6" outlineLevel="1">
      <c r="D2448"/>
      <c r="E2448"/>
      <c r="F2448"/>
    </row>
    <row r="2449" spans="4:6" outlineLevel="1">
      <c r="D2449"/>
      <c r="E2449"/>
      <c r="F2449"/>
    </row>
    <row r="2450" spans="4:6" outlineLevel="1">
      <c r="D2450"/>
      <c r="E2450"/>
      <c r="F2450"/>
    </row>
    <row r="2451" spans="4:6" outlineLevel="1">
      <c r="D2451"/>
      <c r="E2451"/>
      <c r="F2451"/>
    </row>
    <row r="2452" spans="4:6" outlineLevel="1">
      <c r="D2452"/>
      <c r="E2452"/>
      <c r="F2452"/>
    </row>
    <row r="2453" spans="4:6" outlineLevel="1">
      <c r="D2453"/>
      <c r="E2453"/>
      <c r="F2453"/>
    </row>
    <row r="2454" spans="4:6" outlineLevel="1">
      <c r="D2454"/>
      <c r="E2454"/>
      <c r="F2454"/>
    </row>
    <row r="2455" spans="4:6" outlineLevel="1">
      <c r="D2455"/>
      <c r="E2455"/>
      <c r="F2455"/>
    </row>
    <row r="2456" spans="4:6" outlineLevel="1">
      <c r="D2456"/>
      <c r="E2456"/>
      <c r="F2456"/>
    </row>
    <row r="2457" spans="4:6" outlineLevel="1">
      <c r="D2457"/>
      <c r="E2457"/>
      <c r="F2457"/>
    </row>
    <row r="2458" spans="4:6" outlineLevel="1">
      <c r="D2458"/>
      <c r="E2458"/>
      <c r="F2458"/>
    </row>
    <row r="2459" spans="4:6" outlineLevel="1">
      <c r="D2459"/>
      <c r="E2459"/>
      <c r="F2459"/>
    </row>
    <row r="2460" spans="4:6" outlineLevel="1">
      <c r="D2460"/>
      <c r="E2460"/>
      <c r="F2460"/>
    </row>
    <row r="2461" spans="4:6" outlineLevel="1">
      <c r="D2461"/>
      <c r="E2461"/>
      <c r="F2461"/>
    </row>
    <row r="2462" spans="4:6" outlineLevel="1">
      <c r="D2462"/>
      <c r="E2462"/>
      <c r="F2462"/>
    </row>
    <row r="2463" spans="4:6" outlineLevel="1">
      <c r="D2463"/>
      <c r="E2463"/>
      <c r="F2463"/>
    </row>
    <row r="2464" spans="4:6" outlineLevel="1">
      <c r="D2464"/>
      <c r="E2464"/>
      <c r="F2464"/>
    </row>
    <row r="2465" spans="4:6" outlineLevel="1">
      <c r="D2465"/>
      <c r="E2465"/>
      <c r="F2465"/>
    </row>
    <row r="2466" spans="4:6" outlineLevel="1">
      <c r="D2466"/>
      <c r="E2466"/>
      <c r="F2466"/>
    </row>
    <row r="2467" spans="4:6" outlineLevel="1">
      <c r="D2467"/>
      <c r="E2467"/>
      <c r="F2467"/>
    </row>
    <row r="2468" spans="4:6" outlineLevel="1">
      <c r="D2468"/>
      <c r="E2468"/>
      <c r="F2468"/>
    </row>
    <row r="2469" spans="4:6" outlineLevel="1">
      <c r="D2469"/>
      <c r="E2469"/>
      <c r="F2469"/>
    </row>
    <row r="2470" spans="4:6" outlineLevel="1">
      <c r="D2470"/>
      <c r="E2470"/>
      <c r="F2470"/>
    </row>
    <row r="2471" spans="4:6" outlineLevel="1">
      <c r="D2471"/>
      <c r="E2471"/>
      <c r="F2471"/>
    </row>
    <row r="2472" spans="4:6" outlineLevel="1">
      <c r="D2472"/>
      <c r="E2472"/>
      <c r="F2472"/>
    </row>
    <row r="2473" spans="4:6" outlineLevel="1">
      <c r="D2473"/>
      <c r="E2473"/>
      <c r="F2473"/>
    </row>
    <row r="2474" spans="4:6" outlineLevel="1">
      <c r="D2474"/>
      <c r="E2474"/>
      <c r="F2474"/>
    </row>
    <row r="2475" spans="4:6" outlineLevel="1">
      <c r="D2475"/>
      <c r="E2475"/>
      <c r="F2475"/>
    </row>
    <row r="2476" spans="4:6" outlineLevel="1">
      <c r="D2476"/>
      <c r="E2476"/>
      <c r="F2476"/>
    </row>
    <row r="2477" spans="4:6" outlineLevel="1">
      <c r="D2477"/>
      <c r="E2477"/>
      <c r="F2477"/>
    </row>
    <row r="2478" spans="4:6" outlineLevel="1">
      <c r="D2478"/>
      <c r="E2478"/>
      <c r="F2478"/>
    </row>
    <row r="2479" spans="4:6" outlineLevel="1">
      <c r="D2479"/>
      <c r="E2479"/>
      <c r="F2479"/>
    </row>
    <row r="2480" spans="4:6" outlineLevel="1">
      <c r="D2480"/>
      <c r="E2480"/>
      <c r="F2480"/>
    </row>
    <row r="2481" spans="4:6" outlineLevel="1">
      <c r="D2481"/>
      <c r="E2481"/>
      <c r="F2481"/>
    </row>
    <row r="2482" spans="4:6" outlineLevel="1">
      <c r="D2482"/>
      <c r="E2482"/>
      <c r="F2482"/>
    </row>
    <row r="2483" spans="4:6" outlineLevel="1">
      <c r="D2483"/>
      <c r="E2483"/>
      <c r="F2483"/>
    </row>
    <row r="2484" spans="4:6" outlineLevel="1">
      <c r="D2484"/>
      <c r="E2484"/>
      <c r="F2484"/>
    </row>
    <row r="2485" spans="4:6" outlineLevel="1">
      <c r="D2485"/>
      <c r="E2485"/>
      <c r="F2485"/>
    </row>
    <row r="2486" spans="4:6" outlineLevel="1">
      <c r="D2486"/>
      <c r="E2486"/>
      <c r="F2486"/>
    </row>
    <row r="2487" spans="4:6" outlineLevel="1">
      <c r="D2487"/>
      <c r="E2487"/>
      <c r="F2487"/>
    </row>
    <row r="2488" spans="4:6" outlineLevel="1">
      <c r="D2488"/>
      <c r="E2488"/>
      <c r="F2488"/>
    </row>
    <row r="2489" spans="4:6" outlineLevel="1">
      <c r="D2489"/>
      <c r="E2489"/>
      <c r="F2489"/>
    </row>
    <row r="2490" spans="4:6" outlineLevel="1">
      <c r="D2490"/>
      <c r="E2490"/>
      <c r="F2490"/>
    </row>
    <row r="2491" spans="4:6" outlineLevel="1">
      <c r="D2491"/>
      <c r="E2491"/>
      <c r="F2491"/>
    </row>
    <row r="2492" spans="4:6" outlineLevel="1">
      <c r="D2492"/>
      <c r="E2492"/>
      <c r="F2492"/>
    </row>
    <row r="2493" spans="4:6" outlineLevel="1">
      <c r="D2493"/>
      <c r="E2493"/>
      <c r="F2493"/>
    </row>
    <row r="2494" spans="4:6" outlineLevel="1">
      <c r="D2494"/>
      <c r="E2494"/>
      <c r="F2494"/>
    </row>
    <row r="2495" spans="4:6" outlineLevel="1">
      <c r="D2495"/>
      <c r="E2495"/>
      <c r="F2495"/>
    </row>
    <row r="2496" spans="4:6" outlineLevel="1">
      <c r="D2496"/>
      <c r="E2496"/>
      <c r="F2496"/>
    </row>
    <row r="2497" spans="4:6" outlineLevel="1">
      <c r="D2497"/>
      <c r="E2497"/>
      <c r="F2497"/>
    </row>
    <row r="2498" spans="4:6" outlineLevel="1">
      <c r="D2498"/>
      <c r="E2498"/>
      <c r="F2498"/>
    </row>
    <row r="2499" spans="4:6" outlineLevel="1">
      <c r="D2499"/>
      <c r="E2499"/>
      <c r="F2499"/>
    </row>
    <row r="2500" spans="4:6" outlineLevel="1">
      <c r="D2500"/>
      <c r="E2500"/>
      <c r="F2500"/>
    </row>
    <row r="2501" spans="4:6" outlineLevel="1">
      <c r="D2501"/>
      <c r="E2501"/>
      <c r="F2501"/>
    </row>
    <row r="2502" spans="4:6" outlineLevel="1">
      <c r="D2502"/>
      <c r="E2502"/>
      <c r="F2502"/>
    </row>
    <row r="2503" spans="4:6" outlineLevel="1">
      <c r="D2503"/>
      <c r="E2503"/>
      <c r="F2503"/>
    </row>
    <row r="2504" spans="4:6" outlineLevel="1">
      <c r="D2504"/>
      <c r="E2504"/>
      <c r="F2504"/>
    </row>
    <row r="2505" spans="4:6" outlineLevel="1">
      <c r="D2505"/>
      <c r="E2505"/>
      <c r="F2505"/>
    </row>
    <row r="2506" spans="4:6" outlineLevel="1">
      <c r="D2506"/>
      <c r="E2506"/>
      <c r="F2506"/>
    </row>
    <row r="2507" spans="4:6" outlineLevel="1">
      <c r="D2507"/>
      <c r="E2507"/>
      <c r="F2507"/>
    </row>
    <row r="2508" spans="4:6" outlineLevel="1">
      <c r="D2508"/>
      <c r="E2508"/>
      <c r="F2508"/>
    </row>
    <row r="2509" spans="4:6" outlineLevel="1">
      <c r="D2509"/>
      <c r="E2509"/>
      <c r="F2509"/>
    </row>
    <row r="2510" spans="4:6" outlineLevel="1">
      <c r="D2510"/>
      <c r="E2510"/>
      <c r="F2510"/>
    </row>
    <row r="2511" spans="4:6" outlineLevel="1">
      <c r="D2511"/>
      <c r="E2511"/>
      <c r="F2511"/>
    </row>
    <row r="2512" spans="4:6" outlineLevel="1">
      <c r="D2512"/>
      <c r="E2512"/>
      <c r="F2512"/>
    </row>
    <row r="2513" spans="4:6" outlineLevel="1">
      <c r="D2513"/>
      <c r="E2513"/>
      <c r="F2513"/>
    </row>
    <row r="2514" spans="4:6" outlineLevel="1">
      <c r="D2514"/>
      <c r="E2514"/>
      <c r="F2514"/>
    </row>
    <row r="2515" spans="4:6" outlineLevel="1">
      <c r="D2515"/>
      <c r="E2515"/>
      <c r="F2515"/>
    </row>
    <row r="2516" spans="4:6" outlineLevel="1">
      <c r="D2516"/>
      <c r="E2516"/>
      <c r="F2516"/>
    </row>
    <row r="2517" spans="4:6" outlineLevel="1">
      <c r="D2517"/>
      <c r="E2517"/>
      <c r="F2517"/>
    </row>
    <row r="2518" spans="4:6" outlineLevel="1">
      <c r="D2518"/>
      <c r="E2518"/>
      <c r="F2518"/>
    </row>
    <row r="2519" spans="4:6" outlineLevel="1">
      <c r="D2519"/>
      <c r="E2519"/>
      <c r="F2519"/>
    </row>
    <row r="2520" spans="4:6" outlineLevel="1">
      <c r="D2520"/>
      <c r="E2520"/>
      <c r="F2520"/>
    </row>
    <row r="2521" spans="4:6" outlineLevel="1">
      <c r="D2521"/>
      <c r="E2521"/>
      <c r="F2521"/>
    </row>
    <row r="2522" spans="4:6" outlineLevel="1">
      <c r="D2522"/>
      <c r="E2522"/>
      <c r="F2522"/>
    </row>
    <row r="2523" spans="4:6" outlineLevel="1">
      <c r="D2523"/>
      <c r="E2523"/>
      <c r="F2523"/>
    </row>
    <row r="2524" spans="4:6" outlineLevel="1">
      <c r="D2524"/>
      <c r="E2524"/>
      <c r="F2524"/>
    </row>
    <row r="2525" spans="4:6" outlineLevel="1">
      <c r="D2525"/>
      <c r="E2525"/>
      <c r="F2525"/>
    </row>
    <row r="2526" spans="4:6" outlineLevel="1">
      <c r="D2526"/>
      <c r="E2526"/>
      <c r="F2526"/>
    </row>
    <row r="2527" spans="4:6" outlineLevel="1">
      <c r="D2527"/>
      <c r="E2527"/>
      <c r="F2527"/>
    </row>
    <row r="2528" spans="4:6" outlineLevel="1">
      <c r="D2528"/>
      <c r="E2528"/>
      <c r="F2528"/>
    </row>
    <row r="2529" spans="4:6" outlineLevel="1">
      <c r="D2529"/>
      <c r="E2529"/>
      <c r="F2529"/>
    </row>
    <row r="2530" spans="4:6" outlineLevel="1">
      <c r="D2530"/>
      <c r="E2530"/>
      <c r="F2530"/>
    </row>
    <row r="2531" spans="4:6" outlineLevel="1">
      <c r="D2531"/>
      <c r="E2531"/>
      <c r="F2531"/>
    </row>
    <row r="2532" spans="4:6" outlineLevel="1">
      <c r="D2532"/>
      <c r="E2532"/>
      <c r="F2532"/>
    </row>
    <row r="2533" spans="4:6" outlineLevel="1">
      <c r="D2533"/>
      <c r="E2533"/>
      <c r="F2533"/>
    </row>
    <row r="2534" spans="4:6" outlineLevel="1">
      <c r="D2534"/>
      <c r="E2534"/>
      <c r="F2534"/>
    </row>
    <row r="2535" spans="4:6" outlineLevel="1">
      <c r="D2535"/>
      <c r="E2535"/>
      <c r="F2535"/>
    </row>
    <row r="2536" spans="4:6" outlineLevel="1">
      <c r="D2536"/>
      <c r="E2536"/>
      <c r="F2536"/>
    </row>
    <row r="2537" spans="4:6" outlineLevel="1">
      <c r="D2537"/>
      <c r="E2537"/>
      <c r="F2537"/>
    </row>
    <row r="2538" spans="4:6" outlineLevel="1">
      <c r="D2538"/>
      <c r="E2538"/>
      <c r="F2538"/>
    </row>
    <row r="2539" spans="4:6" outlineLevel="1">
      <c r="D2539"/>
      <c r="E2539"/>
      <c r="F2539"/>
    </row>
    <row r="2540" spans="4:6" outlineLevel="1">
      <c r="D2540"/>
      <c r="E2540"/>
      <c r="F2540"/>
    </row>
    <row r="2541" spans="4:6" outlineLevel="1">
      <c r="D2541"/>
      <c r="E2541"/>
      <c r="F2541"/>
    </row>
    <row r="2542" spans="4:6" outlineLevel="1">
      <c r="D2542"/>
      <c r="E2542"/>
      <c r="F2542"/>
    </row>
    <row r="2543" spans="4:6" outlineLevel="1">
      <c r="D2543"/>
      <c r="E2543"/>
      <c r="F2543"/>
    </row>
    <row r="2544" spans="4:6" outlineLevel="1">
      <c r="D2544"/>
      <c r="E2544"/>
      <c r="F2544"/>
    </row>
    <row r="2545" spans="4:6" outlineLevel="1">
      <c r="D2545"/>
      <c r="E2545"/>
      <c r="F2545"/>
    </row>
    <row r="2546" spans="4:6" outlineLevel="1">
      <c r="D2546"/>
      <c r="E2546"/>
      <c r="F2546"/>
    </row>
    <row r="2547" spans="4:6" outlineLevel="1">
      <c r="D2547"/>
      <c r="E2547"/>
      <c r="F2547"/>
    </row>
    <row r="2548" spans="4:6" outlineLevel="1">
      <c r="D2548"/>
      <c r="E2548"/>
      <c r="F2548"/>
    </row>
    <row r="2549" spans="4:6" outlineLevel="1">
      <c r="D2549"/>
      <c r="E2549"/>
      <c r="F2549"/>
    </row>
    <row r="2550" spans="4:6" outlineLevel="1">
      <c r="D2550"/>
      <c r="E2550"/>
      <c r="F2550"/>
    </row>
    <row r="2551" spans="4:6" outlineLevel="1">
      <c r="D2551"/>
      <c r="E2551"/>
      <c r="F2551"/>
    </row>
    <row r="2552" spans="4:6" outlineLevel="1">
      <c r="D2552"/>
      <c r="E2552"/>
      <c r="F2552"/>
    </row>
    <row r="2553" spans="4:6" outlineLevel="1">
      <c r="D2553"/>
      <c r="E2553"/>
      <c r="F2553"/>
    </row>
    <row r="2554" spans="4:6" outlineLevel="1">
      <c r="D2554"/>
      <c r="E2554"/>
      <c r="F2554"/>
    </row>
    <row r="2555" spans="4:6" outlineLevel="1">
      <c r="D2555"/>
      <c r="E2555"/>
      <c r="F2555"/>
    </row>
    <row r="2556" spans="4:6" outlineLevel="1">
      <c r="D2556"/>
      <c r="E2556"/>
      <c r="F2556"/>
    </row>
    <row r="2557" spans="4:6" outlineLevel="1">
      <c r="D2557"/>
      <c r="E2557"/>
      <c r="F2557"/>
    </row>
    <row r="2558" spans="4:6" outlineLevel="1">
      <c r="D2558"/>
      <c r="E2558"/>
      <c r="F2558"/>
    </row>
    <row r="2559" spans="4:6" outlineLevel="1">
      <c r="D2559"/>
      <c r="E2559"/>
      <c r="F2559"/>
    </row>
    <row r="2560" spans="4:6" outlineLevel="1">
      <c r="D2560"/>
      <c r="E2560"/>
      <c r="F2560"/>
    </row>
    <row r="2561" spans="4:6" outlineLevel="1">
      <c r="D2561"/>
      <c r="E2561"/>
      <c r="F2561"/>
    </row>
    <row r="2562" spans="4:6">
      <c r="D2562"/>
      <c r="E2562"/>
      <c r="F2562"/>
    </row>
    <row r="2563" spans="4:6" outlineLevel="1">
      <c r="D2563"/>
      <c r="E2563"/>
      <c r="F2563"/>
    </row>
    <row r="2564" spans="4:6" outlineLevel="1">
      <c r="D2564"/>
      <c r="E2564"/>
      <c r="F2564"/>
    </row>
    <row r="2565" spans="4:6" outlineLevel="1">
      <c r="D2565"/>
      <c r="E2565"/>
      <c r="F2565"/>
    </row>
    <row r="2566" spans="4:6" outlineLevel="1">
      <c r="D2566"/>
      <c r="E2566"/>
      <c r="F2566"/>
    </row>
    <row r="2567" spans="4:6" outlineLevel="1">
      <c r="D2567"/>
      <c r="E2567"/>
      <c r="F2567"/>
    </row>
    <row r="2568" spans="4:6" outlineLevel="1">
      <c r="D2568"/>
      <c r="E2568"/>
      <c r="F2568"/>
    </row>
    <row r="2569" spans="4:6" outlineLevel="1">
      <c r="D2569"/>
      <c r="E2569"/>
      <c r="F2569"/>
    </row>
    <row r="2570" spans="4:6" outlineLevel="1">
      <c r="D2570"/>
      <c r="E2570"/>
      <c r="F2570"/>
    </row>
    <row r="2571" spans="4:6" outlineLevel="1">
      <c r="D2571"/>
      <c r="E2571"/>
      <c r="F2571"/>
    </row>
    <row r="2572" spans="4:6" outlineLevel="1">
      <c r="D2572"/>
      <c r="E2572"/>
      <c r="F2572"/>
    </row>
    <row r="2573" spans="4:6" outlineLevel="1">
      <c r="D2573"/>
      <c r="E2573"/>
      <c r="F2573"/>
    </row>
    <row r="2574" spans="4:6" outlineLevel="1">
      <c r="D2574"/>
      <c r="E2574"/>
      <c r="F2574"/>
    </row>
    <row r="2575" spans="4:6" outlineLevel="1">
      <c r="D2575"/>
      <c r="E2575"/>
      <c r="F2575"/>
    </row>
    <row r="2576" spans="4:6" outlineLevel="1">
      <c r="D2576"/>
      <c r="E2576"/>
      <c r="F2576"/>
    </row>
    <row r="2577" spans="4:6" outlineLevel="1">
      <c r="D2577"/>
      <c r="E2577"/>
      <c r="F2577"/>
    </row>
    <row r="2578" spans="4:6" outlineLevel="1">
      <c r="D2578"/>
      <c r="E2578"/>
      <c r="F2578"/>
    </row>
    <row r="2579" spans="4:6" outlineLevel="1">
      <c r="D2579"/>
      <c r="E2579"/>
      <c r="F2579"/>
    </row>
    <row r="2580" spans="4:6" outlineLevel="1">
      <c r="D2580"/>
      <c r="E2580"/>
      <c r="F2580"/>
    </row>
    <row r="2581" spans="4:6" outlineLevel="1">
      <c r="D2581"/>
      <c r="E2581"/>
      <c r="F2581"/>
    </row>
    <row r="2582" spans="4:6" outlineLevel="1">
      <c r="D2582"/>
      <c r="E2582"/>
      <c r="F2582"/>
    </row>
    <row r="2583" spans="4:6" outlineLevel="1">
      <c r="D2583"/>
      <c r="E2583"/>
      <c r="F2583"/>
    </row>
    <row r="2584" spans="4:6" outlineLevel="1">
      <c r="D2584"/>
      <c r="E2584"/>
      <c r="F2584"/>
    </row>
    <row r="2585" spans="4:6" outlineLevel="1">
      <c r="D2585"/>
      <c r="E2585"/>
      <c r="F2585"/>
    </row>
    <row r="2586" spans="4:6" outlineLevel="1">
      <c r="D2586"/>
      <c r="E2586"/>
      <c r="F2586"/>
    </row>
    <row r="2587" spans="4:6" outlineLevel="1">
      <c r="D2587"/>
      <c r="E2587"/>
      <c r="F2587"/>
    </row>
    <row r="2588" spans="4:6" outlineLevel="1">
      <c r="D2588"/>
      <c r="E2588"/>
      <c r="F2588"/>
    </row>
    <row r="2589" spans="4:6" outlineLevel="1">
      <c r="D2589"/>
      <c r="E2589"/>
      <c r="F2589"/>
    </row>
    <row r="2590" spans="4:6" outlineLevel="1">
      <c r="D2590"/>
      <c r="E2590"/>
      <c r="F2590"/>
    </row>
    <row r="2591" spans="4:6" outlineLevel="1">
      <c r="D2591"/>
      <c r="E2591"/>
      <c r="F2591"/>
    </row>
    <row r="2592" spans="4:6" outlineLevel="1">
      <c r="D2592"/>
      <c r="E2592"/>
      <c r="F2592"/>
    </row>
    <row r="2593" spans="4:6" outlineLevel="1">
      <c r="D2593"/>
      <c r="E2593"/>
      <c r="F2593"/>
    </row>
    <row r="2594" spans="4:6" outlineLevel="1">
      <c r="D2594"/>
      <c r="E2594"/>
      <c r="F2594"/>
    </row>
    <row r="2595" spans="4:6" outlineLevel="1">
      <c r="D2595"/>
      <c r="E2595"/>
      <c r="F2595"/>
    </row>
    <row r="2596" spans="4:6" outlineLevel="1">
      <c r="D2596"/>
      <c r="E2596"/>
      <c r="F2596"/>
    </row>
    <row r="2597" spans="4:6" outlineLevel="1">
      <c r="D2597"/>
      <c r="E2597"/>
      <c r="F2597"/>
    </row>
    <row r="2598" spans="4:6" outlineLevel="1">
      <c r="D2598"/>
      <c r="E2598"/>
      <c r="F2598"/>
    </row>
    <row r="2599" spans="4:6" outlineLevel="1">
      <c r="D2599"/>
      <c r="E2599"/>
      <c r="F2599"/>
    </row>
    <row r="2600" spans="4:6" outlineLevel="1">
      <c r="D2600"/>
      <c r="E2600"/>
      <c r="F2600"/>
    </row>
    <row r="2601" spans="4:6" outlineLevel="1">
      <c r="D2601"/>
      <c r="E2601"/>
      <c r="F2601"/>
    </row>
    <row r="2602" spans="4:6" outlineLevel="1">
      <c r="D2602"/>
      <c r="E2602"/>
      <c r="F2602"/>
    </row>
    <row r="2603" spans="4:6" outlineLevel="1">
      <c r="D2603"/>
      <c r="E2603"/>
      <c r="F2603"/>
    </row>
    <row r="2604" spans="4:6" outlineLevel="1">
      <c r="D2604"/>
      <c r="E2604"/>
      <c r="F2604"/>
    </row>
    <row r="2605" spans="4:6" outlineLevel="1">
      <c r="D2605"/>
      <c r="E2605"/>
      <c r="F2605"/>
    </row>
    <row r="2606" spans="4:6" outlineLevel="1">
      <c r="D2606"/>
      <c r="E2606"/>
      <c r="F2606"/>
    </row>
    <row r="2607" spans="4:6" outlineLevel="1">
      <c r="D2607"/>
      <c r="E2607"/>
      <c r="F2607"/>
    </row>
    <row r="2608" spans="4:6" outlineLevel="1">
      <c r="D2608"/>
      <c r="E2608"/>
      <c r="F2608"/>
    </row>
    <row r="2609" spans="4:6" outlineLevel="1">
      <c r="D2609"/>
      <c r="E2609"/>
      <c r="F2609"/>
    </row>
    <row r="2610" spans="4:6" outlineLevel="1">
      <c r="D2610"/>
      <c r="E2610"/>
      <c r="F2610"/>
    </row>
    <row r="2611" spans="4:6" outlineLevel="1">
      <c r="D2611"/>
      <c r="E2611"/>
      <c r="F2611"/>
    </row>
    <row r="2612" spans="4:6" outlineLevel="1">
      <c r="D2612"/>
      <c r="E2612"/>
      <c r="F2612"/>
    </row>
    <row r="2613" spans="4:6" outlineLevel="1">
      <c r="D2613"/>
      <c r="E2613"/>
      <c r="F2613"/>
    </row>
    <row r="2614" spans="4:6" outlineLevel="1">
      <c r="D2614"/>
      <c r="E2614"/>
      <c r="F2614"/>
    </row>
    <row r="2615" spans="4:6" outlineLevel="1">
      <c r="D2615"/>
      <c r="E2615"/>
      <c r="F2615"/>
    </row>
    <row r="2616" spans="4:6" outlineLevel="1">
      <c r="D2616"/>
      <c r="E2616"/>
      <c r="F2616"/>
    </row>
    <row r="2617" spans="4:6" outlineLevel="1">
      <c r="D2617"/>
      <c r="E2617"/>
      <c r="F2617"/>
    </row>
    <row r="2618" spans="4:6" outlineLevel="1">
      <c r="D2618"/>
      <c r="E2618"/>
      <c r="F2618"/>
    </row>
    <row r="2619" spans="4:6" outlineLevel="1">
      <c r="D2619"/>
      <c r="E2619"/>
      <c r="F2619"/>
    </row>
    <row r="2620" spans="4:6" outlineLevel="1">
      <c r="D2620"/>
      <c r="E2620"/>
      <c r="F2620"/>
    </row>
    <row r="2621" spans="4:6" outlineLevel="1">
      <c r="D2621"/>
      <c r="E2621"/>
      <c r="F2621"/>
    </row>
    <row r="2622" spans="4:6" outlineLevel="1">
      <c r="D2622"/>
      <c r="E2622"/>
      <c r="F2622"/>
    </row>
    <row r="2623" spans="4:6" outlineLevel="1">
      <c r="D2623"/>
      <c r="E2623"/>
      <c r="F2623"/>
    </row>
    <row r="2624" spans="4:6" outlineLevel="1">
      <c r="D2624"/>
      <c r="E2624"/>
      <c r="F2624"/>
    </row>
    <row r="2625" spans="4:6" outlineLevel="1">
      <c r="D2625"/>
      <c r="E2625"/>
      <c r="F2625"/>
    </row>
    <row r="2626" spans="4:6" outlineLevel="1">
      <c r="D2626"/>
      <c r="E2626"/>
      <c r="F2626"/>
    </row>
    <row r="2627" spans="4:6" outlineLevel="1">
      <c r="D2627"/>
      <c r="E2627"/>
      <c r="F2627"/>
    </row>
    <row r="2628" spans="4:6" outlineLevel="1">
      <c r="D2628"/>
      <c r="E2628"/>
      <c r="F2628"/>
    </row>
    <row r="2629" spans="4:6" outlineLevel="1">
      <c r="D2629"/>
      <c r="E2629"/>
      <c r="F2629"/>
    </row>
    <row r="2630" spans="4:6" outlineLevel="1">
      <c r="D2630"/>
      <c r="E2630"/>
      <c r="F2630"/>
    </row>
    <row r="2631" spans="4:6" outlineLevel="1">
      <c r="D2631"/>
      <c r="E2631"/>
      <c r="F2631"/>
    </row>
    <row r="2632" spans="4:6" outlineLevel="1">
      <c r="D2632"/>
      <c r="E2632"/>
      <c r="F2632"/>
    </row>
    <row r="2633" spans="4:6" outlineLevel="1">
      <c r="D2633"/>
      <c r="E2633"/>
      <c r="F2633"/>
    </row>
    <row r="2634" spans="4:6" outlineLevel="1">
      <c r="D2634"/>
      <c r="E2634"/>
      <c r="F2634"/>
    </row>
    <row r="2635" spans="4:6" outlineLevel="1">
      <c r="D2635"/>
      <c r="E2635"/>
      <c r="F2635"/>
    </row>
    <row r="2636" spans="4:6" outlineLevel="1">
      <c r="D2636"/>
      <c r="E2636"/>
      <c r="F2636"/>
    </row>
    <row r="2637" spans="4:6" outlineLevel="1">
      <c r="D2637"/>
      <c r="E2637"/>
      <c r="F2637"/>
    </row>
    <row r="2638" spans="4:6" outlineLevel="1">
      <c r="D2638"/>
      <c r="E2638"/>
      <c r="F2638"/>
    </row>
    <row r="2639" spans="4:6" outlineLevel="1">
      <c r="D2639"/>
      <c r="E2639"/>
      <c r="F2639"/>
    </row>
    <row r="2640" spans="4:6" outlineLevel="1">
      <c r="D2640"/>
      <c r="E2640"/>
      <c r="F2640"/>
    </row>
    <row r="2641" spans="4:6" outlineLevel="1">
      <c r="D2641"/>
      <c r="E2641"/>
      <c r="F2641"/>
    </row>
    <row r="2642" spans="4:6" outlineLevel="1">
      <c r="D2642"/>
      <c r="E2642"/>
      <c r="F2642"/>
    </row>
    <row r="2643" spans="4:6" outlineLevel="1">
      <c r="D2643"/>
      <c r="E2643"/>
      <c r="F2643"/>
    </row>
    <row r="2644" spans="4:6" outlineLevel="1">
      <c r="D2644"/>
      <c r="E2644"/>
      <c r="F2644"/>
    </row>
    <row r="2645" spans="4:6" outlineLevel="1">
      <c r="D2645"/>
      <c r="E2645"/>
      <c r="F2645"/>
    </row>
    <row r="2646" spans="4:6" outlineLevel="1">
      <c r="D2646"/>
      <c r="E2646"/>
      <c r="F2646"/>
    </row>
    <row r="2647" spans="4:6" outlineLevel="1">
      <c r="D2647"/>
      <c r="E2647"/>
      <c r="F2647"/>
    </row>
    <row r="2648" spans="4:6" outlineLevel="1">
      <c r="D2648"/>
      <c r="E2648"/>
      <c r="F2648"/>
    </row>
    <row r="2649" spans="4:6" outlineLevel="1">
      <c r="D2649"/>
      <c r="E2649"/>
      <c r="F2649"/>
    </row>
    <row r="2650" spans="4:6" outlineLevel="1">
      <c r="D2650"/>
      <c r="E2650"/>
      <c r="F2650"/>
    </row>
    <row r="2651" spans="4:6" outlineLevel="1">
      <c r="D2651"/>
      <c r="E2651"/>
      <c r="F2651"/>
    </row>
    <row r="2652" spans="4:6" outlineLevel="1">
      <c r="D2652"/>
      <c r="E2652"/>
      <c r="F2652"/>
    </row>
    <row r="2653" spans="4:6" outlineLevel="1">
      <c r="D2653"/>
      <c r="E2653"/>
      <c r="F2653"/>
    </row>
    <row r="2654" spans="4:6" outlineLevel="1">
      <c r="D2654"/>
      <c r="E2654"/>
      <c r="F2654"/>
    </row>
    <row r="2655" spans="4:6" outlineLevel="1">
      <c r="D2655"/>
      <c r="E2655"/>
      <c r="F2655"/>
    </row>
    <row r="2656" spans="4:6" outlineLevel="1">
      <c r="D2656"/>
      <c r="E2656"/>
      <c r="F2656"/>
    </row>
    <row r="2657" spans="4:6" outlineLevel="1">
      <c r="D2657"/>
      <c r="E2657"/>
      <c r="F2657"/>
    </row>
    <row r="2658" spans="4:6" outlineLevel="1">
      <c r="D2658"/>
      <c r="E2658"/>
      <c r="F2658"/>
    </row>
    <row r="2659" spans="4:6" outlineLevel="1">
      <c r="D2659"/>
      <c r="E2659"/>
      <c r="F2659"/>
    </row>
    <row r="2660" spans="4:6" outlineLevel="1">
      <c r="D2660"/>
      <c r="E2660"/>
      <c r="F2660"/>
    </row>
    <row r="2661" spans="4:6" outlineLevel="1">
      <c r="D2661"/>
      <c r="E2661"/>
      <c r="F2661"/>
    </row>
    <row r="2662" spans="4:6" outlineLevel="1">
      <c r="D2662"/>
      <c r="E2662"/>
      <c r="F2662"/>
    </row>
    <row r="2663" spans="4:6" outlineLevel="1">
      <c r="D2663"/>
      <c r="E2663"/>
      <c r="F2663"/>
    </row>
    <row r="2664" spans="4:6" outlineLevel="1">
      <c r="D2664"/>
      <c r="E2664"/>
      <c r="F2664"/>
    </row>
    <row r="2665" spans="4:6" outlineLevel="1">
      <c r="D2665"/>
      <c r="E2665"/>
      <c r="F2665"/>
    </row>
    <row r="2666" spans="4:6" outlineLevel="1">
      <c r="D2666"/>
      <c r="E2666"/>
      <c r="F2666"/>
    </row>
    <row r="2667" spans="4:6" outlineLevel="1">
      <c r="D2667"/>
      <c r="E2667"/>
      <c r="F2667"/>
    </row>
    <row r="2668" spans="4:6" outlineLevel="1">
      <c r="D2668"/>
      <c r="E2668"/>
      <c r="F2668"/>
    </row>
    <row r="2669" spans="4:6" outlineLevel="1">
      <c r="D2669"/>
      <c r="E2669"/>
      <c r="F2669"/>
    </row>
    <row r="2670" spans="4:6" outlineLevel="1">
      <c r="D2670"/>
      <c r="E2670"/>
      <c r="F2670"/>
    </row>
    <row r="2671" spans="4:6" outlineLevel="1">
      <c r="D2671"/>
      <c r="E2671"/>
      <c r="F2671"/>
    </row>
    <row r="2672" spans="4:6" outlineLevel="1">
      <c r="D2672"/>
      <c r="E2672"/>
      <c r="F2672"/>
    </row>
    <row r="2673" spans="4:6" outlineLevel="1">
      <c r="D2673"/>
      <c r="E2673"/>
      <c r="F2673"/>
    </row>
    <row r="2674" spans="4:6" outlineLevel="1">
      <c r="D2674"/>
      <c r="E2674"/>
      <c r="F2674"/>
    </row>
    <row r="2675" spans="4:6" outlineLevel="1">
      <c r="D2675"/>
      <c r="E2675"/>
      <c r="F2675"/>
    </row>
    <row r="2676" spans="4:6" outlineLevel="1">
      <c r="D2676"/>
      <c r="E2676"/>
      <c r="F2676"/>
    </row>
    <row r="2677" spans="4:6" outlineLevel="1">
      <c r="D2677"/>
      <c r="E2677"/>
      <c r="F2677"/>
    </row>
    <row r="2678" spans="4:6" outlineLevel="1">
      <c r="D2678"/>
      <c r="E2678"/>
      <c r="F2678"/>
    </row>
    <row r="2679" spans="4:6" outlineLevel="1">
      <c r="D2679"/>
      <c r="E2679"/>
      <c r="F2679"/>
    </row>
    <row r="2680" spans="4:6" outlineLevel="1">
      <c r="D2680"/>
      <c r="E2680"/>
      <c r="F2680"/>
    </row>
    <row r="2681" spans="4:6" outlineLevel="1">
      <c r="D2681"/>
      <c r="E2681"/>
      <c r="F2681"/>
    </row>
    <row r="2682" spans="4:6" outlineLevel="1">
      <c r="D2682"/>
      <c r="E2682"/>
      <c r="F2682"/>
    </row>
    <row r="2683" spans="4:6" outlineLevel="1">
      <c r="D2683"/>
      <c r="E2683"/>
      <c r="F2683"/>
    </row>
    <row r="2684" spans="4:6" outlineLevel="1">
      <c r="D2684"/>
      <c r="E2684"/>
      <c r="F2684"/>
    </row>
    <row r="2685" spans="4:6" outlineLevel="1">
      <c r="D2685"/>
      <c r="E2685"/>
      <c r="F2685"/>
    </row>
    <row r="2686" spans="4:6" outlineLevel="1">
      <c r="D2686"/>
      <c r="E2686"/>
      <c r="F2686"/>
    </row>
    <row r="2687" spans="4:6" outlineLevel="1">
      <c r="D2687"/>
      <c r="E2687"/>
      <c r="F2687"/>
    </row>
    <row r="2688" spans="4:6" outlineLevel="1">
      <c r="D2688"/>
      <c r="E2688"/>
      <c r="F2688"/>
    </row>
    <row r="2689" spans="4:6" outlineLevel="1">
      <c r="D2689"/>
      <c r="E2689"/>
      <c r="F2689"/>
    </row>
    <row r="2690" spans="4:6" outlineLevel="1">
      <c r="D2690"/>
      <c r="E2690"/>
      <c r="F2690"/>
    </row>
    <row r="2691" spans="4:6" outlineLevel="1">
      <c r="D2691"/>
      <c r="E2691"/>
      <c r="F2691"/>
    </row>
    <row r="2692" spans="4:6" outlineLevel="1">
      <c r="D2692"/>
      <c r="E2692"/>
      <c r="F2692"/>
    </row>
    <row r="2693" spans="4:6" outlineLevel="1">
      <c r="D2693"/>
      <c r="E2693"/>
      <c r="F2693"/>
    </row>
    <row r="2694" spans="4:6" outlineLevel="1">
      <c r="D2694"/>
      <c r="E2694"/>
      <c r="F2694"/>
    </row>
    <row r="2695" spans="4:6" outlineLevel="1">
      <c r="D2695"/>
      <c r="E2695"/>
      <c r="F2695"/>
    </row>
    <row r="2696" spans="4:6" outlineLevel="1">
      <c r="D2696"/>
      <c r="E2696"/>
      <c r="F2696"/>
    </row>
    <row r="2697" spans="4:6" outlineLevel="1">
      <c r="D2697"/>
      <c r="E2697"/>
      <c r="F2697"/>
    </row>
    <row r="2698" spans="4:6" outlineLevel="1">
      <c r="D2698"/>
      <c r="E2698"/>
      <c r="F2698"/>
    </row>
    <row r="2699" spans="4:6">
      <c r="D2699"/>
      <c r="E2699"/>
      <c r="F2699"/>
    </row>
    <row r="2700" spans="4:6" outlineLevel="1">
      <c r="D2700"/>
      <c r="E2700"/>
      <c r="F2700"/>
    </row>
    <row r="2701" spans="4:6" outlineLevel="1">
      <c r="D2701"/>
      <c r="E2701"/>
      <c r="F2701"/>
    </row>
    <row r="2702" spans="4:6" outlineLevel="1">
      <c r="D2702"/>
      <c r="E2702"/>
      <c r="F2702"/>
    </row>
    <row r="2703" spans="4:6" outlineLevel="1">
      <c r="D2703"/>
      <c r="E2703"/>
      <c r="F2703"/>
    </row>
    <row r="2704" spans="4:6" outlineLevel="1">
      <c r="D2704"/>
      <c r="E2704"/>
      <c r="F2704"/>
    </row>
    <row r="2705" spans="4:6" outlineLevel="1">
      <c r="D2705"/>
      <c r="E2705"/>
      <c r="F2705"/>
    </row>
    <row r="2706" spans="4:6" outlineLevel="1">
      <c r="D2706"/>
      <c r="E2706"/>
      <c r="F2706"/>
    </row>
    <row r="2707" spans="4:6" outlineLevel="1">
      <c r="D2707"/>
      <c r="E2707"/>
      <c r="F2707"/>
    </row>
    <row r="2708" spans="4:6" outlineLevel="1">
      <c r="D2708"/>
      <c r="E2708"/>
      <c r="F2708"/>
    </row>
    <row r="2709" spans="4:6" outlineLevel="1">
      <c r="D2709"/>
      <c r="E2709"/>
      <c r="F2709"/>
    </row>
    <row r="2710" spans="4:6" outlineLevel="1">
      <c r="D2710"/>
      <c r="E2710"/>
      <c r="F2710"/>
    </row>
    <row r="2711" spans="4:6" outlineLevel="1">
      <c r="D2711"/>
      <c r="E2711"/>
      <c r="F2711"/>
    </row>
    <row r="2712" spans="4:6" outlineLevel="1">
      <c r="D2712"/>
      <c r="E2712"/>
      <c r="F2712"/>
    </row>
    <row r="2713" spans="4:6" outlineLevel="1">
      <c r="D2713"/>
      <c r="E2713"/>
      <c r="F2713"/>
    </row>
    <row r="2714" spans="4:6" outlineLevel="1">
      <c r="D2714"/>
      <c r="E2714"/>
      <c r="F2714"/>
    </row>
    <row r="2715" spans="4:6" outlineLevel="1">
      <c r="D2715"/>
      <c r="E2715"/>
      <c r="F2715"/>
    </row>
    <row r="2716" spans="4:6" outlineLevel="1">
      <c r="D2716"/>
      <c r="E2716"/>
      <c r="F2716"/>
    </row>
    <row r="2717" spans="4:6" outlineLevel="1">
      <c r="D2717"/>
      <c r="E2717"/>
      <c r="F2717"/>
    </row>
    <row r="2718" spans="4:6" outlineLevel="1">
      <c r="D2718"/>
      <c r="E2718"/>
      <c r="F2718"/>
    </row>
    <row r="2719" spans="4:6" outlineLevel="1">
      <c r="D2719"/>
      <c r="E2719"/>
      <c r="F2719"/>
    </row>
    <row r="2720" spans="4:6" outlineLevel="1">
      <c r="D2720"/>
      <c r="E2720"/>
      <c r="F2720"/>
    </row>
    <row r="2721" spans="4:6" outlineLevel="1">
      <c r="D2721"/>
      <c r="E2721"/>
      <c r="F2721"/>
    </row>
    <row r="2722" spans="4:6" outlineLevel="1">
      <c r="D2722"/>
      <c r="E2722"/>
      <c r="F2722"/>
    </row>
    <row r="2723" spans="4:6" outlineLevel="1">
      <c r="D2723"/>
      <c r="E2723"/>
      <c r="F2723"/>
    </row>
    <row r="2724" spans="4:6" outlineLevel="1">
      <c r="D2724"/>
      <c r="E2724"/>
      <c r="F2724"/>
    </row>
    <row r="2725" spans="4:6" outlineLevel="1">
      <c r="D2725"/>
      <c r="E2725"/>
      <c r="F2725"/>
    </row>
    <row r="2726" spans="4:6" outlineLevel="1">
      <c r="D2726"/>
      <c r="E2726"/>
      <c r="F2726"/>
    </row>
    <row r="2727" spans="4:6" outlineLevel="1">
      <c r="D2727"/>
      <c r="E2727"/>
      <c r="F2727"/>
    </row>
    <row r="2728" spans="4:6" outlineLevel="1">
      <c r="D2728"/>
      <c r="E2728"/>
      <c r="F2728"/>
    </row>
    <row r="2729" spans="4:6" outlineLevel="1">
      <c r="D2729"/>
      <c r="E2729"/>
      <c r="F2729"/>
    </row>
    <row r="2730" spans="4:6" outlineLevel="1">
      <c r="D2730"/>
      <c r="E2730"/>
      <c r="F2730"/>
    </row>
    <row r="2731" spans="4:6" outlineLevel="1">
      <c r="D2731"/>
      <c r="E2731"/>
      <c r="F2731"/>
    </row>
    <row r="2732" spans="4:6" outlineLevel="1">
      <c r="D2732"/>
      <c r="E2732"/>
      <c r="F2732"/>
    </row>
    <row r="2733" spans="4:6" outlineLevel="1">
      <c r="D2733"/>
      <c r="E2733"/>
      <c r="F2733"/>
    </row>
    <row r="2734" spans="4:6" outlineLevel="1">
      <c r="D2734"/>
      <c r="E2734"/>
      <c r="F2734"/>
    </row>
    <row r="2735" spans="4:6" outlineLevel="1">
      <c r="D2735"/>
      <c r="E2735"/>
      <c r="F2735"/>
    </row>
    <row r="2736" spans="4:6" outlineLevel="1">
      <c r="D2736"/>
      <c r="E2736"/>
      <c r="F2736"/>
    </row>
    <row r="2737" spans="4:6" outlineLevel="1">
      <c r="D2737"/>
      <c r="E2737"/>
      <c r="F2737"/>
    </row>
    <row r="2738" spans="4:6" outlineLevel="1">
      <c r="D2738"/>
      <c r="E2738"/>
      <c r="F2738"/>
    </row>
    <row r="2739" spans="4:6" outlineLevel="1">
      <c r="D2739"/>
      <c r="E2739"/>
      <c r="F2739"/>
    </row>
    <row r="2740" spans="4:6" outlineLevel="1">
      <c r="D2740"/>
      <c r="E2740"/>
      <c r="F2740"/>
    </row>
    <row r="2741" spans="4:6" outlineLevel="1">
      <c r="D2741"/>
      <c r="E2741"/>
      <c r="F2741"/>
    </row>
    <row r="2742" spans="4:6" outlineLevel="1">
      <c r="D2742"/>
      <c r="E2742"/>
      <c r="F2742"/>
    </row>
    <row r="2743" spans="4:6" outlineLevel="1">
      <c r="D2743"/>
      <c r="E2743"/>
      <c r="F2743"/>
    </row>
    <row r="2744" spans="4:6" outlineLevel="1">
      <c r="D2744"/>
      <c r="E2744"/>
      <c r="F2744"/>
    </row>
    <row r="2745" spans="4:6" outlineLevel="1">
      <c r="D2745"/>
      <c r="E2745"/>
      <c r="F2745"/>
    </row>
    <row r="2746" spans="4:6" outlineLevel="1">
      <c r="D2746"/>
      <c r="E2746"/>
      <c r="F2746"/>
    </row>
    <row r="2747" spans="4:6" outlineLevel="1">
      <c r="D2747"/>
      <c r="E2747"/>
      <c r="F2747"/>
    </row>
    <row r="2748" spans="4:6" outlineLevel="1">
      <c r="D2748"/>
      <c r="E2748"/>
      <c r="F2748"/>
    </row>
    <row r="2749" spans="4:6" outlineLevel="1">
      <c r="D2749"/>
      <c r="E2749"/>
      <c r="F2749"/>
    </row>
    <row r="2750" spans="4:6" outlineLevel="1">
      <c r="D2750"/>
      <c r="E2750"/>
      <c r="F2750"/>
    </row>
    <row r="2751" spans="4:6" outlineLevel="1">
      <c r="D2751"/>
      <c r="E2751"/>
      <c r="F2751"/>
    </row>
    <row r="2752" spans="4:6" outlineLevel="1">
      <c r="D2752"/>
      <c r="E2752"/>
      <c r="F2752"/>
    </row>
    <row r="2753" spans="4:6" outlineLevel="1">
      <c r="D2753"/>
      <c r="E2753"/>
      <c r="F2753"/>
    </row>
    <row r="2754" spans="4:6" outlineLevel="1">
      <c r="D2754"/>
      <c r="E2754"/>
      <c r="F2754"/>
    </row>
    <row r="2755" spans="4:6" outlineLevel="1">
      <c r="D2755"/>
      <c r="E2755"/>
      <c r="F2755"/>
    </row>
    <row r="2756" spans="4:6" outlineLevel="1">
      <c r="D2756"/>
      <c r="E2756"/>
      <c r="F2756"/>
    </row>
    <row r="2757" spans="4:6" outlineLevel="1">
      <c r="D2757"/>
      <c r="E2757"/>
      <c r="F2757"/>
    </row>
    <row r="2758" spans="4:6" outlineLevel="1">
      <c r="D2758"/>
      <c r="E2758"/>
      <c r="F2758"/>
    </row>
    <row r="2759" spans="4:6" outlineLevel="1">
      <c r="D2759"/>
      <c r="E2759"/>
      <c r="F2759"/>
    </row>
    <row r="2760" spans="4:6" outlineLevel="1">
      <c r="D2760"/>
      <c r="E2760"/>
      <c r="F2760"/>
    </row>
    <row r="2761" spans="4:6" outlineLevel="1">
      <c r="D2761"/>
      <c r="E2761"/>
      <c r="F2761"/>
    </row>
    <row r="2762" spans="4:6" outlineLevel="1">
      <c r="D2762"/>
      <c r="E2762"/>
      <c r="F2762"/>
    </row>
    <row r="2763" spans="4:6" outlineLevel="1">
      <c r="D2763"/>
      <c r="E2763"/>
      <c r="F2763"/>
    </row>
    <row r="2764" spans="4:6" outlineLevel="1">
      <c r="D2764"/>
      <c r="E2764"/>
      <c r="F2764"/>
    </row>
    <row r="2765" spans="4:6" outlineLevel="1">
      <c r="D2765"/>
      <c r="E2765"/>
      <c r="F2765"/>
    </row>
    <row r="2766" spans="4:6" outlineLevel="1">
      <c r="D2766"/>
      <c r="E2766"/>
      <c r="F2766"/>
    </row>
    <row r="2767" spans="4:6" outlineLevel="1">
      <c r="D2767"/>
      <c r="E2767"/>
      <c r="F2767"/>
    </row>
    <row r="2768" spans="4:6" outlineLevel="1">
      <c r="D2768"/>
      <c r="E2768"/>
      <c r="F2768"/>
    </row>
    <row r="2769" spans="4:6" outlineLevel="1">
      <c r="D2769"/>
      <c r="E2769"/>
      <c r="F2769"/>
    </row>
    <row r="2770" spans="4:6" outlineLevel="1">
      <c r="D2770"/>
      <c r="E2770"/>
      <c r="F2770"/>
    </row>
    <row r="2771" spans="4:6" outlineLevel="1">
      <c r="D2771"/>
      <c r="E2771"/>
      <c r="F2771"/>
    </row>
    <row r="2772" spans="4:6" outlineLevel="1">
      <c r="D2772"/>
      <c r="E2772"/>
      <c r="F2772"/>
    </row>
    <row r="2773" spans="4:6" outlineLevel="1">
      <c r="D2773"/>
      <c r="E2773"/>
      <c r="F2773"/>
    </row>
    <row r="2774" spans="4:6" outlineLevel="1">
      <c r="D2774"/>
      <c r="E2774"/>
      <c r="F2774"/>
    </row>
    <row r="2775" spans="4:6" outlineLevel="1">
      <c r="D2775"/>
      <c r="E2775"/>
      <c r="F2775"/>
    </row>
    <row r="2776" spans="4:6" outlineLevel="1">
      <c r="D2776"/>
      <c r="E2776"/>
      <c r="F2776"/>
    </row>
    <row r="2777" spans="4:6" outlineLevel="1">
      <c r="D2777"/>
      <c r="E2777"/>
      <c r="F2777"/>
    </row>
    <row r="2778" spans="4:6" outlineLevel="1">
      <c r="D2778"/>
      <c r="E2778"/>
      <c r="F2778"/>
    </row>
    <row r="2779" spans="4:6" outlineLevel="1">
      <c r="D2779"/>
      <c r="E2779"/>
      <c r="F2779"/>
    </row>
    <row r="2780" spans="4:6" outlineLevel="1">
      <c r="D2780"/>
      <c r="E2780"/>
      <c r="F2780"/>
    </row>
    <row r="2781" spans="4:6" outlineLevel="1">
      <c r="D2781"/>
      <c r="E2781"/>
      <c r="F2781"/>
    </row>
    <row r="2782" spans="4:6" outlineLevel="1">
      <c r="D2782"/>
      <c r="E2782"/>
      <c r="F2782"/>
    </row>
    <row r="2783" spans="4:6" outlineLevel="1">
      <c r="D2783"/>
      <c r="E2783"/>
      <c r="F2783"/>
    </row>
    <row r="2784" spans="4:6" outlineLevel="1">
      <c r="D2784"/>
      <c r="E2784"/>
      <c r="F2784"/>
    </row>
    <row r="2785" spans="4:6" outlineLevel="1">
      <c r="D2785"/>
      <c r="E2785"/>
      <c r="F2785"/>
    </row>
    <row r="2786" spans="4:6" outlineLevel="1">
      <c r="D2786"/>
      <c r="E2786"/>
      <c r="F2786"/>
    </row>
    <row r="2787" spans="4:6" outlineLevel="1">
      <c r="D2787"/>
      <c r="E2787"/>
      <c r="F2787"/>
    </row>
    <row r="2788" spans="4:6" outlineLevel="1">
      <c r="D2788"/>
      <c r="E2788"/>
      <c r="F2788"/>
    </row>
    <row r="2789" spans="4:6" outlineLevel="1">
      <c r="D2789"/>
      <c r="E2789"/>
      <c r="F2789"/>
    </row>
    <row r="2790" spans="4:6" outlineLevel="1">
      <c r="D2790"/>
      <c r="E2790"/>
      <c r="F2790"/>
    </row>
    <row r="2791" spans="4:6" outlineLevel="1">
      <c r="D2791"/>
      <c r="E2791"/>
      <c r="F2791"/>
    </row>
    <row r="2792" spans="4:6" outlineLevel="1">
      <c r="D2792"/>
      <c r="E2792"/>
      <c r="F2792"/>
    </row>
    <row r="2793" spans="4:6" outlineLevel="1">
      <c r="D2793"/>
      <c r="E2793"/>
      <c r="F2793"/>
    </row>
    <row r="2794" spans="4:6" outlineLevel="1">
      <c r="D2794"/>
      <c r="E2794"/>
      <c r="F2794"/>
    </row>
    <row r="2795" spans="4:6" outlineLevel="1">
      <c r="D2795"/>
      <c r="E2795"/>
      <c r="F2795"/>
    </row>
    <row r="2796" spans="4:6" outlineLevel="1">
      <c r="D2796"/>
      <c r="E2796"/>
      <c r="F2796"/>
    </row>
    <row r="2797" spans="4:6" outlineLevel="1">
      <c r="D2797"/>
      <c r="E2797"/>
      <c r="F2797"/>
    </row>
    <row r="2798" spans="4:6" outlineLevel="1">
      <c r="D2798"/>
      <c r="E2798"/>
      <c r="F2798"/>
    </row>
    <row r="2799" spans="4:6" outlineLevel="1">
      <c r="D2799"/>
      <c r="E2799"/>
      <c r="F2799"/>
    </row>
    <row r="2800" spans="4:6" outlineLevel="1">
      <c r="D2800"/>
      <c r="E2800"/>
      <c r="F2800"/>
    </row>
    <row r="2801" spans="4:6" outlineLevel="1">
      <c r="D2801"/>
      <c r="E2801"/>
      <c r="F2801"/>
    </row>
    <row r="2802" spans="4:6" outlineLevel="1">
      <c r="D2802"/>
      <c r="E2802"/>
      <c r="F2802"/>
    </row>
    <row r="2803" spans="4:6" outlineLevel="1">
      <c r="D2803"/>
      <c r="E2803"/>
      <c r="F2803"/>
    </row>
    <row r="2804" spans="4:6" outlineLevel="1">
      <c r="D2804"/>
      <c r="E2804"/>
      <c r="F2804"/>
    </row>
    <row r="2805" spans="4:6" outlineLevel="1">
      <c r="D2805"/>
      <c r="E2805"/>
      <c r="F2805"/>
    </row>
    <row r="2806" spans="4:6" outlineLevel="1">
      <c r="D2806"/>
      <c r="E2806"/>
      <c r="F2806"/>
    </row>
    <row r="2807" spans="4:6" outlineLevel="1">
      <c r="D2807"/>
      <c r="E2807"/>
      <c r="F2807"/>
    </row>
    <row r="2808" spans="4:6" outlineLevel="1">
      <c r="D2808"/>
      <c r="E2808"/>
      <c r="F2808"/>
    </row>
    <row r="2809" spans="4:6" outlineLevel="1">
      <c r="D2809"/>
      <c r="E2809"/>
      <c r="F2809"/>
    </row>
    <row r="2810" spans="4:6" outlineLevel="1">
      <c r="D2810"/>
      <c r="E2810"/>
      <c r="F2810"/>
    </row>
    <row r="2811" spans="4:6" outlineLevel="1">
      <c r="D2811"/>
      <c r="E2811"/>
      <c r="F2811"/>
    </row>
    <row r="2812" spans="4:6" outlineLevel="1">
      <c r="D2812"/>
      <c r="E2812"/>
      <c r="F2812"/>
    </row>
    <row r="2813" spans="4:6" outlineLevel="1">
      <c r="D2813"/>
      <c r="E2813"/>
      <c r="F2813"/>
    </row>
    <row r="2814" spans="4:6">
      <c r="D2814"/>
      <c r="E2814"/>
      <c r="F2814"/>
    </row>
    <row r="2815" spans="4:6" outlineLevel="1">
      <c r="D2815"/>
      <c r="E2815"/>
      <c r="F2815"/>
    </row>
    <row r="2816" spans="4:6" outlineLevel="1">
      <c r="D2816"/>
      <c r="E2816"/>
      <c r="F2816"/>
    </row>
    <row r="2817" spans="4:6" outlineLevel="1">
      <c r="D2817"/>
      <c r="E2817"/>
      <c r="F2817"/>
    </row>
    <row r="2818" spans="4:6" outlineLevel="1">
      <c r="D2818"/>
      <c r="E2818"/>
      <c r="F2818"/>
    </row>
    <row r="2819" spans="4:6" outlineLevel="1">
      <c r="D2819"/>
      <c r="E2819"/>
      <c r="F2819"/>
    </row>
    <row r="2820" spans="4:6" outlineLevel="1">
      <c r="D2820"/>
      <c r="E2820"/>
      <c r="F2820"/>
    </row>
    <row r="2821" spans="4:6" outlineLevel="1">
      <c r="D2821"/>
      <c r="E2821"/>
      <c r="F2821"/>
    </row>
    <row r="2822" spans="4:6" outlineLevel="1">
      <c r="D2822"/>
      <c r="E2822"/>
      <c r="F2822"/>
    </row>
    <row r="2823" spans="4:6" outlineLevel="1">
      <c r="D2823"/>
      <c r="E2823"/>
      <c r="F2823"/>
    </row>
    <row r="2824" spans="4:6" outlineLevel="1">
      <c r="D2824"/>
      <c r="E2824"/>
      <c r="F2824"/>
    </row>
    <row r="2825" spans="4:6" outlineLevel="1">
      <c r="D2825"/>
      <c r="E2825"/>
      <c r="F2825"/>
    </row>
    <row r="2826" spans="4:6" outlineLevel="1">
      <c r="D2826"/>
      <c r="E2826"/>
      <c r="F2826"/>
    </row>
    <row r="2827" spans="4:6" outlineLevel="1">
      <c r="D2827"/>
      <c r="E2827"/>
      <c r="F2827"/>
    </row>
    <row r="2828" spans="4:6">
      <c r="D2828"/>
      <c r="E2828"/>
      <c r="F2828"/>
    </row>
    <row r="2829" spans="4:6" outlineLevel="1">
      <c r="D2829"/>
      <c r="E2829"/>
      <c r="F2829"/>
    </row>
    <row r="2830" spans="4:6" outlineLevel="1">
      <c r="D2830"/>
      <c r="E2830"/>
      <c r="F2830"/>
    </row>
    <row r="2831" spans="4:6" outlineLevel="1">
      <c r="D2831"/>
      <c r="E2831"/>
      <c r="F2831"/>
    </row>
    <row r="2832" spans="4:6" outlineLevel="1">
      <c r="D2832"/>
      <c r="E2832"/>
      <c r="F2832"/>
    </row>
    <row r="2833" spans="4:6" outlineLevel="1">
      <c r="D2833"/>
      <c r="E2833"/>
      <c r="F2833"/>
    </row>
    <row r="2834" spans="4:6" outlineLevel="1">
      <c r="D2834"/>
      <c r="E2834"/>
      <c r="F2834"/>
    </row>
    <row r="2835" spans="4:6" outlineLevel="1">
      <c r="D2835"/>
      <c r="E2835"/>
      <c r="F2835"/>
    </row>
    <row r="2836" spans="4:6" outlineLevel="1">
      <c r="D2836"/>
      <c r="E2836"/>
      <c r="F2836"/>
    </row>
    <row r="2837" spans="4:6" outlineLevel="1">
      <c r="D2837"/>
      <c r="E2837"/>
      <c r="F2837"/>
    </row>
    <row r="2838" spans="4:6" outlineLevel="1">
      <c r="D2838"/>
      <c r="E2838"/>
      <c r="F2838"/>
    </row>
    <row r="2839" spans="4:6" outlineLevel="1">
      <c r="D2839"/>
      <c r="E2839"/>
      <c r="F2839"/>
    </row>
    <row r="2840" spans="4:6" outlineLevel="1">
      <c r="D2840"/>
      <c r="E2840"/>
      <c r="F2840"/>
    </row>
    <row r="2841" spans="4:6" outlineLevel="1">
      <c r="D2841"/>
      <c r="E2841"/>
      <c r="F2841"/>
    </row>
    <row r="2842" spans="4:6" outlineLevel="1">
      <c r="D2842"/>
      <c r="E2842"/>
      <c r="F2842"/>
    </row>
    <row r="2843" spans="4:6" outlineLevel="1">
      <c r="D2843"/>
      <c r="E2843"/>
      <c r="F2843"/>
    </row>
    <row r="2844" spans="4:6" outlineLevel="1">
      <c r="D2844"/>
      <c r="E2844"/>
      <c r="F2844"/>
    </row>
    <row r="2845" spans="4:6" outlineLevel="1">
      <c r="D2845"/>
      <c r="E2845"/>
      <c r="F2845"/>
    </row>
    <row r="2846" spans="4:6" outlineLevel="1">
      <c r="D2846"/>
      <c r="E2846"/>
      <c r="F2846"/>
    </row>
    <row r="2847" spans="4:6" outlineLevel="1">
      <c r="D2847"/>
      <c r="E2847"/>
      <c r="F2847"/>
    </row>
    <row r="2848" spans="4:6" outlineLevel="1">
      <c r="D2848"/>
      <c r="E2848"/>
      <c r="F2848"/>
    </row>
    <row r="2849" spans="4:6" outlineLevel="1">
      <c r="D2849"/>
      <c r="E2849"/>
      <c r="F2849"/>
    </row>
    <row r="2850" spans="4:6" outlineLevel="1">
      <c r="D2850"/>
      <c r="E2850"/>
      <c r="F2850"/>
    </row>
    <row r="2851" spans="4:6" outlineLevel="1">
      <c r="D2851"/>
      <c r="E2851"/>
      <c r="F2851"/>
    </row>
    <row r="2852" spans="4:6" outlineLevel="1">
      <c r="D2852"/>
      <c r="E2852"/>
      <c r="F2852"/>
    </row>
    <row r="2853" spans="4:6" outlineLevel="1">
      <c r="D2853"/>
      <c r="E2853"/>
      <c r="F2853"/>
    </row>
    <row r="2854" spans="4:6" outlineLevel="1">
      <c r="D2854"/>
      <c r="E2854"/>
      <c r="F2854"/>
    </row>
    <row r="2855" spans="4:6" outlineLevel="1">
      <c r="D2855"/>
      <c r="E2855"/>
      <c r="F2855"/>
    </row>
    <row r="2856" spans="4:6" outlineLevel="1">
      <c r="D2856"/>
      <c r="E2856"/>
      <c r="F2856"/>
    </row>
    <row r="2857" spans="4:6" outlineLevel="1">
      <c r="D2857"/>
      <c r="E2857"/>
      <c r="F2857"/>
    </row>
    <row r="2858" spans="4:6" outlineLevel="1">
      <c r="D2858"/>
      <c r="E2858"/>
      <c r="F2858"/>
    </row>
    <row r="2859" spans="4:6" outlineLevel="1">
      <c r="D2859"/>
      <c r="E2859"/>
      <c r="F2859"/>
    </row>
    <row r="2860" spans="4:6" outlineLevel="1">
      <c r="D2860"/>
      <c r="E2860"/>
      <c r="F2860"/>
    </row>
    <row r="2861" spans="4:6" outlineLevel="1">
      <c r="D2861"/>
      <c r="E2861"/>
      <c r="F2861"/>
    </row>
    <row r="2862" spans="4:6" outlineLevel="1">
      <c r="D2862"/>
      <c r="E2862"/>
      <c r="F2862"/>
    </row>
    <row r="2863" spans="4:6" outlineLevel="1">
      <c r="D2863"/>
      <c r="E2863"/>
      <c r="F2863"/>
    </row>
    <row r="2864" spans="4:6" outlineLevel="1">
      <c r="D2864"/>
      <c r="E2864"/>
      <c r="F2864"/>
    </row>
    <row r="2865" spans="4:6" outlineLevel="1">
      <c r="D2865"/>
      <c r="E2865"/>
      <c r="F2865"/>
    </row>
    <row r="2866" spans="4:6" outlineLevel="1">
      <c r="D2866"/>
      <c r="E2866"/>
      <c r="F2866"/>
    </row>
    <row r="2867" spans="4:6" outlineLevel="1">
      <c r="D2867"/>
      <c r="E2867"/>
      <c r="F2867"/>
    </row>
    <row r="2868" spans="4:6" outlineLevel="1">
      <c r="D2868"/>
      <c r="E2868"/>
      <c r="F2868"/>
    </row>
    <row r="2869" spans="4:6" outlineLevel="1">
      <c r="D2869"/>
      <c r="E2869"/>
      <c r="F2869"/>
    </row>
    <row r="2870" spans="4:6" outlineLevel="1">
      <c r="D2870"/>
      <c r="E2870"/>
      <c r="F2870"/>
    </row>
    <row r="2871" spans="4:6" outlineLevel="1">
      <c r="D2871"/>
      <c r="E2871"/>
      <c r="F2871"/>
    </row>
    <row r="2872" spans="4:6" outlineLevel="1">
      <c r="D2872"/>
      <c r="E2872"/>
      <c r="F2872"/>
    </row>
    <row r="2873" spans="4:6" outlineLevel="1">
      <c r="D2873"/>
      <c r="E2873"/>
      <c r="F2873"/>
    </row>
    <row r="2874" spans="4:6" outlineLevel="1">
      <c r="D2874"/>
      <c r="E2874"/>
      <c r="F2874"/>
    </row>
    <row r="2875" spans="4:6" outlineLevel="1">
      <c r="D2875"/>
      <c r="E2875"/>
      <c r="F2875"/>
    </row>
    <row r="2876" spans="4:6" outlineLevel="1">
      <c r="D2876"/>
      <c r="E2876"/>
      <c r="F2876"/>
    </row>
    <row r="2877" spans="4:6" outlineLevel="1">
      <c r="D2877"/>
      <c r="E2877"/>
      <c r="F2877"/>
    </row>
    <row r="2878" spans="4:6" outlineLevel="1">
      <c r="D2878"/>
      <c r="E2878"/>
      <c r="F2878"/>
    </row>
    <row r="2879" spans="4:6" outlineLevel="1">
      <c r="D2879"/>
      <c r="E2879"/>
      <c r="F2879"/>
    </row>
    <row r="2880" spans="4:6" outlineLevel="1">
      <c r="D2880"/>
      <c r="E2880"/>
      <c r="F2880"/>
    </row>
    <row r="2881" spans="4:6" outlineLevel="1">
      <c r="D2881"/>
      <c r="E2881"/>
      <c r="F2881"/>
    </row>
    <row r="2882" spans="4:6" outlineLevel="1">
      <c r="D2882"/>
      <c r="E2882"/>
      <c r="F2882"/>
    </row>
    <row r="2883" spans="4:6" outlineLevel="1">
      <c r="D2883"/>
      <c r="E2883"/>
      <c r="F2883"/>
    </row>
    <row r="2884" spans="4:6" outlineLevel="1">
      <c r="D2884"/>
      <c r="E2884"/>
      <c r="F2884"/>
    </row>
    <row r="2885" spans="4:6" outlineLevel="1">
      <c r="D2885"/>
      <c r="E2885"/>
      <c r="F2885"/>
    </row>
    <row r="2886" spans="4:6" outlineLevel="1">
      <c r="D2886"/>
      <c r="E2886"/>
      <c r="F2886"/>
    </row>
    <row r="2887" spans="4:6" outlineLevel="1">
      <c r="D2887"/>
      <c r="E2887"/>
      <c r="F2887"/>
    </row>
    <row r="2888" spans="4:6" outlineLevel="1">
      <c r="D2888"/>
      <c r="E2888"/>
      <c r="F2888"/>
    </row>
    <row r="2889" spans="4:6" outlineLevel="1">
      <c r="D2889"/>
      <c r="E2889"/>
      <c r="F2889"/>
    </row>
    <row r="2890" spans="4:6" outlineLevel="1">
      <c r="D2890"/>
      <c r="E2890"/>
      <c r="F2890"/>
    </row>
    <row r="2891" spans="4:6" outlineLevel="1">
      <c r="D2891"/>
      <c r="E2891"/>
      <c r="F2891"/>
    </row>
    <row r="2892" spans="4:6" outlineLevel="1">
      <c r="D2892"/>
      <c r="E2892"/>
      <c r="F2892"/>
    </row>
    <row r="2893" spans="4:6" outlineLevel="1">
      <c r="D2893"/>
      <c r="E2893"/>
      <c r="F2893"/>
    </row>
    <row r="2894" spans="4:6" outlineLevel="1">
      <c r="D2894"/>
      <c r="E2894"/>
      <c r="F2894"/>
    </row>
    <row r="2895" spans="4:6" outlineLevel="1">
      <c r="D2895"/>
      <c r="E2895"/>
      <c r="F2895"/>
    </row>
    <row r="2896" spans="4:6" outlineLevel="1">
      <c r="D2896"/>
      <c r="E2896"/>
      <c r="F2896"/>
    </row>
    <row r="2897" spans="4:6" outlineLevel="1">
      <c r="D2897"/>
      <c r="E2897"/>
      <c r="F2897"/>
    </row>
    <row r="2898" spans="4:6" outlineLevel="1">
      <c r="D2898"/>
      <c r="E2898"/>
      <c r="F2898"/>
    </row>
    <row r="2899" spans="4:6" outlineLevel="1">
      <c r="D2899"/>
      <c r="E2899"/>
      <c r="F2899"/>
    </row>
    <row r="2900" spans="4:6" outlineLevel="1">
      <c r="D2900"/>
      <c r="E2900"/>
      <c r="F2900"/>
    </row>
    <row r="2901" spans="4:6" outlineLevel="1">
      <c r="D2901"/>
      <c r="E2901"/>
      <c r="F2901"/>
    </row>
    <row r="2902" spans="4:6" outlineLevel="1">
      <c r="D2902"/>
      <c r="E2902"/>
      <c r="F2902"/>
    </row>
    <row r="2903" spans="4:6" outlineLevel="1">
      <c r="D2903"/>
      <c r="E2903"/>
      <c r="F2903"/>
    </row>
    <row r="2904" spans="4:6" outlineLevel="1">
      <c r="D2904"/>
      <c r="E2904"/>
      <c r="F2904"/>
    </row>
    <row r="2905" spans="4:6" outlineLevel="1">
      <c r="D2905"/>
      <c r="E2905"/>
      <c r="F2905"/>
    </row>
    <row r="2906" spans="4:6" outlineLevel="1">
      <c r="D2906"/>
      <c r="E2906"/>
      <c r="F2906"/>
    </row>
    <row r="2907" spans="4:6" outlineLevel="1">
      <c r="D2907"/>
      <c r="E2907"/>
      <c r="F2907"/>
    </row>
    <row r="2908" spans="4:6" outlineLevel="1">
      <c r="D2908"/>
      <c r="E2908"/>
      <c r="F2908"/>
    </row>
    <row r="2909" spans="4:6" outlineLevel="1">
      <c r="D2909"/>
      <c r="E2909"/>
      <c r="F2909"/>
    </row>
    <row r="2910" spans="4:6" outlineLevel="1">
      <c r="D2910"/>
      <c r="E2910"/>
      <c r="F2910"/>
    </row>
    <row r="2911" spans="4:6" outlineLevel="1">
      <c r="D2911"/>
      <c r="E2911"/>
      <c r="F2911"/>
    </row>
    <row r="2912" spans="4:6" outlineLevel="1">
      <c r="D2912"/>
      <c r="E2912"/>
      <c r="F2912"/>
    </row>
    <row r="2913" spans="4:6" outlineLevel="1">
      <c r="D2913"/>
      <c r="E2913"/>
      <c r="F2913"/>
    </row>
    <row r="2914" spans="4:6" outlineLevel="1">
      <c r="D2914"/>
      <c r="E2914"/>
      <c r="F2914"/>
    </row>
    <row r="2915" spans="4:6" outlineLevel="1">
      <c r="D2915"/>
      <c r="E2915"/>
      <c r="F2915"/>
    </row>
    <row r="2916" spans="4:6" outlineLevel="1">
      <c r="D2916"/>
      <c r="E2916"/>
      <c r="F2916"/>
    </row>
    <row r="2917" spans="4:6" outlineLevel="1">
      <c r="D2917"/>
      <c r="E2917"/>
      <c r="F2917"/>
    </row>
    <row r="2918" spans="4:6" outlineLevel="1">
      <c r="D2918"/>
      <c r="E2918"/>
      <c r="F2918"/>
    </row>
    <row r="2919" spans="4:6" outlineLevel="1">
      <c r="D2919"/>
      <c r="E2919"/>
      <c r="F2919"/>
    </row>
    <row r="2920" spans="4:6" outlineLevel="1">
      <c r="D2920"/>
      <c r="E2920"/>
      <c r="F2920"/>
    </row>
    <row r="2921" spans="4:6" outlineLevel="1">
      <c r="D2921"/>
      <c r="E2921"/>
      <c r="F2921"/>
    </row>
    <row r="2922" spans="4:6" outlineLevel="1">
      <c r="D2922"/>
      <c r="E2922"/>
      <c r="F2922"/>
    </row>
    <row r="2923" spans="4:6" outlineLevel="1">
      <c r="D2923"/>
      <c r="E2923"/>
      <c r="F2923"/>
    </row>
    <row r="2924" spans="4:6" outlineLevel="1">
      <c r="D2924"/>
      <c r="E2924"/>
      <c r="F2924"/>
    </row>
    <row r="2925" spans="4:6" outlineLevel="1">
      <c r="D2925"/>
      <c r="E2925"/>
      <c r="F2925"/>
    </row>
    <row r="2926" spans="4:6" outlineLevel="1">
      <c r="D2926"/>
      <c r="E2926"/>
      <c r="F2926"/>
    </row>
    <row r="2927" spans="4:6" outlineLevel="1">
      <c r="D2927"/>
      <c r="E2927"/>
      <c r="F2927"/>
    </row>
    <row r="2928" spans="4:6" outlineLevel="1">
      <c r="D2928"/>
      <c r="E2928"/>
      <c r="F2928"/>
    </row>
    <row r="2929" spans="4:6" outlineLevel="1">
      <c r="D2929"/>
      <c r="E2929"/>
      <c r="F2929"/>
    </row>
    <row r="2930" spans="4:6" outlineLevel="1">
      <c r="D2930"/>
      <c r="E2930"/>
      <c r="F2930"/>
    </row>
    <row r="2931" spans="4:6" outlineLevel="1">
      <c r="D2931"/>
      <c r="E2931"/>
      <c r="F2931"/>
    </row>
    <row r="2932" spans="4:6" outlineLevel="1">
      <c r="D2932"/>
      <c r="E2932"/>
      <c r="F2932"/>
    </row>
    <row r="2933" spans="4:6" outlineLevel="1">
      <c r="D2933"/>
      <c r="E2933"/>
      <c r="F2933"/>
    </row>
    <row r="2934" spans="4:6" outlineLevel="1">
      <c r="D2934"/>
      <c r="E2934"/>
      <c r="F2934"/>
    </row>
    <row r="2935" spans="4:6" outlineLevel="1">
      <c r="D2935"/>
      <c r="E2935"/>
      <c r="F2935"/>
    </row>
    <row r="2936" spans="4:6" outlineLevel="1">
      <c r="D2936"/>
      <c r="E2936"/>
      <c r="F2936"/>
    </row>
    <row r="2937" spans="4:6" outlineLevel="1">
      <c r="D2937"/>
      <c r="E2937"/>
      <c r="F2937"/>
    </row>
    <row r="2938" spans="4:6" outlineLevel="1">
      <c r="D2938"/>
      <c r="E2938"/>
      <c r="F2938"/>
    </row>
    <row r="2939" spans="4:6" outlineLevel="1">
      <c r="D2939"/>
      <c r="E2939"/>
      <c r="F2939"/>
    </row>
    <row r="2940" spans="4:6" outlineLevel="1">
      <c r="D2940"/>
      <c r="E2940"/>
      <c r="F2940"/>
    </row>
    <row r="2941" spans="4:6" outlineLevel="1">
      <c r="D2941"/>
      <c r="E2941"/>
      <c r="F2941"/>
    </row>
    <row r="2942" spans="4:6" outlineLevel="1">
      <c r="D2942"/>
      <c r="E2942"/>
      <c r="F2942"/>
    </row>
    <row r="2943" spans="4:6" outlineLevel="1">
      <c r="D2943"/>
      <c r="E2943"/>
      <c r="F2943"/>
    </row>
    <row r="2944" spans="4:6" outlineLevel="1">
      <c r="D2944"/>
      <c r="E2944"/>
      <c r="F2944"/>
    </row>
    <row r="2945" spans="4:6" outlineLevel="1">
      <c r="D2945"/>
      <c r="E2945"/>
      <c r="F2945"/>
    </row>
    <row r="2946" spans="4:6" outlineLevel="1">
      <c r="D2946"/>
      <c r="E2946"/>
      <c r="F2946"/>
    </row>
    <row r="2947" spans="4:6" outlineLevel="1">
      <c r="D2947"/>
      <c r="E2947"/>
      <c r="F2947"/>
    </row>
    <row r="2948" spans="4:6" outlineLevel="1">
      <c r="D2948"/>
      <c r="E2948"/>
      <c r="F2948"/>
    </row>
    <row r="2949" spans="4:6" outlineLevel="1">
      <c r="D2949"/>
      <c r="E2949"/>
      <c r="F2949"/>
    </row>
    <row r="2950" spans="4:6" outlineLevel="1">
      <c r="D2950"/>
      <c r="E2950"/>
      <c r="F2950"/>
    </row>
    <row r="2951" spans="4:6" outlineLevel="1">
      <c r="D2951"/>
      <c r="E2951"/>
      <c r="F2951"/>
    </row>
    <row r="2952" spans="4:6" outlineLevel="1">
      <c r="D2952"/>
      <c r="E2952"/>
      <c r="F2952"/>
    </row>
    <row r="2953" spans="4:6" outlineLevel="1">
      <c r="D2953"/>
      <c r="E2953"/>
      <c r="F2953"/>
    </row>
    <row r="2954" spans="4:6" outlineLevel="1">
      <c r="D2954"/>
      <c r="E2954"/>
      <c r="F2954"/>
    </row>
    <row r="2955" spans="4:6" outlineLevel="1">
      <c r="D2955"/>
      <c r="E2955"/>
      <c r="F2955"/>
    </row>
    <row r="2956" spans="4:6" outlineLevel="1">
      <c r="D2956"/>
      <c r="E2956"/>
      <c r="F2956"/>
    </row>
    <row r="2957" spans="4:6" outlineLevel="1">
      <c r="D2957"/>
      <c r="E2957"/>
      <c r="F2957"/>
    </row>
    <row r="2958" spans="4:6" outlineLevel="1">
      <c r="D2958"/>
      <c r="E2958"/>
      <c r="F2958"/>
    </row>
    <row r="2959" spans="4:6" outlineLevel="1">
      <c r="D2959"/>
      <c r="E2959"/>
      <c r="F2959"/>
    </row>
    <row r="2960" spans="4:6" outlineLevel="1">
      <c r="D2960"/>
      <c r="E2960"/>
      <c r="F2960"/>
    </row>
    <row r="2961" spans="4:6" outlineLevel="1">
      <c r="D2961"/>
      <c r="E2961"/>
      <c r="F2961"/>
    </row>
    <row r="2962" spans="4:6" outlineLevel="1">
      <c r="D2962"/>
      <c r="E2962"/>
      <c r="F2962"/>
    </row>
    <row r="2963" spans="4:6" outlineLevel="1">
      <c r="D2963"/>
      <c r="E2963"/>
      <c r="F2963"/>
    </row>
    <row r="2964" spans="4:6" outlineLevel="1">
      <c r="D2964"/>
      <c r="E2964"/>
      <c r="F2964"/>
    </row>
    <row r="2965" spans="4:6" outlineLevel="1">
      <c r="D2965"/>
      <c r="E2965"/>
      <c r="F2965"/>
    </row>
    <row r="2966" spans="4:6" outlineLevel="1">
      <c r="D2966"/>
      <c r="E2966"/>
      <c r="F2966"/>
    </row>
    <row r="2967" spans="4:6" outlineLevel="1">
      <c r="D2967"/>
      <c r="E2967"/>
      <c r="F2967"/>
    </row>
    <row r="2968" spans="4:6" outlineLevel="1">
      <c r="D2968"/>
      <c r="E2968"/>
      <c r="F2968"/>
    </row>
    <row r="2969" spans="4:6" outlineLevel="1">
      <c r="D2969"/>
      <c r="E2969"/>
      <c r="F2969"/>
    </row>
    <row r="2970" spans="4:6" outlineLevel="1">
      <c r="D2970"/>
      <c r="E2970"/>
      <c r="F2970"/>
    </row>
    <row r="2971" spans="4:6" outlineLevel="1">
      <c r="D2971"/>
      <c r="E2971"/>
      <c r="F2971"/>
    </row>
    <row r="2972" spans="4:6" outlineLevel="1">
      <c r="D2972"/>
      <c r="E2972"/>
      <c r="F2972"/>
    </row>
    <row r="2973" spans="4:6" outlineLevel="1">
      <c r="D2973"/>
      <c r="E2973"/>
      <c r="F2973"/>
    </row>
    <row r="2974" spans="4:6" outlineLevel="1">
      <c r="D2974"/>
      <c r="E2974"/>
      <c r="F2974"/>
    </row>
    <row r="2975" spans="4:6" outlineLevel="1">
      <c r="D2975"/>
      <c r="E2975"/>
      <c r="F2975"/>
    </row>
    <row r="2976" spans="4:6" outlineLevel="1">
      <c r="D2976"/>
      <c r="E2976"/>
      <c r="F2976"/>
    </row>
    <row r="2977" spans="4:6" outlineLevel="1">
      <c r="D2977"/>
      <c r="E2977"/>
      <c r="F2977"/>
    </row>
    <row r="2978" spans="4:6" outlineLevel="1">
      <c r="D2978"/>
      <c r="E2978"/>
      <c r="F2978"/>
    </row>
    <row r="2979" spans="4:6" outlineLevel="1">
      <c r="D2979"/>
      <c r="E2979"/>
      <c r="F2979"/>
    </row>
    <row r="2980" spans="4:6" outlineLevel="1">
      <c r="D2980"/>
      <c r="E2980"/>
      <c r="F2980"/>
    </row>
    <row r="2981" spans="4:6" outlineLevel="1">
      <c r="D2981"/>
      <c r="E2981"/>
      <c r="F2981"/>
    </row>
    <row r="2982" spans="4:6" outlineLevel="1">
      <c r="D2982"/>
      <c r="E2982"/>
      <c r="F2982"/>
    </row>
    <row r="2983" spans="4:6" outlineLevel="1">
      <c r="D2983"/>
      <c r="E2983"/>
      <c r="F2983"/>
    </row>
    <row r="2984" spans="4:6" outlineLevel="1">
      <c r="D2984"/>
      <c r="E2984"/>
      <c r="F2984"/>
    </row>
    <row r="2985" spans="4:6" outlineLevel="1">
      <c r="D2985"/>
      <c r="E2985"/>
      <c r="F2985"/>
    </row>
    <row r="2986" spans="4:6" outlineLevel="1">
      <c r="D2986"/>
      <c r="E2986"/>
      <c r="F2986"/>
    </row>
    <row r="2987" spans="4:6" outlineLevel="1">
      <c r="D2987"/>
      <c r="E2987"/>
      <c r="F2987"/>
    </row>
    <row r="2988" spans="4:6" outlineLevel="1">
      <c r="D2988"/>
      <c r="E2988"/>
      <c r="F2988"/>
    </row>
    <row r="2989" spans="4:6" outlineLevel="1">
      <c r="D2989"/>
      <c r="E2989"/>
      <c r="F2989"/>
    </row>
    <row r="2990" spans="4:6" outlineLevel="1">
      <c r="D2990"/>
      <c r="E2990"/>
      <c r="F2990"/>
    </row>
    <row r="2991" spans="4:6" outlineLevel="1">
      <c r="D2991"/>
      <c r="E2991"/>
      <c r="F2991"/>
    </row>
    <row r="2992" spans="4:6" outlineLevel="1">
      <c r="D2992"/>
      <c r="E2992"/>
      <c r="F2992"/>
    </row>
    <row r="2993" spans="4:6" outlineLevel="1">
      <c r="D2993"/>
      <c r="E2993"/>
      <c r="F2993"/>
    </row>
    <row r="2994" spans="4:6" outlineLevel="1">
      <c r="D2994"/>
      <c r="E2994"/>
      <c r="F2994"/>
    </row>
    <row r="2995" spans="4:6" outlineLevel="1">
      <c r="D2995"/>
      <c r="E2995"/>
      <c r="F2995"/>
    </row>
    <row r="2996" spans="4:6" outlineLevel="1">
      <c r="D2996"/>
      <c r="E2996"/>
      <c r="F2996"/>
    </row>
    <row r="2997" spans="4:6" outlineLevel="1">
      <c r="D2997"/>
      <c r="E2997"/>
      <c r="F2997"/>
    </row>
    <row r="2998" spans="4:6" outlineLevel="1">
      <c r="D2998"/>
      <c r="E2998"/>
      <c r="F2998"/>
    </row>
    <row r="2999" spans="4:6" outlineLevel="1">
      <c r="D2999"/>
      <c r="E2999"/>
      <c r="F2999"/>
    </row>
    <row r="3000" spans="4:6" outlineLevel="1">
      <c r="D3000"/>
      <c r="E3000"/>
      <c r="F3000"/>
    </row>
    <row r="3001" spans="4:6" outlineLevel="1">
      <c r="D3001"/>
      <c r="E3001"/>
      <c r="F3001"/>
    </row>
    <row r="3002" spans="4:6" outlineLevel="1">
      <c r="D3002"/>
      <c r="E3002"/>
      <c r="F3002"/>
    </row>
    <row r="3003" spans="4:6" outlineLevel="1">
      <c r="D3003"/>
      <c r="E3003"/>
      <c r="F3003"/>
    </row>
    <row r="3004" spans="4:6" outlineLevel="1">
      <c r="D3004"/>
      <c r="E3004"/>
      <c r="F3004"/>
    </row>
    <row r="3005" spans="4:6" outlineLevel="1">
      <c r="D3005"/>
      <c r="E3005"/>
      <c r="F3005"/>
    </row>
    <row r="3006" spans="4:6" outlineLevel="1">
      <c r="D3006"/>
      <c r="E3006"/>
      <c r="F3006"/>
    </row>
    <row r="3007" spans="4:6" outlineLevel="1">
      <c r="D3007"/>
      <c r="E3007"/>
      <c r="F3007"/>
    </row>
    <row r="3008" spans="4:6" outlineLevel="1">
      <c r="D3008"/>
      <c r="E3008"/>
      <c r="F3008"/>
    </row>
    <row r="3009" spans="4:6" outlineLevel="1">
      <c r="D3009"/>
      <c r="E3009"/>
      <c r="F3009"/>
    </row>
    <row r="3010" spans="4:6" outlineLevel="1">
      <c r="D3010"/>
      <c r="E3010"/>
      <c r="F3010"/>
    </row>
    <row r="3011" spans="4:6" outlineLevel="1">
      <c r="D3011"/>
      <c r="E3011"/>
      <c r="F3011"/>
    </row>
    <row r="3012" spans="4:6" outlineLevel="1">
      <c r="D3012"/>
      <c r="E3012"/>
      <c r="F3012"/>
    </row>
    <row r="3013" spans="4:6" outlineLevel="1">
      <c r="D3013"/>
      <c r="E3013"/>
      <c r="F3013"/>
    </row>
    <row r="3014" spans="4:6" outlineLevel="1">
      <c r="D3014"/>
      <c r="E3014"/>
      <c r="F3014"/>
    </row>
    <row r="3015" spans="4:6" outlineLevel="1">
      <c r="D3015"/>
      <c r="E3015"/>
      <c r="F3015"/>
    </row>
    <row r="3016" spans="4:6" outlineLevel="1">
      <c r="D3016"/>
      <c r="E3016"/>
      <c r="F3016"/>
    </row>
    <row r="3017" spans="4:6" outlineLevel="1">
      <c r="D3017"/>
      <c r="E3017"/>
      <c r="F3017"/>
    </row>
    <row r="3018" spans="4:6" outlineLevel="1">
      <c r="D3018"/>
      <c r="E3018"/>
      <c r="F3018"/>
    </row>
    <row r="3019" spans="4:6" outlineLevel="1">
      <c r="D3019"/>
      <c r="E3019"/>
      <c r="F3019"/>
    </row>
    <row r="3020" spans="4:6" outlineLevel="1">
      <c r="D3020"/>
      <c r="E3020"/>
      <c r="F3020"/>
    </row>
    <row r="3021" spans="4:6" outlineLevel="1">
      <c r="D3021"/>
      <c r="E3021"/>
      <c r="F3021"/>
    </row>
    <row r="3022" spans="4:6" outlineLevel="1">
      <c r="D3022"/>
      <c r="E3022"/>
      <c r="F3022"/>
    </row>
    <row r="3023" spans="4:6" outlineLevel="1">
      <c r="D3023"/>
      <c r="E3023"/>
      <c r="F3023"/>
    </row>
    <row r="3024" spans="4:6" outlineLevel="1">
      <c r="D3024"/>
      <c r="E3024"/>
      <c r="F3024"/>
    </row>
    <row r="3025" spans="4:6" outlineLevel="1">
      <c r="D3025"/>
      <c r="E3025"/>
      <c r="F3025"/>
    </row>
    <row r="3026" spans="4:6" outlineLevel="1">
      <c r="D3026"/>
      <c r="E3026"/>
      <c r="F3026"/>
    </row>
    <row r="3027" spans="4:6" outlineLevel="1">
      <c r="D3027"/>
      <c r="E3027"/>
      <c r="F3027"/>
    </row>
    <row r="3028" spans="4:6" outlineLevel="1">
      <c r="D3028"/>
      <c r="E3028"/>
      <c r="F3028"/>
    </row>
    <row r="3029" spans="4:6" outlineLevel="1">
      <c r="D3029"/>
      <c r="E3029"/>
      <c r="F3029"/>
    </row>
    <row r="3030" spans="4:6" outlineLevel="1">
      <c r="D3030"/>
      <c r="E3030"/>
      <c r="F3030"/>
    </row>
    <row r="3031" spans="4:6" outlineLevel="1">
      <c r="D3031"/>
      <c r="E3031"/>
      <c r="F3031"/>
    </row>
    <row r="3032" spans="4:6" outlineLevel="1">
      <c r="D3032"/>
      <c r="E3032"/>
      <c r="F3032"/>
    </row>
    <row r="3033" spans="4:6" outlineLevel="1">
      <c r="D3033"/>
      <c r="E3033"/>
      <c r="F3033"/>
    </row>
    <row r="3034" spans="4:6" outlineLevel="1">
      <c r="D3034"/>
      <c r="E3034"/>
      <c r="F3034"/>
    </row>
    <row r="3035" spans="4:6" outlineLevel="1">
      <c r="D3035"/>
      <c r="E3035"/>
      <c r="F3035"/>
    </row>
    <row r="3036" spans="4:6" outlineLevel="1">
      <c r="D3036"/>
      <c r="E3036"/>
      <c r="F3036"/>
    </row>
    <row r="3037" spans="4:6" outlineLevel="1">
      <c r="D3037"/>
      <c r="E3037"/>
      <c r="F3037"/>
    </row>
    <row r="3038" spans="4:6" outlineLevel="1">
      <c r="D3038"/>
      <c r="E3038"/>
      <c r="F3038"/>
    </row>
    <row r="3039" spans="4:6" outlineLevel="1">
      <c r="D3039"/>
      <c r="E3039"/>
      <c r="F3039"/>
    </row>
    <row r="3040" spans="4:6" outlineLevel="1">
      <c r="D3040"/>
      <c r="E3040"/>
      <c r="F3040"/>
    </row>
    <row r="3041" spans="4:6" outlineLevel="1">
      <c r="D3041"/>
      <c r="E3041"/>
      <c r="F3041"/>
    </row>
    <row r="3042" spans="4:6" outlineLevel="1">
      <c r="D3042"/>
      <c r="E3042"/>
      <c r="F3042"/>
    </row>
    <row r="3043" spans="4:6" outlineLevel="1">
      <c r="D3043"/>
      <c r="E3043"/>
      <c r="F3043"/>
    </row>
    <row r="3044" spans="4:6" outlineLevel="1">
      <c r="D3044"/>
      <c r="E3044"/>
      <c r="F3044"/>
    </row>
    <row r="3045" spans="4:6" outlineLevel="1">
      <c r="D3045"/>
      <c r="E3045"/>
      <c r="F3045"/>
    </row>
    <row r="3046" spans="4:6" outlineLevel="1">
      <c r="D3046"/>
      <c r="E3046"/>
      <c r="F3046"/>
    </row>
    <row r="3047" spans="4:6" outlineLevel="1">
      <c r="D3047"/>
      <c r="E3047"/>
      <c r="F3047"/>
    </row>
    <row r="3048" spans="4:6" outlineLevel="1">
      <c r="D3048"/>
      <c r="E3048"/>
      <c r="F3048"/>
    </row>
    <row r="3049" spans="4:6" outlineLevel="1">
      <c r="D3049"/>
      <c r="E3049"/>
      <c r="F3049"/>
    </row>
    <row r="3050" spans="4:6" outlineLevel="1">
      <c r="D3050"/>
      <c r="E3050"/>
      <c r="F3050"/>
    </row>
    <row r="3051" spans="4:6" outlineLevel="1">
      <c r="D3051"/>
      <c r="E3051"/>
      <c r="F3051"/>
    </row>
    <row r="3052" spans="4:6" outlineLevel="1">
      <c r="D3052"/>
      <c r="E3052"/>
      <c r="F3052"/>
    </row>
    <row r="3053" spans="4:6" outlineLevel="1">
      <c r="D3053"/>
      <c r="E3053"/>
      <c r="F3053"/>
    </row>
    <row r="3054" spans="4:6" outlineLevel="1">
      <c r="D3054"/>
      <c r="E3054"/>
      <c r="F3054"/>
    </row>
    <row r="3055" spans="4:6" outlineLevel="1">
      <c r="D3055"/>
      <c r="E3055"/>
      <c r="F3055"/>
    </row>
    <row r="3056" spans="4:6" outlineLevel="1">
      <c r="D3056"/>
      <c r="E3056"/>
      <c r="F3056"/>
    </row>
    <row r="3057" spans="4:6" outlineLevel="1">
      <c r="D3057"/>
      <c r="E3057"/>
      <c r="F3057"/>
    </row>
    <row r="3058" spans="4:6" outlineLevel="1">
      <c r="D3058"/>
      <c r="E3058"/>
      <c r="F3058"/>
    </row>
    <row r="3059" spans="4:6" outlineLevel="1">
      <c r="D3059"/>
      <c r="E3059"/>
      <c r="F3059"/>
    </row>
    <row r="3060" spans="4:6" outlineLevel="1">
      <c r="D3060"/>
      <c r="E3060"/>
      <c r="F3060"/>
    </row>
    <row r="3061" spans="4:6" outlineLevel="1">
      <c r="D3061"/>
      <c r="E3061"/>
      <c r="F3061"/>
    </row>
    <row r="3062" spans="4:6" outlineLevel="1">
      <c r="D3062"/>
      <c r="E3062"/>
      <c r="F3062"/>
    </row>
    <row r="3063" spans="4:6" outlineLevel="1">
      <c r="D3063"/>
      <c r="E3063"/>
      <c r="F3063"/>
    </row>
    <row r="3064" spans="4:6" outlineLevel="1">
      <c r="D3064"/>
      <c r="E3064"/>
      <c r="F3064"/>
    </row>
    <row r="3065" spans="4:6" outlineLevel="1">
      <c r="D3065"/>
      <c r="E3065"/>
      <c r="F3065"/>
    </row>
    <row r="3066" spans="4:6" outlineLevel="1">
      <c r="D3066"/>
      <c r="E3066"/>
      <c r="F3066"/>
    </row>
    <row r="3067" spans="4:6" outlineLevel="1">
      <c r="D3067"/>
      <c r="E3067"/>
      <c r="F3067"/>
    </row>
    <row r="3068" spans="4:6" outlineLevel="1">
      <c r="D3068"/>
      <c r="E3068"/>
      <c r="F3068"/>
    </row>
    <row r="3069" spans="4:6" outlineLevel="1">
      <c r="D3069"/>
      <c r="E3069"/>
      <c r="F3069"/>
    </row>
    <row r="3070" spans="4:6" outlineLevel="1">
      <c r="D3070"/>
      <c r="E3070"/>
      <c r="F3070"/>
    </row>
    <row r="3071" spans="4:6" outlineLevel="1">
      <c r="D3071"/>
      <c r="E3071"/>
      <c r="F3071"/>
    </row>
    <row r="3072" spans="4:6" outlineLevel="1">
      <c r="D3072"/>
      <c r="E3072"/>
      <c r="F3072"/>
    </row>
    <row r="3073" spans="4:6" outlineLevel="1">
      <c r="D3073"/>
      <c r="E3073"/>
      <c r="F3073"/>
    </row>
    <row r="3074" spans="4:6" outlineLevel="1">
      <c r="D3074"/>
      <c r="E3074"/>
      <c r="F3074"/>
    </row>
    <row r="3075" spans="4:6" outlineLevel="1">
      <c r="D3075"/>
      <c r="E3075"/>
      <c r="F3075"/>
    </row>
    <row r="3076" spans="4:6" outlineLevel="1">
      <c r="D3076"/>
      <c r="E3076"/>
      <c r="F3076"/>
    </row>
    <row r="3077" spans="4:6" outlineLevel="1">
      <c r="D3077"/>
      <c r="E3077"/>
      <c r="F3077"/>
    </row>
    <row r="3078" spans="4:6" outlineLevel="1">
      <c r="D3078"/>
      <c r="E3078"/>
      <c r="F3078"/>
    </row>
    <row r="3079" spans="4:6" outlineLevel="1">
      <c r="D3079"/>
      <c r="E3079"/>
      <c r="F3079"/>
    </row>
    <row r="3080" spans="4:6">
      <c r="D3080"/>
      <c r="E3080"/>
      <c r="F3080"/>
    </row>
    <row r="3081" spans="4:6" outlineLevel="1">
      <c r="D3081"/>
      <c r="E3081"/>
      <c r="F3081"/>
    </row>
    <row r="3082" spans="4:6" outlineLevel="1">
      <c r="D3082"/>
      <c r="E3082"/>
      <c r="F3082"/>
    </row>
    <row r="3083" spans="4:6" outlineLevel="1">
      <c r="D3083"/>
      <c r="E3083"/>
      <c r="F3083"/>
    </row>
    <row r="3084" spans="4:6" outlineLevel="1">
      <c r="D3084"/>
      <c r="E3084"/>
      <c r="F3084"/>
    </row>
    <row r="3085" spans="4:6" outlineLevel="1">
      <c r="D3085"/>
      <c r="E3085"/>
      <c r="F3085"/>
    </row>
    <row r="3086" spans="4:6" outlineLevel="1">
      <c r="D3086"/>
      <c r="E3086"/>
      <c r="F3086"/>
    </row>
    <row r="3087" spans="4:6" outlineLevel="1">
      <c r="D3087"/>
      <c r="E3087"/>
      <c r="F3087"/>
    </row>
    <row r="3088" spans="4:6" outlineLevel="1">
      <c r="D3088"/>
      <c r="E3088"/>
      <c r="F3088"/>
    </row>
    <row r="3089" spans="4:6" outlineLevel="1">
      <c r="D3089"/>
      <c r="E3089"/>
      <c r="F3089"/>
    </row>
    <row r="3090" spans="4:6" outlineLevel="1">
      <c r="D3090"/>
      <c r="E3090"/>
      <c r="F3090"/>
    </row>
    <row r="3091" spans="4:6" outlineLevel="1">
      <c r="D3091"/>
      <c r="E3091"/>
      <c r="F3091"/>
    </row>
    <row r="3092" spans="4:6" outlineLevel="1">
      <c r="D3092"/>
      <c r="E3092"/>
      <c r="F3092"/>
    </row>
    <row r="3093" spans="4:6">
      <c r="D3093"/>
      <c r="E3093"/>
      <c r="F3093"/>
    </row>
    <row r="3094" spans="4:6" outlineLevel="1">
      <c r="D3094"/>
      <c r="E3094"/>
      <c r="F3094"/>
    </row>
    <row r="3095" spans="4:6" outlineLevel="1">
      <c r="D3095"/>
      <c r="E3095"/>
      <c r="F3095"/>
    </row>
    <row r="3096" spans="4:6" outlineLevel="1">
      <c r="D3096"/>
      <c r="E3096"/>
      <c r="F3096"/>
    </row>
    <row r="3097" spans="4:6" outlineLevel="1">
      <c r="D3097"/>
      <c r="E3097"/>
      <c r="F3097"/>
    </row>
    <row r="3098" spans="4:6" outlineLevel="1">
      <c r="D3098"/>
      <c r="E3098"/>
      <c r="F3098"/>
    </row>
    <row r="3099" spans="4:6" outlineLevel="1">
      <c r="D3099"/>
      <c r="E3099"/>
      <c r="F3099"/>
    </row>
    <row r="3100" spans="4:6" outlineLevel="1">
      <c r="D3100"/>
      <c r="E3100"/>
      <c r="F3100"/>
    </row>
    <row r="3101" spans="4:6" outlineLevel="1">
      <c r="D3101"/>
      <c r="E3101"/>
      <c r="F3101"/>
    </row>
    <row r="3102" spans="4:6" outlineLevel="1">
      <c r="D3102"/>
      <c r="E3102"/>
      <c r="F3102"/>
    </row>
    <row r="3103" spans="4:6">
      <c r="D3103"/>
      <c r="E3103"/>
      <c r="F3103"/>
    </row>
    <row r="3104" spans="4:6" outlineLevel="1">
      <c r="D3104"/>
      <c r="E3104"/>
      <c r="F3104"/>
    </row>
    <row r="3105" spans="4:6" outlineLevel="1">
      <c r="D3105"/>
      <c r="E3105"/>
      <c r="F3105"/>
    </row>
    <row r="3106" spans="4:6" outlineLevel="1">
      <c r="D3106"/>
      <c r="E3106"/>
      <c r="F3106"/>
    </row>
    <row r="3107" spans="4:6" outlineLevel="1">
      <c r="D3107"/>
      <c r="E3107"/>
      <c r="F3107"/>
    </row>
    <row r="3108" spans="4:6" outlineLevel="1">
      <c r="D3108"/>
      <c r="E3108"/>
      <c r="F3108"/>
    </row>
    <row r="3109" spans="4:6" outlineLevel="1">
      <c r="D3109"/>
      <c r="E3109"/>
      <c r="F3109"/>
    </row>
    <row r="3110" spans="4:6" outlineLevel="1">
      <c r="D3110"/>
      <c r="E3110"/>
      <c r="F3110"/>
    </row>
    <row r="3111" spans="4:6" outlineLevel="1">
      <c r="D3111"/>
      <c r="E3111"/>
      <c r="F3111"/>
    </row>
    <row r="3112" spans="4:6" outlineLevel="1">
      <c r="D3112"/>
      <c r="E3112"/>
      <c r="F3112"/>
    </row>
    <row r="3113" spans="4:6" outlineLevel="1">
      <c r="D3113"/>
      <c r="E3113"/>
      <c r="F3113"/>
    </row>
    <row r="3114" spans="4:6" outlineLevel="1">
      <c r="D3114"/>
      <c r="E3114"/>
      <c r="F3114"/>
    </row>
    <row r="3115" spans="4:6" outlineLevel="1">
      <c r="D3115"/>
      <c r="E3115"/>
      <c r="F3115"/>
    </row>
    <row r="3116" spans="4:6" outlineLevel="1">
      <c r="D3116"/>
      <c r="E3116"/>
      <c r="F3116"/>
    </row>
    <row r="3117" spans="4:6">
      <c r="D3117"/>
      <c r="E3117"/>
      <c r="F3117"/>
    </row>
    <row r="3118" spans="4:6" outlineLevel="1">
      <c r="D3118"/>
      <c r="E3118"/>
      <c r="F3118"/>
    </row>
    <row r="3119" spans="4:6" outlineLevel="1">
      <c r="D3119"/>
      <c r="E3119"/>
      <c r="F3119"/>
    </row>
    <row r="3120" spans="4:6" outlineLevel="1">
      <c r="D3120"/>
      <c r="E3120"/>
      <c r="F3120"/>
    </row>
    <row r="3121" spans="4:6" outlineLevel="1">
      <c r="D3121"/>
      <c r="E3121"/>
      <c r="F3121"/>
    </row>
    <row r="3122" spans="4:6" outlineLevel="1">
      <c r="D3122"/>
      <c r="E3122"/>
      <c r="F3122"/>
    </row>
    <row r="3123" spans="4:6" outlineLevel="1">
      <c r="D3123"/>
      <c r="E3123"/>
      <c r="F3123"/>
    </row>
    <row r="3124" spans="4:6" outlineLevel="1">
      <c r="D3124"/>
      <c r="E3124"/>
      <c r="F3124"/>
    </row>
    <row r="3125" spans="4:6" outlineLevel="1">
      <c r="D3125"/>
      <c r="E3125"/>
      <c r="F3125"/>
    </row>
    <row r="3126" spans="4:6" outlineLevel="1">
      <c r="D3126"/>
      <c r="E3126"/>
      <c r="F3126"/>
    </row>
    <row r="3127" spans="4:6" outlineLevel="1">
      <c r="D3127"/>
      <c r="E3127"/>
      <c r="F3127"/>
    </row>
    <row r="3128" spans="4:6" outlineLevel="1">
      <c r="D3128"/>
      <c r="E3128"/>
      <c r="F3128"/>
    </row>
    <row r="3129" spans="4:6" outlineLevel="1">
      <c r="D3129"/>
      <c r="E3129"/>
      <c r="F3129"/>
    </row>
    <row r="3130" spans="4:6" outlineLevel="1">
      <c r="D3130"/>
      <c r="E3130"/>
      <c r="F3130"/>
    </row>
    <row r="3131" spans="4:6" outlineLevel="1">
      <c r="D3131"/>
      <c r="E3131"/>
      <c r="F3131"/>
    </row>
    <row r="3132" spans="4:6" outlineLevel="1">
      <c r="D3132"/>
      <c r="E3132"/>
      <c r="F3132"/>
    </row>
    <row r="3133" spans="4:6" outlineLevel="1">
      <c r="D3133"/>
      <c r="E3133"/>
      <c r="F3133"/>
    </row>
    <row r="3134" spans="4:6" outlineLevel="1">
      <c r="D3134"/>
      <c r="E3134"/>
      <c r="F3134"/>
    </row>
    <row r="3135" spans="4:6" outlineLevel="1">
      <c r="D3135"/>
      <c r="E3135"/>
      <c r="F3135"/>
    </row>
    <row r="3136" spans="4:6" outlineLevel="1">
      <c r="D3136"/>
      <c r="E3136"/>
      <c r="F3136"/>
    </row>
    <row r="3137" spans="4:6" outlineLevel="1">
      <c r="D3137"/>
      <c r="E3137"/>
      <c r="F3137"/>
    </row>
    <row r="3138" spans="4:6" outlineLevel="1">
      <c r="D3138"/>
      <c r="E3138"/>
      <c r="F3138"/>
    </row>
    <row r="3139" spans="4:6" outlineLevel="1">
      <c r="D3139"/>
      <c r="E3139"/>
      <c r="F3139"/>
    </row>
    <row r="3140" spans="4:6" outlineLevel="1">
      <c r="D3140"/>
      <c r="E3140"/>
      <c r="F3140"/>
    </row>
    <row r="3141" spans="4:6" outlineLevel="1">
      <c r="D3141"/>
      <c r="E3141"/>
      <c r="F3141"/>
    </row>
    <row r="3142" spans="4:6" outlineLevel="1">
      <c r="D3142"/>
      <c r="E3142"/>
      <c r="F3142"/>
    </row>
    <row r="3143" spans="4:6" outlineLevel="1">
      <c r="D3143"/>
      <c r="E3143"/>
      <c r="F3143"/>
    </row>
    <row r="3144" spans="4:6" outlineLevel="1">
      <c r="D3144"/>
      <c r="E3144"/>
      <c r="F3144"/>
    </row>
    <row r="3145" spans="4:6" outlineLevel="1">
      <c r="D3145"/>
      <c r="E3145"/>
      <c r="F3145"/>
    </row>
    <row r="3146" spans="4:6" outlineLevel="1">
      <c r="D3146"/>
      <c r="E3146"/>
      <c r="F3146"/>
    </row>
    <row r="3147" spans="4:6" outlineLevel="1">
      <c r="D3147"/>
      <c r="E3147"/>
      <c r="F3147"/>
    </row>
    <row r="3148" spans="4:6" outlineLevel="1">
      <c r="D3148"/>
      <c r="E3148"/>
      <c r="F3148"/>
    </row>
    <row r="3149" spans="4:6" outlineLevel="1">
      <c r="D3149"/>
      <c r="E3149"/>
      <c r="F3149"/>
    </row>
    <row r="3150" spans="4:6" outlineLevel="1">
      <c r="D3150"/>
      <c r="E3150"/>
      <c r="F3150"/>
    </row>
    <row r="3151" spans="4:6" outlineLevel="1">
      <c r="D3151"/>
      <c r="E3151"/>
      <c r="F3151"/>
    </row>
    <row r="3152" spans="4:6" outlineLevel="1">
      <c r="D3152"/>
      <c r="E3152"/>
      <c r="F3152"/>
    </row>
    <row r="3153" spans="4:6" outlineLevel="1">
      <c r="D3153"/>
      <c r="E3153"/>
      <c r="F3153"/>
    </row>
    <row r="3154" spans="4:6" outlineLevel="1">
      <c r="D3154"/>
      <c r="E3154"/>
      <c r="F3154"/>
    </row>
    <row r="3155" spans="4:6" outlineLevel="1">
      <c r="D3155"/>
      <c r="E3155"/>
      <c r="F3155"/>
    </row>
    <row r="3156" spans="4:6" outlineLevel="1">
      <c r="D3156"/>
      <c r="E3156"/>
      <c r="F3156"/>
    </row>
    <row r="3157" spans="4:6" outlineLevel="1">
      <c r="D3157"/>
      <c r="E3157"/>
      <c r="F3157"/>
    </row>
    <row r="3158" spans="4:6" outlineLevel="1">
      <c r="D3158"/>
      <c r="E3158"/>
      <c r="F3158"/>
    </row>
    <row r="3159" spans="4:6" outlineLevel="1">
      <c r="D3159"/>
      <c r="E3159"/>
      <c r="F3159"/>
    </row>
    <row r="3160" spans="4:6" outlineLevel="1">
      <c r="D3160"/>
      <c r="E3160"/>
      <c r="F3160"/>
    </row>
    <row r="3161" spans="4:6" outlineLevel="1">
      <c r="D3161"/>
      <c r="E3161"/>
      <c r="F3161"/>
    </row>
    <row r="3162" spans="4:6" outlineLevel="1">
      <c r="D3162"/>
      <c r="E3162"/>
      <c r="F3162"/>
    </row>
    <row r="3163" spans="4:6" outlineLevel="1">
      <c r="D3163"/>
      <c r="E3163"/>
      <c r="F3163"/>
    </row>
    <row r="3164" spans="4:6" outlineLevel="1">
      <c r="D3164"/>
      <c r="E3164"/>
      <c r="F3164"/>
    </row>
    <row r="3165" spans="4:6" outlineLevel="1">
      <c r="D3165"/>
      <c r="E3165"/>
      <c r="F3165"/>
    </row>
    <row r="3166" spans="4:6" outlineLevel="1">
      <c r="D3166"/>
      <c r="E3166"/>
      <c r="F3166"/>
    </row>
    <row r="3167" spans="4:6" outlineLevel="1">
      <c r="D3167"/>
      <c r="E3167"/>
      <c r="F3167"/>
    </row>
    <row r="3168" spans="4:6" outlineLevel="1">
      <c r="D3168"/>
      <c r="E3168"/>
      <c r="F3168"/>
    </row>
    <row r="3169" spans="4:6" outlineLevel="1">
      <c r="D3169"/>
      <c r="E3169"/>
      <c r="F3169"/>
    </row>
    <row r="3170" spans="4:6" outlineLevel="1">
      <c r="D3170"/>
      <c r="E3170"/>
      <c r="F3170"/>
    </row>
    <row r="3171" spans="4:6" outlineLevel="1">
      <c r="D3171"/>
      <c r="E3171"/>
      <c r="F3171"/>
    </row>
    <row r="3172" spans="4:6" outlineLevel="1">
      <c r="D3172"/>
      <c r="E3172"/>
      <c r="F3172"/>
    </row>
    <row r="3173" spans="4:6" outlineLevel="1">
      <c r="D3173"/>
      <c r="E3173"/>
      <c r="F3173"/>
    </row>
    <row r="3174" spans="4:6" outlineLevel="1">
      <c r="D3174"/>
      <c r="E3174"/>
      <c r="F3174"/>
    </row>
    <row r="3175" spans="4:6" outlineLevel="1">
      <c r="D3175"/>
      <c r="E3175"/>
      <c r="F3175"/>
    </row>
    <row r="3176" spans="4:6" outlineLevel="1">
      <c r="D3176"/>
      <c r="E3176"/>
      <c r="F3176"/>
    </row>
    <row r="3177" spans="4:6" outlineLevel="1">
      <c r="D3177"/>
      <c r="E3177"/>
      <c r="F3177"/>
    </row>
    <row r="3178" spans="4:6" outlineLevel="1">
      <c r="D3178"/>
      <c r="E3178"/>
      <c r="F3178"/>
    </row>
    <row r="3179" spans="4:6" outlineLevel="1">
      <c r="D3179"/>
      <c r="E3179"/>
      <c r="F3179"/>
    </row>
    <row r="3180" spans="4:6" outlineLevel="1">
      <c r="D3180"/>
      <c r="E3180"/>
      <c r="F3180"/>
    </row>
    <row r="3181" spans="4:6" outlineLevel="1">
      <c r="D3181"/>
      <c r="E3181"/>
      <c r="F3181"/>
    </row>
    <row r="3182" spans="4:6" outlineLevel="1">
      <c r="D3182"/>
      <c r="E3182"/>
      <c r="F3182"/>
    </row>
    <row r="3183" spans="4:6" outlineLevel="1">
      <c r="D3183"/>
      <c r="E3183"/>
      <c r="F3183"/>
    </row>
    <row r="3184" spans="4:6" outlineLevel="1">
      <c r="D3184"/>
      <c r="E3184"/>
      <c r="F3184"/>
    </row>
    <row r="3185" spans="4:6" outlineLevel="1">
      <c r="D3185"/>
      <c r="E3185"/>
      <c r="F3185"/>
    </row>
    <row r="3186" spans="4:6" outlineLevel="1">
      <c r="D3186"/>
      <c r="E3186"/>
      <c r="F3186"/>
    </row>
    <row r="3187" spans="4:6" outlineLevel="1">
      <c r="D3187"/>
      <c r="E3187"/>
      <c r="F3187"/>
    </row>
    <row r="3188" spans="4:6" outlineLevel="1">
      <c r="D3188"/>
      <c r="E3188"/>
      <c r="F3188"/>
    </row>
    <row r="3189" spans="4:6" outlineLevel="1">
      <c r="D3189"/>
      <c r="E3189"/>
      <c r="F3189"/>
    </row>
    <row r="3190" spans="4:6" outlineLevel="1">
      <c r="D3190"/>
      <c r="E3190"/>
      <c r="F3190"/>
    </row>
    <row r="3191" spans="4:6" outlineLevel="1">
      <c r="D3191"/>
      <c r="E3191"/>
      <c r="F3191"/>
    </row>
    <row r="3192" spans="4:6" outlineLevel="1">
      <c r="D3192"/>
      <c r="E3192"/>
      <c r="F3192"/>
    </row>
    <row r="3193" spans="4:6" outlineLevel="1">
      <c r="D3193"/>
      <c r="E3193"/>
      <c r="F3193"/>
    </row>
    <row r="3194" spans="4:6" outlineLevel="1">
      <c r="D3194"/>
      <c r="E3194"/>
      <c r="F3194"/>
    </row>
    <row r="3195" spans="4:6" outlineLevel="1">
      <c r="D3195"/>
      <c r="E3195"/>
      <c r="F3195"/>
    </row>
    <row r="3196" spans="4:6" outlineLevel="1">
      <c r="D3196"/>
      <c r="E3196"/>
      <c r="F3196"/>
    </row>
    <row r="3197" spans="4:6" outlineLevel="1">
      <c r="D3197"/>
      <c r="E3197"/>
      <c r="F3197"/>
    </row>
    <row r="3198" spans="4:6" outlineLevel="1">
      <c r="D3198"/>
      <c r="E3198"/>
      <c r="F3198"/>
    </row>
    <row r="3199" spans="4:6" outlineLevel="1">
      <c r="D3199"/>
      <c r="E3199"/>
      <c r="F3199"/>
    </row>
    <row r="3200" spans="4:6" outlineLevel="1">
      <c r="D3200"/>
      <c r="E3200"/>
      <c r="F3200"/>
    </row>
    <row r="3201" spans="4:6" outlineLevel="1">
      <c r="D3201"/>
      <c r="E3201"/>
      <c r="F3201"/>
    </row>
    <row r="3202" spans="4:6" outlineLevel="1">
      <c r="D3202"/>
      <c r="E3202"/>
      <c r="F3202"/>
    </row>
    <row r="3203" spans="4:6" outlineLevel="1">
      <c r="D3203"/>
      <c r="E3203"/>
      <c r="F3203"/>
    </row>
    <row r="3204" spans="4:6" outlineLevel="1">
      <c r="D3204"/>
      <c r="E3204"/>
      <c r="F3204"/>
    </row>
    <row r="3205" spans="4:6" outlineLevel="1">
      <c r="D3205"/>
      <c r="E3205"/>
      <c r="F3205"/>
    </row>
    <row r="3206" spans="4:6" outlineLevel="1">
      <c r="D3206"/>
      <c r="E3206"/>
      <c r="F3206"/>
    </row>
    <row r="3207" spans="4:6" outlineLevel="1">
      <c r="D3207"/>
      <c r="E3207"/>
      <c r="F3207"/>
    </row>
    <row r="3208" spans="4:6" outlineLevel="1">
      <c r="D3208"/>
      <c r="E3208"/>
      <c r="F3208"/>
    </row>
    <row r="3209" spans="4:6" outlineLevel="1">
      <c r="D3209"/>
      <c r="E3209"/>
      <c r="F3209"/>
    </row>
    <row r="3210" spans="4:6" outlineLevel="1">
      <c r="D3210"/>
      <c r="E3210"/>
      <c r="F3210"/>
    </row>
    <row r="3211" spans="4:6" outlineLevel="1">
      <c r="D3211"/>
      <c r="E3211"/>
      <c r="F3211"/>
    </row>
    <row r="3212" spans="4:6" outlineLevel="1">
      <c r="D3212"/>
      <c r="E3212"/>
      <c r="F3212"/>
    </row>
    <row r="3213" spans="4:6" outlineLevel="1">
      <c r="D3213"/>
      <c r="E3213"/>
      <c r="F3213"/>
    </row>
    <row r="3214" spans="4:6" outlineLevel="1">
      <c r="D3214"/>
      <c r="E3214"/>
      <c r="F3214"/>
    </row>
    <row r="3215" spans="4:6" outlineLevel="1">
      <c r="D3215"/>
      <c r="E3215"/>
      <c r="F3215"/>
    </row>
    <row r="3216" spans="4:6" outlineLevel="1">
      <c r="D3216"/>
      <c r="E3216"/>
      <c r="F3216"/>
    </row>
    <row r="3217" spans="4:6" outlineLevel="1">
      <c r="D3217"/>
      <c r="E3217"/>
      <c r="F3217"/>
    </row>
    <row r="3218" spans="4:6" outlineLevel="1">
      <c r="D3218"/>
      <c r="E3218"/>
      <c r="F3218"/>
    </row>
    <row r="3219" spans="4:6" outlineLevel="1">
      <c r="D3219"/>
      <c r="E3219"/>
      <c r="F3219"/>
    </row>
    <row r="3220" spans="4:6" outlineLevel="1">
      <c r="D3220"/>
      <c r="E3220"/>
      <c r="F3220"/>
    </row>
    <row r="3221" spans="4:6" outlineLevel="1">
      <c r="D3221"/>
      <c r="E3221"/>
      <c r="F3221"/>
    </row>
    <row r="3222" spans="4:6" outlineLevel="1">
      <c r="D3222"/>
      <c r="E3222"/>
      <c r="F3222"/>
    </row>
    <row r="3223" spans="4:6" outlineLevel="1">
      <c r="D3223"/>
      <c r="E3223"/>
      <c r="F3223"/>
    </row>
    <row r="3224" spans="4:6" outlineLevel="1">
      <c r="D3224"/>
      <c r="E3224"/>
      <c r="F3224"/>
    </row>
    <row r="3225" spans="4:6" outlineLevel="1">
      <c r="D3225"/>
      <c r="E3225"/>
      <c r="F3225"/>
    </row>
    <row r="3226" spans="4:6" outlineLevel="1">
      <c r="D3226"/>
      <c r="E3226"/>
      <c r="F3226"/>
    </row>
    <row r="3227" spans="4:6" outlineLevel="1">
      <c r="D3227"/>
      <c r="E3227"/>
      <c r="F3227"/>
    </row>
    <row r="3228" spans="4:6" outlineLevel="1">
      <c r="D3228"/>
      <c r="E3228"/>
      <c r="F3228"/>
    </row>
    <row r="3229" spans="4:6" outlineLevel="1">
      <c r="D3229"/>
      <c r="E3229"/>
      <c r="F3229"/>
    </row>
    <row r="3230" spans="4:6" outlineLevel="1">
      <c r="D3230"/>
      <c r="E3230"/>
      <c r="F3230"/>
    </row>
    <row r="3231" spans="4:6" outlineLevel="1">
      <c r="D3231"/>
      <c r="E3231"/>
      <c r="F3231"/>
    </row>
    <row r="3232" spans="4:6" outlineLevel="1">
      <c r="D3232"/>
      <c r="E3232"/>
      <c r="F3232"/>
    </row>
    <row r="3233" spans="4:6" outlineLevel="1">
      <c r="D3233"/>
      <c r="E3233"/>
      <c r="F3233"/>
    </row>
    <row r="3234" spans="4:6" outlineLevel="1">
      <c r="D3234"/>
      <c r="E3234"/>
      <c r="F3234"/>
    </row>
    <row r="3235" spans="4:6" outlineLevel="1">
      <c r="D3235"/>
      <c r="E3235"/>
      <c r="F3235"/>
    </row>
    <row r="3236" spans="4:6" outlineLevel="1">
      <c r="D3236"/>
      <c r="E3236"/>
      <c r="F3236"/>
    </row>
    <row r="3237" spans="4:6" outlineLevel="1">
      <c r="D3237"/>
      <c r="E3237"/>
      <c r="F3237"/>
    </row>
    <row r="3238" spans="4:6" outlineLevel="1">
      <c r="D3238"/>
      <c r="E3238"/>
      <c r="F3238"/>
    </row>
    <row r="3239" spans="4:6" outlineLevel="1">
      <c r="D3239"/>
      <c r="E3239"/>
      <c r="F3239"/>
    </row>
    <row r="3240" spans="4:6" outlineLevel="1">
      <c r="D3240"/>
      <c r="E3240"/>
      <c r="F3240"/>
    </row>
    <row r="3241" spans="4:6" outlineLevel="1">
      <c r="D3241"/>
      <c r="E3241"/>
      <c r="F3241"/>
    </row>
    <row r="3242" spans="4:6" outlineLevel="1">
      <c r="D3242"/>
      <c r="E3242"/>
      <c r="F3242"/>
    </row>
    <row r="3243" spans="4:6" outlineLevel="1">
      <c r="D3243"/>
      <c r="E3243"/>
      <c r="F3243"/>
    </row>
    <row r="3244" spans="4:6" outlineLevel="1">
      <c r="D3244"/>
      <c r="E3244"/>
      <c r="F3244"/>
    </row>
    <row r="3245" spans="4:6" outlineLevel="1">
      <c r="D3245"/>
      <c r="E3245"/>
      <c r="F3245"/>
    </row>
    <row r="3246" spans="4:6" outlineLevel="1">
      <c r="D3246"/>
      <c r="E3246"/>
      <c r="F3246"/>
    </row>
    <row r="3247" spans="4:6" outlineLevel="1">
      <c r="D3247"/>
      <c r="E3247"/>
      <c r="F3247"/>
    </row>
    <row r="3248" spans="4:6" outlineLevel="1">
      <c r="D3248"/>
      <c r="E3248"/>
      <c r="F3248"/>
    </row>
    <row r="3249" spans="4:6" outlineLevel="1">
      <c r="D3249"/>
      <c r="E3249"/>
      <c r="F3249"/>
    </row>
    <row r="3250" spans="4:6" outlineLevel="1">
      <c r="D3250"/>
      <c r="E3250"/>
      <c r="F3250"/>
    </row>
    <row r="3251" spans="4:6" outlineLevel="1">
      <c r="D3251"/>
      <c r="E3251"/>
      <c r="F3251"/>
    </row>
    <row r="3252" spans="4:6" outlineLevel="1">
      <c r="D3252"/>
      <c r="E3252"/>
      <c r="F3252"/>
    </row>
    <row r="3253" spans="4:6" outlineLevel="1">
      <c r="D3253"/>
      <c r="E3253"/>
      <c r="F3253"/>
    </row>
    <row r="3254" spans="4:6" outlineLevel="1">
      <c r="D3254"/>
      <c r="E3254"/>
      <c r="F3254"/>
    </row>
    <row r="3255" spans="4:6" outlineLevel="1">
      <c r="D3255"/>
      <c r="E3255"/>
      <c r="F3255"/>
    </row>
    <row r="3256" spans="4:6" outlineLevel="1">
      <c r="D3256"/>
      <c r="E3256"/>
      <c r="F3256"/>
    </row>
    <row r="3257" spans="4:6" outlineLevel="1">
      <c r="D3257"/>
      <c r="E3257"/>
      <c r="F3257"/>
    </row>
    <row r="3258" spans="4:6" outlineLevel="1">
      <c r="D3258"/>
      <c r="E3258"/>
      <c r="F3258"/>
    </row>
    <row r="3259" spans="4:6" outlineLevel="1">
      <c r="D3259"/>
      <c r="E3259"/>
      <c r="F3259"/>
    </row>
    <row r="3260" spans="4:6" outlineLevel="1">
      <c r="D3260"/>
      <c r="E3260"/>
      <c r="F3260"/>
    </row>
    <row r="3261" spans="4:6" outlineLevel="1">
      <c r="D3261"/>
      <c r="E3261"/>
      <c r="F3261"/>
    </row>
    <row r="3262" spans="4:6" outlineLevel="1">
      <c r="D3262"/>
      <c r="E3262"/>
      <c r="F3262"/>
    </row>
    <row r="3263" spans="4:6" outlineLevel="1">
      <c r="D3263"/>
      <c r="E3263"/>
      <c r="F3263"/>
    </row>
    <row r="3264" spans="4:6" outlineLevel="1">
      <c r="D3264"/>
      <c r="E3264"/>
      <c r="F3264"/>
    </row>
    <row r="3265" spans="4:6" outlineLevel="1">
      <c r="D3265"/>
      <c r="E3265"/>
      <c r="F3265"/>
    </row>
    <row r="3266" spans="4:6" outlineLevel="1">
      <c r="D3266"/>
      <c r="E3266"/>
      <c r="F3266"/>
    </row>
    <row r="3267" spans="4:6" outlineLevel="1">
      <c r="D3267"/>
      <c r="E3267"/>
      <c r="F3267"/>
    </row>
    <row r="3268" spans="4:6" outlineLevel="1">
      <c r="D3268"/>
      <c r="E3268"/>
      <c r="F3268"/>
    </row>
    <row r="3269" spans="4:6" outlineLevel="1">
      <c r="D3269"/>
      <c r="E3269"/>
      <c r="F3269"/>
    </row>
    <row r="3270" spans="4:6" outlineLevel="1">
      <c r="D3270"/>
      <c r="E3270"/>
      <c r="F3270"/>
    </row>
    <row r="3271" spans="4:6" outlineLevel="1">
      <c r="D3271"/>
      <c r="E3271"/>
      <c r="F3271"/>
    </row>
    <row r="3272" spans="4:6" outlineLevel="1">
      <c r="D3272"/>
      <c r="E3272"/>
      <c r="F3272"/>
    </row>
    <row r="3273" spans="4:6" outlineLevel="1">
      <c r="D3273"/>
      <c r="E3273"/>
      <c r="F3273"/>
    </row>
    <row r="3274" spans="4:6" outlineLevel="1">
      <c r="D3274"/>
      <c r="E3274"/>
      <c r="F3274"/>
    </row>
    <row r="3275" spans="4:6" outlineLevel="1">
      <c r="D3275"/>
      <c r="E3275"/>
      <c r="F3275"/>
    </row>
    <row r="3276" spans="4:6" outlineLevel="1">
      <c r="D3276"/>
      <c r="E3276"/>
      <c r="F3276"/>
    </row>
    <row r="3277" spans="4:6" outlineLevel="1">
      <c r="D3277"/>
      <c r="E3277"/>
      <c r="F3277"/>
    </row>
    <row r="3278" spans="4:6" outlineLevel="1">
      <c r="D3278"/>
      <c r="E3278"/>
      <c r="F3278"/>
    </row>
    <row r="3279" spans="4:6" outlineLevel="1">
      <c r="D3279"/>
      <c r="E3279"/>
      <c r="F3279"/>
    </row>
    <row r="3280" spans="4:6" outlineLevel="1">
      <c r="D3280"/>
      <c r="E3280"/>
      <c r="F3280"/>
    </row>
    <row r="3281" spans="4:6" outlineLevel="1">
      <c r="D3281"/>
      <c r="E3281"/>
      <c r="F3281"/>
    </row>
    <row r="3282" spans="4:6" outlineLevel="1">
      <c r="D3282"/>
      <c r="E3282"/>
      <c r="F3282"/>
    </row>
    <row r="3283" spans="4:6" outlineLevel="1">
      <c r="D3283"/>
      <c r="E3283"/>
      <c r="F3283"/>
    </row>
    <row r="3284" spans="4:6" outlineLevel="1">
      <c r="D3284"/>
      <c r="E3284"/>
      <c r="F3284"/>
    </row>
    <row r="3285" spans="4:6" outlineLevel="1">
      <c r="D3285"/>
      <c r="E3285"/>
      <c r="F3285"/>
    </row>
    <row r="3286" spans="4:6" outlineLevel="1">
      <c r="D3286"/>
      <c r="E3286"/>
      <c r="F3286"/>
    </row>
    <row r="3287" spans="4:6" outlineLevel="1">
      <c r="D3287"/>
      <c r="E3287"/>
      <c r="F3287"/>
    </row>
    <row r="3288" spans="4:6" outlineLevel="1">
      <c r="D3288"/>
      <c r="E3288"/>
      <c r="F3288"/>
    </row>
    <row r="3289" spans="4:6" outlineLevel="1">
      <c r="D3289"/>
      <c r="E3289"/>
      <c r="F3289"/>
    </row>
    <row r="3290" spans="4:6" outlineLevel="1">
      <c r="D3290"/>
      <c r="E3290"/>
      <c r="F3290"/>
    </row>
    <row r="3291" spans="4:6" outlineLevel="1">
      <c r="D3291"/>
      <c r="E3291"/>
      <c r="F3291"/>
    </row>
    <row r="3292" spans="4:6" outlineLevel="1">
      <c r="D3292"/>
      <c r="E3292"/>
      <c r="F3292"/>
    </row>
    <row r="3293" spans="4:6" outlineLevel="1">
      <c r="D3293"/>
      <c r="E3293"/>
      <c r="F3293"/>
    </row>
    <row r="3294" spans="4:6" outlineLevel="1">
      <c r="D3294"/>
      <c r="E3294"/>
      <c r="F3294"/>
    </row>
    <row r="3295" spans="4:6" outlineLevel="1">
      <c r="D3295"/>
      <c r="E3295"/>
      <c r="F3295"/>
    </row>
    <row r="3296" spans="4:6" outlineLevel="1">
      <c r="D3296"/>
      <c r="E3296"/>
      <c r="F3296"/>
    </row>
    <row r="3297" spans="4:6" outlineLevel="1">
      <c r="D3297"/>
      <c r="E3297"/>
      <c r="F3297"/>
    </row>
    <row r="3298" spans="4:6" outlineLevel="1">
      <c r="D3298"/>
      <c r="E3298"/>
      <c r="F3298"/>
    </row>
    <row r="3299" spans="4:6" outlineLevel="1">
      <c r="D3299"/>
      <c r="E3299"/>
      <c r="F3299"/>
    </row>
    <row r="3300" spans="4:6" outlineLevel="1">
      <c r="D3300"/>
      <c r="E3300"/>
      <c r="F3300"/>
    </row>
    <row r="3301" spans="4:6" outlineLevel="1">
      <c r="D3301"/>
      <c r="E3301"/>
      <c r="F3301"/>
    </row>
    <row r="3302" spans="4:6" outlineLevel="1">
      <c r="D3302"/>
      <c r="E3302"/>
      <c r="F3302"/>
    </row>
    <row r="3303" spans="4:6" outlineLevel="1">
      <c r="D3303"/>
      <c r="E3303"/>
      <c r="F3303"/>
    </row>
    <row r="3304" spans="4:6" outlineLevel="1">
      <c r="D3304"/>
      <c r="E3304"/>
      <c r="F3304"/>
    </row>
    <row r="3305" spans="4:6" outlineLevel="1">
      <c r="D3305"/>
      <c r="E3305"/>
      <c r="F3305"/>
    </row>
    <row r="3306" spans="4:6" outlineLevel="1">
      <c r="D3306"/>
      <c r="E3306"/>
      <c r="F3306"/>
    </row>
    <row r="3307" spans="4:6" outlineLevel="1">
      <c r="D3307"/>
      <c r="E3307"/>
      <c r="F3307"/>
    </row>
    <row r="3308" spans="4:6" outlineLevel="1">
      <c r="D3308"/>
      <c r="E3308"/>
      <c r="F3308"/>
    </row>
    <row r="3309" spans="4:6" outlineLevel="1">
      <c r="D3309"/>
      <c r="E3309"/>
      <c r="F3309"/>
    </row>
    <row r="3310" spans="4:6" outlineLevel="1">
      <c r="D3310"/>
      <c r="E3310"/>
      <c r="F3310"/>
    </row>
    <row r="3311" spans="4:6" outlineLevel="1">
      <c r="D3311"/>
      <c r="E3311"/>
      <c r="F3311"/>
    </row>
    <row r="3312" spans="4:6" outlineLevel="1">
      <c r="D3312"/>
      <c r="E3312"/>
      <c r="F3312"/>
    </row>
    <row r="3313" spans="4:6" outlineLevel="1">
      <c r="D3313"/>
      <c r="E3313"/>
      <c r="F3313"/>
    </row>
    <row r="3314" spans="4:6" outlineLevel="1">
      <c r="D3314"/>
      <c r="E3314"/>
      <c r="F3314"/>
    </row>
    <row r="3315" spans="4:6" outlineLevel="1">
      <c r="D3315"/>
      <c r="E3315"/>
      <c r="F3315"/>
    </row>
    <row r="3316" spans="4:6" outlineLevel="1">
      <c r="D3316"/>
      <c r="E3316"/>
      <c r="F3316"/>
    </row>
    <row r="3317" spans="4:6" outlineLevel="1">
      <c r="D3317"/>
      <c r="E3317"/>
      <c r="F3317"/>
    </row>
    <row r="3318" spans="4:6" outlineLevel="1">
      <c r="D3318"/>
      <c r="E3318"/>
      <c r="F3318"/>
    </row>
    <row r="3319" spans="4:6" outlineLevel="1">
      <c r="D3319"/>
      <c r="E3319"/>
      <c r="F3319"/>
    </row>
    <row r="3320" spans="4:6" outlineLevel="1">
      <c r="D3320"/>
      <c r="E3320"/>
      <c r="F3320"/>
    </row>
    <row r="3321" spans="4:6" outlineLevel="1">
      <c r="D3321"/>
      <c r="E3321"/>
      <c r="F3321"/>
    </row>
    <row r="3322" spans="4:6" outlineLevel="1">
      <c r="D3322"/>
      <c r="E3322"/>
      <c r="F3322"/>
    </row>
    <row r="3323" spans="4:6" outlineLevel="1">
      <c r="D3323"/>
      <c r="E3323"/>
      <c r="F3323"/>
    </row>
    <row r="3324" spans="4:6" outlineLevel="1">
      <c r="D3324"/>
      <c r="E3324"/>
      <c r="F3324"/>
    </row>
    <row r="3325" spans="4:6" outlineLevel="1">
      <c r="D3325"/>
      <c r="E3325"/>
      <c r="F3325"/>
    </row>
    <row r="3326" spans="4:6" outlineLevel="1">
      <c r="D3326"/>
      <c r="E3326"/>
      <c r="F3326"/>
    </row>
    <row r="3327" spans="4:6" outlineLevel="1">
      <c r="D3327"/>
      <c r="E3327"/>
      <c r="F3327"/>
    </row>
    <row r="3328" spans="4:6" outlineLevel="1">
      <c r="D3328"/>
      <c r="E3328"/>
      <c r="F3328"/>
    </row>
    <row r="3329" spans="4:6" outlineLevel="1">
      <c r="D3329"/>
      <c r="E3329"/>
      <c r="F3329"/>
    </row>
    <row r="3330" spans="4:6" outlineLevel="1">
      <c r="D3330"/>
      <c r="E3330"/>
      <c r="F3330"/>
    </row>
    <row r="3331" spans="4:6" outlineLevel="1">
      <c r="D3331"/>
      <c r="E3331"/>
      <c r="F3331"/>
    </row>
    <row r="3332" spans="4:6" outlineLevel="1">
      <c r="D3332"/>
      <c r="E3332"/>
      <c r="F3332"/>
    </row>
    <row r="3333" spans="4:6" outlineLevel="1">
      <c r="D3333"/>
      <c r="E3333"/>
      <c r="F3333"/>
    </row>
    <row r="3334" spans="4:6" outlineLevel="1">
      <c r="D3334"/>
      <c r="E3334"/>
      <c r="F3334"/>
    </row>
    <row r="3335" spans="4:6" outlineLevel="1">
      <c r="D3335"/>
      <c r="E3335"/>
      <c r="F3335"/>
    </row>
    <row r="3336" spans="4:6" outlineLevel="1">
      <c r="D3336"/>
      <c r="E3336"/>
      <c r="F3336"/>
    </row>
    <row r="3337" spans="4:6" outlineLevel="1">
      <c r="D3337"/>
      <c r="E3337"/>
      <c r="F3337"/>
    </row>
    <row r="3338" spans="4:6" outlineLevel="1">
      <c r="D3338"/>
      <c r="E3338"/>
      <c r="F3338"/>
    </row>
    <row r="3339" spans="4:6" outlineLevel="1">
      <c r="D3339"/>
      <c r="E3339"/>
      <c r="F3339"/>
    </row>
    <row r="3340" spans="4:6" outlineLevel="1">
      <c r="D3340"/>
      <c r="E3340"/>
      <c r="F3340"/>
    </row>
    <row r="3341" spans="4:6" outlineLevel="1">
      <c r="D3341"/>
      <c r="E3341"/>
      <c r="F3341"/>
    </row>
    <row r="3342" spans="4:6" outlineLevel="1">
      <c r="D3342"/>
      <c r="E3342"/>
      <c r="F3342"/>
    </row>
    <row r="3343" spans="4:6" outlineLevel="1">
      <c r="D3343"/>
      <c r="E3343"/>
      <c r="F3343"/>
    </row>
    <row r="3344" spans="4:6" outlineLevel="1">
      <c r="D3344"/>
      <c r="E3344"/>
      <c r="F3344"/>
    </row>
    <row r="3345" spans="4:6" outlineLevel="1">
      <c r="D3345"/>
      <c r="E3345"/>
      <c r="F3345"/>
    </row>
    <row r="3346" spans="4:6" outlineLevel="1">
      <c r="D3346"/>
      <c r="E3346"/>
      <c r="F3346"/>
    </row>
    <row r="3347" spans="4:6" outlineLevel="1">
      <c r="D3347"/>
      <c r="E3347"/>
      <c r="F3347"/>
    </row>
    <row r="3348" spans="4:6" outlineLevel="1">
      <c r="D3348"/>
      <c r="E3348"/>
      <c r="F3348"/>
    </row>
    <row r="3349" spans="4:6" outlineLevel="1">
      <c r="D3349"/>
      <c r="E3349"/>
      <c r="F3349"/>
    </row>
    <row r="3350" spans="4:6" outlineLevel="1">
      <c r="D3350"/>
      <c r="E3350"/>
      <c r="F3350"/>
    </row>
    <row r="3351" spans="4:6" outlineLevel="1">
      <c r="D3351"/>
      <c r="E3351"/>
      <c r="F3351"/>
    </row>
    <row r="3352" spans="4:6" outlineLevel="1">
      <c r="D3352"/>
      <c r="E3352"/>
      <c r="F3352"/>
    </row>
    <row r="3353" spans="4:6" outlineLevel="1">
      <c r="D3353"/>
      <c r="E3353"/>
      <c r="F3353"/>
    </row>
    <row r="3354" spans="4:6" outlineLevel="1">
      <c r="D3354"/>
      <c r="E3354"/>
      <c r="F3354"/>
    </row>
    <row r="3355" spans="4:6" outlineLevel="1">
      <c r="D3355"/>
      <c r="E3355"/>
      <c r="F3355"/>
    </row>
    <row r="3356" spans="4:6" outlineLevel="1">
      <c r="D3356"/>
      <c r="E3356"/>
      <c r="F3356"/>
    </row>
    <row r="3357" spans="4:6" outlineLevel="1">
      <c r="D3357"/>
      <c r="E3357"/>
      <c r="F3357"/>
    </row>
    <row r="3358" spans="4:6" outlineLevel="1">
      <c r="D3358"/>
      <c r="E3358"/>
      <c r="F3358"/>
    </row>
    <row r="3359" spans="4:6" outlineLevel="1">
      <c r="D3359"/>
      <c r="E3359"/>
      <c r="F3359"/>
    </row>
    <row r="3360" spans="4:6" outlineLevel="1">
      <c r="D3360"/>
      <c r="E3360"/>
      <c r="F3360"/>
    </row>
    <row r="3361" spans="4:6" outlineLevel="1">
      <c r="D3361"/>
      <c r="E3361"/>
      <c r="F3361"/>
    </row>
    <row r="3362" spans="4:6" outlineLevel="1">
      <c r="D3362"/>
      <c r="E3362"/>
      <c r="F3362"/>
    </row>
    <row r="3363" spans="4:6" outlineLevel="1">
      <c r="D3363"/>
      <c r="E3363"/>
      <c r="F3363"/>
    </row>
    <row r="3364" spans="4:6" outlineLevel="1">
      <c r="D3364"/>
      <c r="E3364"/>
      <c r="F3364"/>
    </row>
    <row r="3365" spans="4:6" outlineLevel="1">
      <c r="D3365"/>
      <c r="E3365"/>
      <c r="F3365"/>
    </row>
    <row r="3366" spans="4:6" outlineLevel="1">
      <c r="D3366"/>
      <c r="E3366"/>
      <c r="F3366"/>
    </row>
    <row r="3367" spans="4:6" outlineLevel="1">
      <c r="D3367"/>
      <c r="E3367"/>
      <c r="F3367"/>
    </row>
    <row r="3368" spans="4:6" outlineLevel="1">
      <c r="D3368"/>
      <c r="E3368"/>
      <c r="F3368"/>
    </row>
    <row r="3369" spans="4:6" outlineLevel="1">
      <c r="D3369"/>
      <c r="E3369"/>
      <c r="F3369"/>
    </row>
    <row r="3370" spans="4:6" outlineLevel="1">
      <c r="D3370"/>
      <c r="E3370"/>
      <c r="F3370"/>
    </row>
    <row r="3371" spans="4:6" outlineLevel="1">
      <c r="D3371"/>
      <c r="E3371"/>
      <c r="F3371"/>
    </row>
    <row r="3372" spans="4:6" outlineLevel="1">
      <c r="D3372"/>
      <c r="E3372"/>
      <c r="F3372"/>
    </row>
    <row r="3373" spans="4:6" outlineLevel="1">
      <c r="D3373"/>
      <c r="E3373"/>
      <c r="F3373"/>
    </row>
    <row r="3374" spans="4:6" outlineLevel="1">
      <c r="D3374"/>
      <c r="E3374"/>
      <c r="F3374"/>
    </row>
    <row r="3375" spans="4:6" outlineLevel="1">
      <c r="D3375"/>
      <c r="E3375"/>
      <c r="F3375"/>
    </row>
    <row r="3376" spans="4:6" outlineLevel="1">
      <c r="D3376"/>
      <c r="E3376"/>
      <c r="F3376"/>
    </row>
    <row r="3377" spans="4:6" outlineLevel="1">
      <c r="D3377"/>
      <c r="E3377"/>
      <c r="F3377"/>
    </row>
    <row r="3378" spans="4:6" outlineLevel="1">
      <c r="D3378"/>
      <c r="E3378"/>
      <c r="F3378"/>
    </row>
    <row r="3379" spans="4:6" outlineLevel="1">
      <c r="D3379"/>
      <c r="E3379"/>
      <c r="F3379"/>
    </row>
    <row r="3380" spans="4:6" outlineLevel="1">
      <c r="D3380"/>
      <c r="E3380"/>
      <c r="F3380"/>
    </row>
    <row r="3381" spans="4:6" outlineLevel="1">
      <c r="D3381"/>
      <c r="E3381"/>
      <c r="F3381"/>
    </row>
    <row r="3382" spans="4:6" outlineLevel="1">
      <c r="D3382"/>
      <c r="E3382"/>
      <c r="F3382"/>
    </row>
    <row r="3383" spans="4:6" outlineLevel="1">
      <c r="D3383"/>
      <c r="E3383"/>
      <c r="F3383"/>
    </row>
    <row r="3384" spans="4:6" outlineLevel="1">
      <c r="D3384"/>
      <c r="E3384"/>
      <c r="F3384"/>
    </row>
    <row r="3385" spans="4:6" outlineLevel="1">
      <c r="D3385"/>
      <c r="E3385"/>
      <c r="F3385"/>
    </row>
    <row r="3386" spans="4:6" outlineLevel="1">
      <c r="D3386"/>
      <c r="E3386"/>
      <c r="F3386"/>
    </row>
    <row r="3387" spans="4:6" outlineLevel="1">
      <c r="D3387"/>
      <c r="E3387"/>
      <c r="F3387"/>
    </row>
    <row r="3388" spans="4:6" outlineLevel="1">
      <c r="D3388"/>
      <c r="E3388"/>
      <c r="F3388"/>
    </row>
    <row r="3389" spans="4:6" outlineLevel="1">
      <c r="D3389"/>
      <c r="E3389"/>
      <c r="F3389"/>
    </row>
    <row r="3390" spans="4:6" outlineLevel="1">
      <c r="D3390"/>
      <c r="E3390"/>
      <c r="F3390"/>
    </row>
    <row r="3391" spans="4:6" outlineLevel="1">
      <c r="D3391"/>
      <c r="E3391"/>
      <c r="F3391"/>
    </row>
    <row r="3392" spans="4:6" outlineLevel="1">
      <c r="D3392"/>
      <c r="E3392"/>
      <c r="F3392"/>
    </row>
    <row r="3393" spans="4:6" outlineLevel="1">
      <c r="D3393"/>
      <c r="E3393"/>
      <c r="F3393"/>
    </row>
    <row r="3394" spans="4:6" outlineLevel="1">
      <c r="D3394"/>
      <c r="E3394"/>
      <c r="F3394"/>
    </row>
    <row r="3395" spans="4:6" outlineLevel="1">
      <c r="D3395"/>
      <c r="E3395"/>
      <c r="F3395"/>
    </row>
    <row r="3396" spans="4:6" outlineLevel="1">
      <c r="D3396"/>
      <c r="E3396"/>
      <c r="F3396"/>
    </row>
    <row r="3397" spans="4:6" outlineLevel="1">
      <c r="D3397"/>
      <c r="E3397"/>
      <c r="F3397"/>
    </row>
    <row r="3398" spans="4:6" outlineLevel="1">
      <c r="D3398"/>
      <c r="E3398"/>
      <c r="F3398"/>
    </row>
    <row r="3399" spans="4:6" outlineLevel="1">
      <c r="D3399"/>
      <c r="E3399"/>
      <c r="F3399"/>
    </row>
    <row r="3400" spans="4:6" outlineLevel="1">
      <c r="D3400"/>
      <c r="E3400"/>
      <c r="F3400"/>
    </row>
    <row r="3401" spans="4:6" outlineLevel="1">
      <c r="D3401"/>
      <c r="E3401"/>
      <c r="F3401"/>
    </row>
    <row r="3402" spans="4:6" outlineLevel="1">
      <c r="D3402"/>
      <c r="E3402"/>
      <c r="F3402"/>
    </row>
    <row r="3403" spans="4:6" outlineLevel="1">
      <c r="D3403"/>
      <c r="E3403"/>
      <c r="F3403"/>
    </row>
    <row r="3404" spans="4:6" outlineLevel="1">
      <c r="D3404"/>
      <c r="E3404"/>
      <c r="F3404"/>
    </row>
    <row r="3405" spans="4:6" outlineLevel="1">
      <c r="D3405"/>
      <c r="E3405"/>
      <c r="F3405"/>
    </row>
    <row r="3406" spans="4:6" outlineLevel="1">
      <c r="D3406"/>
      <c r="E3406"/>
      <c r="F3406"/>
    </row>
    <row r="3407" spans="4:6" outlineLevel="1">
      <c r="D3407"/>
      <c r="E3407"/>
      <c r="F3407"/>
    </row>
    <row r="3408" spans="4:6" outlineLevel="1">
      <c r="D3408"/>
      <c r="E3408"/>
      <c r="F3408"/>
    </row>
    <row r="3409" spans="4:6" outlineLevel="1">
      <c r="D3409"/>
      <c r="E3409"/>
      <c r="F3409"/>
    </row>
    <row r="3410" spans="4:6" outlineLevel="1">
      <c r="D3410"/>
      <c r="E3410"/>
      <c r="F3410"/>
    </row>
    <row r="3411" spans="4:6" outlineLevel="1">
      <c r="D3411"/>
      <c r="E3411"/>
      <c r="F3411"/>
    </row>
    <row r="3412" spans="4:6" outlineLevel="1">
      <c r="D3412"/>
      <c r="E3412"/>
      <c r="F3412"/>
    </row>
    <row r="3413" spans="4:6" outlineLevel="1">
      <c r="D3413"/>
      <c r="E3413"/>
      <c r="F3413"/>
    </row>
    <row r="3414" spans="4:6" outlineLevel="1">
      <c r="D3414"/>
      <c r="E3414"/>
      <c r="F3414"/>
    </row>
    <row r="3415" spans="4:6" outlineLevel="1">
      <c r="D3415"/>
      <c r="E3415"/>
      <c r="F3415"/>
    </row>
    <row r="3416" spans="4:6" outlineLevel="1">
      <c r="D3416"/>
      <c r="E3416"/>
      <c r="F3416"/>
    </row>
    <row r="3417" spans="4:6" outlineLevel="1">
      <c r="D3417"/>
      <c r="E3417"/>
      <c r="F3417"/>
    </row>
    <row r="3418" spans="4:6" outlineLevel="1">
      <c r="D3418"/>
      <c r="E3418"/>
      <c r="F3418"/>
    </row>
    <row r="3419" spans="4:6" outlineLevel="1">
      <c r="D3419"/>
      <c r="E3419"/>
      <c r="F3419"/>
    </row>
    <row r="3420" spans="4:6" outlineLevel="1">
      <c r="D3420"/>
      <c r="E3420"/>
      <c r="F3420"/>
    </row>
    <row r="3421" spans="4:6" outlineLevel="1">
      <c r="D3421"/>
      <c r="E3421"/>
      <c r="F3421"/>
    </row>
    <row r="3422" spans="4:6" outlineLevel="1">
      <c r="D3422"/>
      <c r="E3422"/>
      <c r="F3422"/>
    </row>
    <row r="3423" spans="4:6" outlineLevel="1">
      <c r="D3423"/>
      <c r="E3423"/>
      <c r="F3423"/>
    </row>
    <row r="3424" spans="4:6" outlineLevel="1">
      <c r="D3424"/>
      <c r="E3424"/>
      <c r="F3424"/>
    </row>
    <row r="3425" spans="4:6" outlineLevel="1">
      <c r="D3425"/>
      <c r="E3425"/>
      <c r="F3425"/>
    </row>
    <row r="3426" spans="4:6" outlineLevel="1">
      <c r="D3426"/>
      <c r="E3426"/>
      <c r="F3426"/>
    </row>
    <row r="3427" spans="4:6" outlineLevel="1">
      <c r="D3427"/>
      <c r="E3427"/>
      <c r="F3427"/>
    </row>
    <row r="3428" spans="4:6" outlineLevel="1">
      <c r="D3428"/>
      <c r="E3428"/>
      <c r="F3428"/>
    </row>
    <row r="3429" spans="4:6" outlineLevel="1">
      <c r="D3429"/>
      <c r="E3429"/>
      <c r="F3429"/>
    </row>
    <row r="3430" spans="4:6" outlineLevel="1">
      <c r="D3430"/>
      <c r="E3430"/>
      <c r="F3430"/>
    </row>
    <row r="3431" spans="4:6" outlineLevel="1">
      <c r="D3431"/>
      <c r="E3431"/>
      <c r="F3431"/>
    </row>
    <row r="3432" spans="4:6" outlineLevel="1">
      <c r="D3432"/>
      <c r="E3432"/>
      <c r="F3432"/>
    </row>
    <row r="3433" spans="4:6" outlineLevel="1">
      <c r="D3433"/>
      <c r="E3433"/>
      <c r="F3433"/>
    </row>
    <row r="3434" spans="4:6" outlineLevel="1">
      <c r="D3434"/>
      <c r="E3434"/>
      <c r="F3434"/>
    </row>
    <row r="3435" spans="4:6" outlineLevel="1">
      <c r="D3435"/>
      <c r="E3435"/>
      <c r="F3435"/>
    </row>
    <row r="3436" spans="4:6" outlineLevel="1">
      <c r="D3436"/>
      <c r="E3436"/>
      <c r="F3436"/>
    </row>
    <row r="3437" spans="4:6" outlineLevel="1">
      <c r="D3437"/>
      <c r="E3437"/>
      <c r="F3437"/>
    </row>
    <row r="3438" spans="4:6" outlineLevel="1">
      <c r="D3438"/>
      <c r="E3438"/>
      <c r="F3438"/>
    </row>
    <row r="3439" spans="4:6" outlineLevel="1">
      <c r="D3439"/>
      <c r="E3439"/>
      <c r="F3439"/>
    </row>
    <row r="3440" spans="4:6" outlineLevel="1">
      <c r="D3440"/>
      <c r="E3440"/>
      <c r="F3440"/>
    </row>
    <row r="3441" spans="4:6" outlineLevel="1">
      <c r="D3441"/>
      <c r="E3441"/>
      <c r="F3441"/>
    </row>
    <row r="3442" spans="4:6" outlineLevel="1">
      <c r="D3442"/>
      <c r="E3442"/>
      <c r="F3442"/>
    </row>
    <row r="3443" spans="4:6" outlineLevel="1">
      <c r="D3443"/>
      <c r="E3443"/>
      <c r="F3443"/>
    </row>
    <row r="3444" spans="4:6" outlineLevel="1">
      <c r="D3444"/>
      <c r="E3444"/>
      <c r="F3444"/>
    </row>
    <row r="3445" spans="4:6" outlineLevel="1">
      <c r="D3445"/>
      <c r="E3445"/>
      <c r="F3445"/>
    </row>
    <row r="3446" spans="4:6" outlineLevel="1">
      <c r="D3446"/>
      <c r="E3446"/>
      <c r="F3446"/>
    </row>
    <row r="3447" spans="4:6" outlineLevel="1">
      <c r="D3447"/>
      <c r="E3447"/>
      <c r="F3447"/>
    </row>
    <row r="3448" spans="4:6" outlineLevel="1">
      <c r="D3448"/>
      <c r="E3448"/>
      <c r="F3448"/>
    </row>
    <row r="3449" spans="4:6" outlineLevel="1">
      <c r="D3449"/>
      <c r="E3449"/>
      <c r="F3449"/>
    </row>
    <row r="3450" spans="4:6" outlineLevel="1">
      <c r="D3450"/>
      <c r="E3450"/>
      <c r="F3450"/>
    </row>
    <row r="3451" spans="4:6" outlineLevel="1">
      <c r="D3451"/>
      <c r="E3451"/>
      <c r="F3451"/>
    </row>
    <row r="3452" spans="4:6" outlineLevel="1">
      <c r="D3452"/>
      <c r="E3452"/>
      <c r="F3452"/>
    </row>
    <row r="3453" spans="4:6" outlineLevel="1">
      <c r="D3453"/>
      <c r="E3453"/>
      <c r="F3453"/>
    </row>
    <row r="3454" spans="4:6" outlineLevel="1">
      <c r="D3454"/>
      <c r="E3454"/>
      <c r="F3454"/>
    </row>
    <row r="3455" spans="4:6" outlineLevel="1">
      <c r="D3455"/>
      <c r="E3455"/>
      <c r="F3455"/>
    </row>
    <row r="3456" spans="4:6" outlineLevel="1">
      <c r="D3456"/>
      <c r="E3456"/>
      <c r="F3456"/>
    </row>
    <row r="3457" spans="4:6" outlineLevel="1">
      <c r="D3457"/>
      <c r="E3457"/>
      <c r="F3457"/>
    </row>
    <row r="3458" spans="4:6" outlineLevel="1">
      <c r="D3458"/>
      <c r="E3458"/>
      <c r="F3458"/>
    </row>
    <row r="3459" spans="4:6" outlineLevel="1">
      <c r="D3459"/>
      <c r="E3459"/>
      <c r="F3459"/>
    </row>
    <row r="3460" spans="4:6" outlineLevel="1">
      <c r="D3460"/>
      <c r="E3460"/>
      <c r="F3460"/>
    </row>
    <row r="3461" spans="4:6" outlineLevel="1">
      <c r="D3461"/>
      <c r="E3461"/>
      <c r="F3461"/>
    </row>
    <row r="3462" spans="4:6" outlineLevel="1">
      <c r="D3462"/>
      <c r="E3462"/>
      <c r="F3462"/>
    </row>
    <row r="3463" spans="4:6" outlineLevel="1">
      <c r="D3463"/>
      <c r="E3463"/>
      <c r="F3463"/>
    </row>
    <row r="3464" spans="4:6" outlineLevel="1">
      <c r="D3464"/>
      <c r="E3464"/>
      <c r="F3464"/>
    </row>
    <row r="3465" spans="4:6" outlineLevel="1">
      <c r="D3465"/>
      <c r="E3465"/>
      <c r="F3465"/>
    </row>
    <row r="3466" spans="4:6" outlineLevel="1">
      <c r="D3466"/>
      <c r="E3466"/>
      <c r="F3466"/>
    </row>
    <row r="3467" spans="4:6" outlineLevel="1">
      <c r="D3467"/>
      <c r="E3467"/>
      <c r="F3467"/>
    </row>
    <row r="3468" spans="4:6" outlineLevel="1">
      <c r="D3468"/>
      <c r="E3468"/>
      <c r="F3468"/>
    </row>
    <row r="3469" spans="4:6" outlineLevel="1">
      <c r="D3469"/>
      <c r="E3469"/>
      <c r="F3469"/>
    </row>
    <row r="3470" spans="4:6" outlineLevel="1">
      <c r="D3470"/>
      <c r="E3470"/>
      <c r="F3470"/>
    </row>
    <row r="3471" spans="4:6" outlineLevel="1">
      <c r="D3471"/>
      <c r="E3471"/>
      <c r="F3471"/>
    </row>
    <row r="3472" spans="4:6" outlineLevel="1">
      <c r="D3472"/>
      <c r="E3472"/>
      <c r="F3472"/>
    </row>
    <row r="3473" spans="4:6" outlineLevel="1">
      <c r="D3473"/>
      <c r="E3473"/>
      <c r="F3473"/>
    </row>
    <row r="3474" spans="4:6" outlineLevel="1">
      <c r="D3474"/>
      <c r="E3474"/>
      <c r="F3474"/>
    </row>
    <row r="3475" spans="4:6" outlineLevel="1">
      <c r="D3475"/>
      <c r="E3475"/>
      <c r="F3475"/>
    </row>
    <row r="3476" spans="4:6" outlineLevel="1">
      <c r="D3476"/>
      <c r="E3476"/>
      <c r="F3476"/>
    </row>
    <row r="3477" spans="4:6" outlineLevel="1">
      <c r="D3477"/>
      <c r="E3477"/>
      <c r="F3477"/>
    </row>
    <row r="3478" spans="4:6" outlineLevel="1">
      <c r="D3478"/>
      <c r="E3478"/>
      <c r="F3478"/>
    </row>
    <row r="3479" spans="4:6" outlineLevel="1">
      <c r="D3479"/>
      <c r="E3479"/>
      <c r="F3479"/>
    </row>
    <row r="3480" spans="4:6" outlineLevel="1">
      <c r="D3480"/>
      <c r="E3480"/>
      <c r="F3480"/>
    </row>
    <row r="3481" spans="4:6" outlineLevel="1">
      <c r="D3481"/>
      <c r="E3481"/>
      <c r="F3481"/>
    </row>
    <row r="3482" spans="4:6" outlineLevel="1">
      <c r="D3482"/>
      <c r="E3482"/>
      <c r="F3482"/>
    </row>
    <row r="3483" spans="4:6" outlineLevel="1">
      <c r="D3483"/>
      <c r="E3483"/>
      <c r="F3483"/>
    </row>
    <row r="3484" spans="4:6" outlineLevel="1">
      <c r="D3484"/>
      <c r="E3484"/>
      <c r="F3484"/>
    </row>
    <row r="3485" spans="4:6" outlineLevel="1">
      <c r="D3485"/>
      <c r="E3485"/>
      <c r="F3485"/>
    </row>
    <row r="3486" spans="4:6" outlineLevel="1">
      <c r="D3486"/>
      <c r="E3486"/>
      <c r="F3486"/>
    </row>
    <row r="3487" spans="4:6" outlineLevel="1">
      <c r="D3487"/>
      <c r="E3487"/>
      <c r="F3487"/>
    </row>
    <row r="3488" spans="4:6" outlineLevel="1">
      <c r="D3488"/>
      <c r="E3488"/>
      <c r="F3488"/>
    </row>
    <row r="3489" spans="4:6" outlineLevel="1">
      <c r="D3489"/>
      <c r="E3489"/>
      <c r="F3489"/>
    </row>
    <row r="3490" spans="4:6" outlineLevel="1">
      <c r="D3490"/>
      <c r="E3490"/>
      <c r="F3490"/>
    </row>
    <row r="3491" spans="4:6" outlineLevel="1">
      <c r="D3491"/>
      <c r="E3491"/>
      <c r="F3491"/>
    </row>
    <row r="3492" spans="4:6" outlineLevel="1">
      <c r="D3492"/>
      <c r="E3492"/>
      <c r="F3492"/>
    </row>
    <row r="3493" spans="4:6" outlineLevel="1">
      <c r="D3493"/>
      <c r="E3493"/>
      <c r="F3493"/>
    </row>
    <row r="3494" spans="4:6" outlineLevel="1">
      <c r="D3494"/>
      <c r="E3494"/>
      <c r="F3494"/>
    </row>
    <row r="3495" spans="4:6" outlineLevel="1">
      <c r="D3495"/>
      <c r="E3495"/>
      <c r="F3495"/>
    </row>
    <row r="3496" spans="4:6" outlineLevel="1">
      <c r="D3496"/>
      <c r="E3496"/>
      <c r="F3496"/>
    </row>
    <row r="3497" spans="4:6" outlineLevel="1">
      <c r="D3497"/>
      <c r="E3497"/>
      <c r="F3497"/>
    </row>
    <row r="3498" spans="4:6" outlineLevel="1">
      <c r="D3498"/>
      <c r="E3498"/>
      <c r="F3498"/>
    </row>
    <row r="3499" spans="4:6" outlineLevel="1">
      <c r="D3499"/>
      <c r="E3499"/>
      <c r="F3499"/>
    </row>
    <row r="3500" spans="4:6" outlineLevel="1">
      <c r="D3500"/>
      <c r="E3500"/>
      <c r="F3500"/>
    </row>
    <row r="3501" spans="4:6" outlineLevel="1">
      <c r="D3501"/>
      <c r="E3501"/>
      <c r="F3501"/>
    </row>
    <row r="3502" spans="4:6" outlineLevel="1">
      <c r="D3502"/>
      <c r="E3502"/>
      <c r="F3502"/>
    </row>
    <row r="3503" spans="4:6" outlineLevel="1">
      <c r="D3503"/>
      <c r="E3503"/>
      <c r="F3503"/>
    </row>
    <row r="3504" spans="4:6" outlineLevel="1">
      <c r="D3504"/>
      <c r="E3504"/>
      <c r="F3504"/>
    </row>
    <row r="3505" spans="4:6" outlineLevel="1">
      <c r="D3505"/>
      <c r="E3505"/>
      <c r="F3505"/>
    </row>
    <row r="3506" spans="4:6" outlineLevel="1">
      <c r="D3506"/>
      <c r="E3506"/>
      <c r="F3506"/>
    </row>
    <row r="3507" spans="4:6" outlineLevel="1">
      <c r="D3507"/>
      <c r="E3507"/>
      <c r="F3507"/>
    </row>
    <row r="3508" spans="4:6" outlineLevel="1">
      <c r="D3508"/>
      <c r="E3508"/>
      <c r="F3508"/>
    </row>
    <row r="3509" spans="4:6" outlineLevel="1">
      <c r="D3509"/>
      <c r="E3509"/>
      <c r="F3509"/>
    </row>
    <row r="3510" spans="4:6" outlineLevel="1">
      <c r="D3510"/>
      <c r="E3510"/>
      <c r="F3510"/>
    </row>
    <row r="3511" spans="4:6" outlineLevel="1">
      <c r="D3511"/>
      <c r="E3511"/>
      <c r="F3511"/>
    </row>
    <row r="3512" spans="4:6" outlineLevel="1">
      <c r="D3512"/>
      <c r="E3512"/>
      <c r="F3512"/>
    </row>
    <row r="3513" spans="4:6" outlineLevel="1">
      <c r="D3513"/>
      <c r="E3513"/>
      <c r="F3513"/>
    </row>
    <row r="3514" spans="4:6" outlineLevel="1">
      <c r="D3514"/>
      <c r="E3514"/>
      <c r="F3514"/>
    </row>
    <row r="3515" spans="4:6" outlineLevel="1">
      <c r="D3515"/>
      <c r="E3515"/>
      <c r="F3515"/>
    </row>
    <row r="3516" spans="4:6" outlineLevel="1">
      <c r="D3516"/>
      <c r="E3516"/>
      <c r="F3516"/>
    </row>
    <row r="3517" spans="4:6" outlineLevel="1">
      <c r="D3517"/>
      <c r="E3517"/>
      <c r="F3517"/>
    </row>
    <row r="3518" spans="4:6" outlineLevel="1">
      <c r="D3518"/>
      <c r="E3518"/>
      <c r="F3518"/>
    </row>
    <row r="3519" spans="4:6" outlineLevel="1">
      <c r="D3519"/>
      <c r="E3519"/>
      <c r="F3519"/>
    </row>
    <row r="3520" spans="4:6" outlineLevel="1">
      <c r="D3520"/>
      <c r="E3520"/>
      <c r="F3520"/>
    </row>
    <row r="3521" spans="4:6" outlineLevel="1">
      <c r="D3521"/>
      <c r="E3521"/>
      <c r="F3521"/>
    </row>
    <row r="3522" spans="4:6" outlineLevel="1">
      <c r="D3522"/>
      <c r="E3522"/>
      <c r="F3522"/>
    </row>
    <row r="3523" spans="4:6" outlineLevel="1">
      <c r="D3523"/>
      <c r="E3523"/>
      <c r="F3523"/>
    </row>
    <row r="3524" spans="4:6" outlineLevel="1">
      <c r="D3524"/>
      <c r="E3524"/>
      <c r="F3524"/>
    </row>
    <row r="3525" spans="4:6" outlineLevel="1">
      <c r="D3525"/>
      <c r="E3525"/>
      <c r="F3525"/>
    </row>
    <row r="3526" spans="4:6" outlineLevel="1">
      <c r="D3526"/>
      <c r="E3526"/>
      <c r="F3526"/>
    </row>
    <row r="3527" spans="4:6" outlineLevel="1">
      <c r="D3527"/>
      <c r="E3527"/>
      <c r="F3527"/>
    </row>
    <row r="3528" spans="4:6" outlineLevel="1">
      <c r="D3528"/>
      <c r="E3528"/>
      <c r="F3528"/>
    </row>
    <row r="3529" spans="4:6" outlineLevel="1">
      <c r="D3529"/>
      <c r="E3529"/>
      <c r="F3529"/>
    </row>
    <row r="3530" spans="4:6" outlineLevel="1">
      <c r="D3530"/>
      <c r="E3530"/>
      <c r="F3530"/>
    </row>
    <row r="3531" spans="4:6" outlineLevel="1">
      <c r="D3531"/>
      <c r="E3531"/>
      <c r="F3531"/>
    </row>
    <row r="3532" spans="4:6" outlineLevel="1">
      <c r="D3532"/>
      <c r="E3532"/>
      <c r="F3532"/>
    </row>
    <row r="3533" spans="4:6" outlineLevel="1">
      <c r="D3533"/>
      <c r="E3533"/>
      <c r="F3533"/>
    </row>
    <row r="3534" spans="4:6" outlineLevel="1">
      <c r="D3534"/>
      <c r="E3534"/>
      <c r="F3534"/>
    </row>
    <row r="3535" spans="4:6" outlineLevel="1">
      <c r="D3535"/>
      <c r="E3535"/>
      <c r="F3535"/>
    </row>
    <row r="3536" spans="4:6" outlineLevel="1">
      <c r="D3536"/>
      <c r="E3536"/>
      <c r="F3536"/>
    </row>
    <row r="3537" spans="4:6" outlineLevel="1">
      <c r="D3537"/>
      <c r="E3537"/>
      <c r="F3537"/>
    </row>
    <row r="3538" spans="4:6" outlineLevel="1">
      <c r="D3538"/>
      <c r="E3538"/>
      <c r="F3538"/>
    </row>
    <row r="3539" spans="4:6" outlineLevel="1">
      <c r="D3539"/>
      <c r="E3539"/>
      <c r="F3539"/>
    </row>
    <row r="3540" spans="4:6" outlineLevel="1">
      <c r="D3540"/>
      <c r="E3540"/>
      <c r="F3540"/>
    </row>
    <row r="3541" spans="4:6" outlineLevel="1">
      <c r="D3541"/>
      <c r="E3541"/>
      <c r="F3541"/>
    </row>
    <row r="3542" spans="4:6" outlineLevel="1">
      <c r="D3542"/>
      <c r="E3542"/>
      <c r="F3542"/>
    </row>
    <row r="3543" spans="4:6" outlineLevel="1">
      <c r="D3543"/>
      <c r="E3543"/>
      <c r="F3543"/>
    </row>
    <row r="3544" spans="4:6" outlineLevel="1">
      <c r="D3544"/>
      <c r="E3544"/>
      <c r="F3544"/>
    </row>
    <row r="3545" spans="4:6" outlineLevel="1">
      <c r="D3545"/>
      <c r="E3545"/>
      <c r="F3545"/>
    </row>
    <row r="3546" spans="4:6" outlineLevel="1">
      <c r="D3546"/>
      <c r="E3546"/>
      <c r="F3546"/>
    </row>
    <row r="3547" spans="4:6" outlineLevel="1">
      <c r="D3547"/>
      <c r="E3547"/>
      <c r="F3547"/>
    </row>
    <row r="3548" spans="4:6" outlineLevel="1">
      <c r="D3548"/>
      <c r="E3548"/>
      <c r="F3548"/>
    </row>
    <row r="3549" spans="4:6" outlineLevel="1">
      <c r="D3549"/>
      <c r="E3549"/>
      <c r="F3549"/>
    </row>
    <row r="3550" spans="4:6" outlineLevel="1">
      <c r="D3550"/>
      <c r="E3550"/>
      <c r="F3550"/>
    </row>
    <row r="3551" spans="4:6" outlineLevel="1">
      <c r="D3551"/>
      <c r="E3551"/>
      <c r="F3551"/>
    </row>
    <row r="3552" spans="4:6" outlineLevel="1">
      <c r="D3552"/>
      <c r="E3552"/>
      <c r="F3552"/>
    </row>
    <row r="3553" spans="4:6" outlineLevel="1">
      <c r="D3553"/>
      <c r="E3553"/>
      <c r="F3553"/>
    </row>
    <row r="3554" spans="4:6" outlineLevel="1">
      <c r="D3554"/>
      <c r="E3554"/>
      <c r="F3554"/>
    </row>
    <row r="3555" spans="4:6" outlineLevel="1">
      <c r="D3555"/>
      <c r="E3555"/>
      <c r="F3555"/>
    </row>
    <row r="3556" spans="4:6" outlineLevel="1">
      <c r="D3556"/>
      <c r="E3556"/>
      <c r="F3556"/>
    </row>
    <row r="3557" spans="4:6" outlineLevel="1">
      <c r="D3557"/>
      <c r="E3557"/>
      <c r="F3557"/>
    </row>
    <row r="3558" spans="4:6" outlineLevel="1">
      <c r="D3558"/>
      <c r="E3558"/>
      <c r="F3558"/>
    </row>
    <row r="3559" spans="4:6" outlineLevel="1">
      <c r="D3559"/>
      <c r="E3559"/>
      <c r="F3559"/>
    </row>
    <row r="3560" spans="4:6" outlineLevel="1">
      <c r="D3560"/>
      <c r="E3560"/>
      <c r="F3560"/>
    </row>
    <row r="3561" spans="4:6" outlineLevel="1">
      <c r="D3561"/>
      <c r="E3561"/>
      <c r="F3561"/>
    </row>
    <row r="3562" spans="4:6" outlineLevel="1">
      <c r="D3562"/>
      <c r="E3562"/>
      <c r="F3562"/>
    </row>
    <row r="3563" spans="4:6" outlineLevel="1">
      <c r="D3563"/>
      <c r="E3563"/>
      <c r="F3563"/>
    </row>
    <row r="3564" spans="4:6" outlineLevel="1">
      <c r="D3564"/>
      <c r="E3564"/>
      <c r="F3564"/>
    </row>
    <row r="3565" spans="4:6" outlineLevel="1">
      <c r="D3565"/>
      <c r="E3565"/>
      <c r="F3565"/>
    </row>
    <row r="3566" spans="4:6" outlineLevel="1">
      <c r="D3566"/>
      <c r="E3566"/>
      <c r="F3566"/>
    </row>
    <row r="3567" spans="4:6" outlineLevel="1">
      <c r="D3567"/>
      <c r="E3567"/>
      <c r="F3567"/>
    </row>
    <row r="3568" spans="4:6" outlineLevel="1">
      <c r="D3568"/>
      <c r="E3568"/>
      <c r="F3568"/>
    </row>
    <row r="3569" spans="4:6" outlineLevel="1">
      <c r="D3569"/>
      <c r="E3569"/>
      <c r="F3569"/>
    </row>
    <row r="3570" spans="4:6" outlineLevel="1">
      <c r="D3570"/>
      <c r="E3570"/>
      <c r="F3570"/>
    </row>
    <row r="3571" spans="4:6" outlineLevel="1">
      <c r="D3571"/>
      <c r="E3571"/>
      <c r="F3571"/>
    </row>
    <row r="3572" spans="4:6" outlineLevel="1">
      <c r="D3572"/>
      <c r="E3572"/>
      <c r="F3572"/>
    </row>
    <row r="3573" spans="4:6" outlineLevel="1">
      <c r="D3573"/>
      <c r="E3573"/>
      <c r="F3573"/>
    </row>
    <row r="3574" spans="4:6" outlineLevel="1">
      <c r="D3574"/>
      <c r="E3574"/>
      <c r="F3574"/>
    </row>
    <row r="3575" spans="4:6" outlineLevel="1">
      <c r="D3575"/>
      <c r="E3575"/>
      <c r="F3575"/>
    </row>
    <row r="3576" spans="4:6" outlineLevel="1">
      <c r="D3576"/>
      <c r="E3576"/>
      <c r="F3576"/>
    </row>
    <row r="3577" spans="4:6" outlineLevel="1">
      <c r="D3577"/>
      <c r="E3577"/>
      <c r="F3577"/>
    </row>
    <row r="3578" spans="4:6" outlineLevel="1">
      <c r="D3578"/>
      <c r="E3578"/>
      <c r="F3578"/>
    </row>
    <row r="3579" spans="4:6" outlineLevel="1">
      <c r="D3579"/>
      <c r="E3579"/>
      <c r="F3579"/>
    </row>
    <row r="3580" spans="4:6" outlineLevel="1">
      <c r="D3580"/>
      <c r="E3580"/>
      <c r="F3580"/>
    </row>
    <row r="3581" spans="4:6" outlineLevel="1">
      <c r="D3581"/>
      <c r="E3581"/>
      <c r="F3581"/>
    </row>
    <row r="3582" spans="4:6" outlineLevel="1">
      <c r="D3582"/>
      <c r="E3582"/>
      <c r="F3582"/>
    </row>
    <row r="3583" spans="4:6" outlineLevel="1">
      <c r="D3583"/>
      <c r="E3583"/>
      <c r="F3583"/>
    </row>
    <row r="3584" spans="4:6" outlineLevel="1">
      <c r="D3584"/>
      <c r="E3584"/>
      <c r="F3584"/>
    </row>
    <row r="3585" spans="4:6" outlineLevel="1">
      <c r="D3585"/>
      <c r="E3585"/>
      <c r="F3585"/>
    </row>
    <row r="3586" spans="4:6" outlineLevel="1">
      <c r="D3586"/>
      <c r="E3586"/>
      <c r="F3586"/>
    </row>
    <row r="3587" spans="4:6" outlineLevel="1">
      <c r="D3587"/>
      <c r="E3587"/>
      <c r="F3587"/>
    </row>
    <row r="3588" spans="4:6" outlineLevel="1">
      <c r="D3588"/>
      <c r="E3588"/>
      <c r="F3588"/>
    </row>
    <row r="3589" spans="4:6" outlineLevel="1">
      <c r="D3589"/>
      <c r="E3589"/>
      <c r="F3589"/>
    </row>
    <row r="3590" spans="4:6" outlineLevel="1">
      <c r="D3590"/>
      <c r="E3590"/>
      <c r="F3590"/>
    </row>
    <row r="3591" spans="4:6" outlineLevel="1">
      <c r="D3591"/>
      <c r="E3591"/>
      <c r="F3591"/>
    </row>
    <row r="3592" spans="4:6" outlineLevel="1">
      <c r="D3592"/>
      <c r="E3592"/>
      <c r="F3592"/>
    </row>
    <row r="3593" spans="4:6" outlineLevel="1">
      <c r="D3593"/>
      <c r="E3593"/>
      <c r="F3593"/>
    </row>
    <row r="3594" spans="4:6" outlineLevel="1">
      <c r="D3594"/>
      <c r="E3594"/>
      <c r="F3594"/>
    </row>
    <row r="3595" spans="4:6" outlineLevel="1">
      <c r="D3595"/>
      <c r="E3595"/>
      <c r="F3595"/>
    </row>
    <row r="3596" spans="4:6" outlineLevel="1">
      <c r="D3596"/>
      <c r="E3596"/>
      <c r="F3596"/>
    </row>
    <row r="3597" spans="4:6" outlineLevel="1">
      <c r="D3597"/>
      <c r="E3597"/>
      <c r="F3597"/>
    </row>
    <row r="3598" spans="4:6" outlineLevel="1">
      <c r="D3598"/>
      <c r="E3598"/>
      <c r="F3598"/>
    </row>
    <row r="3599" spans="4:6" outlineLevel="1">
      <c r="D3599"/>
      <c r="E3599"/>
      <c r="F3599"/>
    </row>
    <row r="3600" spans="4:6" outlineLevel="1">
      <c r="D3600"/>
      <c r="E3600"/>
      <c r="F3600"/>
    </row>
    <row r="3601" spans="4:6" outlineLevel="1">
      <c r="D3601"/>
      <c r="E3601"/>
      <c r="F3601"/>
    </row>
    <row r="3602" spans="4:6" outlineLevel="1">
      <c r="D3602"/>
      <c r="E3602"/>
      <c r="F3602"/>
    </row>
    <row r="3603" spans="4:6" outlineLevel="1">
      <c r="D3603"/>
      <c r="E3603"/>
      <c r="F3603"/>
    </row>
    <row r="3604" spans="4:6" outlineLevel="1">
      <c r="D3604"/>
      <c r="E3604"/>
      <c r="F3604"/>
    </row>
    <row r="3605" spans="4:6" outlineLevel="1">
      <c r="D3605"/>
      <c r="E3605"/>
      <c r="F3605"/>
    </row>
    <row r="3606" spans="4:6" outlineLevel="1">
      <c r="D3606"/>
      <c r="E3606"/>
      <c r="F3606"/>
    </row>
    <row r="3607" spans="4:6" outlineLevel="1">
      <c r="D3607"/>
      <c r="E3607"/>
      <c r="F3607"/>
    </row>
    <row r="3608" spans="4:6" outlineLevel="1">
      <c r="D3608"/>
      <c r="E3608"/>
      <c r="F3608"/>
    </row>
    <row r="3609" spans="4:6" outlineLevel="1">
      <c r="D3609"/>
      <c r="E3609"/>
      <c r="F3609"/>
    </row>
    <row r="3610" spans="4:6" outlineLevel="1">
      <c r="D3610"/>
      <c r="E3610"/>
      <c r="F3610"/>
    </row>
    <row r="3611" spans="4:6" outlineLevel="1">
      <c r="D3611"/>
      <c r="E3611"/>
      <c r="F3611"/>
    </row>
    <row r="3612" spans="4:6" outlineLevel="1">
      <c r="D3612"/>
      <c r="E3612"/>
      <c r="F3612"/>
    </row>
    <row r="3613" spans="4:6" outlineLevel="1">
      <c r="D3613"/>
      <c r="E3613"/>
      <c r="F3613"/>
    </row>
    <row r="3614" spans="4:6" outlineLevel="1">
      <c r="D3614"/>
      <c r="E3614"/>
      <c r="F3614"/>
    </row>
    <row r="3615" spans="4:6" outlineLevel="1">
      <c r="D3615"/>
      <c r="E3615"/>
      <c r="F3615"/>
    </row>
    <row r="3616" spans="4:6" outlineLevel="1">
      <c r="D3616"/>
      <c r="E3616"/>
      <c r="F3616"/>
    </row>
    <row r="3617" spans="4:6" outlineLevel="1">
      <c r="D3617"/>
      <c r="E3617"/>
      <c r="F3617"/>
    </row>
    <row r="3618" spans="4:6" outlineLevel="1">
      <c r="D3618"/>
      <c r="E3618"/>
      <c r="F3618"/>
    </row>
    <row r="3619" spans="4:6" outlineLevel="1">
      <c r="D3619"/>
      <c r="E3619"/>
      <c r="F3619"/>
    </row>
    <row r="3620" spans="4:6" outlineLevel="1">
      <c r="D3620"/>
      <c r="E3620"/>
      <c r="F3620"/>
    </row>
    <row r="3621" spans="4:6" outlineLevel="1">
      <c r="D3621"/>
      <c r="E3621"/>
      <c r="F3621"/>
    </row>
    <row r="3622" spans="4:6" outlineLevel="1">
      <c r="D3622"/>
      <c r="E3622"/>
      <c r="F3622"/>
    </row>
    <row r="3623" spans="4:6" outlineLevel="1">
      <c r="D3623"/>
      <c r="E3623"/>
      <c r="F3623"/>
    </row>
    <row r="3624" spans="4:6" outlineLevel="1">
      <c r="D3624"/>
      <c r="E3624"/>
      <c r="F3624"/>
    </row>
    <row r="3625" spans="4:6" outlineLevel="1">
      <c r="D3625"/>
      <c r="E3625"/>
      <c r="F3625"/>
    </row>
    <row r="3626" spans="4:6" outlineLevel="1">
      <c r="D3626"/>
      <c r="E3626"/>
      <c r="F3626"/>
    </row>
    <row r="3627" spans="4:6" outlineLevel="1">
      <c r="D3627"/>
      <c r="E3627"/>
      <c r="F3627"/>
    </row>
    <row r="3628" spans="4:6" outlineLevel="1">
      <c r="D3628"/>
      <c r="E3628"/>
      <c r="F3628"/>
    </row>
    <row r="3629" spans="4:6" outlineLevel="1">
      <c r="D3629"/>
      <c r="E3629"/>
      <c r="F3629"/>
    </row>
    <row r="3630" spans="4:6" outlineLevel="1">
      <c r="D3630"/>
      <c r="E3630"/>
      <c r="F3630"/>
    </row>
    <row r="3631" spans="4:6" outlineLevel="1">
      <c r="D3631"/>
      <c r="E3631"/>
      <c r="F3631"/>
    </row>
    <row r="3632" spans="4:6" outlineLevel="1">
      <c r="D3632"/>
      <c r="E3632"/>
      <c r="F3632"/>
    </row>
    <row r="3633" spans="4:6" outlineLevel="1">
      <c r="D3633"/>
      <c r="E3633"/>
      <c r="F3633"/>
    </row>
    <row r="3634" spans="4:6" outlineLevel="1">
      <c r="D3634"/>
      <c r="E3634"/>
      <c r="F3634"/>
    </row>
    <row r="3635" spans="4:6" outlineLevel="1">
      <c r="D3635"/>
      <c r="E3635"/>
      <c r="F3635"/>
    </row>
    <row r="3636" spans="4:6" outlineLevel="1">
      <c r="D3636"/>
      <c r="E3636"/>
      <c r="F3636"/>
    </row>
    <row r="3637" spans="4:6" outlineLevel="1">
      <c r="D3637"/>
      <c r="E3637"/>
      <c r="F3637"/>
    </row>
    <row r="3638" spans="4:6" outlineLevel="1">
      <c r="D3638"/>
      <c r="E3638"/>
      <c r="F3638"/>
    </row>
    <row r="3639" spans="4:6" outlineLevel="1">
      <c r="D3639"/>
      <c r="E3639"/>
      <c r="F3639"/>
    </row>
    <row r="3640" spans="4:6" outlineLevel="1">
      <c r="D3640"/>
      <c r="E3640"/>
      <c r="F3640"/>
    </row>
    <row r="3641" spans="4:6" outlineLevel="1">
      <c r="D3641"/>
      <c r="E3641"/>
      <c r="F3641"/>
    </row>
    <row r="3642" spans="4:6" outlineLevel="1">
      <c r="D3642"/>
      <c r="E3642"/>
      <c r="F3642"/>
    </row>
    <row r="3643" spans="4:6" outlineLevel="1">
      <c r="D3643"/>
      <c r="E3643"/>
      <c r="F3643"/>
    </row>
    <row r="3644" spans="4:6" outlineLevel="1">
      <c r="D3644"/>
      <c r="E3644"/>
      <c r="F3644"/>
    </row>
    <row r="3645" spans="4:6" outlineLevel="1">
      <c r="D3645"/>
      <c r="E3645"/>
      <c r="F3645"/>
    </row>
    <row r="3646" spans="4:6" outlineLevel="1">
      <c r="D3646"/>
      <c r="E3646"/>
      <c r="F3646"/>
    </row>
    <row r="3647" spans="4:6" outlineLevel="1">
      <c r="D3647"/>
      <c r="E3647"/>
      <c r="F3647"/>
    </row>
    <row r="3648" spans="4:6" outlineLevel="1">
      <c r="D3648"/>
      <c r="E3648"/>
      <c r="F3648"/>
    </row>
    <row r="3649" spans="4:6" outlineLevel="1">
      <c r="D3649"/>
      <c r="E3649"/>
      <c r="F3649"/>
    </row>
    <row r="3650" spans="4:6" outlineLevel="1">
      <c r="D3650"/>
      <c r="E3650"/>
      <c r="F3650"/>
    </row>
    <row r="3651" spans="4:6" outlineLevel="1">
      <c r="D3651"/>
      <c r="E3651"/>
      <c r="F3651"/>
    </row>
    <row r="3652" spans="4:6" outlineLevel="1">
      <c r="D3652"/>
      <c r="E3652"/>
      <c r="F3652"/>
    </row>
    <row r="3653" spans="4:6" outlineLevel="1">
      <c r="D3653"/>
      <c r="E3653"/>
      <c r="F3653"/>
    </row>
    <row r="3654" spans="4:6" outlineLevel="1">
      <c r="D3654"/>
      <c r="E3654"/>
      <c r="F3654"/>
    </row>
    <row r="3655" spans="4:6" outlineLevel="1">
      <c r="D3655"/>
      <c r="E3655"/>
      <c r="F3655"/>
    </row>
    <row r="3656" spans="4:6" outlineLevel="1">
      <c r="D3656"/>
      <c r="E3656"/>
      <c r="F3656"/>
    </row>
    <row r="3657" spans="4:6" outlineLevel="1">
      <c r="D3657"/>
      <c r="E3657"/>
      <c r="F3657"/>
    </row>
    <row r="3658" spans="4:6" outlineLevel="1">
      <c r="D3658"/>
      <c r="E3658"/>
      <c r="F3658"/>
    </row>
    <row r="3659" spans="4:6" outlineLevel="1">
      <c r="D3659"/>
      <c r="E3659"/>
      <c r="F3659"/>
    </row>
    <row r="3660" spans="4:6" outlineLevel="1">
      <c r="D3660"/>
      <c r="E3660"/>
      <c r="F3660"/>
    </row>
    <row r="3661" spans="4:6" outlineLevel="1">
      <c r="D3661"/>
      <c r="E3661"/>
      <c r="F3661"/>
    </row>
    <row r="3662" spans="4:6" outlineLevel="1">
      <c r="D3662"/>
      <c r="E3662"/>
      <c r="F3662"/>
    </row>
    <row r="3663" spans="4:6" outlineLevel="1">
      <c r="D3663"/>
      <c r="E3663"/>
      <c r="F3663"/>
    </row>
    <row r="3664" spans="4:6" outlineLevel="1">
      <c r="D3664"/>
      <c r="E3664"/>
      <c r="F3664"/>
    </row>
    <row r="3665" spans="4:6" outlineLevel="1">
      <c r="D3665"/>
      <c r="E3665"/>
      <c r="F3665"/>
    </row>
    <row r="3666" spans="4:6" outlineLevel="1">
      <c r="D3666"/>
      <c r="E3666"/>
      <c r="F3666"/>
    </row>
    <row r="3667" spans="4:6" outlineLevel="1">
      <c r="D3667"/>
      <c r="E3667"/>
      <c r="F3667"/>
    </row>
    <row r="3668" spans="4:6" outlineLevel="1">
      <c r="D3668"/>
      <c r="E3668"/>
      <c r="F3668"/>
    </row>
    <row r="3669" spans="4:6" outlineLevel="1">
      <c r="D3669"/>
      <c r="E3669"/>
      <c r="F3669"/>
    </row>
    <row r="3670" spans="4:6" outlineLevel="1">
      <c r="D3670"/>
      <c r="E3670"/>
      <c r="F3670"/>
    </row>
    <row r="3671" spans="4:6" outlineLevel="1">
      <c r="D3671"/>
      <c r="E3671"/>
      <c r="F3671"/>
    </row>
    <row r="3672" spans="4:6" outlineLevel="1">
      <c r="D3672"/>
      <c r="E3672"/>
      <c r="F3672"/>
    </row>
    <row r="3673" spans="4:6" outlineLevel="1">
      <c r="D3673"/>
      <c r="E3673"/>
      <c r="F3673"/>
    </row>
    <row r="3674" spans="4:6" outlineLevel="1">
      <c r="D3674"/>
      <c r="E3674"/>
      <c r="F3674"/>
    </row>
    <row r="3675" spans="4:6" outlineLevel="1">
      <c r="D3675"/>
      <c r="E3675"/>
      <c r="F3675"/>
    </row>
    <row r="3676" spans="4:6" outlineLevel="1">
      <c r="D3676"/>
      <c r="E3676"/>
      <c r="F3676"/>
    </row>
    <row r="3677" spans="4:6" outlineLevel="1">
      <c r="D3677"/>
      <c r="E3677"/>
      <c r="F3677"/>
    </row>
    <row r="3678" spans="4:6" outlineLevel="1">
      <c r="D3678"/>
      <c r="E3678"/>
      <c r="F3678"/>
    </row>
    <row r="3679" spans="4:6" outlineLevel="1">
      <c r="D3679"/>
      <c r="E3679"/>
      <c r="F3679"/>
    </row>
    <row r="3680" spans="4:6" outlineLevel="1">
      <c r="D3680"/>
      <c r="E3680"/>
      <c r="F3680"/>
    </row>
    <row r="3681" spans="4:6" outlineLevel="1">
      <c r="D3681"/>
      <c r="E3681"/>
      <c r="F3681"/>
    </row>
    <row r="3682" spans="4:6" outlineLevel="1">
      <c r="D3682"/>
      <c r="E3682"/>
      <c r="F3682"/>
    </row>
    <row r="3683" spans="4:6" outlineLevel="1">
      <c r="D3683"/>
      <c r="E3683"/>
      <c r="F3683"/>
    </row>
    <row r="3684" spans="4:6" outlineLevel="1">
      <c r="D3684"/>
      <c r="E3684"/>
      <c r="F3684"/>
    </row>
    <row r="3685" spans="4:6" outlineLevel="1">
      <c r="D3685"/>
      <c r="E3685"/>
      <c r="F3685"/>
    </row>
    <row r="3686" spans="4:6" outlineLevel="1">
      <c r="D3686"/>
      <c r="E3686"/>
      <c r="F3686"/>
    </row>
    <row r="3687" spans="4:6" outlineLevel="1">
      <c r="D3687"/>
      <c r="E3687"/>
      <c r="F3687"/>
    </row>
    <row r="3688" spans="4:6" outlineLevel="1">
      <c r="D3688"/>
      <c r="E3688"/>
      <c r="F3688"/>
    </row>
    <row r="3689" spans="4:6" outlineLevel="1">
      <c r="D3689"/>
      <c r="E3689"/>
      <c r="F3689"/>
    </row>
    <row r="3690" spans="4:6" outlineLevel="1">
      <c r="D3690"/>
      <c r="E3690"/>
      <c r="F3690"/>
    </row>
    <row r="3691" spans="4:6" outlineLevel="1">
      <c r="D3691"/>
      <c r="E3691"/>
      <c r="F3691"/>
    </row>
    <row r="3692" spans="4:6" outlineLevel="1">
      <c r="D3692"/>
      <c r="E3692"/>
      <c r="F3692"/>
    </row>
    <row r="3693" spans="4:6" outlineLevel="1">
      <c r="D3693"/>
      <c r="E3693"/>
      <c r="F3693"/>
    </row>
    <row r="3694" spans="4:6" outlineLevel="1">
      <c r="D3694"/>
      <c r="E3694"/>
      <c r="F3694"/>
    </row>
    <row r="3695" spans="4:6" outlineLevel="1">
      <c r="D3695"/>
      <c r="E3695"/>
      <c r="F3695"/>
    </row>
    <row r="3696" spans="4:6" outlineLevel="1">
      <c r="D3696"/>
      <c r="E3696"/>
      <c r="F3696"/>
    </row>
    <row r="3697" spans="4:6" outlineLevel="1">
      <c r="D3697"/>
      <c r="E3697"/>
      <c r="F3697"/>
    </row>
    <row r="3698" spans="4:6" outlineLevel="1">
      <c r="D3698"/>
      <c r="E3698"/>
      <c r="F3698"/>
    </row>
    <row r="3699" spans="4:6" outlineLevel="1">
      <c r="D3699"/>
      <c r="E3699"/>
      <c r="F3699"/>
    </row>
    <row r="3700" spans="4:6" outlineLevel="1">
      <c r="D3700"/>
      <c r="E3700"/>
      <c r="F3700"/>
    </row>
    <row r="3701" spans="4:6" outlineLevel="1">
      <c r="D3701"/>
      <c r="E3701"/>
      <c r="F3701"/>
    </row>
    <row r="3702" spans="4:6" outlineLevel="1">
      <c r="D3702"/>
      <c r="E3702"/>
      <c r="F3702"/>
    </row>
    <row r="3703" spans="4:6" outlineLevel="1">
      <c r="D3703"/>
      <c r="E3703"/>
      <c r="F3703"/>
    </row>
    <row r="3704" spans="4:6" outlineLevel="1">
      <c r="D3704"/>
      <c r="E3704"/>
      <c r="F3704"/>
    </row>
    <row r="3705" spans="4:6" outlineLevel="1">
      <c r="D3705"/>
      <c r="E3705"/>
      <c r="F3705"/>
    </row>
    <row r="3706" spans="4:6" outlineLevel="1">
      <c r="D3706"/>
      <c r="E3706"/>
      <c r="F3706"/>
    </row>
    <row r="3707" spans="4:6" outlineLevel="1">
      <c r="D3707"/>
      <c r="E3707"/>
      <c r="F3707"/>
    </row>
    <row r="3708" spans="4:6" outlineLevel="1">
      <c r="D3708"/>
      <c r="E3708"/>
      <c r="F3708"/>
    </row>
    <row r="3709" spans="4:6" outlineLevel="1">
      <c r="D3709"/>
      <c r="E3709"/>
      <c r="F3709"/>
    </row>
    <row r="3710" spans="4:6" outlineLevel="1">
      <c r="D3710"/>
      <c r="E3710"/>
      <c r="F3710"/>
    </row>
    <row r="3711" spans="4:6" outlineLevel="1">
      <c r="D3711"/>
      <c r="E3711"/>
      <c r="F3711"/>
    </row>
    <row r="3712" spans="4:6" outlineLevel="1">
      <c r="D3712"/>
      <c r="E3712"/>
      <c r="F3712"/>
    </row>
    <row r="3713" spans="4:6" outlineLevel="1">
      <c r="D3713"/>
      <c r="E3713"/>
      <c r="F3713"/>
    </row>
    <row r="3714" spans="4:6" outlineLevel="1">
      <c r="D3714"/>
      <c r="E3714"/>
      <c r="F3714"/>
    </row>
    <row r="3715" spans="4:6" outlineLevel="1">
      <c r="D3715"/>
      <c r="E3715"/>
      <c r="F3715"/>
    </row>
    <row r="3716" spans="4:6" outlineLevel="1">
      <c r="D3716"/>
      <c r="E3716"/>
      <c r="F3716"/>
    </row>
    <row r="3717" spans="4:6" outlineLevel="1">
      <c r="D3717"/>
      <c r="E3717"/>
      <c r="F3717"/>
    </row>
    <row r="3718" spans="4:6" outlineLevel="1">
      <c r="D3718"/>
      <c r="E3718"/>
      <c r="F3718"/>
    </row>
    <row r="3719" spans="4:6" outlineLevel="1">
      <c r="D3719"/>
      <c r="E3719"/>
      <c r="F3719"/>
    </row>
    <row r="3720" spans="4:6" outlineLevel="1">
      <c r="D3720"/>
      <c r="E3720"/>
      <c r="F3720"/>
    </row>
    <row r="3721" spans="4:6" outlineLevel="1">
      <c r="D3721"/>
      <c r="E3721"/>
      <c r="F3721"/>
    </row>
    <row r="3722" spans="4:6" outlineLevel="1">
      <c r="D3722"/>
      <c r="E3722"/>
      <c r="F3722"/>
    </row>
    <row r="3723" spans="4:6" outlineLevel="1">
      <c r="D3723"/>
      <c r="E3723"/>
      <c r="F3723"/>
    </row>
    <row r="3724" spans="4:6" outlineLevel="1">
      <c r="D3724"/>
      <c r="E3724"/>
      <c r="F3724"/>
    </row>
    <row r="3725" spans="4:6" outlineLevel="1">
      <c r="D3725"/>
      <c r="E3725"/>
      <c r="F3725"/>
    </row>
    <row r="3726" spans="4:6" outlineLevel="1">
      <c r="D3726"/>
      <c r="E3726"/>
      <c r="F3726"/>
    </row>
    <row r="3727" spans="4:6" outlineLevel="1">
      <c r="D3727"/>
      <c r="E3727"/>
      <c r="F3727"/>
    </row>
    <row r="3728" spans="4:6" outlineLevel="1">
      <c r="D3728"/>
      <c r="E3728"/>
      <c r="F3728"/>
    </row>
    <row r="3729" spans="4:6" outlineLevel="1">
      <c r="D3729"/>
      <c r="E3729"/>
      <c r="F3729"/>
    </row>
    <row r="3730" spans="4:6" outlineLevel="1">
      <c r="D3730"/>
      <c r="E3730"/>
      <c r="F3730"/>
    </row>
    <row r="3731" spans="4:6" outlineLevel="1">
      <c r="D3731"/>
      <c r="E3731"/>
      <c r="F3731"/>
    </row>
    <row r="3732" spans="4:6" outlineLevel="1">
      <c r="D3732"/>
      <c r="E3732"/>
      <c r="F3732"/>
    </row>
    <row r="3733" spans="4:6" outlineLevel="1">
      <c r="D3733"/>
      <c r="E3733"/>
      <c r="F3733"/>
    </row>
    <row r="3734" spans="4:6" outlineLevel="1">
      <c r="D3734"/>
      <c r="E3734"/>
      <c r="F3734"/>
    </row>
    <row r="3735" spans="4:6" outlineLevel="1">
      <c r="D3735"/>
      <c r="E3735"/>
      <c r="F3735"/>
    </row>
    <row r="3736" spans="4:6" outlineLevel="1">
      <c r="D3736"/>
      <c r="E3736"/>
      <c r="F3736"/>
    </row>
    <row r="3737" spans="4:6" outlineLevel="1">
      <c r="D3737"/>
      <c r="E3737"/>
      <c r="F3737"/>
    </row>
    <row r="3738" spans="4:6" outlineLevel="1">
      <c r="D3738"/>
      <c r="E3738"/>
      <c r="F3738"/>
    </row>
    <row r="3739" spans="4:6" outlineLevel="1">
      <c r="D3739"/>
      <c r="E3739"/>
      <c r="F3739"/>
    </row>
    <row r="3740" spans="4:6" outlineLevel="1">
      <c r="D3740"/>
      <c r="E3740"/>
      <c r="F3740"/>
    </row>
    <row r="3741" spans="4:6" outlineLevel="1">
      <c r="D3741"/>
      <c r="E3741"/>
      <c r="F3741"/>
    </row>
    <row r="3742" spans="4:6" outlineLevel="1">
      <c r="D3742"/>
      <c r="E3742"/>
      <c r="F3742"/>
    </row>
    <row r="3743" spans="4:6" outlineLevel="1">
      <c r="D3743"/>
      <c r="E3743"/>
      <c r="F3743"/>
    </row>
    <row r="3744" spans="4:6" outlineLevel="1">
      <c r="D3744"/>
      <c r="E3744"/>
      <c r="F3744"/>
    </row>
    <row r="3745" spans="4:6" outlineLevel="1">
      <c r="D3745"/>
      <c r="E3745"/>
      <c r="F3745"/>
    </row>
    <row r="3746" spans="4:6" outlineLevel="1">
      <c r="D3746"/>
      <c r="E3746"/>
      <c r="F3746"/>
    </row>
    <row r="3747" spans="4:6" outlineLevel="1">
      <c r="D3747"/>
      <c r="E3747"/>
      <c r="F3747"/>
    </row>
    <row r="3748" spans="4:6" outlineLevel="1">
      <c r="D3748"/>
      <c r="E3748"/>
      <c r="F3748"/>
    </row>
    <row r="3749" spans="4:6" outlineLevel="1">
      <c r="D3749"/>
      <c r="E3749"/>
      <c r="F3749"/>
    </row>
    <row r="3750" spans="4:6" outlineLevel="1">
      <c r="D3750"/>
      <c r="E3750"/>
      <c r="F3750"/>
    </row>
    <row r="3751" spans="4:6" outlineLevel="1">
      <c r="D3751"/>
      <c r="E3751"/>
      <c r="F3751"/>
    </row>
    <row r="3752" spans="4:6" outlineLevel="1">
      <c r="D3752"/>
      <c r="E3752"/>
      <c r="F3752"/>
    </row>
    <row r="3753" spans="4:6" outlineLevel="1">
      <c r="D3753"/>
      <c r="E3753"/>
      <c r="F3753"/>
    </row>
    <row r="3754" spans="4:6" outlineLevel="1">
      <c r="D3754"/>
      <c r="E3754"/>
      <c r="F3754"/>
    </row>
    <row r="3755" spans="4:6" outlineLevel="1">
      <c r="D3755"/>
      <c r="E3755"/>
      <c r="F3755"/>
    </row>
    <row r="3756" spans="4:6" outlineLevel="1">
      <c r="D3756"/>
      <c r="E3756"/>
      <c r="F3756"/>
    </row>
    <row r="3757" spans="4:6" outlineLevel="1">
      <c r="D3757"/>
      <c r="E3757"/>
      <c r="F3757"/>
    </row>
    <row r="3758" spans="4:6" outlineLevel="1">
      <c r="D3758"/>
      <c r="E3758"/>
      <c r="F3758"/>
    </row>
    <row r="3759" spans="4:6" outlineLevel="1">
      <c r="D3759"/>
      <c r="E3759"/>
      <c r="F3759"/>
    </row>
    <row r="3760" spans="4:6" outlineLevel="1">
      <c r="D3760"/>
      <c r="E3760"/>
      <c r="F3760"/>
    </row>
    <row r="3761" spans="4:6" outlineLevel="1">
      <c r="D3761"/>
      <c r="E3761"/>
      <c r="F3761"/>
    </row>
    <row r="3762" spans="4:6" outlineLevel="1">
      <c r="D3762"/>
      <c r="E3762"/>
      <c r="F3762"/>
    </row>
    <row r="3763" spans="4:6" outlineLevel="1">
      <c r="D3763"/>
      <c r="E3763"/>
      <c r="F3763"/>
    </row>
    <row r="3764" spans="4:6" outlineLevel="1">
      <c r="D3764"/>
      <c r="E3764"/>
      <c r="F3764"/>
    </row>
    <row r="3765" spans="4:6" outlineLevel="1">
      <c r="D3765"/>
      <c r="E3765"/>
      <c r="F3765"/>
    </row>
    <row r="3766" spans="4:6" outlineLevel="1">
      <c r="D3766"/>
      <c r="E3766"/>
      <c r="F3766"/>
    </row>
    <row r="3767" spans="4:6" outlineLevel="1">
      <c r="D3767"/>
      <c r="E3767"/>
      <c r="F3767"/>
    </row>
    <row r="3768" spans="4:6" outlineLevel="1">
      <c r="D3768"/>
      <c r="E3768"/>
      <c r="F3768"/>
    </row>
    <row r="3769" spans="4:6" outlineLevel="1">
      <c r="D3769"/>
      <c r="E3769"/>
      <c r="F3769"/>
    </row>
    <row r="3770" spans="4:6" outlineLevel="1">
      <c r="D3770"/>
      <c r="E3770"/>
      <c r="F3770"/>
    </row>
    <row r="3771" spans="4:6" outlineLevel="1">
      <c r="D3771"/>
      <c r="E3771"/>
      <c r="F3771"/>
    </row>
    <row r="3772" spans="4:6" outlineLevel="1">
      <c r="D3772"/>
      <c r="E3772"/>
      <c r="F3772"/>
    </row>
    <row r="3773" spans="4:6" outlineLevel="1">
      <c r="D3773"/>
      <c r="E3773"/>
      <c r="F3773"/>
    </row>
    <row r="3774" spans="4:6" outlineLevel="1">
      <c r="D3774"/>
      <c r="E3774"/>
      <c r="F3774"/>
    </row>
    <row r="3775" spans="4:6" outlineLevel="1">
      <c r="D3775"/>
      <c r="E3775"/>
      <c r="F3775"/>
    </row>
    <row r="3776" spans="4:6" outlineLevel="1">
      <c r="D3776"/>
      <c r="E3776"/>
      <c r="F3776"/>
    </row>
    <row r="3777" spans="4:6" outlineLevel="1">
      <c r="D3777"/>
      <c r="E3777"/>
      <c r="F3777"/>
    </row>
    <row r="3778" spans="4:6" outlineLevel="1">
      <c r="D3778"/>
      <c r="E3778"/>
      <c r="F3778"/>
    </row>
    <row r="3779" spans="4:6" outlineLevel="1">
      <c r="D3779"/>
      <c r="E3779"/>
      <c r="F3779"/>
    </row>
    <row r="3780" spans="4:6" outlineLevel="1">
      <c r="D3780"/>
      <c r="E3780"/>
      <c r="F3780"/>
    </row>
    <row r="3781" spans="4:6" outlineLevel="1">
      <c r="D3781"/>
      <c r="E3781"/>
      <c r="F3781"/>
    </row>
    <row r="3782" spans="4:6" outlineLevel="1">
      <c r="D3782"/>
      <c r="E3782"/>
      <c r="F3782"/>
    </row>
    <row r="3783" spans="4:6" outlineLevel="1">
      <c r="D3783"/>
      <c r="E3783"/>
      <c r="F3783"/>
    </row>
    <row r="3784" spans="4:6" outlineLevel="1">
      <c r="D3784"/>
      <c r="E3784"/>
      <c r="F3784"/>
    </row>
    <row r="3785" spans="4:6" outlineLevel="1">
      <c r="D3785"/>
      <c r="E3785"/>
      <c r="F3785"/>
    </row>
    <row r="3786" spans="4:6" outlineLevel="1">
      <c r="D3786"/>
      <c r="E3786"/>
      <c r="F3786"/>
    </row>
    <row r="3787" spans="4:6" outlineLevel="1">
      <c r="D3787"/>
      <c r="E3787"/>
      <c r="F3787"/>
    </row>
    <row r="3788" spans="4:6" outlineLevel="1">
      <c r="D3788"/>
      <c r="E3788"/>
      <c r="F3788"/>
    </row>
    <row r="3789" spans="4:6" outlineLevel="1">
      <c r="D3789"/>
      <c r="E3789"/>
      <c r="F3789"/>
    </row>
    <row r="3790" spans="4:6" outlineLevel="1">
      <c r="D3790"/>
      <c r="E3790"/>
      <c r="F3790"/>
    </row>
    <row r="3791" spans="4:6" outlineLevel="1">
      <c r="D3791"/>
      <c r="E3791"/>
      <c r="F3791"/>
    </row>
    <row r="3792" spans="4:6" outlineLevel="1">
      <c r="D3792"/>
      <c r="E3792"/>
      <c r="F3792"/>
    </row>
    <row r="3793" spans="4:6" outlineLevel="1">
      <c r="D3793"/>
      <c r="E3793"/>
      <c r="F3793"/>
    </row>
    <row r="3794" spans="4:6" outlineLevel="1">
      <c r="D3794"/>
      <c r="E3794"/>
      <c r="F3794"/>
    </row>
    <row r="3795" spans="4:6" outlineLevel="1">
      <c r="D3795"/>
      <c r="E3795"/>
      <c r="F3795"/>
    </row>
    <row r="3796" spans="4:6" outlineLevel="1">
      <c r="D3796"/>
      <c r="E3796"/>
      <c r="F3796"/>
    </row>
    <row r="3797" spans="4:6" outlineLevel="1">
      <c r="D3797"/>
      <c r="E3797"/>
      <c r="F3797"/>
    </row>
    <row r="3798" spans="4:6" outlineLevel="1">
      <c r="D3798"/>
      <c r="E3798"/>
      <c r="F3798"/>
    </row>
    <row r="3799" spans="4:6" outlineLevel="1">
      <c r="D3799"/>
      <c r="E3799"/>
      <c r="F3799"/>
    </row>
    <row r="3800" spans="4:6" outlineLevel="1">
      <c r="D3800"/>
      <c r="E3800"/>
      <c r="F3800"/>
    </row>
    <row r="3801" spans="4:6" outlineLevel="1">
      <c r="D3801"/>
      <c r="E3801"/>
      <c r="F3801"/>
    </row>
    <row r="3802" spans="4:6" outlineLevel="1">
      <c r="D3802"/>
      <c r="E3802"/>
      <c r="F3802"/>
    </row>
    <row r="3803" spans="4:6" outlineLevel="1">
      <c r="D3803"/>
      <c r="E3803"/>
      <c r="F3803"/>
    </row>
    <row r="3804" spans="4:6" outlineLevel="1">
      <c r="D3804"/>
      <c r="E3804"/>
      <c r="F3804"/>
    </row>
    <row r="3805" spans="4:6" outlineLevel="1">
      <c r="D3805"/>
      <c r="E3805"/>
      <c r="F3805"/>
    </row>
    <row r="3806" spans="4:6" outlineLevel="1">
      <c r="D3806"/>
      <c r="E3806"/>
      <c r="F3806"/>
    </row>
    <row r="3807" spans="4:6" outlineLevel="1">
      <c r="D3807"/>
      <c r="E3807"/>
      <c r="F3807"/>
    </row>
    <row r="3808" spans="4:6" outlineLevel="1">
      <c r="D3808"/>
      <c r="E3808"/>
      <c r="F3808"/>
    </row>
    <row r="3809" spans="4:6" outlineLevel="1">
      <c r="D3809"/>
      <c r="E3809"/>
      <c r="F3809"/>
    </row>
    <row r="3810" spans="4:6" outlineLevel="1">
      <c r="D3810"/>
      <c r="E3810"/>
      <c r="F3810"/>
    </row>
    <row r="3811" spans="4:6" outlineLevel="1">
      <c r="D3811"/>
      <c r="E3811"/>
      <c r="F3811"/>
    </row>
    <row r="3812" spans="4:6" outlineLevel="1">
      <c r="D3812"/>
      <c r="E3812"/>
      <c r="F3812"/>
    </row>
    <row r="3813" spans="4:6" outlineLevel="1">
      <c r="D3813"/>
      <c r="E3813"/>
      <c r="F3813"/>
    </row>
    <row r="3814" spans="4:6" outlineLevel="1">
      <c r="D3814"/>
      <c r="E3814"/>
      <c r="F3814"/>
    </row>
    <row r="3815" spans="4:6" outlineLevel="1">
      <c r="D3815"/>
      <c r="E3815"/>
      <c r="F3815"/>
    </row>
    <row r="3816" spans="4:6" outlineLevel="1">
      <c r="D3816"/>
      <c r="E3816"/>
      <c r="F3816"/>
    </row>
    <row r="3817" spans="4:6" outlineLevel="1">
      <c r="D3817"/>
      <c r="E3817"/>
      <c r="F3817"/>
    </row>
    <row r="3818" spans="4:6" outlineLevel="1">
      <c r="D3818"/>
      <c r="E3818"/>
      <c r="F3818"/>
    </row>
    <row r="3819" spans="4:6" outlineLevel="1">
      <c r="D3819"/>
      <c r="E3819"/>
      <c r="F3819"/>
    </row>
    <row r="3820" spans="4:6" outlineLevel="1">
      <c r="D3820"/>
      <c r="E3820"/>
      <c r="F3820"/>
    </row>
    <row r="3821" spans="4:6" outlineLevel="1">
      <c r="D3821"/>
      <c r="E3821"/>
      <c r="F3821"/>
    </row>
    <row r="3822" spans="4:6" outlineLevel="1">
      <c r="D3822"/>
      <c r="E3822"/>
      <c r="F3822"/>
    </row>
    <row r="3823" spans="4:6" outlineLevel="1">
      <c r="D3823"/>
      <c r="E3823"/>
      <c r="F3823"/>
    </row>
    <row r="3824" spans="4:6" outlineLevel="1">
      <c r="D3824"/>
      <c r="E3824"/>
      <c r="F3824"/>
    </row>
    <row r="3825" spans="4:6" outlineLevel="1">
      <c r="D3825"/>
      <c r="E3825"/>
      <c r="F3825"/>
    </row>
    <row r="3826" spans="4:6" outlineLevel="1">
      <c r="D3826"/>
      <c r="E3826"/>
      <c r="F3826"/>
    </row>
    <row r="3827" spans="4:6" outlineLevel="1">
      <c r="D3827"/>
      <c r="E3827"/>
      <c r="F3827"/>
    </row>
    <row r="3828" spans="4:6" outlineLevel="1">
      <c r="D3828"/>
      <c r="E3828"/>
      <c r="F3828"/>
    </row>
    <row r="3829" spans="4:6" outlineLevel="1">
      <c r="D3829"/>
      <c r="E3829"/>
      <c r="F3829"/>
    </row>
    <row r="3830" spans="4:6" outlineLevel="1">
      <c r="D3830"/>
      <c r="E3830"/>
      <c r="F3830"/>
    </row>
    <row r="3831" spans="4:6" outlineLevel="1">
      <c r="D3831"/>
      <c r="E3831"/>
      <c r="F3831"/>
    </row>
    <row r="3832" spans="4:6" outlineLevel="1">
      <c r="D3832"/>
      <c r="E3832"/>
      <c r="F3832"/>
    </row>
    <row r="3833" spans="4:6" outlineLevel="1">
      <c r="D3833"/>
      <c r="E3833"/>
      <c r="F3833"/>
    </row>
    <row r="3834" spans="4:6" outlineLevel="1">
      <c r="D3834"/>
      <c r="E3834"/>
      <c r="F3834"/>
    </row>
    <row r="3835" spans="4:6" outlineLevel="1">
      <c r="D3835"/>
      <c r="E3835"/>
      <c r="F3835"/>
    </row>
    <row r="3836" spans="4:6" outlineLevel="1">
      <c r="D3836"/>
      <c r="E3836"/>
      <c r="F3836"/>
    </row>
    <row r="3837" spans="4:6" outlineLevel="1">
      <c r="D3837"/>
      <c r="E3837"/>
      <c r="F3837"/>
    </row>
    <row r="3838" spans="4:6" outlineLevel="1">
      <c r="D3838"/>
      <c r="E3838"/>
      <c r="F3838"/>
    </row>
    <row r="3839" spans="4:6" outlineLevel="1">
      <c r="D3839"/>
      <c r="E3839"/>
      <c r="F3839"/>
    </row>
    <row r="3840" spans="4:6" outlineLevel="1">
      <c r="D3840"/>
      <c r="E3840"/>
      <c r="F3840"/>
    </row>
    <row r="3841" spans="4:6" outlineLevel="1">
      <c r="D3841"/>
      <c r="E3841"/>
      <c r="F3841"/>
    </row>
    <row r="3842" spans="4:6" outlineLevel="1">
      <c r="D3842"/>
      <c r="E3842"/>
      <c r="F3842"/>
    </row>
    <row r="3843" spans="4:6" outlineLevel="1">
      <c r="D3843"/>
      <c r="E3843"/>
      <c r="F3843"/>
    </row>
    <row r="3844" spans="4:6" outlineLevel="1">
      <c r="D3844"/>
      <c r="E3844"/>
      <c r="F3844"/>
    </row>
    <row r="3845" spans="4:6" outlineLevel="1">
      <c r="D3845"/>
      <c r="E3845"/>
      <c r="F3845"/>
    </row>
    <row r="3846" spans="4:6" outlineLevel="1">
      <c r="D3846"/>
      <c r="E3846"/>
      <c r="F3846"/>
    </row>
    <row r="3847" spans="4:6" outlineLevel="1">
      <c r="D3847"/>
      <c r="E3847"/>
      <c r="F3847"/>
    </row>
    <row r="3848" spans="4:6" outlineLevel="1">
      <c r="D3848"/>
      <c r="E3848"/>
      <c r="F3848"/>
    </row>
    <row r="3849" spans="4:6" outlineLevel="1">
      <c r="D3849"/>
      <c r="E3849"/>
      <c r="F3849"/>
    </row>
    <row r="3850" spans="4:6" outlineLevel="1">
      <c r="D3850"/>
      <c r="E3850"/>
      <c r="F3850"/>
    </row>
    <row r="3851" spans="4:6" outlineLevel="1">
      <c r="D3851"/>
      <c r="E3851"/>
      <c r="F3851"/>
    </row>
    <row r="3852" spans="4:6" outlineLevel="1">
      <c r="D3852"/>
      <c r="E3852"/>
      <c r="F3852"/>
    </row>
    <row r="3853" spans="4:6" outlineLevel="1">
      <c r="D3853"/>
      <c r="E3853"/>
      <c r="F3853"/>
    </row>
    <row r="3854" spans="4:6" outlineLevel="1">
      <c r="D3854"/>
      <c r="E3854"/>
      <c r="F3854"/>
    </row>
    <row r="3855" spans="4:6" outlineLevel="1">
      <c r="D3855"/>
      <c r="E3855"/>
      <c r="F3855"/>
    </row>
    <row r="3856" spans="4:6" outlineLevel="1">
      <c r="D3856"/>
      <c r="E3856"/>
      <c r="F3856"/>
    </row>
    <row r="3857" spans="4:6" outlineLevel="1">
      <c r="D3857"/>
      <c r="E3857"/>
      <c r="F3857"/>
    </row>
    <row r="3858" spans="4:6" outlineLevel="1">
      <c r="D3858"/>
      <c r="E3858"/>
      <c r="F3858"/>
    </row>
    <row r="3859" spans="4:6" outlineLevel="1">
      <c r="D3859"/>
      <c r="E3859"/>
      <c r="F3859"/>
    </row>
    <row r="3860" spans="4:6" outlineLevel="1">
      <c r="D3860"/>
      <c r="E3860"/>
      <c r="F3860"/>
    </row>
    <row r="3861" spans="4:6" outlineLevel="1">
      <c r="D3861"/>
      <c r="E3861"/>
      <c r="F3861"/>
    </row>
    <row r="3862" spans="4:6" outlineLevel="1">
      <c r="D3862"/>
      <c r="E3862"/>
      <c r="F3862"/>
    </row>
    <row r="3863" spans="4:6" outlineLevel="1">
      <c r="D3863"/>
      <c r="E3863"/>
      <c r="F3863"/>
    </row>
    <row r="3864" spans="4:6" outlineLevel="1">
      <c r="D3864"/>
      <c r="E3864"/>
      <c r="F3864"/>
    </row>
    <row r="3865" spans="4:6" outlineLevel="1">
      <c r="D3865"/>
      <c r="E3865"/>
      <c r="F3865"/>
    </row>
    <row r="3866" spans="4:6" outlineLevel="1">
      <c r="D3866"/>
      <c r="E3866"/>
      <c r="F3866"/>
    </row>
    <row r="3867" spans="4:6" outlineLevel="1">
      <c r="D3867"/>
      <c r="E3867"/>
      <c r="F3867"/>
    </row>
    <row r="3868" spans="4:6" outlineLevel="1">
      <c r="D3868"/>
      <c r="E3868"/>
      <c r="F3868"/>
    </row>
    <row r="3869" spans="4:6" outlineLevel="1">
      <c r="D3869"/>
      <c r="E3869"/>
      <c r="F3869"/>
    </row>
    <row r="3870" spans="4:6" outlineLevel="1">
      <c r="D3870"/>
      <c r="E3870"/>
      <c r="F3870"/>
    </row>
    <row r="3871" spans="4:6" outlineLevel="1">
      <c r="D3871"/>
      <c r="E3871"/>
      <c r="F3871"/>
    </row>
    <row r="3872" spans="4:6" outlineLevel="1">
      <c r="D3872"/>
      <c r="E3872"/>
      <c r="F3872"/>
    </row>
    <row r="3873" spans="4:6" outlineLevel="1">
      <c r="D3873"/>
      <c r="E3873"/>
      <c r="F3873"/>
    </row>
    <row r="3874" spans="4:6" outlineLevel="1">
      <c r="D3874"/>
      <c r="E3874"/>
      <c r="F3874"/>
    </row>
    <row r="3875" spans="4:6" outlineLevel="1">
      <c r="D3875"/>
      <c r="E3875"/>
      <c r="F3875"/>
    </row>
    <row r="3876" spans="4:6" outlineLevel="1">
      <c r="D3876"/>
      <c r="E3876"/>
      <c r="F3876"/>
    </row>
    <row r="3877" spans="4:6" outlineLevel="1">
      <c r="D3877"/>
      <c r="E3877"/>
      <c r="F3877"/>
    </row>
    <row r="3878" spans="4:6" outlineLevel="1">
      <c r="D3878"/>
      <c r="E3878"/>
      <c r="F3878"/>
    </row>
    <row r="3879" spans="4:6" outlineLevel="1">
      <c r="D3879"/>
      <c r="E3879"/>
      <c r="F3879"/>
    </row>
    <row r="3880" spans="4:6" outlineLevel="1">
      <c r="D3880"/>
      <c r="E3880"/>
      <c r="F3880"/>
    </row>
    <row r="3881" spans="4:6" outlineLevel="1">
      <c r="D3881"/>
      <c r="E3881"/>
      <c r="F3881"/>
    </row>
    <row r="3882" spans="4:6" outlineLevel="1">
      <c r="D3882"/>
      <c r="E3882"/>
      <c r="F3882"/>
    </row>
    <row r="3883" spans="4:6" outlineLevel="1">
      <c r="D3883"/>
      <c r="E3883"/>
      <c r="F3883"/>
    </row>
    <row r="3884" spans="4:6" outlineLevel="1">
      <c r="D3884"/>
      <c r="E3884"/>
      <c r="F3884"/>
    </row>
    <row r="3885" spans="4:6" outlineLevel="1">
      <c r="D3885"/>
      <c r="E3885"/>
      <c r="F3885"/>
    </row>
    <row r="3886" spans="4:6" outlineLevel="1">
      <c r="D3886"/>
      <c r="E3886"/>
      <c r="F3886"/>
    </row>
    <row r="3887" spans="4:6" outlineLevel="1">
      <c r="D3887"/>
      <c r="E3887"/>
      <c r="F3887"/>
    </row>
    <row r="3888" spans="4:6" outlineLevel="1">
      <c r="D3888"/>
      <c r="E3888"/>
      <c r="F3888"/>
    </row>
    <row r="3889" spans="4:6" outlineLevel="1">
      <c r="D3889"/>
      <c r="E3889"/>
      <c r="F3889"/>
    </row>
    <row r="3890" spans="4:6" outlineLevel="1">
      <c r="D3890"/>
      <c r="E3890"/>
      <c r="F3890"/>
    </row>
    <row r="3891" spans="4:6" outlineLevel="1">
      <c r="D3891"/>
      <c r="E3891"/>
      <c r="F3891"/>
    </row>
    <row r="3892" spans="4:6" outlineLevel="1">
      <c r="D3892"/>
      <c r="E3892"/>
      <c r="F3892"/>
    </row>
    <row r="3893" spans="4:6" outlineLevel="1">
      <c r="D3893"/>
      <c r="E3893"/>
      <c r="F3893"/>
    </row>
    <row r="3894" spans="4:6" outlineLevel="1">
      <c r="D3894"/>
      <c r="E3894"/>
      <c r="F3894"/>
    </row>
    <row r="3895" spans="4:6" outlineLevel="1">
      <c r="D3895"/>
      <c r="E3895"/>
      <c r="F3895"/>
    </row>
    <row r="3896" spans="4:6" outlineLevel="1">
      <c r="D3896"/>
      <c r="E3896"/>
      <c r="F3896"/>
    </row>
    <row r="3897" spans="4:6" outlineLevel="1">
      <c r="D3897"/>
      <c r="E3897"/>
      <c r="F3897"/>
    </row>
    <row r="3898" spans="4:6" outlineLevel="1">
      <c r="D3898"/>
      <c r="E3898"/>
      <c r="F3898"/>
    </row>
    <row r="3899" spans="4:6" outlineLevel="1">
      <c r="D3899"/>
      <c r="E3899"/>
      <c r="F3899"/>
    </row>
    <row r="3900" spans="4:6" outlineLevel="1">
      <c r="D3900"/>
      <c r="E3900"/>
      <c r="F3900"/>
    </row>
    <row r="3901" spans="4:6" outlineLevel="1">
      <c r="D3901"/>
      <c r="E3901"/>
      <c r="F3901"/>
    </row>
    <row r="3902" spans="4:6" outlineLevel="1">
      <c r="D3902"/>
      <c r="E3902"/>
      <c r="F3902"/>
    </row>
    <row r="3903" spans="4:6" outlineLevel="1">
      <c r="D3903"/>
      <c r="E3903"/>
      <c r="F3903"/>
    </row>
    <row r="3904" spans="4:6" outlineLevel="1">
      <c r="D3904"/>
      <c r="E3904"/>
      <c r="F3904"/>
    </row>
    <row r="3905" spans="4:6" outlineLevel="1">
      <c r="D3905"/>
      <c r="E3905"/>
      <c r="F3905"/>
    </row>
    <row r="3906" spans="4:6" outlineLevel="1">
      <c r="D3906"/>
      <c r="E3906"/>
      <c r="F3906"/>
    </row>
    <row r="3907" spans="4:6" outlineLevel="1">
      <c r="D3907"/>
      <c r="E3907"/>
      <c r="F3907"/>
    </row>
    <row r="3908" spans="4:6" outlineLevel="1">
      <c r="D3908"/>
      <c r="E3908"/>
      <c r="F3908"/>
    </row>
    <row r="3909" spans="4:6" outlineLevel="1">
      <c r="D3909"/>
      <c r="E3909"/>
      <c r="F3909"/>
    </row>
    <row r="3910" spans="4:6" outlineLevel="1">
      <c r="D3910"/>
      <c r="E3910"/>
      <c r="F3910"/>
    </row>
    <row r="3911" spans="4:6" outlineLevel="1">
      <c r="D3911"/>
      <c r="E3911"/>
      <c r="F3911"/>
    </row>
    <row r="3912" spans="4:6" outlineLevel="1">
      <c r="D3912"/>
      <c r="E3912"/>
      <c r="F3912"/>
    </row>
    <row r="3913" spans="4:6" outlineLevel="1">
      <c r="D3913"/>
      <c r="E3913"/>
      <c r="F3913"/>
    </row>
    <row r="3914" spans="4:6" outlineLevel="1">
      <c r="D3914"/>
      <c r="E3914"/>
      <c r="F3914"/>
    </row>
    <row r="3915" spans="4:6" outlineLevel="1">
      <c r="D3915"/>
      <c r="E3915"/>
      <c r="F3915"/>
    </row>
    <row r="3916" spans="4:6" outlineLevel="1">
      <c r="D3916"/>
      <c r="E3916"/>
      <c r="F3916"/>
    </row>
    <row r="3917" spans="4:6" outlineLevel="1">
      <c r="D3917"/>
      <c r="E3917"/>
      <c r="F3917"/>
    </row>
    <row r="3918" spans="4:6" outlineLevel="1">
      <c r="D3918"/>
      <c r="E3918"/>
      <c r="F3918"/>
    </row>
    <row r="3919" spans="4:6" outlineLevel="1">
      <c r="D3919"/>
      <c r="E3919"/>
      <c r="F3919"/>
    </row>
    <row r="3920" spans="4:6" outlineLevel="1">
      <c r="D3920"/>
      <c r="E3920"/>
      <c r="F3920"/>
    </row>
    <row r="3921" spans="4:6" outlineLevel="1">
      <c r="D3921"/>
      <c r="E3921"/>
      <c r="F3921"/>
    </row>
    <row r="3922" spans="4:6" outlineLevel="1">
      <c r="D3922"/>
      <c r="E3922"/>
      <c r="F3922"/>
    </row>
    <row r="3923" spans="4:6" outlineLevel="1">
      <c r="D3923"/>
      <c r="E3923"/>
      <c r="F3923"/>
    </row>
    <row r="3924" spans="4:6" outlineLevel="1">
      <c r="D3924"/>
      <c r="E3924"/>
      <c r="F3924"/>
    </row>
    <row r="3925" spans="4:6" outlineLevel="1">
      <c r="D3925"/>
      <c r="E3925"/>
      <c r="F3925"/>
    </row>
    <row r="3926" spans="4:6" outlineLevel="1">
      <c r="D3926"/>
      <c r="E3926"/>
      <c r="F3926"/>
    </row>
    <row r="3927" spans="4:6" outlineLevel="1">
      <c r="D3927"/>
      <c r="E3927"/>
      <c r="F3927"/>
    </row>
    <row r="3928" spans="4:6" outlineLevel="1">
      <c r="D3928"/>
      <c r="E3928"/>
      <c r="F3928"/>
    </row>
    <row r="3929" spans="4:6" outlineLevel="1">
      <c r="D3929"/>
      <c r="E3929"/>
      <c r="F3929"/>
    </row>
    <row r="3930" spans="4:6" outlineLevel="1">
      <c r="D3930"/>
      <c r="E3930"/>
      <c r="F3930"/>
    </row>
    <row r="3931" spans="4:6" outlineLevel="1">
      <c r="D3931"/>
      <c r="E3931"/>
      <c r="F3931"/>
    </row>
    <row r="3932" spans="4:6" outlineLevel="1">
      <c r="D3932"/>
      <c r="E3932"/>
      <c r="F3932"/>
    </row>
    <row r="3933" spans="4:6" outlineLevel="1">
      <c r="D3933"/>
      <c r="E3933"/>
      <c r="F3933"/>
    </row>
    <row r="3934" spans="4:6" outlineLevel="1">
      <c r="D3934"/>
      <c r="E3934"/>
      <c r="F3934"/>
    </row>
    <row r="3935" spans="4:6" outlineLevel="1">
      <c r="D3935"/>
      <c r="E3935"/>
      <c r="F3935"/>
    </row>
    <row r="3936" spans="4:6" outlineLevel="1">
      <c r="D3936"/>
      <c r="E3936"/>
      <c r="F3936"/>
    </row>
    <row r="3937" spans="4:6" outlineLevel="1">
      <c r="D3937"/>
      <c r="E3937"/>
      <c r="F3937"/>
    </row>
    <row r="3938" spans="4:6" outlineLevel="1">
      <c r="D3938"/>
      <c r="E3938"/>
      <c r="F3938"/>
    </row>
    <row r="3939" spans="4:6" outlineLevel="1">
      <c r="D3939"/>
      <c r="E3939"/>
      <c r="F3939"/>
    </row>
    <row r="3940" spans="4:6" outlineLevel="1">
      <c r="D3940"/>
      <c r="E3940"/>
      <c r="F3940"/>
    </row>
    <row r="3941" spans="4:6" outlineLevel="1">
      <c r="D3941"/>
      <c r="E3941"/>
      <c r="F3941"/>
    </row>
    <row r="3942" spans="4:6" outlineLevel="1">
      <c r="D3942"/>
      <c r="E3942"/>
      <c r="F3942"/>
    </row>
    <row r="3943" spans="4:6" outlineLevel="1">
      <c r="D3943"/>
      <c r="E3943"/>
      <c r="F3943"/>
    </row>
    <row r="3944" spans="4:6" outlineLevel="1">
      <c r="D3944"/>
      <c r="E3944"/>
      <c r="F3944"/>
    </row>
    <row r="3945" spans="4:6" outlineLevel="1">
      <c r="D3945"/>
      <c r="E3945"/>
      <c r="F3945"/>
    </row>
    <row r="3946" spans="4:6" outlineLevel="1">
      <c r="D3946"/>
      <c r="E3946"/>
      <c r="F3946"/>
    </row>
    <row r="3947" spans="4:6" outlineLevel="1">
      <c r="D3947"/>
      <c r="E3947"/>
      <c r="F3947"/>
    </row>
    <row r="3948" spans="4:6">
      <c r="D3948"/>
      <c r="E3948"/>
      <c r="F3948"/>
    </row>
    <row r="3949" spans="4:6" outlineLevel="1">
      <c r="D3949"/>
      <c r="E3949"/>
      <c r="F3949"/>
    </row>
    <row r="3950" spans="4:6" outlineLevel="1">
      <c r="D3950"/>
      <c r="E3950"/>
      <c r="F3950"/>
    </row>
    <row r="3951" spans="4:6" outlineLevel="1">
      <c r="D3951"/>
      <c r="E3951"/>
      <c r="F3951"/>
    </row>
    <row r="3952" spans="4:6" outlineLevel="1">
      <c r="D3952"/>
      <c r="E3952"/>
      <c r="F3952"/>
    </row>
    <row r="3953" spans="4:6" outlineLevel="1">
      <c r="D3953"/>
      <c r="E3953"/>
      <c r="F3953"/>
    </row>
    <row r="3954" spans="4:6" outlineLevel="1">
      <c r="D3954"/>
      <c r="E3954"/>
      <c r="F3954"/>
    </row>
    <row r="3955" spans="4:6" outlineLevel="1">
      <c r="D3955"/>
      <c r="E3955"/>
      <c r="F3955"/>
    </row>
    <row r="3956" spans="4:6" outlineLevel="1">
      <c r="D3956"/>
      <c r="E3956"/>
      <c r="F3956"/>
    </row>
    <row r="3957" spans="4:6" outlineLevel="1">
      <c r="D3957"/>
      <c r="E3957"/>
      <c r="F3957"/>
    </row>
    <row r="3958" spans="4:6" outlineLevel="1">
      <c r="D3958"/>
      <c r="E3958"/>
      <c r="F3958"/>
    </row>
    <row r="3959" spans="4:6" outlineLevel="1">
      <c r="D3959"/>
      <c r="E3959"/>
      <c r="F3959"/>
    </row>
    <row r="3960" spans="4:6" outlineLevel="1">
      <c r="D3960"/>
      <c r="E3960"/>
      <c r="F3960"/>
    </row>
    <row r="3961" spans="4:6" outlineLevel="1">
      <c r="D3961"/>
      <c r="E3961"/>
      <c r="F3961"/>
    </row>
    <row r="3962" spans="4:6" outlineLevel="1">
      <c r="D3962"/>
      <c r="E3962"/>
      <c r="F3962"/>
    </row>
    <row r="3963" spans="4:6" outlineLevel="1">
      <c r="D3963"/>
      <c r="E3963"/>
      <c r="F3963"/>
    </row>
    <row r="3964" spans="4:6" outlineLevel="1">
      <c r="D3964"/>
      <c r="E3964"/>
      <c r="F3964"/>
    </row>
    <row r="3965" spans="4:6" outlineLevel="1">
      <c r="D3965"/>
      <c r="E3965"/>
      <c r="F3965"/>
    </row>
    <row r="3966" spans="4:6" outlineLevel="1">
      <c r="D3966"/>
      <c r="E3966"/>
      <c r="F3966"/>
    </row>
    <row r="3967" spans="4:6" outlineLevel="1">
      <c r="D3967"/>
      <c r="E3967"/>
      <c r="F3967"/>
    </row>
    <row r="3968" spans="4:6" outlineLevel="1">
      <c r="D3968"/>
      <c r="E3968"/>
      <c r="F3968"/>
    </row>
    <row r="3969" spans="4:6" outlineLevel="1">
      <c r="D3969"/>
      <c r="E3969"/>
      <c r="F3969"/>
    </row>
    <row r="3970" spans="4:6" outlineLevel="1">
      <c r="D3970"/>
      <c r="E3970"/>
      <c r="F3970"/>
    </row>
    <row r="3971" spans="4:6" outlineLevel="1">
      <c r="D3971"/>
      <c r="E3971"/>
      <c r="F3971"/>
    </row>
    <row r="3972" spans="4:6" outlineLevel="1">
      <c r="D3972"/>
      <c r="E3972"/>
      <c r="F3972"/>
    </row>
    <row r="3973" spans="4:6" outlineLevel="1">
      <c r="D3973"/>
      <c r="E3973"/>
      <c r="F3973"/>
    </row>
    <row r="3974" spans="4:6" outlineLevel="1">
      <c r="D3974"/>
      <c r="E3974"/>
      <c r="F3974"/>
    </row>
    <row r="3975" spans="4:6" outlineLevel="1">
      <c r="D3975"/>
      <c r="E3975"/>
      <c r="F3975"/>
    </row>
    <row r="3976" spans="4:6" outlineLevel="1">
      <c r="D3976"/>
      <c r="E3976"/>
      <c r="F3976"/>
    </row>
    <row r="3977" spans="4:6" outlineLevel="1">
      <c r="D3977"/>
      <c r="E3977"/>
      <c r="F3977"/>
    </row>
    <row r="3978" spans="4:6" outlineLevel="1">
      <c r="D3978"/>
      <c r="E3978"/>
      <c r="F3978"/>
    </row>
    <row r="3979" spans="4:6" outlineLevel="1">
      <c r="D3979"/>
      <c r="E3979"/>
      <c r="F3979"/>
    </row>
    <row r="3980" spans="4:6" outlineLevel="1">
      <c r="D3980"/>
      <c r="E3980"/>
      <c r="F3980"/>
    </row>
    <row r="3981" spans="4:6" outlineLevel="1">
      <c r="D3981"/>
      <c r="E3981"/>
      <c r="F3981"/>
    </row>
    <row r="3982" spans="4:6" outlineLevel="1">
      <c r="D3982"/>
      <c r="E3982"/>
      <c r="F3982"/>
    </row>
    <row r="3983" spans="4:6" outlineLevel="1">
      <c r="D3983"/>
      <c r="E3983"/>
      <c r="F3983"/>
    </row>
    <row r="3984" spans="4:6" outlineLevel="1">
      <c r="D3984"/>
      <c r="E3984"/>
      <c r="F3984"/>
    </row>
    <row r="3985" spans="4:6" outlineLevel="1">
      <c r="D3985"/>
      <c r="E3985"/>
      <c r="F3985"/>
    </row>
    <row r="3986" spans="4:6" outlineLevel="1">
      <c r="D3986"/>
      <c r="E3986"/>
      <c r="F3986"/>
    </row>
    <row r="3987" spans="4:6" outlineLevel="1">
      <c r="D3987"/>
      <c r="E3987"/>
      <c r="F3987"/>
    </row>
    <row r="3988" spans="4:6" outlineLevel="1">
      <c r="D3988"/>
      <c r="E3988"/>
      <c r="F3988"/>
    </row>
    <row r="3989" spans="4:6" outlineLevel="1">
      <c r="D3989"/>
      <c r="E3989"/>
      <c r="F3989"/>
    </row>
    <row r="3990" spans="4:6" outlineLevel="1">
      <c r="D3990"/>
      <c r="E3990"/>
      <c r="F3990"/>
    </row>
    <row r="3991" spans="4:6" outlineLevel="1">
      <c r="D3991"/>
      <c r="E3991"/>
      <c r="F3991"/>
    </row>
    <row r="3992" spans="4:6" outlineLevel="1">
      <c r="D3992"/>
      <c r="E3992"/>
      <c r="F3992"/>
    </row>
    <row r="3993" spans="4:6" outlineLevel="1">
      <c r="D3993"/>
      <c r="E3993"/>
      <c r="F3993"/>
    </row>
    <row r="3994" spans="4:6" outlineLevel="1">
      <c r="D3994"/>
      <c r="E3994"/>
      <c r="F3994"/>
    </row>
    <row r="3995" spans="4:6" outlineLevel="1">
      <c r="D3995"/>
      <c r="E3995"/>
      <c r="F3995"/>
    </row>
    <row r="3996" spans="4:6" outlineLevel="1">
      <c r="D3996"/>
      <c r="E3996"/>
      <c r="F3996"/>
    </row>
    <row r="3997" spans="4:6" outlineLevel="1">
      <c r="D3997"/>
      <c r="E3997"/>
      <c r="F3997"/>
    </row>
    <row r="3998" spans="4:6" outlineLevel="1">
      <c r="D3998"/>
      <c r="E3998"/>
      <c r="F3998"/>
    </row>
    <row r="3999" spans="4:6" outlineLevel="1">
      <c r="D3999"/>
      <c r="E3999"/>
      <c r="F3999"/>
    </row>
    <row r="4000" spans="4:6" outlineLevel="1">
      <c r="D4000"/>
      <c r="E4000"/>
      <c r="F4000"/>
    </row>
    <row r="4001" spans="4:6">
      <c r="D4001"/>
      <c r="E4001"/>
      <c r="F4001"/>
    </row>
    <row r="4002" spans="4:6" outlineLevel="1">
      <c r="D4002"/>
      <c r="E4002"/>
      <c r="F4002"/>
    </row>
    <row r="4003" spans="4:6" outlineLevel="1">
      <c r="D4003"/>
      <c r="E4003"/>
      <c r="F4003"/>
    </row>
    <row r="4004" spans="4:6" outlineLevel="1">
      <c r="D4004"/>
      <c r="E4004"/>
      <c r="F4004"/>
    </row>
    <row r="4005" spans="4:6" outlineLevel="1">
      <c r="D4005"/>
      <c r="E4005"/>
      <c r="F4005"/>
    </row>
    <row r="4006" spans="4:6" outlineLevel="1">
      <c r="D4006"/>
      <c r="E4006"/>
      <c r="F4006"/>
    </row>
    <row r="4007" spans="4:6" outlineLevel="1">
      <c r="D4007"/>
      <c r="E4007"/>
      <c r="F4007"/>
    </row>
    <row r="4008" spans="4:6" outlineLevel="1">
      <c r="D4008"/>
      <c r="E4008"/>
      <c r="F4008"/>
    </row>
    <row r="4009" spans="4:6" outlineLevel="1">
      <c r="D4009"/>
      <c r="E4009"/>
      <c r="F4009"/>
    </row>
    <row r="4010" spans="4:6" outlineLevel="1">
      <c r="D4010"/>
      <c r="E4010"/>
      <c r="F4010"/>
    </row>
    <row r="4011" spans="4:6" outlineLevel="1">
      <c r="D4011"/>
      <c r="E4011"/>
      <c r="F4011"/>
    </row>
    <row r="4012" spans="4:6" outlineLevel="1">
      <c r="D4012"/>
      <c r="E4012"/>
      <c r="F4012"/>
    </row>
    <row r="4013" spans="4:6" outlineLevel="1">
      <c r="D4013"/>
      <c r="E4013"/>
      <c r="F4013"/>
    </row>
    <row r="4014" spans="4:6" outlineLevel="1">
      <c r="D4014"/>
      <c r="E4014"/>
      <c r="F4014"/>
    </row>
    <row r="4015" spans="4:6" outlineLevel="1">
      <c r="D4015"/>
      <c r="E4015"/>
      <c r="F4015"/>
    </row>
    <row r="4016" spans="4:6" outlineLevel="1">
      <c r="D4016"/>
      <c r="E4016"/>
      <c r="F4016"/>
    </row>
    <row r="4017" spans="4:6" outlineLevel="1">
      <c r="D4017"/>
      <c r="E4017"/>
      <c r="F4017"/>
    </row>
    <row r="4018" spans="4:6" outlineLevel="1">
      <c r="D4018"/>
      <c r="E4018"/>
      <c r="F4018"/>
    </row>
    <row r="4019" spans="4:6" outlineLevel="1">
      <c r="D4019"/>
      <c r="E4019"/>
      <c r="F4019"/>
    </row>
    <row r="4020" spans="4:6" outlineLevel="1">
      <c r="D4020"/>
      <c r="E4020"/>
      <c r="F4020"/>
    </row>
    <row r="4021" spans="4:6" outlineLevel="1">
      <c r="D4021"/>
      <c r="E4021"/>
      <c r="F4021"/>
    </row>
    <row r="4022" spans="4:6" outlineLevel="1">
      <c r="D4022"/>
      <c r="E4022"/>
      <c r="F4022"/>
    </row>
    <row r="4023" spans="4:6" outlineLevel="1">
      <c r="D4023"/>
      <c r="E4023"/>
      <c r="F4023"/>
    </row>
    <row r="4024" spans="4:6" outlineLevel="1">
      <c r="D4024"/>
      <c r="E4024"/>
      <c r="F4024"/>
    </row>
    <row r="4025" spans="4:6" outlineLevel="1">
      <c r="D4025"/>
      <c r="E4025"/>
      <c r="F4025"/>
    </row>
    <row r="4026" spans="4:6" outlineLevel="1">
      <c r="D4026"/>
      <c r="E4026"/>
      <c r="F4026"/>
    </row>
    <row r="4027" spans="4:6" outlineLevel="1">
      <c r="D4027"/>
      <c r="E4027"/>
      <c r="F4027"/>
    </row>
    <row r="4028" spans="4:6" outlineLevel="1">
      <c r="D4028"/>
      <c r="E4028"/>
      <c r="F4028"/>
    </row>
    <row r="4029" spans="4:6" outlineLevel="1">
      <c r="D4029"/>
      <c r="E4029"/>
      <c r="F4029"/>
    </row>
    <row r="4030" spans="4:6" outlineLevel="1">
      <c r="D4030"/>
      <c r="E4030"/>
      <c r="F4030"/>
    </row>
    <row r="4031" spans="4:6" outlineLevel="1">
      <c r="D4031"/>
      <c r="E4031"/>
      <c r="F4031"/>
    </row>
    <row r="4032" spans="4:6" outlineLevel="1">
      <c r="D4032"/>
      <c r="E4032"/>
      <c r="F4032"/>
    </row>
    <row r="4033" spans="4:6" outlineLevel="1">
      <c r="D4033"/>
      <c r="E4033"/>
      <c r="F4033"/>
    </row>
    <row r="4034" spans="4:6" outlineLevel="1">
      <c r="D4034"/>
      <c r="E4034"/>
      <c r="F4034"/>
    </row>
    <row r="4035" spans="4:6" outlineLevel="1">
      <c r="D4035"/>
      <c r="E4035"/>
      <c r="F4035"/>
    </row>
    <row r="4036" spans="4:6" outlineLevel="1">
      <c r="D4036"/>
      <c r="E4036"/>
      <c r="F4036"/>
    </row>
    <row r="4037" spans="4:6" outlineLevel="1">
      <c r="D4037"/>
      <c r="E4037"/>
      <c r="F4037"/>
    </row>
    <row r="4038" spans="4:6" outlineLevel="1">
      <c r="D4038"/>
      <c r="E4038"/>
      <c r="F4038"/>
    </row>
    <row r="4039" spans="4:6" outlineLevel="1">
      <c r="D4039"/>
      <c r="E4039"/>
      <c r="F4039"/>
    </row>
    <row r="4040" spans="4:6" outlineLevel="1">
      <c r="D4040"/>
      <c r="E4040"/>
      <c r="F4040"/>
    </row>
    <row r="4041" spans="4:6" outlineLevel="1">
      <c r="D4041"/>
      <c r="E4041"/>
      <c r="F4041"/>
    </row>
    <row r="4042" spans="4:6" outlineLevel="1">
      <c r="D4042"/>
      <c r="E4042"/>
      <c r="F4042"/>
    </row>
    <row r="4043" spans="4:6" outlineLevel="1">
      <c r="D4043"/>
      <c r="E4043"/>
      <c r="F4043"/>
    </row>
    <row r="4044" spans="4:6" outlineLevel="1">
      <c r="D4044"/>
      <c r="E4044"/>
      <c r="F4044"/>
    </row>
    <row r="4045" spans="4:6" outlineLevel="1">
      <c r="D4045"/>
      <c r="E4045"/>
      <c r="F4045"/>
    </row>
    <row r="4046" spans="4:6" outlineLevel="1">
      <c r="D4046"/>
      <c r="E4046"/>
      <c r="F4046"/>
    </row>
    <row r="4047" spans="4:6" outlineLevel="1">
      <c r="D4047"/>
      <c r="E4047"/>
      <c r="F4047"/>
    </row>
    <row r="4048" spans="4:6" outlineLevel="1">
      <c r="D4048"/>
      <c r="E4048"/>
      <c r="F4048"/>
    </row>
    <row r="4049" spans="4:6" outlineLevel="1">
      <c r="D4049"/>
      <c r="E4049"/>
      <c r="F4049"/>
    </row>
    <row r="4050" spans="4:6" outlineLevel="1">
      <c r="D4050"/>
      <c r="E4050"/>
      <c r="F4050"/>
    </row>
    <row r="4051" spans="4:6" outlineLevel="1">
      <c r="D4051"/>
      <c r="E4051"/>
      <c r="F4051"/>
    </row>
    <row r="4052" spans="4:6" outlineLevel="1">
      <c r="D4052"/>
      <c r="E4052"/>
      <c r="F4052"/>
    </row>
    <row r="4053" spans="4:6" outlineLevel="1">
      <c r="D4053"/>
      <c r="E4053"/>
      <c r="F4053"/>
    </row>
    <row r="4054" spans="4:6" outlineLevel="1">
      <c r="D4054"/>
      <c r="E4054"/>
      <c r="F4054"/>
    </row>
    <row r="4055" spans="4:6" outlineLevel="1">
      <c r="D4055"/>
      <c r="E4055"/>
      <c r="F4055"/>
    </row>
    <row r="4056" spans="4:6" outlineLevel="1">
      <c r="D4056"/>
      <c r="E4056"/>
      <c r="F4056"/>
    </row>
    <row r="4057" spans="4:6" outlineLevel="1">
      <c r="D4057"/>
      <c r="E4057"/>
      <c r="F4057"/>
    </row>
    <row r="4058" spans="4:6" outlineLevel="1">
      <c r="D4058"/>
      <c r="E4058"/>
      <c r="F4058"/>
    </row>
    <row r="4059" spans="4:6" outlineLevel="1">
      <c r="D4059"/>
      <c r="E4059"/>
      <c r="F4059"/>
    </row>
    <row r="4060" spans="4:6" outlineLevel="1">
      <c r="D4060"/>
      <c r="E4060"/>
      <c r="F4060"/>
    </row>
    <row r="4061" spans="4:6" outlineLevel="1">
      <c r="D4061"/>
      <c r="E4061"/>
      <c r="F4061"/>
    </row>
    <row r="4062" spans="4:6" outlineLevel="1">
      <c r="D4062"/>
      <c r="E4062"/>
      <c r="F4062"/>
    </row>
    <row r="4063" spans="4:6" outlineLevel="1">
      <c r="D4063"/>
      <c r="E4063"/>
      <c r="F4063"/>
    </row>
    <row r="4064" spans="4:6" outlineLevel="1">
      <c r="D4064"/>
      <c r="E4064"/>
      <c r="F4064"/>
    </row>
    <row r="4065" spans="4:6" outlineLevel="1">
      <c r="D4065"/>
      <c r="E4065"/>
      <c r="F4065"/>
    </row>
    <row r="4066" spans="4:6" outlineLevel="1">
      <c r="D4066"/>
      <c r="E4066"/>
      <c r="F4066"/>
    </row>
    <row r="4067" spans="4:6" outlineLevel="1">
      <c r="D4067"/>
      <c r="E4067"/>
      <c r="F4067"/>
    </row>
    <row r="4068" spans="4:6" outlineLevel="1">
      <c r="D4068"/>
      <c r="E4068"/>
      <c r="F4068"/>
    </row>
    <row r="4069" spans="4:6" outlineLevel="1">
      <c r="D4069"/>
      <c r="E4069"/>
      <c r="F4069"/>
    </row>
    <row r="4070" spans="4:6" outlineLevel="1">
      <c r="D4070"/>
      <c r="E4070"/>
      <c r="F4070"/>
    </row>
    <row r="4071" spans="4:6" outlineLevel="1">
      <c r="D4071"/>
      <c r="E4071"/>
      <c r="F4071"/>
    </row>
    <row r="4072" spans="4:6" outlineLevel="1">
      <c r="D4072"/>
      <c r="E4072"/>
      <c r="F4072"/>
    </row>
    <row r="4073" spans="4:6" outlineLevel="1">
      <c r="D4073"/>
      <c r="E4073"/>
      <c r="F4073"/>
    </row>
    <row r="4074" spans="4:6" outlineLevel="1">
      <c r="D4074"/>
      <c r="E4074"/>
      <c r="F4074"/>
    </row>
    <row r="4075" spans="4:6" outlineLevel="1">
      <c r="D4075"/>
      <c r="E4075"/>
      <c r="F4075"/>
    </row>
    <row r="4076" spans="4:6" outlineLevel="1">
      <c r="D4076"/>
      <c r="E4076"/>
      <c r="F4076"/>
    </row>
    <row r="4077" spans="4:6" outlineLevel="1">
      <c r="D4077"/>
      <c r="E4077"/>
      <c r="F4077"/>
    </row>
    <row r="4078" spans="4:6" outlineLevel="1">
      <c r="D4078"/>
      <c r="E4078"/>
      <c r="F4078"/>
    </row>
    <row r="4079" spans="4:6" outlineLevel="1">
      <c r="D4079"/>
      <c r="E4079"/>
      <c r="F4079"/>
    </row>
    <row r="4080" spans="4:6" outlineLevel="1">
      <c r="D4080"/>
      <c r="E4080"/>
      <c r="F4080"/>
    </row>
    <row r="4081" spans="4:6" outlineLevel="1">
      <c r="D4081"/>
      <c r="E4081"/>
      <c r="F4081"/>
    </row>
    <row r="4082" spans="4:6" outlineLevel="1">
      <c r="D4082"/>
      <c r="E4082"/>
      <c r="F4082"/>
    </row>
    <row r="4083" spans="4:6" outlineLevel="1">
      <c r="D4083"/>
      <c r="E4083"/>
      <c r="F4083"/>
    </row>
    <row r="4084" spans="4:6" outlineLevel="1">
      <c r="D4084"/>
      <c r="E4084"/>
      <c r="F4084"/>
    </row>
    <row r="4085" spans="4:6" outlineLevel="1">
      <c r="D4085"/>
      <c r="E4085"/>
      <c r="F4085"/>
    </row>
    <row r="4086" spans="4:6" outlineLevel="1">
      <c r="D4086"/>
      <c r="E4086"/>
      <c r="F4086"/>
    </row>
    <row r="4087" spans="4:6" outlineLevel="1">
      <c r="D4087"/>
      <c r="E4087"/>
      <c r="F4087"/>
    </row>
    <row r="4088" spans="4:6" outlineLevel="1">
      <c r="D4088"/>
      <c r="E4088"/>
      <c r="F4088"/>
    </row>
    <row r="4089" spans="4:6" outlineLevel="1">
      <c r="D4089"/>
      <c r="E4089"/>
      <c r="F4089"/>
    </row>
    <row r="4090" spans="4:6" outlineLevel="1">
      <c r="D4090"/>
      <c r="E4090"/>
      <c r="F4090"/>
    </row>
    <row r="4091" spans="4:6" outlineLevel="1">
      <c r="D4091"/>
      <c r="E4091"/>
      <c r="F4091"/>
    </row>
    <row r="4092" spans="4:6" outlineLevel="1">
      <c r="D4092"/>
      <c r="E4092"/>
      <c r="F4092"/>
    </row>
    <row r="4093" spans="4:6" outlineLevel="1">
      <c r="D4093"/>
      <c r="E4093"/>
      <c r="F4093"/>
    </row>
    <row r="4094" spans="4:6" outlineLevel="1">
      <c r="D4094"/>
      <c r="E4094"/>
      <c r="F4094"/>
    </row>
    <row r="4095" spans="4:6" outlineLevel="1">
      <c r="D4095"/>
      <c r="E4095"/>
      <c r="F4095"/>
    </row>
    <row r="4096" spans="4:6" outlineLevel="1">
      <c r="D4096"/>
      <c r="E4096"/>
      <c r="F4096"/>
    </row>
    <row r="4097" spans="4:6" outlineLevel="1">
      <c r="D4097"/>
      <c r="E4097"/>
      <c r="F4097"/>
    </row>
    <row r="4098" spans="4:6" outlineLevel="1">
      <c r="D4098"/>
      <c r="E4098"/>
      <c r="F4098"/>
    </row>
    <row r="4099" spans="4:6">
      <c r="D4099"/>
      <c r="E4099"/>
      <c r="F4099"/>
    </row>
    <row r="4100" spans="4:6" outlineLevel="1">
      <c r="D4100"/>
      <c r="E4100"/>
      <c r="F4100"/>
    </row>
    <row r="4101" spans="4:6" outlineLevel="1">
      <c r="D4101"/>
      <c r="E4101"/>
      <c r="F4101"/>
    </row>
    <row r="4102" spans="4:6" outlineLevel="1">
      <c r="D4102"/>
      <c r="E4102"/>
      <c r="F4102"/>
    </row>
    <row r="4103" spans="4:6" outlineLevel="1">
      <c r="D4103"/>
      <c r="E4103"/>
      <c r="F4103"/>
    </row>
    <row r="4104" spans="4:6" outlineLevel="1">
      <c r="D4104"/>
      <c r="E4104"/>
      <c r="F4104"/>
    </row>
    <row r="4105" spans="4:6" outlineLevel="1">
      <c r="D4105"/>
      <c r="E4105"/>
      <c r="F4105"/>
    </row>
    <row r="4106" spans="4:6" outlineLevel="1">
      <c r="D4106"/>
      <c r="E4106"/>
      <c r="F4106"/>
    </row>
    <row r="4107" spans="4:6" outlineLevel="1">
      <c r="D4107"/>
      <c r="E4107"/>
      <c r="F4107"/>
    </row>
    <row r="4108" spans="4:6" outlineLevel="1">
      <c r="D4108"/>
      <c r="E4108"/>
      <c r="F4108"/>
    </row>
    <row r="4109" spans="4:6" outlineLevel="1">
      <c r="D4109"/>
      <c r="E4109"/>
      <c r="F4109"/>
    </row>
    <row r="4110" spans="4:6" outlineLevel="1">
      <c r="D4110"/>
      <c r="E4110"/>
      <c r="F4110"/>
    </row>
    <row r="4111" spans="4:6" outlineLevel="1">
      <c r="D4111"/>
      <c r="E4111"/>
      <c r="F4111"/>
    </row>
    <row r="4112" spans="4:6" outlineLevel="1">
      <c r="D4112"/>
      <c r="E4112"/>
      <c r="F4112"/>
    </row>
    <row r="4113" spans="4:6" outlineLevel="1">
      <c r="D4113"/>
      <c r="E4113"/>
      <c r="F4113"/>
    </row>
    <row r="4114" spans="4:6" outlineLevel="1">
      <c r="D4114"/>
      <c r="E4114"/>
      <c r="F4114"/>
    </row>
    <row r="4115" spans="4:6" outlineLevel="1">
      <c r="D4115"/>
      <c r="E4115"/>
      <c r="F4115"/>
    </row>
    <row r="4116" spans="4:6" outlineLevel="1">
      <c r="D4116"/>
      <c r="E4116"/>
      <c r="F4116"/>
    </row>
    <row r="4117" spans="4:6" outlineLevel="1">
      <c r="D4117"/>
      <c r="E4117"/>
      <c r="F4117"/>
    </row>
    <row r="4118" spans="4:6" outlineLevel="1">
      <c r="D4118"/>
      <c r="E4118"/>
      <c r="F4118"/>
    </row>
    <row r="4119" spans="4:6" outlineLevel="1">
      <c r="D4119"/>
      <c r="E4119"/>
      <c r="F4119"/>
    </row>
    <row r="4120" spans="4:6" outlineLevel="1">
      <c r="D4120"/>
      <c r="E4120"/>
      <c r="F4120"/>
    </row>
    <row r="4121" spans="4:6" outlineLevel="1">
      <c r="D4121"/>
      <c r="E4121"/>
      <c r="F4121"/>
    </row>
    <row r="4122" spans="4:6" outlineLevel="1">
      <c r="D4122"/>
      <c r="E4122"/>
      <c r="F4122"/>
    </row>
    <row r="4123" spans="4:6" outlineLevel="1">
      <c r="D4123"/>
      <c r="E4123"/>
      <c r="F4123"/>
    </row>
    <row r="4124" spans="4:6">
      <c r="D4124"/>
      <c r="E4124"/>
      <c r="F4124"/>
    </row>
    <row r="4125" spans="4:6" outlineLevel="1">
      <c r="D4125"/>
      <c r="E4125"/>
      <c r="F4125"/>
    </row>
    <row r="4126" spans="4:6" outlineLevel="1">
      <c r="D4126"/>
      <c r="E4126"/>
      <c r="F4126"/>
    </row>
    <row r="4127" spans="4:6" outlineLevel="1">
      <c r="D4127"/>
      <c r="E4127"/>
      <c r="F4127"/>
    </row>
    <row r="4128" spans="4:6" outlineLevel="1">
      <c r="D4128"/>
      <c r="E4128"/>
      <c r="F4128"/>
    </row>
    <row r="4129" spans="4:6" outlineLevel="1">
      <c r="D4129"/>
      <c r="E4129"/>
      <c r="F4129"/>
    </row>
    <row r="4130" spans="4:6" outlineLevel="1">
      <c r="D4130"/>
      <c r="E4130"/>
      <c r="F4130"/>
    </row>
    <row r="4131" spans="4:6" outlineLevel="1">
      <c r="D4131"/>
      <c r="E4131"/>
      <c r="F4131"/>
    </row>
    <row r="4132" spans="4:6" outlineLevel="1">
      <c r="D4132"/>
      <c r="E4132"/>
      <c r="F4132"/>
    </row>
    <row r="4133" spans="4:6" outlineLevel="1">
      <c r="D4133"/>
      <c r="E4133"/>
      <c r="F4133"/>
    </row>
    <row r="4134" spans="4:6" outlineLevel="1">
      <c r="D4134"/>
      <c r="E4134"/>
      <c r="F4134"/>
    </row>
    <row r="4135" spans="4:6" outlineLevel="1">
      <c r="D4135"/>
      <c r="E4135"/>
      <c r="F4135"/>
    </row>
    <row r="4136" spans="4:6" outlineLevel="1">
      <c r="D4136"/>
      <c r="E4136"/>
      <c r="F4136"/>
    </row>
    <row r="4137" spans="4:6" outlineLevel="1">
      <c r="D4137"/>
      <c r="E4137"/>
      <c r="F4137"/>
    </row>
    <row r="4138" spans="4:6" outlineLevel="1">
      <c r="D4138"/>
      <c r="E4138"/>
      <c r="F4138"/>
    </row>
    <row r="4139" spans="4:6" outlineLevel="1">
      <c r="D4139"/>
      <c r="E4139"/>
      <c r="F4139"/>
    </row>
    <row r="4140" spans="4:6" outlineLevel="1">
      <c r="D4140"/>
      <c r="E4140"/>
      <c r="F4140"/>
    </row>
    <row r="4141" spans="4:6" outlineLevel="1">
      <c r="D4141"/>
      <c r="E4141"/>
      <c r="F4141"/>
    </row>
    <row r="4142" spans="4:6" outlineLevel="1">
      <c r="D4142"/>
      <c r="E4142"/>
      <c r="F4142"/>
    </row>
    <row r="4143" spans="4:6" outlineLevel="1">
      <c r="D4143"/>
      <c r="E4143"/>
      <c r="F4143"/>
    </row>
    <row r="4144" spans="4:6" outlineLevel="1">
      <c r="D4144"/>
      <c r="E4144"/>
      <c r="F4144"/>
    </row>
    <row r="4145" spans="4:6" outlineLevel="1">
      <c r="D4145"/>
      <c r="E4145"/>
      <c r="F4145"/>
    </row>
    <row r="4146" spans="4:6" outlineLevel="1">
      <c r="D4146"/>
      <c r="E4146"/>
      <c r="F4146"/>
    </row>
    <row r="4147" spans="4:6" outlineLevel="1">
      <c r="D4147"/>
      <c r="E4147"/>
      <c r="F4147"/>
    </row>
    <row r="4148" spans="4:6" outlineLevel="1">
      <c r="D4148"/>
      <c r="E4148"/>
      <c r="F4148"/>
    </row>
    <row r="4149" spans="4:6" outlineLevel="1">
      <c r="D4149"/>
      <c r="E4149"/>
      <c r="F4149"/>
    </row>
    <row r="4150" spans="4:6" outlineLevel="1">
      <c r="D4150"/>
      <c r="E4150"/>
      <c r="F4150"/>
    </row>
    <row r="4151" spans="4:6" outlineLevel="1">
      <c r="D4151"/>
      <c r="E4151"/>
      <c r="F4151"/>
    </row>
    <row r="4152" spans="4:6" outlineLevel="1">
      <c r="D4152"/>
      <c r="E4152"/>
      <c r="F4152"/>
    </row>
    <row r="4153" spans="4:6" outlineLevel="1">
      <c r="D4153"/>
      <c r="E4153"/>
      <c r="F4153"/>
    </row>
    <row r="4154" spans="4:6" outlineLevel="1">
      <c r="D4154"/>
      <c r="E4154"/>
      <c r="F4154"/>
    </row>
    <row r="4155" spans="4:6" outlineLevel="1">
      <c r="D4155"/>
      <c r="E4155"/>
      <c r="F4155"/>
    </row>
    <row r="4156" spans="4:6" outlineLevel="1">
      <c r="D4156"/>
      <c r="E4156"/>
      <c r="F4156"/>
    </row>
    <row r="4157" spans="4:6" outlineLevel="1">
      <c r="D4157"/>
      <c r="E4157"/>
      <c r="F4157"/>
    </row>
    <row r="4158" spans="4:6" outlineLevel="1">
      <c r="D4158"/>
      <c r="E4158"/>
      <c r="F4158"/>
    </row>
    <row r="4159" spans="4:6" outlineLevel="1">
      <c r="D4159"/>
      <c r="E4159"/>
      <c r="F4159"/>
    </row>
    <row r="4160" spans="4:6" outlineLevel="1">
      <c r="D4160"/>
      <c r="E4160"/>
      <c r="F4160"/>
    </row>
    <row r="4161" spans="4:6" outlineLevel="1">
      <c r="D4161"/>
      <c r="E4161"/>
      <c r="F4161"/>
    </row>
    <row r="4162" spans="4:6" outlineLevel="1">
      <c r="D4162"/>
      <c r="E4162"/>
      <c r="F4162"/>
    </row>
    <row r="4163" spans="4:6" outlineLevel="1">
      <c r="D4163"/>
      <c r="E4163"/>
      <c r="F4163"/>
    </row>
    <row r="4164" spans="4:6" outlineLevel="1">
      <c r="D4164"/>
      <c r="E4164"/>
      <c r="F4164"/>
    </row>
    <row r="4165" spans="4:6" outlineLevel="1">
      <c r="D4165"/>
      <c r="E4165"/>
      <c r="F4165"/>
    </row>
    <row r="4166" spans="4:6" outlineLevel="1">
      <c r="D4166"/>
      <c r="E4166"/>
      <c r="F4166"/>
    </row>
    <row r="4167" spans="4:6" outlineLevel="1">
      <c r="D4167"/>
      <c r="E4167"/>
      <c r="F4167"/>
    </row>
    <row r="4168" spans="4:6" outlineLevel="1">
      <c r="D4168"/>
      <c r="E4168"/>
      <c r="F4168"/>
    </row>
    <row r="4169" spans="4:6" outlineLevel="1">
      <c r="D4169"/>
      <c r="E4169"/>
      <c r="F4169"/>
    </row>
    <row r="4170" spans="4:6" outlineLevel="1">
      <c r="D4170"/>
      <c r="E4170"/>
      <c r="F4170"/>
    </row>
    <row r="4171" spans="4:6" outlineLevel="1">
      <c r="D4171"/>
      <c r="E4171"/>
      <c r="F4171"/>
    </row>
    <row r="4172" spans="4:6" outlineLevel="1">
      <c r="D4172"/>
      <c r="E4172"/>
      <c r="F4172"/>
    </row>
    <row r="4173" spans="4:6" outlineLevel="1">
      <c r="D4173"/>
      <c r="E4173"/>
      <c r="F4173"/>
    </row>
    <row r="4174" spans="4:6" outlineLevel="1">
      <c r="D4174"/>
      <c r="E4174"/>
      <c r="F4174"/>
    </row>
    <row r="4175" spans="4:6" outlineLevel="1">
      <c r="D4175"/>
      <c r="E4175"/>
      <c r="F4175"/>
    </row>
    <row r="4176" spans="4:6" outlineLevel="1">
      <c r="D4176"/>
      <c r="E4176"/>
      <c r="F4176"/>
    </row>
    <row r="4177" spans="4:6" outlineLevel="1">
      <c r="D4177"/>
      <c r="E4177"/>
      <c r="F4177"/>
    </row>
    <row r="4178" spans="4:6" outlineLevel="1">
      <c r="D4178"/>
      <c r="E4178"/>
      <c r="F4178"/>
    </row>
    <row r="4179" spans="4:6" outlineLevel="1">
      <c r="D4179"/>
      <c r="E4179"/>
      <c r="F4179"/>
    </row>
    <row r="4180" spans="4:6" outlineLevel="1">
      <c r="D4180"/>
      <c r="E4180"/>
      <c r="F4180"/>
    </row>
    <row r="4181" spans="4:6" outlineLevel="1">
      <c r="D4181"/>
      <c r="E4181"/>
      <c r="F4181"/>
    </row>
    <row r="4182" spans="4:6" outlineLevel="1">
      <c r="D4182"/>
      <c r="E4182"/>
      <c r="F4182"/>
    </row>
    <row r="4183" spans="4:6" outlineLevel="1">
      <c r="D4183"/>
      <c r="E4183"/>
      <c r="F4183"/>
    </row>
    <row r="4184" spans="4:6" outlineLevel="1">
      <c r="D4184"/>
      <c r="E4184"/>
      <c r="F4184"/>
    </row>
    <row r="4185" spans="4:6" outlineLevel="1">
      <c r="D4185"/>
      <c r="E4185"/>
      <c r="F4185"/>
    </row>
    <row r="4186" spans="4:6" outlineLevel="1">
      <c r="D4186"/>
      <c r="E4186"/>
      <c r="F4186"/>
    </row>
    <row r="4187" spans="4:6" outlineLevel="1">
      <c r="D4187"/>
      <c r="E4187"/>
      <c r="F4187"/>
    </row>
    <row r="4188" spans="4:6" outlineLevel="1">
      <c r="D4188"/>
      <c r="E4188"/>
      <c r="F4188"/>
    </row>
    <row r="4189" spans="4:6" outlineLevel="1">
      <c r="D4189"/>
      <c r="E4189"/>
      <c r="F4189"/>
    </row>
    <row r="4190" spans="4:6" outlineLevel="1">
      <c r="D4190"/>
      <c r="E4190"/>
      <c r="F4190"/>
    </row>
    <row r="4191" spans="4:6" outlineLevel="1">
      <c r="D4191"/>
      <c r="E4191"/>
      <c r="F4191"/>
    </row>
    <row r="4192" spans="4:6" outlineLevel="1">
      <c r="D4192"/>
      <c r="E4192"/>
      <c r="F4192"/>
    </row>
    <row r="4193" spans="4:6" outlineLevel="1">
      <c r="D4193"/>
      <c r="E4193"/>
      <c r="F4193"/>
    </row>
    <row r="4194" spans="4:6" outlineLevel="1">
      <c r="D4194"/>
      <c r="E4194"/>
      <c r="F4194"/>
    </row>
    <row r="4195" spans="4:6" outlineLevel="1">
      <c r="D4195"/>
      <c r="E4195"/>
      <c r="F4195"/>
    </row>
    <row r="4196" spans="4:6" outlineLevel="1">
      <c r="D4196"/>
      <c r="E4196"/>
      <c r="F4196"/>
    </row>
    <row r="4197" spans="4:6" outlineLevel="1">
      <c r="D4197"/>
      <c r="E4197"/>
      <c r="F4197"/>
    </row>
    <row r="4198" spans="4:6" outlineLevel="1">
      <c r="D4198"/>
      <c r="E4198"/>
      <c r="F4198"/>
    </row>
    <row r="4199" spans="4:6" outlineLevel="1">
      <c r="D4199"/>
      <c r="E4199"/>
      <c r="F4199"/>
    </row>
    <row r="4200" spans="4:6" outlineLevel="1">
      <c r="D4200"/>
      <c r="E4200"/>
      <c r="F4200"/>
    </row>
    <row r="4201" spans="4:6" outlineLevel="1">
      <c r="D4201"/>
      <c r="E4201"/>
      <c r="F4201"/>
    </row>
    <row r="4202" spans="4:6" outlineLevel="1">
      <c r="D4202"/>
      <c r="E4202"/>
      <c r="F4202"/>
    </row>
    <row r="4203" spans="4:6" outlineLevel="1">
      <c r="D4203"/>
      <c r="E4203"/>
      <c r="F4203"/>
    </row>
    <row r="4204" spans="4:6" outlineLevel="1">
      <c r="D4204"/>
      <c r="E4204"/>
      <c r="F4204"/>
    </row>
    <row r="4205" spans="4:6" outlineLevel="1">
      <c r="D4205"/>
      <c r="E4205"/>
      <c r="F4205"/>
    </row>
    <row r="4206" spans="4:6" outlineLevel="1">
      <c r="D4206"/>
      <c r="E4206"/>
      <c r="F4206"/>
    </row>
    <row r="4207" spans="4:6" outlineLevel="1">
      <c r="D4207"/>
      <c r="E4207"/>
      <c r="F4207"/>
    </row>
    <row r="4208" spans="4:6" outlineLevel="1">
      <c r="D4208"/>
      <c r="E4208"/>
      <c r="F4208"/>
    </row>
    <row r="4209" spans="4:6" outlineLevel="1">
      <c r="D4209"/>
      <c r="E4209"/>
      <c r="F4209"/>
    </row>
    <row r="4210" spans="4:6" outlineLevel="1">
      <c r="D4210"/>
      <c r="E4210"/>
      <c r="F4210"/>
    </row>
    <row r="4211" spans="4:6" outlineLevel="1">
      <c r="D4211"/>
      <c r="E4211"/>
      <c r="F4211"/>
    </row>
    <row r="4212" spans="4:6" outlineLevel="1">
      <c r="D4212"/>
      <c r="E4212"/>
      <c r="F4212"/>
    </row>
    <row r="4213" spans="4:6" outlineLevel="1">
      <c r="D4213"/>
      <c r="E4213"/>
      <c r="F4213"/>
    </row>
    <row r="4214" spans="4:6" outlineLevel="1">
      <c r="D4214"/>
      <c r="E4214"/>
      <c r="F4214"/>
    </row>
    <row r="4215" spans="4:6" outlineLevel="1">
      <c r="D4215"/>
      <c r="E4215"/>
      <c r="F4215"/>
    </row>
    <row r="4216" spans="4:6" outlineLevel="1">
      <c r="D4216"/>
      <c r="E4216"/>
      <c r="F4216"/>
    </row>
    <row r="4217" spans="4:6" outlineLevel="1">
      <c r="D4217"/>
      <c r="E4217"/>
      <c r="F4217"/>
    </row>
    <row r="4218" spans="4:6" outlineLevel="1">
      <c r="D4218"/>
      <c r="E4218"/>
      <c r="F4218"/>
    </row>
    <row r="4219" spans="4:6" outlineLevel="1">
      <c r="D4219"/>
      <c r="E4219"/>
      <c r="F4219"/>
    </row>
    <row r="4220" spans="4:6" outlineLevel="1">
      <c r="D4220"/>
      <c r="E4220"/>
      <c r="F4220"/>
    </row>
    <row r="4221" spans="4:6" outlineLevel="1">
      <c r="D4221"/>
      <c r="E4221"/>
      <c r="F4221"/>
    </row>
    <row r="4222" spans="4:6" outlineLevel="1">
      <c r="D4222"/>
      <c r="E4222"/>
      <c r="F4222"/>
    </row>
    <row r="4223" spans="4:6" outlineLevel="1">
      <c r="D4223"/>
      <c r="E4223"/>
      <c r="F4223"/>
    </row>
    <row r="4224" spans="4:6" outlineLevel="1">
      <c r="D4224"/>
      <c r="E4224"/>
      <c r="F4224"/>
    </row>
    <row r="4225" spans="4:6" outlineLevel="1">
      <c r="D4225"/>
      <c r="E4225"/>
      <c r="F4225"/>
    </row>
    <row r="4226" spans="4:6" outlineLevel="1">
      <c r="D4226"/>
      <c r="E4226"/>
      <c r="F4226"/>
    </row>
    <row r="4227" spans="4:6" outlineLevel="1">
      <c r="D4227"/>
      <c r="E4227"/>
      <c r="F4227"/>
    </row>
    <row r="4228" spans="4:6" outlineLevel="1">
      <c r="D4228"/>
      <c r="E4228"/>
      <c r="F4228"/>
    </row>
    <row r="4229" spans="4:6" outlineLevel="1">
      <c r="D4229"/>
      <c r="E4229"/>
      <c r="F4229"/>
    </row>
    <row r="4230" spans="4:6" outlineLevel="1">
      <c r="D4230"/>
      <c r="E4230"/>
      <c r="F4230"/>
    </row>
    <row r="4231" spans="4:6" outlineLevel="1">
      <c r="D4231"/>
      <c r="E4231"/>
      <c r="F4231"/>
    </row>
    <row r="4232" spans="4:6" outlineLevel="1">
      <c r="D4232"/>
      <c r="E4232"/>
      <c r="F4232"/>
    </row>
    <row r="4233" spans="4:6" outlineLevel="1">
      <c r="D4233"/>
      <c r="E4233"/>
      <c r="F4233"/>
    </row>
    <row r="4234" spans="4:6" outlineLevel="1">
      <c r="D4234"/>
      <c r="E4234"/>
      <c r="F4234"/>
    </row>
    <row r="4235" spans="4:6" outlineLevel="1">
      <c r="D4235"/>
      <c r="E4235"/>
      <c r="F4235"/>
    </row>
    <row r="4236" spans="4:6" outlineLevel="1">
      <c r="D4236"/>
      <c r="E4236"/>
      <c r="F4236"/>
    </row>
    <row r="4237" spans="4:6" outlineLevel="1">
      <c r="D4237"/>
      <c r="E4237"/>
      <c r="F4237"/>
    </row>
    <row r="4238" spans="4:6" outlineLevel="1">
      <c r="D4238"/>
      <c r="E4238"/>
      <c r="F4238"/>
    </row>
    <row r="4239" spans="4:6" outlineLevel="1">
      <c r="D4239"/>
      <c r="E4239"/>
      <c r="F4239"/>
    </row>
    <row r="4240" spans="4:6" outlineLevel="1">
      <c r="D4240"/>
      <c r="E4240"/>
      <c r="F4240"/>
    </row>
    <row r="4241" spans="4:6" outlineLevel="1">
      <c r="D4241"/>
      <c r="E4241"/>
      <c r="F4241"/>
    </row>
    <row r="4242" spans="4:6" outlineLevel="1">
      <c r="D4242"/>
      <c r="E4242"/>
      <c r="F4242"/>
    </row>
    <row r="4243" spans="4:6" outlineLevel="1">
      <c r="D4243"/>
      <c r="E4243"/>
      <c r="F4243"/>
    </row>
    <row r="4244" spans="4:6" outlineLevel="1">
      <c r="D4244"/>
      <c r="E4244"/>
      <c r="F4244"/>
    </row>
    <row r="4245" spans="4:6" outlineLevel="1">
      <c r="D4245"/>
      <c r="E4245"/>
      <c r="F4245"/>
    </row>
    <row r="4246" spans="4:6" outlineLevel="1">
      <c r="D4246"/>
      <c r="E4246"/>
      <c r="F4246"/>
    </row>
    <row r="4247" spans="4:6" outlineLevel="1">
      <c r="D4247"/>
      <c r="E4247"/>
      <c r="F4247"/>
    </row>
    <row r="4248" spans="4:6" outlineLevel="1">
      <c r="D4248"/>
      <c r="E4248"/>
      <c r="F4248"/>
    </row>
    <row r="4249" spans="4:6" outlineLevel="1">
      <c r="D4249"/>
      <c r="E4249"/>
      <c r="F4249"/>
    </row>
    <row r="4250" spans="4:6" outlineLevel="1">
      <c r="D4250"/>
      <c r="E4250"/>
      <c r="F4250"/>
    </row>
    <row r="4251" spans="4:6" outlineLevel="1">
      <c r="D4251"/>
      <c r="E4251"/>
      <c r="F4251"/>
    </row>
    <row r="4252" spans="4:6" outlineLevel="1">
      <c r="D4252"/>
      <c r="E4252"/>
      <c r="F4252"/>
    </row>
    <row r="4253" spans="4:6" outlineLevel="1">
      <c r="D4253"/>
      <c r="E4253"/>
      <c r="F4253"/>
    </row>
    <row r="4254" spans="4:6" outlineLevel="1">
      <c r="D4254"/>
      <c r="E4254"/>
      <c r="F4254"/>
    </row>
    <row r="4255" spans="4:6" outlineLevel="1">
      <c r="D4255"/>
      <c r="E4255"/>
      <c r="F4255"/>
    </row>
    <row r="4256" spans="4:6" outlineLevel="1">
      <c r="D4256"/>
      <c r="E4256"/>
      <c r="F4256"/>
    </row>
    <row r="4257" spans="4:6" outlineLevel="1">
      <c r="D4257"/>
      <c r="E4257"/>
      <c r="F4257"/>
    </row>
    <row r="4258" spans="4:6" outlineLevel="1">
      <c r="D4258"/>
      <c r="E4258"/>
      <c r="F4258"/>
    </row>
    <row r="4259" spans="4:6" outlineLevel="1">
      <c r="D4259"/>
      <c r="E4259"/>
      <c r="F4259"/>
    </row>
    <row r="4260" spans="4:6" outlineLevel="1">
      <c r="D4260"/>
      <c r="E4260"/>
      <c r="F4260"/>
    </row>
    <row r="4261" spans="4:6" outlineLevel="1">
      <c r="D4261"/>
      <c r="E4261"/>
      <c r="F4261"/>
    </row>
    <row r="4262" spans="4:6" outlineLevel="1">
      <c r="D4262"/>
      <c r="E4262"/>
      <c r="F4262"/>
    </row>
    <row r="4263" spans="4:6" outlineLevel="1">
      <c r="D4263"/>
      <c r="E4263"/>
      <c r="F4263"/>
    </row>
    <row r="4264" spans="4:6" outlineLevel="1">
      <c r="D4264"/>
      <c r="E4264"/>
      <c r="F4264"/>
    </row>
    <row r="4265" spans="4:6" outlineLevel="1">
      <c r="D4265"/>
      <c r="E4265"/>
      <c r="F4265"/>
    </row>
    <row r="4266" spans="4:6" outlineLevel="1">
      <c r="D4266"/>
      <c r="E4266"/>
      <c r="F4266"/>
    </row>
    <row r="4267" spans="4:6" outlineLevel="1">
      <c r="D4267"/>
      <c r="E4267"/>
      <c r="F4267"/>
    </row>
    <row r="4268" spans="4:6" outlineLevel="1">
      <c r="D4268"/>
      <c r="E4268"/>
      <c r="F4268"/>
    </row>
    <row r="4269" spans="4:6" outlineLevel="1">
      <c r="D4269"/>
      <c r="E4269"/>
      <c r="F4269"/>
    </row>
    <row r="4270" spans="4:6" outlineLevel="1">
      <c r="D4270"/>
      <c r="E4270"/>
      <c r="F4270"/>
    </row>
    <row r="4271" spans="4:6" outlineLevel="1">
      <c r="D4271"/>
      <c r="E4271"/>
      <c r="F4271"/>
    </row>
    <row r="4272" spans="4:6" outlineLevel="1">
      <c r="D4272"/>
      <c r="E4272"/>
      <c r="F4272"/>
    </row>
    <row r="4273" spans="4:6" outlineLevel="1">
      <c r="D4273"/>
      <c r="E4273"/>
      <c r="F4273"/>
    </row>
    <row r="4274" spans="4:6" outlineLevel="1">
      <c r="D4274"/>
      <c r="E4274"/>
      <c r="F4274"/>
    </row>
    <row r="4275" spans="4:6" outlineLevel="1">
      <c r="D4275"/>
      <c r="E4275"/>
      <c r="F4275"/>
    </row>
    <row r="4276" spans="4:6" outlineLevel="1">
      <c r="D4276"/>
      <c r="E4276"/>
      <c r="F4276"/>
    </row>
    <row r="4277" spans="4:6" outlineLevel="1">
      <c r="D4277"/>
      <c r="E4277"/>
      <c r="F4277"/>
    </row>
    <row r="4278" spans="4:6" outlineLevel="1">
      <c r="D4278"/>
      <c r="E4278"/>
      <c r="F4278"/>
    </row>
    <row r="4279" spans="4:6" outlineLevel="1">
      <c r="D4279"/>
      <c r="E4279"/>
      <c r="F4279"/>
    </row>
    <row r="4280" spans="4:6" outlineLevel="1">
      <c r="D4280"/>
      <c r="E4280"/>
      <c r="F4280"/>
    </row>
    <row r="4281" spans="4:6" outlineLevel="1">
      <c r="D4281"/>
      <c r="E4281"/>
      <c r="F4281"/>
    </row>
    <row r="4282" spans="4:6" outlineLevel="1">
      <c r="D4282"/>
      <c r="E4282"/>
      <c r="F4282"/>
    </row>
    <row r="4283" spans="4:6" outlineLevel="1">
      <c r="D4283"/>
      <c r="E4283"/>
      <c r="F4283"/>
    </row>
    <row r="4284" spans="4:6" outlineLevel="1">
      <c r="D4284"/>
      <c r="E4284"/>
      <c r="F4284"/>
    </row>
    <row r="4285" spans="4:6" outlineLevel="1">
      <c r="D4285"/>
      <c r="E4285"/>
      <c r="F4285"/>
    </row>
    <row r="4286" spans="4:6" outlineLevel="1">
      <c r="D4286"/>
      <c r="E4286"/>
      <c r="F4286"/>
    </row>
    <row r="4287" spans="4:6" outlineLevel="1">
      <c r="D4287"/>
      <c r="E4287"/>
      <c r="F4287"/>
    </row>
    <row r="4288" spans="4:6" outlineLevel="1">
      <c r="D4288"/>
      <c r="E4288"/>
      <c r="F4288"/>
    </row>
    <row r="4289" spans="4:6" outlineLevel="1">
      <c r="D4289"/>
      <c r="E4289"/>
      <c r="F4289"/>
    </row>
    <row r="4290" spans="4:6" outlineLevel="1">
      <c r="D4290"/>
      <c r="E4290"/>
      <c r="F4290"/>
    </row>
    <row r="4291" spans="4:6" outlineLevel="1">
      <c r="D4291"/>
      <c r="E4291"/>
      <c r="F4291"/>
    </row>
    <row r="4292" spans="4:6" outlineLevel="1">
      <c r="D4292"/>
      <c r="E4292"/>
      <c r="F4292"/>
    </row>
    <row r="4293" spans="4:6" outlineLevel="1">
      <c r="D4293"/>
      <c r="E4293"/>
      <c r="F4293"/>
    </row>
    <row r="4294" spans="4:6" outlineLevel="1">
      <c r="D4294"/>
      <c r="E4294"/>
      <c r="F4294"/>
    </row>
    <row r="4295" spans="4:6" outlineLevel="1">
      <c r="D4295"/>
      <c r="E4295"/>
      <c r="F4295"/>
    </row>
    <row r="4296" spans="4:6" outlineLevel="1">
      <c r="D4296"/>
      <c r="E4296"/>
      <c r="F4296"/>
    </row>
    <row r="4297" spans="4:6" outlineLevel="1">
      <c r="D4297"/>
      <c r="E4297"/>
      <c r="F4297"/>
    </row>
    <row r="4298" spans="4:6" outlineLevel="1">
      <c r="D4298"/>
      <c r="E4298"/>
      <c r="F4298"/>
    </row>
    <row r="4299" spans="4:6" outlineLevel="1">
      <c r="D4299"/>
      <c r="E4299"/>
      <c r="F4299"/>
    </row>
    <row r="4300" spans="4:6" outlineLevel="1">
      <c r="D4300"/>
      <c r="E4300"/>
      <c r="F4300"/>
    </row>
    <row r="4301" spans="4:6" outlineLevel="1">
      <c r="D4301"/>
      <c r="E4301"/>
      <c r="F4301"/>
    </row>
    <row r="4302" spans="4:6" outlineLevel="1">
      <c r="D4302"/>
      <c r="E4302"/>
      <c r="F4302"/>
    </row>
    <row r="4303" spans="4:6" outlineLevel="1">
      <c r="D4303"/>
      <c r="E4303"/>
      <c r="F4303"/>
    </row>
    <row r="4304" spans="4:6" outlineLevel="1">
      <c r="D4304"/>
      <c r="E4304"/>
      <c r="F4304"/>
    </row>
    <row r="4305" spans="4:6" outlineLevel="1">
      <c r="D4305"/>
      <c r="E4305"/>
      <c r="F4305"/>
    </row>
    <row r="4306" spans="4:6" outlineLevel="1">
      <c r="D4306"/>
      <c r="E4306"/>
      <c r="F4306"/>
    </row>
    <row r="4307" spans="4:6" outlineLevel="1">
      <c r="D4307"/>
      <c r="E4307"/>
      <c r="F4307"/>
    </row>
    <row r="4308" spans="4:6" outlineLevel="1">
      <c r="D4308"/>
      <c r="E4308"/>
      <c r="F4308"/>
    </row>
    <row r="4309" spans="4:6" outlineLevel="1">
      <c r="D4309"/>
      <c r="E4309"/>
      <c r="F4309"/>
    </row>
    <row r="4310" spans="4:6" outlineLevel="1">
      <c r="D4310"/>
      <c r="E4310"/>
      <c r="F4310"/>
    </row>
    <row r="4311" spans="4:6" outlineLevel="1">
      <c r="D4311"/>
      <c r="E4311"/>
      <c r="F4311"/>
    </row>
    <row r="4312" spans="4:6" outlineLevel="1">
      <c r="D4312"/>
      <c r="E4312"/>
      <c r="F4312"/>
    </row>
    <row r="4313" spans="4:6" outlineLevel="1">
      <c r="D4313"/>
      <c r="E4313"/>
      <c r="F4313"/>
    </row>
    <row r="4314" spans="4:6" outlineLevel="1">
      <c r="D4314"/>
      <c r="E4314"/>
      <c r="F4314"/>
    </row>
    <row r="4315" spans="4:6" outlineLevel="1">
      <c r="D4315"/>
      <c r="E4315"/>
      <c r="F4315"/>
    </row>
    <row r="4316" spans="4:6" outlineLevel="1">
      <c r="D4316"/>
      <c r="E4316"/>
      <c r="F4316"/>
    </row>
    <row r="4317" spans="4:6" outlineLevel="1">
      <c r="D4317"/>
      <c r="E4317"/>
      <c r="F4317"/>
    </row>
    <row r="4318" spans="4:6" outlineLevel="1">
      <c r="D4318"/>
      <c r="E4318"/>
      <c r="F4318"/>
    </row>
    <row r="4319" spans="4:6" outlineLevel="1">
      <c r="D4319"/>
      <c r="E4319"/>
      <c r="F4319"/>
    </row>
    <row r="4320" spans="4:6" outlineLevel="1">
      <c r="D4320"/>
      <c r="E4320"/>
      <c r="F4320"/>
    </row>
    <row r="4321" spans="4:6" outlineLevel="1">
      <c r="D4321"/>
      <c r="E4321"/>
      <c r="F4321"/>
    </row>
    <row r="4322" spans="4:6" outlineLevel="1">
      <c r="D4322"/>
      <c r="E4322"/>
      <c r="F4322"/>
    </row>
    <row r="4323" spans="4:6" outlineLevel="1">
      <c r="D4323"/>
      <c r="E4323"/>
      <c r="F4323"/>
    </row>
    <row r="4324" spans="4:6" outlineLevel="1">
      <c r="D4324"/>
      <c r="E4324"/>
      <c r="F4324"/>
    </row>
    <row r="4325" spans="4:6" outlineLevel="1">
      <c r="D4325"/>
      <c r="E4325"/>
      <c r="F4325"/>
    </row>
    <row r="4326" spans="4:6" outlineLevel="1">
      <c r="D4326"/>
      <c r="E4326"/>
      <c r="F4326"/>
    </row>
    <row r="4327" spans="4:6" outlineLevel="1">
      <c r="D4327"/>
      <c r="E4327"/>
      <c r="F4327"/>
    </row>
    <row r="4328" spans="4:6" outlineLevel="1">
      <c r="D4328"/>
      <c r="E4328"/>
      <c r="F4328"/>
    </row>
    <row r="4329" spans="4:6" outlineLevel="1">
      <c r="D4329"/>
      <c r="E4329"/>
      <c r="F4329"/>
    </row>
    <row r="4330" spans="4:6" outlineLevel="1">
      <c r="D4330"/>
      <c r="E4330"/>
      <c r="F4330"/>
    </row>
    <row r="4331" spans="4:6" outlineLevel="1">
      <c r="D4331"/>
      <c r="E4331"/>
      <c r="F4331"/>
    </row>
    <row r="4332" spans="4:6" outlineLevel="1">
      <c r="D4332"/>
      <c r="E4332"/>
      <c r="F4332"/>
    </row>
    <row r="4333" spans="4:6" outlineLevel="1">
      <c r="D4333"/>
      <c r="E4333"/>
      <c r="F4333"/>
    </row>
    <row r="4334" spans="4:6" outlineLevel="1">
      <c r="D4334"/>
      <c r="E4334"/>
      <c r="F4334"/>
    </row>
    <row r="4335" spans="4:6" outlineLevel="1">
      <c r="D4335"/>
      <c r="E4335"/>
      <c r="F4335"/>
    </row>
    <row r="4336" spans="4:6" outlineLevel="1">
      <c r="D4336"/>
      <c r="E4336"/>
      <c r="F4336"/>
    </row>
    <row r="4337" spans="4:6" outlineLevel="1">
      <c r="D4337"/>
      <c r="E4337"/>
      <c r="F4337"/>
    </row>
    <row r="4338" spans="4:6" outlineLevel="1">
      <c r="D4338"/>
      <c r="E4338"/>
      <c r="F4338"/>
    </row>
    <row r="4339" spans="4:6" outlineLevel="1">
      <c r="D4339"/>
      <c r="E4339"/>
      <c r="F4339"/>
    </row>
    <row r="4340" spans="4:6" outlineLevel="1">
      <c r="D4340"/>
      <c r="E4340"/>
      <c r="F4340"/>
    </row>
    <row r="4341" spans="4:6" outlineLevel="1">
      <c r="D4341"/>
      <c r="E4341"/>
      <c r="F4341"/>
    </row>
    <row r="4342" spans="4:6" outlineLevel="1">
      <c r="D4342"/>
      <c r="E4342"/>
      <c r="F4342"/>
    </row>
    <row r="4343" spans="4:6" outlineLevel="1">
      <c r="D4343"/>
      <c r="E4343"/>
      <c r="F4343"/>
    </row>
    <row r="4344" spans="4:6" outlineLevel="1">
      <c r="D4344"/>
      <c r="E4344"/>
      <c r="F4344"/>
    </row>
    <row r="4345" spans="4:6" outlineLevel="1">
      <c r="D4345"/>
      <c r="E4345"/>
      <c r="F4345"/>
    </row>
    <row r="4346" spans="4:6" outlineLevel="1">
      <c r="D4346"/>
      <c r="E4346"/>
      <c r="F4346"/>
    </row>
    <row r="4347" spans="4:6" outlineLevel="1">
      <c r="D4347"/>
      <c r="E4347"/>
      <c r="F4347"/>
    </row>
    <row r="4348" spans="4:6" outlineLevel="1">
      <c r="D4348"/>
      <c r="E4348"/>
      <c r="F4348"/>
    </row>
    <row r="4349" spans="4:6" outlineLevel="1">
      <c r="D4349"/>
      <c r="E4349"/>
      <c r="F4349"/>
    </row>
    <row r="4350" spans="4:6" outlineLevel="1">
      <c r="D4350"/>
      <c r="E4350"/>
      <c r="F4350"/>
    </row>
    <row r="4351" spans="4:6" outlineLevel="1">
      <c r="D4351"/>
      <c r="E4351"/>
      <c r="F4351"/>
    </row>
    <row r="4352" spans="4:6" outlineLevel="1">
      <c r="D4352"/>
      <c r="E4352"/>
      <c r="F4352"/>
    </row>
    <row r="4353" spans="4:6" outlineLevel="1">
      <c r="D4353"/>
      <c r="E4353"/>
      <c r="F4353"/>
    </row>
    <row r="4354" spans="4:6" outlineLevel="1">
      <c r="D4354"/>
      <c r="E4354"/>
      <c r="F4354"/>
    </row>
    <row r="4355" spans="4:6" outlineLevel="1">
      <c r="D4355"/>
      <c r="E4355"/>
      <c r="F4355"/>
    </row>
    <row r="4356" spans="4:6" outlineLevel="1">
      <c r="D4356"/>
      <c r="E4356"/>
      <c r="F4356"/>
    </row>
    <row r="4357" spans="4:6" outlineLevel="1">
      <c r="D4357"/>
      <c r="E4357"/>
      <c r="F4357"/>
    </row>
    <row r="4358" spans="4:6">
      <c r="D4358"/>
      <c r="E4358"/>
      <c r="F4358"/>
    </row>
    <row r="4359" spans="4:6" outlineLevel="1">
      <c r="D4359"/>
      <c r="E4359"/>
      <c r="F4359"/>
    </row>
    <row r="4360" spans="4:6" outlineLevel="1">
      <c r="D4360"/>
      <c r="E4360"/>
      <c r="F4360"/>
    </row>
    <row r="4361" spans="4:6" outlineLevel="1">
      <c r="D4361"/>
      <c r="E4361"/>
      <c r="F4361"/>
    </row>
    <row r="4362" spans="4:6" outlineLevel="1">
      <c r="D4362"/>
      <c r="E4362"/>
      <c r="F4362"/>
    </row>
    <row r="4363" spans="4:6" outlineLevel="1">
      <c r="D4363"/>
      <c r="E4363"/>
      <c r="F4363"/>
    </row>
    <row r="4364" spans="4:6" outlineLevel="1">
      <c r="D4364"/>
      <c r="E4364"/>
      <c r="F4364"/>
    </row>
    <row r="4365" spans="4:6" outlineLevel="1">
      <c r="D4365"/>
      <c r="E4365"/>
      <c r="F4365"/>
    </row>
    <row r="4366" spans="4:6" outlineLevel="1">
      <c r="D4366"/>
      <c r="E4366"/>
      <c r="F4366"/>
    </row>
    <row r="4367" spans="4:6" outlineLevel="1">
      <c r="D4367"/>
      <c r="E4367"/>
      <c r="F4367"/>
    </row>
    <row r="4368" spans="4:6" outlineLevel="1">
      <c r="D4368"/>
      <c r="E4368"/>
      <c r="F4368"/>
    </row>
    <row r="4369" spans="4:6" outlineLevel="1">
      <c r="D4369"/>
      <c r="E4369"/>
      <c r="F4369"/>
    </row>
    <row r="4370" spans="4:6" outlineLevel="1">
      <c r="D4370"/>
      <c r="E4370"/>
      <c r="F4370"/>
    </row>
    <row r="4371" spans="4:6" outlineLevel="1">
      <c r="D4371"/>
      <c r="E4371"/>
      <c r="F4371"/>
    </row>
    <row r="4372" spans="4:6" outlineLevel="1">
      <c r="D4372"/>
      <c r="E4372"/>
      <c r="F4372"/>
    </row>
    <row r="4373" spans="4:6" outlineLevel="1">
      <c r="D4373"/>
      <c r="E4373"/>
      <c r="F4373"/>
    </row>
    <row r="4374" spans="4:6" outlineLevel="1">
      <c r="D4374"/>
      <c r="E4374"/>
      <c r="F4374"/>
    </row>
    <row r="4375" spans="4:6" outlineLevel="1">
      <c r="D4375"/>
      <c r="E4375"/>
      <c r="F4375"/>
    </row>
    <row r="4376" spans="4:6" outlineLevel="1">
      <c r="D4376"/>
      <c r="E4376"/>
      <c r="F4376"/>
    </row>
    <row r="4377" spans="4:6" outlineLevel="1">
      <c r="D4377"/>
      <c r="E4377"/>
      <c r="F4377"/>
    </row>
    <row r="4378" spans="4:6" outlineLevel="1">
      <c r="D4378"/>
      <c r="E4378"/>
      <c r="F4378"/>
    </row>
    <row r="4379" spans="4:6" outlineLevel="1">
      <c r="D4379"/>
      <c r="E4379"/>
      <c r="F4379"/>
    </row>
    <row r="4380" spans="4:6" outlineLevel="1">
      <c r="D4380"/>
      <c r="E4380"/>
      <c r="F4380"/>
    </row>
    <row r="4381" spans="4:6" outlineLevel="1">
      <c r="D4381"/>
      <c r="E4381"/>
      <c r="F4381"/>
    </row>
    <row r="4382" spans="4:6" outlineLevel="1">
      <c r="D4382"/>
      <c r="E4382"/>
      <c r="F4382"/>
    </row>
    <row r="4383" spans="4:6" outlineLevel="1">
      <c r="D4383"/>
      <c r="E4383"/>
      <c r="F4383"/>
    </row>
    <row r="4384" spans="4:6" outlineLevel="1">
      <c r="D4384"/>
      <c r="E4384"/>
      <c r="F4384"/>
    </row>
    <row r="4385" spans="4:6" outlineLevel="1">
      <c r="D4385"/>
      <c r="E4385"/>
      <c r="F4385"/>
    </row>
    <row r="4386" spans="4:6" outlineLevel="1">
      <c r="D4386"/>
      <c r="E4386"/>
      <c r="F4386"/>
    </row>
    <row r="4387" spans="4:6" outlineLevel="1">
      <c r="D4387"/>
      <c r="E4387"/>
      <c r="F4387"/>
    </row>
    <row r="4388" spans="4:6" outlineLevel="1">
      <c r="D4388"/>
      <c r="E4388"/>
      <c r="F4388"/>
    </row>
    <row r="4389" spans="4:6" outlineLevel="1">
      <c r="D4389"/>
      <c r="E4389"/>
      <c r="F4389"/>
    </row>
    <row r="4390" spans="4:6" outlineLevel="1">
      <c r="D4390"/>
      <c r="E4390"/>
      <c r="F4390"/>
    </row>
    <row r="4391" spans="4:6" outlineLevel="1">
      <c r="D4391"/>
      <c r="E4391"/>
      <c r="F4391"/>
    </row>
    <row r="4392" spans="4:6" outlineLevel="1">
      <c r="D4392"/>
      <c r="E4392"/>
      <c r="F4392"/>
    </row>
    <row r="4393" spans="4:6" outlineLevel="1">
      <c r="D4393"/>
      <c r="E4393"/>
      <c r="F4393"/>
    </row>
    <row r="4394" spans="4:6" outlineLevel="1">
      <c r="D4394"/>
      <c r="E4394"/>
      <c r="F4394"/>
    </row>
    <row r="4395" spans="4:6" outlineLevel="1">
      <c r="D4395"/>
      <c r="E4395"/>
      <c r="F4395"/>
    </row>
    <row r="4396" spans="4:6" outlineLevel="1">
      <c r="D4396"/>
      <c r="E4396"/>
      <c r="F4396"/>
    </row>
    <row r="4397" spans="4:6" outlineLevel="1">
      <c r="D4397"/>
      <c r="E4397"/>
      <c r="F4397"/>
    </row>
    <row r="4398" spans="4:6" outlineLevel="1">
      <c r="D4398"/>
      <c r="E4398"/>
      <c r="F4398"/>
    </row>
    <row r="4399" spans="4:6" outlineLevel="1">
      <c r="D4399"/>
      <c r="E4399"/>
      <c r="F4399"/>
    </row>
    <row r="4400" spans="4:6" outlineLevel="1">
      <c r="D4400"/>
      <c r="E4400"/>
      <c r="F4400"/>
    </row>
    <row r="4401" spans="4:6" outlineLevel="1">
      <c r="D4401"/>
      <c r="E4401"/>
      <c r="F4401"/>
    </row>
    <row r="4402" spans="4:6" outlineLevel="1">
      <c r="D4402"/>
      <c r="E4402"/>
      <c r="F4402"/>
    </row>
    <row r="4403" spans="4:6" outlineLevel="1">
      <c r="D4403"/>
      <c r="E4403"/>
      <c r="F4403"/>
    </row>
    <row r="4404" spans="4:6" outlineLevel="1">
      <c r="D4404"/>
      <c r="E4404"/>
      <c r="F4404"/>
    </row>
    <row r="4405" spans="4:6" outlineLevel="1">
      <c r="D4405"/>
      <c r="E4405"/>
      <c r="F4405"/>
    </row>
    <row r="4406" spans="4:6" outlineLevel="1">
      <c r="D4406"/>
      <c r="E4406"/>
      <c r="F4406"/>
    </row>
    <row r="4407" spans="4:6" outlineLevel="1">
      <c r="D4407"/>
      <c r="E4407"/>
      <c r="F4407"/>
    </row>
    <row r="4408" spans="4:6" outlineLevel="1">
      <c r="D4408"/>
      <c r="E4408"/>
      <c r="F4408"/>
    </row>
    <row r="4409" spans="4:6" outlineLevel="1">
      <c r="D4409"/>
      <c r="E4409"/>
      <c r="F4409"/>
    </row>
    <row r="4410" spans="4:6">
      <c r="D4410"/>
      <c r="E4410"/>
      <c r="F4410"/>
    </row>
    <row r="4411" spans="4:6" outlineLevel="1">
      <c r="D4411"/>
      <c r="E4411"/>
      <c r="F4411"/>
    </row>
    <row r="4412" spans="4:6" outlineLevel="1">
      <c r="D4412"/>
      <c r="E4412"/>
      <c r="F4412"/>
    </row>
    <row r="4413" spans="4:6" outlineLevel="1">
      <c r="D4413"/>
      <c r="E4413"/>
      <c r="F4413"/>
    </row>
    <row r="4414" spans="4:6" outlineLevel="1">
      <c r="D4414"/>
      <c r="E4414"/>
      <c r="F4414"/>
    </row>
    <row r="4415" spans="4:6" outlineLevel="1">
      <c r="D4415"/>
      <c r="E4415"/>
      <c r="F4415"/>
    </row>
    <row r="4416" spans="4:6" outlineLevel="1">
      <c r="D4416"/>
      <c r="E4416"/>
      <c r="F4416"/>
    </row>
    <row r="4417" spans="4:6" outlineLevel="1">
      <c r="D4417"/>
      <c r="E4417"/>
      <c r="F4417"/>
    </row>
    <row r="4418" spans="4:6" outlineLevel="1">
      <c r="D4418"/>
      <c r="E4418"/>
      <c r="F4418"/>
    </row>
    <row r="4419" spans="4:6" outlineLevel="1">
      <c r="D4419"/>
      <c r="E4419"/>
      <c r="F4419"/>
    </row>
    <row r="4420" spans="4:6" outlineLevel="1">
      <c r="D4420"/>
      <c r="E4420"/>
      <c r="F4420"/>
    </row>
    <row r="4421" spans="4:6">
      <c r="D4421"/>
      <c r="E4421"/>
      <c r="F4421"/>
    </row>
    <row r="4422" spans="4:6" outlineLevel="1">
      <c r="D4422"/>
      <c r="E4422"/>
      <c r="F4422"/>
    </row>
    <row r="4423" spans="4:6" outlineLevel="1">
      <c r="D4423"/>
      <c r="E4423"/>
      <c r="F4423"/>
    </row>
    <row r="4424" spans="4:6" outlineLevel="1">
      <c r="D4424"/>
      <c r="E4424"/>
      <c r="F4424"/>
    </row>
    <row r="4425" spans="4:6" outlineLevel="1">
      <c r="D4425"/>
      <c r="E4425"/>
      <c r="F4425"/>
    </row>
    <row r="4426" spans="4:6" outlineLevel="1">
      <c r="D4426"/>
      <c r="E4426"/>
      <c r="F4426"/>
    </row>
    <row r="4427" spans="4:6" outlineLevel="1">
      <c r="D4427"/>
      <c r="E4427"/>
      <c r="F4427"/>
    </row>
    <row r="4428" spans="4:6" outlineLevel="1">
      <c r="D4428"/>
      <c r="E4428"/>
      <c r="F4428"/>
    </row>
    <row r="4429" spans="4:6" outlineLevel="1">
      <c r="D4429"/>
      <c r="E4429"/>
      <c r="F4429"/>
    </row>
    <row r="4430" spans="4:6" outlineLevel="1">
      <c r="D4430"/>
      <c r="E4430"/>
      <c r="F4430"/>
    </row>
    <row r="4431" spans="4:6" outlineLevel="1">
      <c r="D4431"/>
      <c r="E4431"/>
      <c r="F4431"/>
    </row>
    <row r="4432" spans="4:6" outlineLevel="1">
      <c r="D4432"/>
      <c r="E4432"/>
      <c r="F4432"/>
    </row>
    <row r="4433" spans="4:6" outlineLevel="1">
      <c r="D4433"/>
      <c r="E4433"/>
      <c r="F4433"/>
    </row>
    <row r="4434" spans="4:6" outlineLevel="1">
      <c r="D4434"/>
      <c r="E4434"/>
      <c r="F4434"/>
    </row>
    <row r="4435" spans="4:6" outlineLevel="1">
      <c r="D4435"/>
      <c r="E4435"/>
      <c r="F4435"/>
    </row>
    <row r="4436" spans="4:6" outlineLevel="1">
      <c r="D4436"/>
      <c r="E4436"/>
      <c r="F4436"/>
    </row>
    <row r="4437" spans="4:6" outlineLevel="1">
      <c r="D4437"/>
      <c r="E4437"/>
      <c r="F4437"/>
    </row>
    <row r="4438" spans="4:6" outlineLevel="1">
      <c r="D4438"/>
      <c r="E4438"/>
      <c r="F4438"/>
    </row>
    <row r="4439" spans="4:6" outlineLevel="1">
      <c r="D4439"/>
      <c r="E4439"/>
      <c r="F4439"/>
    </row>
    <row r="4440" spans="4:6" outlineLevel="1">
      <c r="D4440"/>
      <c r="E4440"/>
      <c r="F4440"/>
    </row>
    <row r="4441" spans="4:6" outlineLevel="1">
      <c r="D4441"/>
      <c r="E4441"/>
      <c r="F4441"/>
    </row>
    <row r="4442" spans="4:6" outlineLevel="1">
      <c r="D4442"/>
      <c r="E4442"/>
      <c r="F4442"/>
    </row>
    <row r="4443" spans="4:6" outlineLevel="1">
      <c r="D4443"/>
      <c r="E4443"/>
      <c r="F4443"/>
    </row>
    <row r="4444" spans="4:6" outlineLevel="1">
      <c r="D4444"/>
      <c r="E4444"/>
      <c r="F4444"/>
    </row>
    <row r="4445" spans="4:6" outlineLevel="1">
      <c r="D4445"/>
      <c r="E4445"/>
      <c r="F4445"/>
    </row>
    <row r="4446" spans="4:6" outlineLevel="1">
      <c r="D4446"/>
      <c r="E4446"/>
      <c r="F4446"/>
    </row>
    <row r="4447" spans="4:6" outlineLevel="1">
      <c r="D4447"/>
      <c r="E4447"/>
      <c r="F4447"/>
    </row>
    <row r="4448" spans="4:6" outlineLevel="1">
      <c r="D4448"/>
      <c r="E4448"/>
      <c r="F4448"/>
    </row>
    <row r="4449" spans="4:6" outlineLevel="1">
      <c r="D4449"/>
      <c r="E4449"/>
      <c r="F4449"/>
    </row>
    <row r="4450" spans="4:6" outlineLevel="1">
      <c r="D4450"/>
      <c r="E4450"/>
      <c r="F4450"/>
    </row>
    <row r="4451" spans="4:6" outlineLevel="1">
      <c r="D4451"/>
      <c r="E4451"/>
      <c r="F4451"/>
    </row>
    <row r="4452" spans="4:6" outlineLevel="1">
      <c r="D4452"/>
      <c r="E4452"/>
      <c r="F4452"/>
    </row>
    <row r="4453" spans="4:6" outlineLevel="1">
      <c r="D4453"/>
      <c r="E4453"/>
      <c r="F4453"/>
    </row>
    <row r="4454" spans="4:6" outlineLevel="1">
      <c r="D4454"/>
      <c r="E4454"/>
      <c r="F4454"/>
    </row>
    <row r="4455" spans="4:6" outlineLevel="1">
      <c r="D4455"/>
      <c r="E4455"/>
      <c r="F4455"/>
    </row>
    <row r="4456" spans="4:6" outlineLevel="1">
      <c r="D4456"/>
      <c r="E4456"/>
      <c r="F4456"/>
    </row>
    <row r="4457" spans="4:6" outlineLevel="1">
      <c r="D4457"/>
      <c r="E4457"/>
      <c r="F4457"/>
    </row>
    <row r="4458" spans="4:6" outlineLevel="1">
      <c r="D4458"/>
      <c r="E4458"/>
      <c r="F4458"/>
    </row>
    <row r="4459" spans="4:6" outlineLevel="1">
      <c r="D4459"/>
      <c r="E4459"/>
      <c r="F4459"/>
    </row>
    <row r="4460" spans="4:6" outlineLevel="1">
      <c r="D4460"/>
      <c r="E4460"/>
      <c r="F4460"/>
    </row>
    <row r="4461" spans="4:6" outlineLevel="1">
      <c r="D4461"/>
      <c r="E4461"/>
      <c r="F4461"/>
    </row>
    <row r="4462" spans="4:6" outlineLevel="1">
      <c r="D4462"/>
      <c r="E4462"/>
      <c r="F4462"/>
    </row>
    <row r="4463" spans="4:6" outlineLevel="1">
      <c r="D4463"/>
      <c r="E4463"/>
      <c r="F4463"/>
    </row>
    <row r="4464" spans="4:6" outlineLevel="1">
      <c r="D4464"/>
      <c r="E4464"/>
      <c r="F4464"/>
    </row>
    <row r="4465" spans="4:6" outlineLevel="1">
      <c r="D4465"/>
      <c r="E4465"/>
      <c r="F4465"/>
    </row>
    <row r="4466" spans="4:6" outlineLevel="1">
      <c r="D4466"/>
      <c r="E4466"/>
      <c r="F4466"/>
    </row>
    <row r="4467" spans="4:6" outlineLevel="1">
      <c r="D4467"/>
      <c r="E4467"/>
      <c r="F4467"/>
    </row>
    <row r="4468" spans="4:6" outlineLevel="1">
      <c r="D4468"/>
      <c r="E4468"/>
      <c r="F4468"/>
    </row>
    <row r="4469" spans="4:6" outlineLevel="1">
      <c r="D4469"/>
      <c r="E4469"/>
      <c r="F4469"/>
    </row>
    <row r="4470" spans="4:6" outlineLevel="1">
      <c r="D4470"/>
      <c r="E4470"/>
      <c r="F4470"/>
    </row>
    <row r="4471" spans="4:6" outlineLevel="1">
      <c r="D4471"/>
      <c r="E4471"/>
      <c r="F4471"/>
    </row>
    <row r="4472" spans="4:6" outlineLevel="1">
      <c r="D4472"/>
      <c r="E4472"/>
      <c r="F4472"/>
    </row>
    <row r="4473" spans="4:6" outlineLevel="1">
      <c r="D4473"/>
      <c r="E4473"/>
      <c r="F4473"/>
    </row>
    <row r="4474" spans="4:6" outlineLevel="1">
      <c r="D4474"/>
      <c r="E4474"/>
      <c r="F4474"/>
    </row>
    <row r="4475" spans="4:6" outlineLevel="1">
      <c r="D4475"/>
      <c r="E4475"/>
      <c r="F4475"/>
    </row>
    <row r="4476" spans="4:6" outlineLevel="1">
      <c r="D4476"/>
      <c r="E4476"/>
      <c r="F4476"/>
    </row>
    <row r="4477" spans="4:6" outlineLevel="1">
      <c r="D4477"/>
      <c r="E4477"/>
      <c r="F4477"/>
    </row>
    <row r="4478" spans="4:6" outlineLevel="1">
      <c r="D4478"/>
      <c r="E4478"/>
      <c r="F4478"/>
    </row>
    <row r="4479" spans="4:6" outlineLevel="1">
      <c r="D4479"/>
      <c r="E4479"/>
      <c r="F4479"/>
    </row>
    <row r="4480" spans="4:6" outlineLevel="1">
      <c r="D4480"/>
      <c r="E4480"/>
      <c r="F4480"/>
    </row>
    <row r="4481" spans="4:6" outlineLevel="1">
      <c r="D4481"/>
      <c r="E4481"/>
      <c r="F4481"/>
    </row>
    <row r="4482" spans="4:6" outlineLevel="1">
      <c r="D4482"/>
      <c r="E4482"/>
      <c r="F4482"/>
    </row>
    <row r="4483" spans="4:6" outlineLevel="1">
      <c r="D4483"/>
      <c r="E4483"/>
      <c r="F4483"/>
    </row>
    <row r="4484" spans="4:6" outlineLevel="1">
      <c r="D4484"/>
      <c r="E4484"/>
      <c r="F4484"/>
    </row>
    <row r="4485" spans="4:6" outlineLevel="1">
      <c r="D4485"/>
      <c r="E4485"/>
      <c r="F4485"/>
    </row>
    <row r="4486" spans="4:6" outlineLevel="1">
      <c r="D4486"/>
      <c r="E4486"/>
      <c r="F4486"/>
    </row>
    <row r="4487" spans="4:6" outlineLevel="1">
      <c r="D4487"/>
      <c r="E4487"/>
      <c r="F4487"/>
    </row>
    <row r="4488" spans="4:6" outlineLevel="1">
      <c r="D4488"/>
      <c r="E4488"/>
      <c r="F4488"/>
    </row>
    <row r="4489" spans="4:6" outlineLevel="1">
      <c r="D4489"/>
      <c r="E4489"/>
      <c r="F4489"/>
    </row>
    <row r="4490" spans="4:6" outlineLevel="1">
      <c r="D4490"/>
      <c r="E4490"/>
      <c r="F4490"/>
    </row>
    <row r="4491" spans="4:6" outlineLevel="1">
      <c r="D4491"/>
      <c r="E4491"/>
      <c r="F4491"/>
    </row>
    <row r="4492" spans="4:6" outlineLevel="1">
      <c r="D4492"/>
      <c r="E4492"/>
      <c r="F4492"/>
    </row>
    <row r="4493" spans="4:6" outlineLevel="1">
      <c r="D4493"/>
      <c r="E4493"/>
      <c r="F4493"/>
    </row>
    <row r="4494" spans="4:6" outlineLevel="1">
      <c r="D4494"/>
      <c r="E4494"/>
      <c r="F4494"/>
    </row>
    <row r="4495" spans="4:6" outlineLevel="1">
      <c r="D4495"/>
      <c r="E4495"/>
      <c r="F4495"/>
    </row>
    <row r="4496" spans="4:6" outlineLevel="1">
      <c r="D4496"/>
      <c r="E4496"/>
      <c r="F4496"/>
    </row>
    <row r="4497" spans="4:6" outlineLevel="1">
      <c r="D4497"/>
      <c r="E4497"/>
      <c r="F4497"/>
    </row>
    <row r="4498" spans="4:6" outlineLevel="1">
      <c r="D4498"/>
      <c r="E4498"/>
      <c r="F4498"/>
    </row>
    <row r="4499" spans="4:6" outlineLevel="1">
      <c r="D4499"/>
      <c r="E4499"/>
      <c r="F4499"/>
    </row>
    <row r="4500" spans="4:6" outlineLevel="1">
      <c r="D4500"/>
      <c r="E4500"/>
      <c r="F4500"/>
    </row>
    <row r="4501" spans="4:6" outlineLevel="1">
      <c r="D4501"/>
      <c r="E4501"/>
      <c r="F4501"/>
    </row>
    <row r="4502" spans="4:6" outlineLevel="1">
      <c r="D4502"/>
      <c r="E4502"/>
      <c r="F4502"/>
    </row>
    <row r="4503" spans="4:6" outlineLevel="1">
      <c r="D4503"/>
      <c r="E4503"/>
      <c r="F4503"/>
    </row>
    <row r="4504" spans="4:6" outlineLevel="1">
      <c r="D4504"/>
      <c r="E4504"/>
      <c r="F4504"/>
    </row>
    <row r="4505" spans="4:6" outlineLevel="1">
      <c r="D4505"/>
      <c r="E4505"/>
      <c r="F4505"/>
    </row>
    <row r="4506" spans="4:6" outlineLevel="1">
      <c r="D4506"/>
      <c r="E4506"/>
      <c r="F4506"/>
    </row>
    <row r="4507" spans="4:6" outlineLevel="1">
      <c r="D4507"/>
      <c r="E4507"/>
      <c r="F4507"/>
    </row>
    <row r="4508" spans="4:6" outlineLevel="1">
      <c r="D4508"/>
      <c r="E4508"/>
      <c r="F4508"/>
    </row>
    <row r="4509" spans="4:6" outlineLevel="1">
      <c r="D4509"/>
      <c r="E4509"/>
      <c r="F4509"/>
    </row>
    <row r="4510" spans="4:6" outlineLevel="1">
      <c r="D4510"/>
      <c r="E4510"/>
      <c r="F4510"/>
    </row>
    <row r="4511" spans="4:6" outlineLevel="1">
      <c r="D4511"/>
      <c r="E4511"/>
      <c r="F4511"/>
    </row>
    <row r="4512" spans="4:6" outlineLevel="1">
      <c r="D4512"/>
      <c r="E4512"/>
      <c r="F4512"/>
    </row>
    <row r="4513" spans="4:6" outlineLevel="1">
      <c r="D4513"/>
      <c r="E4513"/>
      <c r="F4513"/>
    </row>
    <row r="4514" spans="4:6" outlineLevel="1">
      <c r="D4514"/>
      <c r="E4514"/>
      <c r="F4514"/>
    </row>
    <row r="4515" spans="4:6" outlineLevel="1">
      <c r="D4515"/>
      <c r="E4515"/>
      <c r="F4515"/>
    </row>
    <row r="4516" spans="4:6" outlineLevel="1">
      <c r="D4516"/>
      <c r="E4516"/>
      <c r="F4516"/>
    </row>
    <row r="4517" spans="4:6" outlineLevel="1">
      <c r="D4517"/>
      <c r="E4517"/>
      <c r="F4517"/>
    </row>
    <row r="4518" spans="4:6" outlineLevel="1">
      <c r="D4518"/>
      <c r="E4518"/>
      <c r="F4518"/>
    </row>
    <row r="4519" spans="4:6" outlineLevel="1">
      <c r="D4519"/>
      <c r="E4519"/>
      <c r="F4519"/>
    </row>
    <row r="4520" spans="4:6" outlineLevel="1">
      <c r="D4520"/>
      <c r="E4520"/>
      <c r="F4520"/>
    </row>
    <row r="4521" spans="4:6" outlineLevel="1">
      <c r="D4521"/>
      <c r="E4521"/>
      <c r="F4521"/>
    </row>
    <row r="4522" spans="4:6" outlineLevel="1">
      <c r="D4522"/>
      <c r="E4522"/>
      <c r="F4522"/>
    </row>
    <row r="4523" spans="4:6" outlineLevel="1">
      <c r="D4523"/>
      <c r="E4523"/>
      <c r="F4523"/>
    </row>
    <row r="4524" spans="4:6" outlineLevel="1">
      <c r="D4524"/>
      <c r="E4524"/>
      <c r="F4524"/>
    </row>
    <row r="4525" spans="4:6" outlineLevel="1">
      <c r="D4525"/>
      <c r="E4525"/>
      <c r="F4525"/>
    </row>
    <row r="4526" spans="4:6" outlineLevel="1">
      <c r="D4526"/>
      <c r="E4526"/>
      <c r="F4526"/>
    </row>
    <row r="4527" spans="4:6" outlineLevel="1">
      <c r="D4527"/>
      <c r="E4527"/>
      <c r="F4527"/>
    </row>
    <row r="4528" spans="4:6" outlineLevel="1">
      <c r="D4528"/>
      <c r="E4528"/>
      <c r="F4528"/>
    </row>
    <row r="4529" spans="4:6" outlineLevel="1">
      <c r="D4529"/>
      <c r="E4529"/>
      <c r="F4529"/>
    </row>
    <row r="4530" spans="4:6" outlineLevel="1">
      <c r="D4530"/>
      <c r="E4530"/>
      <c r="F4530"/>
    </row>
    <row r="4531" spans="4:6" outlineLevel="1">
      <c r="D4531"/>
      <c r="E4531"/>
      <c r="F4531"/>
    </row>
    <row r="4532" spans="4:6" outlineLevel="1">
      <c r="D4532"/>
      <c r="E4532"/>
      <c r="F4532"/>
    </row>
    <row r="4533" spans="4:6" outlineLevel="1">
      <c r="D4533"/>
      <c r="E4533"/>
      <c r="F4533"/>
    </row>
    <row r="4534" spans="4:6" outlineLevel="1">
      <c r="D4534"/>
      <c r="E4534"/>
      <c r="F4534"/>
    </row>
    <row r="4535" spans="4:6" outlineLevel="1">
      <c r="D4535"/>
      <c r="E4535"/>
      <c r="F4535"/>
    </row>
    <row r="4536" spans="4:6" outlineLevel="1">
      <c r="D4536"/>
      <c r="E4536"/>
      <c r="F4536"/>
    </row>
    <row r="4537" spans="4:6" outlineLevel="1">
      <c r="D4537"/>
      <c r="E4537"/>
      <c r="F4537"/>
    </row>
    <row r="4538" spans="4:6" outlineLevel="1">
      <c r="D4538"/>
      <c r="E4538"/>
      <c r="F4538"/>
    </row>
    <row r="4539" spans="4:6" outlineLevel="1">
      <c r="D4539"/>
      <c r="E4539"/>
      <c r="F4539"/>
    </row>
    <row r="4540" spans="4:6" outlineLevel="1">
      <c r="D4540"/>
      <c r="E4540"/>
      <c r="F4540"/>
    </row>
    <row r="4541" spans="4:6" outlineLevel="1">
      <c r="D4541"/>
      <c r="E4541"/>
      <c r="F4541"/>
    </row>
    <row r="4542" spans="4:6" outlineLevel="1">
      <c r="D4542"/>
      <c r="E4542"/>
      <c r="F4542"/>
    </row>
    <row r="4543" spans="4:6" outlineLevel="1">
      <c r="D4543"/>
      <c r="E4543"/>
      <c r="F4543"/>
    </row>
    <row r="4544" spans="4:6" outlineLevel="1">
      <c r="D4544"/>
      <c r="E4544"/>
      <c r="F4544"/>
    </row>
    <row r="4545" spans="4:6" outlineLevel="1">
      <c r="D4545"/>
      <c r="E4545"/>
      <c r="F4545"/>
    </row>
    <row r="4546" spans="4:6" outlineLevel="1">
      <c r="D4546"/>
      <c r="E4546"/>
      <c r="F4546"/>
    </row>
    <row r="4547" spans="4:6" outlineLevel="1">
      <c r="D4547"/>
      <c r="E4547"/>
      <c r="F4547"/>
    </row>
    <row r="4548" spans="4:6" outlineLevel="1">
      <c r="D4548"/>
      <c r="E4548"/>
      <c r="F4548"/>
    </row>
    <row r="4549" spans="4:6" outlineLevel="1">
      <c r="D4549"/>
      <c r="E4549"/>
      <c r="F4549"/>
    </row>
    <row r="4550" spans="4:6" outlineLevel="1">
      <c r="D4550"/>
      <c r="E4550"/>
      <c r="F4550"/>
    </row>
    <row r="4551" spans="4:6" outlineLevel="1">
      <c r="D4551"/>
      <c r="E4551"/>
      <c r="F4551"/>
    </row>
    <row r="4552" spans="4:6" outlineLevel="1">
      <c r="D4552"/>
      <c r="E4552"/>
      <c r="F4552"/>
    </row>
    <row r="4553" spans="4:6" outlineLevel="1">
      <c r="D4553"/>
      <c r="E4553"/>
      <c r="F4553"/>
    </row>
    <row r="4554" spans="4:6" outlineLevel="1">
      <c r="D4554"/>
      <c r="E4554"/>
      <c r="F4554"/>
    </row>
    <row r="4555" spans="4:6" outlineLevel="1">
      <c r="D4555"/>
      <c r="E4555"/>
      <c r="F4555"/>
    </row>
    <row r="4556" spans="4:6" outlineLevel="1">
      <c r="D4556"/>
      <c r="E4556"/>
      <c r="F4556"/>
    </row>
    <row r="4557" spans="4:6" outlineLevel="1">
      <c r="D4557"/>
      <c r="E4557"/>
      <c r="F4557"/>
    </row>
    <row r="4558" spans="4:6" outlineLevel="1">
      <c r="D4558"/>
      <c r="E4558"/>
      <c r="F4558"/>
    </row>
    <row r="4559" spans="4:6" outlineLevel="1">
      <c r="D4559"/>
      <c r="E4559"/>
      <c r="F4559"/>
    </row>
    <row r="4560" spans="4:6">
      <c r="D4560"/>
      <c r="E4560"/>
      <c r="F4560"/>
    </row>
    <row r="4561" spans="4:6" outlineLevel="1">
      <c r="D4561"/>
      <c r="E4561"/>
      <c r="F4561"/>
    </row>
    <row r="4562" spans="4:6" outlineLevel="1">
      <c r="D4562"/>
      <c r="E4562"/>
      <c r="F4562"/>
    </row>
    <row r="4563" spans="4:6" outlineLevel="1">
      <c r="D4563"/>
      <c r="E4563"/>
      <c r="F4563"/>
    </row>
    <row r="4564" spans="4:6" outlineLevel="1">
      <c r="D4564"/>
      <c r="E4564"/>
      <c r="F4564"/>
    </row>
    <row r="4565" spans="4:6" outlineLevel="1">
      <c r="D4565"/>
      <c r="E4565"/>
      <c r="F4565"/>
    </row>
    <row r="4566" spans="4:6" outlineLevel="1">
      <c r="D4566"/>
      <c r="E4566"/>
      <c r="F4566"/>
    </row>
    <row r="4567" spans="4:6" outlineLevel="1">
      <c r="D4567"/>
      <c r="E4567"/>
      <c r="F4567"/>
    </row>
    <row r="4568" spans="4:6" outlineLevel="1">
      <c r="D4568"/>
      <c r="E4568"/>
      <c r="F4568"/>
    </row>
    <row r="4569" spans="4:6" outlineLevel="1">
      <c r="D4569"/>
      <c r="E4569"/>
      <c r="F4569"/>
    </row>
    <row r="4570" spans="4:6" outlineLevel="1">
      <c r="D4570"/>
      <c r="E4570"/>
      <c r="F4570"/>
    </row>
    <row r="4571" spans="4:6" outlineLevel="1">
      <c r="D4571"/>
      <c r="E4571"/>
      <c r="F4571"/>
    </row>
    <row r="4572" spans="4:6" outlineLevel="1">
      <c r="D4572"/>
      <c r="E4572"/>
      <c r="F4572"/>
    </row>
    <row r="4573" spans="4:6" outlineLevel="1">
      <c r="D4573"/>
      <c r="E4573"/>
      <c r="F4573"/>
    </row>
    <row r="4574" spans="4:6" outlineLevel="1">
      <c r="D4574"/>
      <c r="E4574"/>
      <c r="F4574"/>
    </row>
    <row r="4575" spans="4:6" outlineLevel="1">
      <c r="D4575"/>
      <c r="E4575"/>
      <c r="F4575"/>
    </row>
    <row r="4576" spans="4:6" outlineLevel="1">
      <c r="D4576"/>
      <c r="E4576"/>
      <c r="F4576"/>
    </row>
    <row r="4577" spans="4:6" outlineLevel="1">
      <c r="D4577"/>
      <c r="E4577"/>
      <c r="F4577"/>
    </row>
    <row r="4578" spans="4:6" outlineLevel="1">
      <c r="D4578"/>
      <c r="E4578"/>
      <c r="F4578"/>
    </row>
    <row r="4579" spans="4:6" outlineLevel="1">
      <c r="D4579"/>
      <c r="E4579"/>
      <c r="F4579"/>
    </row>
    <row r="4580" spans="4:6" outlineLevel="1">
      <c r="D4580"/>
      <c r="E4580"/>
      <c r="F4580"/>
    </row>
    <row r="4581" spans="4:6" outlineLevel="1">
      <c r="D4581"/>
      <c r="E4581"/>
      <c r="F4581"/>
    </row>
    <row r="4582" spans="4:6" outlineLevel="1">
      <c r="D4582"/>
      <c r="E4582"/>
      <c r="F4582"/>
    </row>
    <row r="4583" spans="4:6" outlineLevel="1">
      <c r="D4583"/>
      <c r="E4583"/>
      <c r="F4583"/>
    </row>
    <row r="4584" spans="4:6" outlineLevel="1">
      <c r="D4584"/>
      <c r="E4584"/>
      <c r="F4584"/>
    </row>
    <row r="4585" spans="4:6" outlineLevel="1">
      <c r="D4585"/>
      <c r="E4585"/>
      <c r="F4585"/>
    </row>
    <row r="4586" spans="4:6" outlineLevel="1">
      <c r="D4586"/>
      <c r="E4586"/>
      <c r="F4586"/>
    </row>
    <row r="4587" spans="4:6" outlineLevel="1">
      <c r="D4587"/>
      <c r="E4587"/>
      <c r="F4587"/>
    </row>
    <row r="4588" spans="4:6" outlineLevel="1">
      <c r="D4588"/>
      <c r="E4588"/>
      <c r="F4588"/>
    </row>
    <row r="4589" spans="4:6" outlineLevel="1">
      <c r="D4589"/>
      <c r="E4589"/>
      <c r="F4589"/>
    </row>
    <row r="4590" spans="4:6" outlineLevel="1">
      <c r="D4590"/>
      <c r="E4590"/>
      <c r="F4590"/>
    </row>
    <row r="4591" spans="4:6" outlineLevel="1">
      <c r="D4591"/>
      <c r="E4591"/>
      <c r="F4591"/>
    </row>
    <row r="4592" spans="4:6" outlineLevel="1">
      <c r="D4592"/>
      <c r="E4592"/>
      <c r="F4592"/>
    </row>
    <row r="4593" spans="4:6" outlineLevel="1">
      <c r="D4593"/>
      <c r="E4593"/>
      <c r="F4593"/>
    </row>
    <row r="4594" spans="4:6" outlineLevel="1">
      <c r="D4594"/>
      <c r="E4594"/>
      <c r="F4594"/>
    </row>
    <row r="4595" spans="4:6" outlineLevel="1">
      <c r="D4595"/>
      <c r="E4595"/>
      <c r="F4595"/>
    </row>
    <row r="4596" spans="4:6" outlineLevel="1">
      <c r="D4596"/>
      <c r="E4596"/>
      <c r="F4596"/>
    </row>
    <row r="4597" spans="4:6" outlineLevel="1">
      <c r="D4597"/>
      <c r="E4597"/>
      <c r="F4597"/>
    </row>
    <row r="4598" spans="4:6" outlineLevel="1">
      <c r="D4598"/>
      <c r="E4598"/>
      <c r="F4598"/>
    </row>
    <row r="4599" spans="4:6" outlineLevel="1">
      <c r="D4599"/>
      <c r="E4599"/>
      <c r="F4599"/>
    </row>
    <row r="4600" spans="4:6" outlineLevel="1">
      <c r="D4600"/>
      <c r="E4600"/>
      <c r="F4600"/>
    </row>
    <row r="4601" spans="4:6" outlineLevel="1">
      <c r="D4601"/>
      <c r="E4601"/>
      <c r="F4601"/>
    </row>
    <row r="4602" spans="4:6" outlineLevel="1">
      <c r="D4602"/>
      <c r="E4602"/>
      <c r="F4602"/>
    </row>
    <row r="4603" spans="4:6" outlineLevel="1">
      <c r="D4603"/>
      <c r="E4603"/>
      <c r="F4603"/>
    </row>
    <row r="4604" spans="4:6" outlineLevel="1">
      <c r="D4604"/>
      <c r="E4604"/>
      <c r="F4604"/>
    </row>
    <row r="4605" spans="4:6" outlineLevel="1">
      <c r="D4605"/>
      <c r="E4605"/>
      <c r="F4605"/>
    </row>
    <row r="4606" spans="4:6" outlineLevel="1">
      <c r="D4606"/>
      <c r="E4606"/>
      <c r="F4606"/>
    </row>
    <row r="4607" spans="4:6" outlineLevel="1">
      <c r="D4607"/>
      <c r="E4607"/>
      <c r="F4607"/>
    </row>
    <row r="4608" spans="4:6" outlineLevel="1">
      <c r="D4608"/>
      <c r="E4608"/>
      <c r="F4608"/>
    </row>
    <row r="4609" spans="4:6" outlineLevel="1">
      <c r="D4609"/>
      <c r="E4609"/>
      <c r="F4609"/>
    </row>
    <row r="4610" spans="4:6" outlineLevel="1">
      <c r="D4610"/>
      <c r="E4610"/>
      <c r="F4610"/>
    </row>
    <row r="4611" spans="4:6">
      <c r="D4611"/>
      <c r="E4611"/>
      <c r="F4611"/>
    </row>
    <row r="4612" spans="4:6" outlineLevel="1">
      <c r="D4612"/>
      <c r="E4612"/>
      <c r="F4612"/>
    </row>
    <row r="4613" spans="4:6" outlineLevel="1">
      <c r="D4613"/>
      <c r="E4613"/>
      <c r="F4613"/>
    </row>
    <row r="4614" spans="4:6" outlineLevel="1">
      <c r="D4614"/>
      <c r="E4614"/>
      <c r="F4614"/>
    </row>
    <row r="4615" spans="4:6" outlineLevel="1">
      <c r="D4615"/>
      <c r="E4615"/>
      <c r="F4615"/>
    </row>
    <row r="4616" spans="4:6" outlineLevel="1">
      <c r="D4616"/>
      <c r="E4616"/>
      <c r="F4616"/>
    </row>
    <row r="4617" spans="4:6" outlineLevel="1">
      <c r="D4617"/>
      <c r="E4617"/>
      <c r="F4617"/>
    </row>
    <row r="4618" spans="4:6" outlineLevel="1">
      <c r="D4618"/>
      <c r="E4618"/>
      <c r="F4618"/>
    </row>
    <row r="4619" spans="4:6" outlineLevel="1">
      <c r="D4619"/>
      <c r="E4619"/>
      <c r="F4619"/>
    </row>
    <row r="4620" spans="4:6" outlineLevel="1">
      <c r="D4620"/>
      <c r="E4620"/>
      <c r="F4620"/>
    </row>
    <row r="4621" spans="4:6" outlineLevel="1">
      <c r="D4621"/>
      <c r="E4621"/>
      <c r="F4621"/>
    </row>
    <row r="4622" spans="4:6" outlineLevel="1">
      <c r="D4622"/>
      <c r="E4622"/>
      <c r="F4622"/>
    </row>
    <row r="4623" spans="4:6" outlineLevel="1">
      <c r="D4623"/>
      <c r="E4623"/>
      <c r="F4623"/>
    </row>
    <row r="4624" spans="4:6" outlineLevel="1">
      <c r="D4624"/>
      <c r="E4624"/>
      <c r="F4624"/>
    </row>
    <row r="4625" spans="4:6" outlineLevel="1">
      <c r="D4625"/>
      <c r="E4625"/>
      <c r="F4625"/>
    </row>
    <row r="4626" spans="4:6" outlineLevel="1">
      <c r="D4626"/>
      <c r="E4626"/>
      <c r="F4626"/>
    </row>
    <row r="4627" spans="4:6" outlineLevel="1">
      <c r="D4627"/>
      <c r="E4627"/>
      <c r="F4627"/>
    </row>
    <row r="4628" spans="4:6" outlineLevel="1">
      <c r="D4628"/>
      <c r="E4628"/>
      <c r="F4628"/>
    </row>
    <row r="4629" spans="4:6" outlineLevel="1">
      <c r="D4629"/>
      <c r="E4629"/>
      <c r="F4629"/>
    </row>
    <row r="4630" spans="4:6" outlineLevel="1">
      <c r="D4630"/>
      <c r="E4630"/>
      <c r="F4630"/>
    </row>
    <row r="4631" spans="4:6" outlineLevel="1">
      <c r="D4631"/>
      <c r="E4631"/>
      <c r="F4631"/>
    </row>
    <row r="4632" spans="4:6" outlineLevel="1">
      <c r="D4632"/>
      <c r="E4632"/>
      <c r="F4632"/>
    </row>
    <row r="4633" spans="4:6" outlineLevel="1">
      <c r="D4633"/>
      <c r="E4633"/>
      <c r="F4633"/>
    </row>
    <row r="4634" spans="4:6" outlineLevel="1">
      <c r="D4634"/>
      <c r="E4634"/>
      <c r="F4634"/>
    </row>
    <row r="4635" spans="4:6" outlineLevel="1">
      <c r="D4635"/>
      <c r="E4635"/>
      <c r="F4635"/>
    </row>
    <row r="4636" spans="4:6" outlineLevel="1">
      <c r="D4636"/>
      <c r="E4636"/>
      <c r="F4636"/>
    </row>
    <row r="4637" spans="4:6" outlineLevel="1">
      <c r="D4637"/>
      <c r="E4637"/>
      <c r="F4637"/>
    </row>
    <row r="4638" spans="4:6" outlineLevel="1">
      <c r="D4638"/>
      <c r="E4638"/>
      <c r="F4638"/>
    </row>
    <row r="4639" spans="4:6" outlineLevel="1">
      <c r="D4639"/>
      <c r="E4639"/>
      <c r="F4639"/>
    </row>
    <row r="4640" spans="4:6" outlineLevel="1">
      <c r="D4640"/>
      <c r="E4640"/>
      <c r="F4640"/>
    </row>
    <row r="4641" spans="4:6" outlineLevel="1">
      <c r="D4641"/>
      <c r="E4641"/>
      <c r="F4641"/>
    </row>
    <row r="4642" spans="4:6" outlineLevel="1">
      <c r="D4642"/>
      <c r="E4642"/>
      <c r="F4642"/>
    </row>
    <row r="4643" spans="4:6" outlineLevel="1">
      <c r="D4643"/>
      <c r="E4643"/>
      <c r="F4643"/>
    </row>
    <row r="4644" spans="4:6" outlineLevel="1">
      <c r="D4644"/>
      <c r="E4644"/>
      <c r="F4644"/>
    </row>
    <row r="4645" spans="4:6" outlineLevel="1">
      <c r="D4645"/>
      <c r="E4645"/>
      <c r="F4645"/>
    </row>
    <row r="4646" spans="4:6" outlineLevel="1">
      <c r="D4646"/>
      <c r="E4646"/>
      <c r="F4646"/>
    </row>
    <row r="4647" spans="4:6" outlineLevel="1">
      <c r="D4647"/>
      <c r="E4647"/>
      <c r="F4647"/>
    </row>
    <row r="4648" spans="4:6" outlineLevel="1">
      <c r="D4648"/>
      <c r="E4648"/>
      <c r="F4648"/>
    </row>
    <row r="4649" spans="4:6" outlineLevel="1">
      <c r="D4649"/>
      <c r="E4649"/>
      <c r="F4649"/>
    </row>
    <row r="4650" spans="4:6" outlineLevel="1">
      <c r="D4650"/>
      <c r="E4650"/>
      <c r="F4650"/>
    </row>
    <row r="4651" spans="4:6" outlineLevel="1">
      <c r="D4651"/>
      <c r="E4651"/>
      <c r="F4651"/>
    </row>
    <row r="4652" spans="4:6" outlineLevel="1">
      <c r="D4652"/>
      <c r="E4652"/>
      <c r="F4652"/>
    </row>
    <row r="4653" spans="4:6" outlineLevel="1">
      <c r="D4653"/>
      <c r="E4653"/>
      <c r="F4653"/>
    </row>
    <row r="4654" spans="4:6" outlineLevel="1">
      <c r="D4654"/>
      <c r="E4654"/>
      <c r="F4654"/>
    </row>
    <row r="4655" spans="4:6" outlineLevel="1">
      <c r="D4655"/>
      <c r="E4655"/>
      <c r="F4655"/>
    </row>
    <row r="4656" spans="4:6" outlineLevel="1">
      <c r="D4656"/>
      <c r="E4656"/>
      <c r="F4656"/>
    </row>
    <row r="4657" spans="4:6" outlineLevel="1">
      <c r="D4657"/>
      <c r="E4657"/>
      <c r="F4657"/>
    </row>
    <row r="4658" spans="4:6" outlineLevel="1">
      <c r="D4658"/>
      <c r="E4658"/>
      <c r="F4658"/>
    </row>
    <row r="4659" spans="4:6" outlineLevel="1">
      <c r="D4659"/>
      <c r="E4659"/>
      <c r="F4659"/>
    </row>
    <row r="4660" spans="4:6" outlineLevel="1">
      <c r="D4660"/>
      <c r="E4660"/>
      <c r="F4660"/>
    </row>
    <row r="4661" spans="4:6" outlineLevel="1">
      <c r="D4661"/>
      <c r="E4661"/>
      <c r="F4661"/>
    </row>
    <row r="4662" spans="4:6" outlineLevel="1">
      <c r="D4662"/>
      <c r="E4662"/>
      <c r="F4662"/>
    </row>
    <row r="4663" spans="4:6" outlineLevel="1">
      <c r="D4663"/>
      <c r="E4663"/>
      <c r="F4663"/>
    </row>
    <row r="4664" spans="4:6" outlineLevel="1">
      <c r="D4664"/>
      <c r="E4664"/>
      <c r="F4664"/>
    </row>
    <row r="4665" spans="4:6" outlineLevel="1">
      <c r="D4665"/>
      <c r="E4665"/>
      <c r="F4665"/>
    </row>
    <row r="4666" spans="4:6" outlineLevel="1">
      <c r="D4666"/>
      <c r="E4666"/>
      <c r="F4666"/>
    </row>
    <row r="4667" spans="4:6" outlineLevel="1">
      <c r="D4667"/>
      <c r="E4667"/>
      <c r="F4667"/>
    </row>
    <row r="4668" spans="4:6" outlineLevel="1">
      <c r="D4668"/>
      <c r="E4668"/>
      <c r="F4668"/>
    </row>
    <row r="4669" spans="4:6" outlineLevel="1">
      <c r="D4669"/>
      <c r="E4669"/>
      <c r="F4669"/>
    </row>
    <row r="4670" spans="4:6" outlineLevel="1">
      <c r="D4670"/>
      <c r="E4670"/>
      <c r="F4670"/>
    </row>
    <row r="4671" spans="4:6" outlineLevel="1">
      <c r="D4671"/>
      <c r="E4671"/>
      <c r="F4671"/>
    </row>
    <row r="4672" spans="4:6" outlineLevel="1">
      <c r="D4672"/>
      <c r="E4672"/>
      <c r="F4672"/>
    </row>
    <row r="4673" spans="4:6" outlineLevel="1">
      <c r="D4673"/>
      <c r="E4673"/>
      <c r="F4673"/>
    </row>
    <row r="4674" spans="4:6" outlineLevel="1">
      <c r="D4674"/>
      <c r="E4674"/>
      <c r="F4674"/>
    </row>
    <row r="4675" spans="4:6" outlineLevel="1">
      <c r="D4675"/>
      <c r="E4675"/>
      <c r="F4675"/>
    </row>
    <row r="4676" spans="4:6" outlineLevel="1">
      <c r="D4676"/>
      <c r="E4676"/>
      <c r="F4676"/>
    </row>
    <row r="4677" spans="4:6" outlineLevel="1">
      <c r="D4677"/>
      <c r="E4677"/>
      <c r="F4677"/>
    </row>
    <row r="4678" spans="4:6" outlineLevel="1">
      <c r="D4678"/>
      <c r="E4678"/>
      <c r="F4678"/>
    </row>
    <row r="4679" spans="4:6" outlineLevel="1">
      <c r="D4679"/>
      <c r="E4679"/>
      <c r="F4679"/>
    </row>
    <row r="4680" spans="4:6" outlineLevel="1">
      <c r="D4680"/>
      <c r="E4680"/>
      <c r="F4680"/>
    </row>
    <row r="4681" spans="4:6" outlineLevel="1">
      <c r="D4681"/>
      <c r="E4681"/>
      <c r="F4681"/>
    </row>
    <row r="4682" spans="4:6" outlineLevel="1">
      <c r="D4682"/>
      <c r="E4682"/>
      <c r="F4682"/>
    </row>
    <row r="4683" spans="4:6" outlineLevel="1">
      <c r="D4683"/>
      <c r="E4683"/>
      <c r="F4683"/>
    </row>
    <row r="4684" spans="4:6" outlineLevel="1">
      <c r="D4684"/>
      <c r="E4684"/>
      <c r="F4684"/>
    </row>
    <row r="4685" spans="4:6" outlineLevel="1">
      <c r="D4685"/>
      <c r="E4685"/>
      <c r="F4685"/>
    </row>
    <row r="4686" spans="4:6" outlineLevel="1">
      <c r="D4686"/>
      <c r="E4686"/>
      <c r="F4686"/>
    </row>
    <row r="4687" spans="4:6" outlineLevel="1">
      <c r="D4687"/>
      <c r="E4687"/>
      <c r="F4687"/>
    </row>
    <row r="4688" spans="4:6" outlineLevel="1">
      <c r="D4688"/>
      <c r="E4688"/>
      <c r="F4688"/>
    </row>
    <row r="4689" spans="4:6" outlineLevel="1">
      <c r="D4689"/>
      <c r="E4689"/>
      <c r="F4689"/>
    </row>
    <row r="4690" spans="4:6" outlineLevel="1">
      <c r="D4690"/>
      <c r="E4690"/>
      <c r="F4690"/>
    </row>
    <row r="4691" spans="4:6" outlineLevel="1">
      <c r="D4691"/>
      <c r="E4691"/>
      <c r="F4691"/>
    </row>
    <row r="4692" spans="4:6" outlineLevel="1">
      <c r="D4692"/>
      <c r="E4692"/>
      <c r="F4692"/>
    </row>
    <row r="4693" spans="4:6" outlineLevel="1">
      <c r="D4693"/>
      <c r="E4693"/>
      <c r="F4693"/>
    </row>
    <row r="4694" spans="4:6" outlineLevel="1">
      <c r="D4694"/>
      <c r="E4694"/>
      <c r="F4694"/>
    </row>
    <row r="4695" spans="4:6" outlineLevel="1">
      <c r="D4695"/>
      <c r="E4695"/>
      <c r="F4695"/>
    </row>
    <row r="4696" spans="4:6" outlineLevel="1">
      <c r="D4696"/>
      <c r="E4696"/>
      <c r="F4696"/>
    </row>
    <row r="4697" spans="4:6" outlineLevel="1">
      <c r="D4697"/>
      <c r="E4697"/>
      <c r="F4697"/>
    </row>
    <row r="4698" spans="4:6" outlineLevel="1">
      <c r="D4698"/>
      <c r="E4698"/>
      <c r="F4698"/>
    </row>
    <row r="4699" spans="4:6" outlineLevel="1">
      <c r="D4699"/>
      <c r="E4699"/>
      <c r="F4699"/>
    </row>
    <row r="4700" spans="4:6" outlineLevel="1">
      <c r="D4700"/>
      <c r="E4700"/>
      <c r="F4700"/>
    </row>
    <row r="4701" spans="4:6" outlineLevel="1">
      <c r="D4701"/>
      <c r="E4701"/>
      <c r="F4701"/>
    </row>
    <row r="4702" spans="4:6" outlineLevel="1">
      <c r="D4702"/>
      <c r="E4702"/>
      <c r="F4702"/>
    </row>
    <row r="4703" spans="4:6" outlineLevel="1">
      <c r="D4703"/>
      <c r="E4703"/>
      <c r="F4703"/>
    </row>
    <row r="4704" spans="4:6" outlineLevel="1">
      <c r="D4704"/>
      <c r="E4704"/>
      <c r="F4704"/>
    </row>
    <row r="4705" spans="4:6" outlineLevel="1">
      <c r="D4705"/>
      <c r="E4705"/>
      <c r="F4705"/>
    </row>
    <row r="4706" spans="4:6" outlineLevel="1">
      <c r="D4706"/>
      <c r="E4706"/>
      <c r="F4706"/>
    </row>
    <row r="4707" spans="4:6" outlineLevel="1">
      <c r="D4707"/>
      <c r="E4707"/>
      <c r="F4707"/>
    </row>
    <row r="4708" spans="4:6" outlineLevel="1">
      <c r="D4708"/>
      <c r="E4708"/>
      <c r="F4708"/>
    </row>
    <row r="4709" spans="4:6" outlineLevel="1">
      <c r="D4709"/>
      <c r="E4709"/>
      <c r="F4709"/>
    </row>
    <row r="4710" spans="4:6" outlineLevel="1">
      <c r="D4710"/>
      <c r="E4710"/>
      <c r="F4710"/>
    </row>
    <row r="4711" spans="4:6" outlineLevel="1">
      <c r="D4711"/>
      <c r="E4711"/>
      <c r="F4711"/>
    </row>
    <row r="4712" spans="4:6" outlineLevel="1">
      <c r="D4712"/>
      <c r="E4712"/>
      <c r="F4712"/>
    </row>
    <row r="4713" spans="4:6" outlineLevel="1">
      <c r="D4713"/>
      <c r="E4713"/>
      <c r="F4713"/>
    </row>
    <row r="4714" spans="4:6" outlineLevel="1">
      <c r="D4714"/>
      <c r="E4714"/>
      <c r="F4714"/>
    </row>
    <row r="4715" spans="4:6" outlineLevel="1">
      <c r="D4715"/>
      <c r="E4715"/>
      <c r="F4715"/>
    </row>
    <row r="4716" spans="4:6" outlineLevel="1">
      <c r="D4716"/>
      <c r="E4716"/>
      <c r="F4716"/>
    </row>
    <row r="4717" spans="4:6" outlineLevel="1">
      <c r="D4717"/>
      <c r="E4717"/>
      <c r="F4717"/>
    </row>
    <row r="4718" spans="4:6" outlineLevel="1">
      <c r="D4718"/>
      <c r="E4718"/>
      <c r="F4718"/>
    </row>
    <row r="4719" spans="4:6" outlineLevel="1">
      <c r="D4719"/>
      <c r="E4719"/>
      <c r="F4719"/>
    </row>
    <row r="4720" spans="4:6" outlineLevel="1">
      <c r="D4720"/>
      <c r="E4720"/>
      <c r="F4720"/>
    </row>
    <row r="4721" spans="4:6" outlineLevel="1">
      <c r="D4721"/>
      <c r="E4721"/>
      <c r="F4721"/>
    </row>
    <row r="4722" spans="4:6" outlineLevel="1">
      <c r="D4722"/>
      <c r="E4722"/>
      <c r="F4722"/>
    </row>
    <row r="4723" spans="4:6" outlineLevel="1">
      <c r="D4723"/>
      <c r="E4723"/>
      <c r="F4723"/>
    </row>
    <row r="4724" spans="4:6" outlineLevel="1">
      <c r="D4724"/>
      <c r="E4724"/>
      <c r="F4724"/>
    </row>
    <row r="4725" spans="4:6" outlineLevel="1">
      <c r="D4725"/>
      <c r="E4725"/>
      <c r="F4725"/>
    </row>
    <row r="4726" spans="4:6" outlineLevel="1">
      <c r="D4726"/>
      <c r="E4726"/>
      <c r="F4726"/>
    </row>
    <row r="4727" spans="4:6" outlineLevel="1">
      <c r="D4727"/>
      <c r="E4727"/>
      <c r="F4727"/>
    </row>
    <row r="4728" spans="4:6" outlineLevel="1">
      <c r="D4728"/>
      <c r="E4728"/>
      <c r="F4728"/>
    </row>
    <row r="4729" spans="4:6" outlineLevel="1">
      <c r="D4729"/>
      <c r="E4729"/>
      <c r="F4729"/>
    </row>
    <row r="4730" spans="4:6" outlineLevel="1">
      <c r="D4730"/>
      <c r="E4730"/>
      <c r="F4730"/>
    </row>
    <row r="4731" spans="4:6" outlineLevel="1">
      <c r="D4731"/>
      <c r="E4731"/>
      <c r="F4731"/>
    </row>
    <row r="4732" spans="4:6" outlineLevel="1">
      <c r="D4732"/>
      <c r="E4732"/>
      <c r="F4732"/>
    </row>
    <row r="4733" spans="4:6" outlineLevel="1">
      <c r="D4733"/>
      <c r="E4733"/>
      <c r="F4733"/>
    </row>
    <row r="4734" spans="4:6" outlineLevel="1">
      <c r="D4734"/>
      <c r="E4734"/>
      <c r="F4734"/>
    </row>
    <row r="4735" spans="4:6" outlineLevel="1">
      <c r="D4735"/>
      <c r="E4735"/>
      <c r="F4735"/>
    </row>
    <row r="4736" spans="4:6" outlineLevel="1">
      <c r="D4736"/>
      <c r="E4736"/>
      <c r="F4736"/>
    </row>
    <row r="4737" spans="4:6" outlineLevel="1">
      <c r="D4737"/>
      <c r="E4737"/>
      <c r="F4737"/>
    </row>
    <row r="4738" spans="4:6" outlineLevel="1">
      <c r="D4738"/>
      <c r="E4738"/>
      <c r="F4738"/>
    </row>
    <row r="4739" spans="4:6" outlineLevel="1">
      <c r="D4739"/>
      <c r="E4739"/>
      <c r="F4739"/>
    </row>
    <row r="4740" spans="4:6" outlineLevel="1">
      <c r="D4740"/>
      <c r="E4740"/>
      <c r="F4740"/>
    </row>
    <row r="4741" spans="4:6" outlineLevel="1">
      <c r="D4741"/>
      <c r="E4741"/>
      <c r="F4741"/>
    </row>
    <row r="4742" spans="4:6" outlineLevel="1">
      <c r="D4742"/>
      <c r="E4742"/>
      <c r="F4742"/>
    </row>
    <row r="4743" spans="4:6" outlineLevel="1">
      <c r="D4743"/>
      <c r="E4743"/>
      <c r="F4743"/>
    </row>
    <row r="4744" spans="4:6" outlineLevel="1">
      <c r="D4744"/>
      <c r="E4744"/>
      <c r="F4744"/>
    </row>
    <row r="4745" spans="4:6" outlineLevel="1">
      <c r="D4745"/>
      <c r="E4745"/>
      <c r="F4745"/>
    </row>
    <row r="4746" spans="4:6" outlineLevel="1">
      <c r="D4746"/>
      <c r="E4746"/>
      <c r="F4746"/>
    </row>
    <row r="4747" spans="4:6" outlineLevel="1">
      <c r="D4747"/>
      <c r="E4747"/>
      <c r="F4747"/>
    </row>
    <row r="4748" spans="4:6" outlineLevel="1">
      <c r="D4748"/>
      <c r="E4748"/>
      <c r="F4748"/>
    </row>
    <row r="4749" spans="4:6" outlineLevel="1">
      <c r="D4749"/>
      <c r="E4749"/>
      <c r="F4749"/>
    </row>
    <row r="4750" spans="4:6" outlineLevel="1">
      <c r="D4750"/>
      <c r="E4750"/>
      <c r="F4750"/>
    </row>
    <row r="4751" spans="4:6" outlineLevel="1">
      <c r="D4751"/>
      <c r="E4751"/>
      <c r="F4751"/>
    </row>
    <row r="4752" spans="4:6" outlineLevel="1">
      <c r="D4752"/>
      <c r="E4752"/>
      <c r="F4752"/>
    </row>
    <row r="4753" spans="4:6" outlineLevel="1">
      <c r="D4753"/>
      <c r="E4753"/>
      <c r="F4753"/>
    </row>
    <row r="4754" spans="4:6" outlineLevel="1">
      <c r="D4754"/>
      <c r="E4754"/>
      <c r="F4754"/>
    </row>
    <row r="4755" spans="4:6" outlineLevel="1">
      <c r="D4755"/>
      <c r="E4755"/>
      <c r="F4755"/>
    </row>
    <row r="4756" spans="4:6" outlineLevel="1">
      <c r="D4756"/>
      <c r="E4756"/>
      <c r="F4756"/>
    </row>
    <row r="4757" spans="4:6" outlineLevel="1">
      <c r="D4757"/>
      <c r="E4757"/>
      <c r="F4757"/>
    </row>
    <row r="4758" spans="4:6" outlineLevel="1">
      <c r="D4758"/>
      <c r="E4758"/>
      <c r="F4758"/>
    </row>
    <row r="4759" spans="4:6" outlineLevel="1">
      <c r="D4759"/>
      <c r="E4759"/>
      <c r="F4759"/>
    </row>
    <row r="4760" spans="4:6" outlineLevel="1">
      <c r="D4760"/>
      <c r="E4760"/>
      <c r="F4760"/>
    </row>
    <row r="4761" spans="4:6" outlineLevel="1">
      <c r="D4761"/>
      <c r="E4761"/>
      <c r="F4761"/>
    </row>
    <row r="4762" spans="4:6" outlineLevel="1">
      <c r="D4762"/>
      <c r="E4762"/>
      <c r="F4762"/>
    </row>
    <row r="4763" spans="4:6" outlineLevel="1">
      <c r="D4763"/>
      <c r="E4763"/>
      <c r="F4763"/>
    </row>
    <row r="4764" spans="4:6" outlineLevel="1">
      <c r="D4764"/>
      <c r="E4764"/>
      <c r="F4764"/>
    </row>
    <row r="4765" spans="4:6">
      <c r="D4765"/>
      <c r="E4765"/>
      <c r="F4765"/>
    </row>
    <row r="4766" spans="4:6" outlineLevel="1">
      <c r="D4766"/>
      <c r="E4766"/>
      <c r="F4766"/>
    </row>
    <row r="4767" spans="4:6" outlineLevel="1">
      <c r="D4767"/>
      <c r="E4767"/>
      <c r="F4767"/>
    </row>
    <row r="4768" spans="4:6" outlineLevel="1">
      <c r="D4768"/>
      <c r="E4768"/>
      <c r="F4768"/>
    </row>
    <row r="4769" spans="4:6" outlineLevel="1">
      <c r="D4769"/>
      <c r="E4769"/>
      <c r="F4769"/>
    </row>
    <row r="4770" spans="4:6" outlineLevel="1">
      <c r="D4770"/>
      <c r="E4770"/>
      <c r="F4770"/>
    </row>
    <row r="4771" spans="4:6" outlineLevel="1">
      <c r="D4771"/>
      <c r="E4771"/>
      <c r="F4771"/>
    </row>
    <row r="4772" spans="4:6" outlineLevel="1">
      <c r="D4772"/>
      <c r="E4772"/>
      <c r="F4772"/>
    </row>
    <row r="4773" spans="4:6" outlineLevel="1">
      <c r="D4773"/>
      <c r="E4773"/>
      <c r="F4773"/>
    </row>
    <row r="4774" spans="4:6" outlineLevel="1">
      <c r="D4774"/>
      <c r="E4774"/>
      <c r="F4774"/>
    </row>
    <row r="4775" spans="4:6" outlineLevel="1">
      <c r="D4775"/>
      <c r="E4775"/>
      <c r="F4775"/>
    </row>
    <row r="4776" spans="4:6" outlineLevel="1">
      <c r="D4776"/>
      <c r="E4776"/>
      <c r="F4776"/>
    </row>
    <row r="4777" spans="4:6" outlineLevel="1">
      <c r="D4777"/>
      <c r="E4777"/>
      <c r="F4777"/>
    </row>
    <row r="4778" spans="4:6" outlineLevel="1">
      <c r="D4778"/>
      <c r="E4778"/>
      <c r="F4778"/>
    </row>
    <row r="4779" spans="4:6" outlineLevel="1">
      <c r="D4779"/>
      <c r="E4779"/>
      <c r="F4779"/>
    </row>
    <row r="4780" spans="4:6" outlineLevel="1">
      <c r="D4780"/>
      <c r="E4780"/>
      <c r="F4780"/>
    </row>
    <row r="4781" spans="4:6" outlineLevel="1">
      <c r="D4781"/>
      <c r="E4781"/>
      <c r="F4781"/>
    </row>
    <row r="4782" spans="4:6" outlineLevel="1">
      <c r="D4782"/>
      <c r="E4782"/>
      <c r="F4782"/>
    </row>
    <row r="4783" spans="4:6" outlineLevel="1">
      <c r="D4783"/>
      <c r="E4783"/>
      <c r="F4783"/>
    </row>
    <row r="4784" spans="4:6" outlineLevel="1">
      <c r="D4784"/>
      <c r="E4784"/>
      <c r="F4784"/>
    </row>
    <row r="4785" spans="4:6" outlineLevel="1">
      <c r="D4785"/>
      <c r="E4785"/>
      <c r="F4785"/>
    </row>
    <row r="4786" spans="4:6" outlineLevel="1">
      <c r="D4786"/>
      <c r="E4786"/>
      <c r="F4786"/>
    </row>
    <row r="4787" spans="4:6" outlineLevel="1">
      <c r="D4787"/>
      <c r="E4787"/>
      <c r="F4787"/>
    </row>
    <row r="4788" spans="4:6" outlineLevel="1">
      <c r="D4788"/>
      <c r="E4788"/>
      <c r="F4788"/>
    </row>
    <row r="4789" spans="4:6" outlineLevel="1">
      <c r="D4789"/>
      <c r="E4789"/>
      <c r="F4789"/>
    </row>
    <row r="4790" spans="4:6" outlineLevel="1">
      <c r="D4790"/>
      <c r="E4790"/>
      <c r="F4790"/>
    </row>
    <row r="4791" spans="4:6" outlineLevel="1">
      <c r="D4791"/>
      <c r="E4791"/>
      <c r="F4791"/>
    </row>
    <row r="4792" spans="4:6" outlineLevel="1">
      <c r="D4792"/>
      <c r="E4792"/>
      <c r="F4792"/>
    </row>
    <row r="4793" spans="4:6" outlineLevel="1">
      <c r="D4793"/>
      <c r="E4793"/>
      <c r="F4793"/>
    </row>
    <row r="4794" spans="4:6" outlineLevel="1">
      <c r="D4794"/>
      <c r="E4794"/>
      <c r="F4794"/>
    </row>
    <row r="4795" spans="4:6" outlineLevel="1">
      <c r="D4795"/>
      <c r="E4795"/>
      <c r="F4795"/>
    </row>
    <row r="4796" spans="4:6" outlineLevel="1">
      <c r="D4796"/>
      <c r="E4796"/>
      <c r="F4796"/>
    </row>
    <row r="4797" spans="4:6" outlineLevel="1">
      <c r="D4797"/>
      <c r="E4797"/>
      <c r="F4797"/>
    </row>
    <row r="4798" spans="4:6" outlineLevel="1">
      <c r="D4798"/>
      <c r="E4798"/>
      <c r="F4798"/>
    </row>
    <row r="4799" spans="4:6" outlineLevel="1">
      <c r="D4799"/>
      <c r="E4799"/>
      <c r="F4799"/>
    </row>
    <row r="4800" spans="4:6" outlineLevel="1">
      <c r="D4800"/>
      <c r="E4800"/>
      <c r="F4800"/>
    </row>
    <row r="4801" spans="4:6" outlineLevel="1">
      <c r="D4801"/>
      <c r="E4801"/>
      <c r="F4801"/>
    </row>
    <row r="4802" spans="4:6" outlineLevel="1">
      <c r="D4802"/>
      <c r="E4802"/>
      <c r="F4802"/>
    </row>
    <row r="4803" spans="4:6" outlineLevel="1">
      <c r="D4803"/>
      <c r="E4803"/>
      <c r="F4803"/>
    </row>
    <row r="4804" spans="4:6" outlineLevel="1">
      <c r="D4804"/>
      <c r="E4804"/>
      <c r="F4804"/>
    </row>
    <row r="4805" spans="4:6" outlineLevel="1">
      <c r="D4805"/>
      <c r="E4805"/>
      <c r="F4805"/>
    </row>
    <row r="4806" spans="4:6" outlineLevel="1">
      <c r="D4806"/>
      <c r="E4806"/>
      <c r="F4806"/>
    </row>
    <row r="4807" spans="4:6" outlineLevel="1">
      <c r="D4807"/>
      <c r="E4807"/>
      <c r="F4807"/>
    </row>
    <row r="4808" spans="4:6" outlineLevel="1">
      <c r="D4808"/>
      <c r="E4808"/>
      <c r="F4808"/>
    </row>
    <row r="4809" spans="4:6" outlineLevel="1">
      <c r="D4809"/>
      <c r="E4809"/>
      <c r="F4809"/>
    </row>
    <row r="4810" spans="4:6" outlineLevel="1">
      <c r="D4810"/>
      <c r="E4810"/>
      <c r="F4810"/>
    </row>
    <row r="4811" spans="4:6" outlineLevel="1">
      <c r="D4811"/>
      <c r="E4811"/>
      <c r="F4811"/>
    </row>
    <row r="4812" spans="4:6" outlineLevel="1">
      <c r="D4812"/>
      <c r="E4812"/>
      <c r="F4812"/>
    </row>
    <row r="4813" spans="4:6" outlineLevel="1">
      <c r="D4813"/>
      <c r="E4813"/>
      <c r="F4813"/>
    </row>
    <row r="4814" spans="4:6" outlineLevel="1">
      <c r="D4814"/>
      <c r="E4814"/>
      <c r="F4814"/>
    </row>
    <row r="4815" spans="4:6" outlineLevel="1">
      <c r="D4815"/>
      <c r="E4815"/>
      <c r="F4815"/>
    </row>
    <row r="4816" spans="4:6" outlineLevel="1">
      <c r="D4816"/>
      <c r="E4816"/>
      <c r="F4816"/>
    </row>
    <row r="4817" spans="4:6" outlineLevel="1">
      <c r="D4817"/>
      <c r="E4817"/>
      <c r="F4817"/>
    </row>
    <row r="4818" spans="4:6" outlineLevel="1">
      <c r="D4818"/>
      <c r="E4818"/>
      <c r="F4818"/>
    </row>
    <row r="4819" spans="4:6" outlineLevel="1">
      <c r="D4819"/>
      <c r="E4819"/>
      <c r="F4819"/>
    </row>
    <row r="4820" spans="4:6" outlineLevel="1">
      <c r="D4820"/>
      <c r="E4820"/>
      <c r="F4820"/>
    </row>
    <row r="4821" spans="4:6" outlineLevel="1">
      <c r="D4821"/>
      <c r="E4821"/>
      <c r="F4821"/>
    </row>
    <row r="4822" spans="4:6" outlineLevel="1">
      <c r="D4822"/>
      <c r="E4822"/>
      <c r="F4822"/>
    </row>
    <row r="4823" spans="4:6" outlineLevel="1">
      <c r="D4823"/>
      <c r="E4823"/>
      <c r="F4823"/>
    </row>
    <row r="4824" spans="4:6" outlineLevel="1">
      <c r="D4824"/>
      <c r="E4824"/>
      <c r="F4824"/>
    </row>
    <row r="4825" spans="4:6" outlineLevel="1">
      <c r="D4825"/>
      <c r="E4825"/>
      <c r="F4825"/>
    </row>
    <row r="4826" spans="4:6" outlineLevel="1">
      <c r="D4826"/>
      <c r="E4826"/>
      <c r="F4826"/>
    </row>
    <row r="4827" spans="4:6" outlineLevel="1">
      <c r="D4827"/>
      <c r="E4827"/>
      <c r="F4827"/>
    </row>
    <row r="4828" spans="4:6" outlineLevel="1">
      <c r="D4828"/>
      <c r="E4828"/>
      <c r="F4828"/>
    </row>
    <row r="4829" spans="4:6">
      <c r="D4829"/>
      <c r="E4829"/>
      <c r="F4829"/>
    </row>
    <row r="4830" spans="4:6" outlineLevel="1">
      <c r="D4830"/>
      <c r="E4830"/>
      <c r="F4830"/>
    </row>
    <row r="4831" spans="4:6" outlineLevel="1">
      <c r="D4831"/>
      <c r="E4831"/>
      <c r="F4831"/>
    </row>
    <row r="4832" spans="4:6" outlineLevel="1">
      <c r="D4832"/>
      <c r="E4832"/>
      <c r="F4832"/>
    </row>
    <row r="4833" spans="4:6" outlineLevel="1">
      <c r="D4833"/>
      <c r="E4833"/>
      <c r="F4833"/>
    </row>
    <row r="4834" spans="4:6" outlineLevel="1">
      <c r="D4834"/>
      <c r="E4834"/>
      <c r="F4834"/>
    </row>
    <row r="4835" spans="4:6" outlineLevel="1">
      <c r="D4835"/>
      <c r="E4835"/>
      <c r="F4835"/>
    </row>
    <row r="4836" spans="4:6" outlineLevel="1">
      <c r="D4836"/>
      <c r="E4836"/>
      <c r="F4836"/>
    </row>
    <row r="4837" spans="4:6" outlineLevel="1">
      <c r="D4837"/>
      <c r="E4837"/>
      <c r="F4837"/>
    </row>
    <row r="4838" spans="4:6" outlineLevel="1">
      <c r="D4838"/>
      <c r="E4838"/>
      <c r="F4838"/>
    </row>
    <row r="4839" spans="4:6" outlineLevel="1">
      <c r="D4839"/>
      <c r="E4839"/>
      <c r="F4839"/>
    </row>
    <row r="4840" spans="4:6" outlineLevel="1">
      <c r="D4840"/>
      <c r="E4840"/>
      <c r="F4840"/>
    </row>
    <row r="4841" spans="4:6" outlineLevel="1">
      <c r="D4841"/>
      <c r="E4841"/>
      <c r="F4841"/>
    </row>
    <row r="4842" spans="4:6" outlineLevel="1">
      <c r="D4842"/>
      <c r="E4842"/>
      <c r="F4842"/>
    </row>
    <row r="4843" spans="4:6">
      <c r="D4843"/>
      <c r="E4843"/>
      <c r="F4843"/>
    </row>
    <row r="4844" spans="4:6" outlineLevel="1">
      <c r="D4844"/>
      <c r="E4844"/>
      <c r="F4844"/>
    </row>
    <row r="4845" spans="4:6" outlineLevel="1">
      <c r="D4845"/>
      <c r="E4845"/>
      <c r="F4845"/>
    </row>
    <row r="4846" spans="4:6" outlineLevel="1">
      <c r="D4846"/>
      <c r="E4846"/>
      <c r="F4846"/>
    </row>
    <row r="4847" spans="4:6" outlineLevel="1">
      <c r="D4847"/>
      <c r="E4847"/>
      <c r="F4847"/>
    </row>
    <row r="4848" spans="4:6" outlineLevel="1">
      <c r="D4848"/>
      <c r="E4848"/>
      <c r="F4848"/>
    </row>
    <row r="4849" spans="4:6" outlineLevel="1">
      <c r="D4849"/>
      <c r="E4849"/>
      <c r="F4849"/>
    </row>
    <row r="4850" spans="4:6" outlineLevel="1">
      <c r="D4850"/>
      <c r="E4850"/>
      <c r="F4850"/>
    </row>
    <row r="4851" spans="4:6" outlineLevel="1">
      <c r="D4851"/>
      <c r="E4851"/>
      <c r="F4851"/>
    </row>
    <row r="4852" spans="4:6" outlineLevel="1">
      <c r="D4852"/>
      <c r="E4852"/>
      <c r="F4852"/>
    </row>
    <row r="4853" spans="4:6" outlineLevel="1">
      <c r="D4853"/>
      <c r="E4853"/>
      <c r="F4853"/>
    </row>
    <row r="4854" spans="4:6" outlineLevel="1">
      <c r="D4854"/>
      <c r="E4854"/>
      <c r="F4854"/>
    </row>
    <row r="4855" spans="4:6" outlineLevel="1">
      <c r="D4855"/>
      <c r="E4855"/>
      <c r="F4855"/>
    </row>
    <row r="4856" spans="4:6" outlineLevel="1">
      <c r="D4856"/>
      <c r="E4856"/>
      <c r="F4856"/>
    </row>
    <row r="4857" spans="4:6" outlineLevel="1">
      <c r="D4857"/>
      <c r="E4857"/>
      <c r="F4857"/>
    </row>
    <row r="4858" spans="4:6" outlineLevel="1">
      <c r="D4858"/>
      <c r="E4858"/>
      <c r="F4858"/>
    </row>
    <row r="4859" spans="4:6" outlineLevel="1">
      <c r="D4859"/>
      <c r="E4859"/>
      <c r="F4859"/>
    </row>
    <row r="4860" spans="4:6">
      <c r="D4860"/>
      <c r="E4860"/>
      <c r="F4860"/>
    </row>
    <row r="4861" spans="4:6" outlineLevel="1">
      <c r="D4861"/>
      <c r="E4861"/>
      <c r="F4861"/>
    </row>
    <row r="4862" spans="4:6" outlineLevel="1">
      <c r="D4862"/>
      <c r="E4862"/>
      <c r="F4862"/>
    </row>
    <row r="4863" spans="4:6" outlineLevel="1">
      <c r="D4863"/>
      <c r="E4863"/>
      <c r="F4863"/>
    </row>
    <row r="4864" spans="4:6" outlineLevel="1">
      <c r="D4864"/>
      <c r="E4864"/>
      <c r="F4864"/>
    </row>
    <row r="4865" spans="4:6" outlineLevel="1">
      <c r="D4865"/>
      <c r="E4865"/>
      <c r="F4865"/>
    </row>
    <row r="4866" spans="4:6" outlineLevel="1">
      <c r="D4866"/>
      <c r="E4866"/>
      <c r="F4866"/>
    </row>
    <row r="4867" spans="4:6" outlineLevel="1">
      <c r="D4867"/>
      <c r="E4867"/>
      <c r="F4867"/>
    </row>
    <row r="4868" spans="4:6" outlineLevel="1">
      <c r="D4868"/>
      <c r="E4868"/>
      <c r="F4868"/>
    </row>
    <row r="4869" spans="4:6" outlineLevel="1">
      <c r="D4869"/>
      <c r="E4869"/>
      <c r="F4869"/>
    </row>
    <row r="4870" spans="4:6" outlineLevel="1">
      <c r="D4870"/>
      <c r="E4870"/>
      <c r="F4870"/>
    </row>
    <row r="4871" spans="4:6" outlineLevel="1">
      <c r="D4871"/>
      <c r="E4871"/>
      <c r="F4871"/>
    </row>
    <row r="4872" spans="4:6" outlineLevel="1">
      <c r="D4872"/>
      <c r="E4872"/>
      <c r="F4872"/>
    </row>
    <row r="4873" spans="4:6" outlineLevel="1">
      <c r="D4873"/>
      <c r="E4873"/>
      <c r="F4873"/>
    </row>
    <row r="4874" spans="4:6" outlineLevel="1">
      <c r="D4874"/>
      <c r="E4874"/>
      <c r="F4874"/>
    </row>
    <row r="4875" spans="4:6" outlineLevel="1">
      <c r="D4875"/>
      <c r="E4875"/>
      <c r="F4875"/>
    </row>
    <row r="4876" spans="4:6" outlineLevel="1">
      <c r="D4876"/>
      <c r="E4876"/>
      <c r="F4876"/>
    </row>
    <row r="4877" spans="4:6" outlineLevel="1">
      <c r="D4877"/>
      <c r="E4877"/>
      <c r="F4877"/>
    </row>
    <row r="4878" spans="4:6" outlineLevel="1">
      <c r="D4878"/>
      <c r="E4878"/>
      <c r="F4878"/>
    </row>
    <row r="4879" spans="4:6" outlineLevel="1">
      <c r="D4879"/>
      <c r="E4879"/>
      <c r="F4879"/>
    </row>
    <row r="4880" spans="4:6" outlineLevel="1">
      <c r="D4880"/>
      <c r="E4880"/>
      <c r="F4880"/>
    </row>
    <row r="4881" spans="4:6" outlineLevel="1">
      <c r="D4881"/>
      <c r="E4881"/>
      <c r="F4881"/>
    </row>
    <row r="4882" spans="4:6" outlineLevel="1">
      <c r="D4882"/>
      <c r="E4882"/>
      <c r="F4882"/>
    </row>
    <row r="4883" spans="4:6" outlineLevel="1">
      <c r="D4883"/>
      <c r="E4883"/>
      <c r="F4883"/>
    </row>
    <row r="4884" spans="4:6" outlineLevel="1">
      <c r="D4884"/>
      <c r="E4884"/>
      <c r="F4884"/>
    </row>
    <row r="4885" spans="4:6" outlineLevel="1">
      <c r="D4885"/>
      <c r="E4885"/>
      <c r="F4885"/>
    </row>
    <row r="4886" spans="4:6" outlineLevel="1">
      <c r="D4886"/>
      <c r="E4886"/>
      <c r="F4886"/>
    </row>
    <row r="4887" spans="4:6" outlineLevel="1">
      <c r="D4887"/>
      <c r="E4887"/>
      <c r="F4887"/>
    </row>
    <row r="4888" spans="4:6" outlineLevel="1">
      <c r="D4888"/>
      <c r="E4888"/>
      <c r="F4888"/>
    </row>
    <row r="4889" spans="4:6" outlineLevel="1">
      <c r="D4889"/>
      <c r="E4889"/>
      <c r="F4889"/>
    </row>
    <row r="4890" spans="4:6" outlineLevel="1">
      <c r="D4890"/>
      <c r="E4890"/>
      <c r="F4890"/>
    </row>
    <row r="4891" spans="4:6" outlineLevel="1">
      <c r="D4891"/>
      <c r="E4891"/>
      <c r="F4891"/>
    </row>
    <row r="4892" spans="4:6" outlineLevel="1">
      <c r="D4892"/>
      <c r="E4892"/>
      <c r="F4892"/>
    </row>
    <row r="4893" spans="4:6" outlineLevel="1">
      <c r="D4893"/>
      <c r="E4893"/>
      <c r="F4893"/>
    </row>
    <row r="4894" spans="4:6" outlineLevel="1">
      <c r="D4894"/>
      <c r="E4894"/>
      <c r="F4894"/>
    </row>
    <row r="4895" spans="4:6" outlineLevel="1">
      <c r="D4895"/>
      <c r="E4895"/>
      <c r="F4895"/>
    </row>
    <row r="4896" spans="4:6" outlineLevel="1">
      <c r="D4896"/>
      <c r="E4896"/>
      <c r="F4896"/>
    </row>
    <row r="4897" spans="4:6" outlineLevel="1">
      <c r="D4897"/>
      <c r="E4897"/>
      <c r="F4897"/>
    </row>
    <row r="4898" spans="4:6" outlineLevel="1">
      <c r="D4898"/>
      <c r="E4898"/>
      <c r="F4898"/>
    </row>
    <row r="4899" spans="4:6" outlineLevel="1">
      <c r="D4899"/>
      <c r="E4899"/>
      <c r="F4899"/>
    </row>
    <row r="4900" spans="4:6" outlineLevel="1">
      <c r="D4900"/>
      <c r="E4900"/>
      <c r="F4900"/>
    </row>
    <row r="4901" spans="4:6" outlineLevel="1">
      <c r="D4901"/>
      <c r="E4901"/>
      <c r="F4901"/>
    </row>
    <row r="4902" spans="4:6" outlineLevel="1">
      <c r="D4902"/>
      <c r="E4902"/>
      <c r="F4902"/>
    </row>
    <row r="4903" spans="4:6" outlineLevel="1">
      <c r="D4903"/>
      <c r="E4903"/>
      <c r="F4903"/>
    </row>
    <row r="4904" spans="4:6" outlineLevel="1">
      <c r="D4904"/>
      <c r="E4904"/>
      <c r="F4904"/>
    </row>
    <row r="4905" spans="4:6" outlineLevel="1">
      <c r="D4905"/>
      <c r="E4905"/>
      <c r="F4905"/>
    </row>
    <row r="4906" spans="4:6" outlineLevel="1">
      <c r="D4906"/>
      <c r="E4906"/>
      <c r="F4906"/>
    </row>
    <row r="4907" spans="4:6" outlineLevel="1">
      <c r="D4907"/>
      <c r="E4907"/>
      <c r="F4907"/>
    </row>
    <row r="4908" spans="4:6" outlineLevel="1">
      <c r="D4908"/>
      <c r="E4908"/>
      <c r="F4908"/>
    </row>
    <row r="4909" spans="4:6" outlineLevel="1">
      <c r="D4909"/>
      <c r="E4909"/>
      <c r="F4909"/>
    </row>
    <row r="4910" spans="4:6" outlineLevel="1">
      <c r="D4910"/>
      <c r="E4910"/>
      <c r="F4910"/>
    </row>
    <row r="4911" spans="4:6" outlineLevel="1">
      <c r="D4911"/>
      <c r="E4911"/>
      <c r="F4911"/>
    </row>
    <row r="4912" spans="4:6" outlineLevel="1">
      <c r="D4912"/>
      <c r="E4912"/>
      <c r="F4912"/>
    </row>
    <row r="4913" spans="4:6" outlineLevel="1">
      <c r="D4913"/>
      <c r="E4913"/>
      <c r="F4913"/>
    </row>
    <row r="4914" spans="4:6" outlineLevel="1">
      <c r="D4914"/>
      <c r="E4914"/>
      <c r="F4914"/>
    </row>
    <row r="4915" spans="4:6" outlineLevel="1">
      <c r="D4915"/>
      <c r="E4915"/>
      <c r="F4915"/>
    </row>
    <row r="4916" spans="4:6" outlineLevel="1">
      <c r="D4916"/>
      <c r="E4916"/>
      <c r="F4916"/>
    </row>
    <row r="4917" spans="4:6" outlineLevel="1">
      <c r="D4917"/>
      <c r="E4917"/>
      <c r="F4917"/>
    </row>
    <row r="4918" spans="4:6" outlineLevel="1">
      <c r="D4918"/>
      <c r="E4918"/>
      <c r="F4918"/>
    </row>
    <row r="4919" spans="4:6" outlineLevel="1">
      <c r="D4919"/>
      <c r="E4919"/>
      <c r="F4919"/>
    </row>
    <row r="4920" spans="4:6" outlineLevel="1">
      <c r="D4920"/>
      <c r="E4920"/>
      <c r="F4920"/>
    </row>
    <row r="4921" spans="4:6" outlineLevel="1">
      <c r="D4921"/>
      <c r="E4921"/>
      <c r="F4921"/>
    </row>
    <row r="4922" spans="4:6" outlineLevel="1">
      <c r="D4922"/>
      <c r="E4922"/>
      <c r="F4922"/>
    </row>
    <row r="4923" spans="4:6" outlineLevel="1">
      <c r="D4923"/>
      <c r="E4923"/>
      <c r="F4923"/>
    </row>
    <row r="4924" spans="4:6" outlineLevel="1">
      <c r="D4924"/>
      <c r="E4924"/>
      <c r="F4924"/>
    </row>
    <row r="4925" spans="4:6" outlineLevel="1">
      <c r="D4925"/>
      <c r="E4925"/>
      <c r="F4925"/>
    </row>
    <row r="4926" spans="4:6" outlineLevel="1">
      <c r="D4926"/>
      <c r="E4926"/>
      <c r="F4926"/>
    </row>
    <row r="4927" spans="4:6" outlineLevel="1">
      <c r="D4927"/>
      <c r="E4927"/>
      <c r="F4927"/>
    </row>
    <row r="4928" spans="4:6" outlineLevel="1">
      <c r="D4928"/>
      <c r="E4928"/>
      <c r="F4928"/>
    </row>
    <row r="4929" spans="4:6" outlineLevel="1">
      <c r="D4929"/>
      <c r="E4929"/>
      <c r="F4929"/>
    </row>
    <row r="4930" spans="4:6" outlineLevel="1">
      <c r="D4930"/>
      <c r="E4930"/>
      <c r="F4930"/>
    </row>
    <row r="4931" spans="4:6" outlineLevel="1">
      <c r="D4931"/>
      <c r="E4931"/>
      <c r="F4931"/>
    </row>
    <row r="4932" spans="4:6" outlineLevel="1">
      <c r="D4932"/>
      <c r="E4932"/>
      <c r="F4932"/>
    </row>
    <row r="4933" spans="4:6" outlineLevel="1">
      <c r="D4933"/>
      <c r="E4933"/>
      <c r="F4933"/>
    </row>
    <row r="4934" spans="4:6" outlineLevel="1">
      <c r="D4934"/>
      <c r="E4934"/>
      <c r="F4934"/>
    </row>
    <row r="4935" spans="4:6" outlineLevel="1">
      <c r="D4935"/>
      <c r="E4935"/>
      <c r="F4935"/>
    </row>
    <row r="4936" spans="4:6" outlineLevel="1">
      <c r="D4936"/>
      <c r="E4936"/>
      <c r="F4936"/>
    </row>
    <row r="4937" spans="4:6" outlineLevel="1">
      <c r="D4937"/>
      <c r="E4937"/>
      <c r="F4937"/>
    </row>
    <row r="4938" spans="4:6" outlineLevel="1">
      <c r="D4938"/>
      <c r="E4938"/>
      <c r="F4938"/>
    </row>
    <row r="4939" spans="4:6" outlineLevel="1">
      <c r="D4939"/>
      <c r="E4939"/>
      <c r="F4939"/>
    </row>
    <row r="4940" spans="4:6" outlineLevel="1">
      <c r="D4940"/>
      <c r="E4940"/>
      <c r="F4940"/>
    </row>
    <row r="4941" spans="4:6" outlineLevel="1">
      <c r="D4941"/>
      <c r="E4941"/>
      <c r="F4941"/>
    </row>
    <row r="4942" spans="4:6" outlineLevel="1">
      <c r="D4942"/>
      <c r="E4942"/>
      <c r="F4942"/>
    </row>
    <row r="4943" spans="4:6" outlineLevel="1">
      <c r="D4943"/>
      <c r="E4943"/>
      <c r="F4943"/>
    </row>
    <row r="4944" spans="4:6" outlineLevel="1">
      <c r="D4944"/>
      <c r="E4944"/>
      <c r="F4944"/>
    </row>
    <row r="4945" spans="4:6" outlineLevel="1">
      <c r="D4945"/>
      <c r="E4945"/>
      <c r="F4945"/>
    </row>
    <row r="4946" spans="4:6" outlineLevel="1">
      <c r="D4946"/>
      <c r="E4946"/>
      <c r="F4946"/>
    </row>
    <row r="4947" spans="4:6" outlineLevel="1">
      <c r="D4947"/>
      <c r="E4947"/>
      <c r="F4947"/>
    </row>
    <row r="4948" spans="4:6" outlineLevel="1">
      <c r="D4948"/>
      <c r="E4948"/>
      <c r="F4948"/>
    </row>
    <row r="4949" spans="4:6" outlineLevel="1">
      <c r="D4949"/>
      <c r="E4949"/>
      <c r="F4949"/>
    </row>
    <row r="4950" spans="4:6" outlineLevel="1">
      <c r="D4950"/>
      <c r="E4950"/>
      <c r="F4950"/>
    </row>
    <row r="4951" spans="4:6" outlineLevel="1">
      <c r="D4951"/>
      <c r="E4951"/>
      <c r="F4951"/>
    </row>
    <row r="4952" spans="4:6" outlineLevel="1">
      <c r="D4952"/>
      <c r="E4952"/>
      <c r="F4952"/>
    </row>
    <row r="4953" spans="4:6" outlineLevel="1">
      <c r="D4953"/>
      <c r="E4953"/>
      <c r="F4953"/>
    </row>
    <row r="4954" spans="4:6" outlineLevel="1">
      <c r="D4954"/>
      <c r="E4954"/>
      <c r="F4954"/>
    </row>
    <row r="4955" spans="4:6" outlineLevel="1">
      <c r="D4955"/>
      <c r="E4955"/>
      <c r="F4955"/>
    </row>
    <row r="4956" spans="4:6" outlineLevel="1">
      <c r="D4956"/>
      <c r="E4956"/>
      <c r="F4956"/>
    </row>
    <row r="4957" spans="4:6" outlineLevel="1">
      <c r="D4957"/>
      <c r="E4957"/>
      <c r="F4957"/>
    </row>
    <row r="4958" spans="4:6" outlineLevel="1">
      <c r="D4958"/>
      <c r="E4958"/>
      <c r="F4958"/>
    </row>
    <row r="4959" spans="4:6" outlineLevel="1">
      <c r="D4959"/>
      <c r="E4959"/>
      <c r="F4959"/>
    </row>
    <row r="4960" spans="4:6" outlineLevel="1">
      <c r="D4960"/>
      <c r="E4960"/>
      <c r="F4960"/>
    </row>
    <row r="4961" spans="4:6" outlineLevel="1">
      <c r="D4961"/>
      <c r="E4961"/>
      <c r="F4961"/>
    </row>
    <row r="4962" spans="4:6" outlineLevel="1">
      <c r="D4962"/>
      <c r="E4962"/>
      <c r="F4962"/>
    </row>
    <row r="4963" spans="4:6" outlineLevel="1">
      <c r="D4963"/>
      <c r="E4963"/>
      <c r="F4963"/>
    </row>
    <row r="4964" spans="4:6" outlineLevel="1">
      <c r="D4964"/>
      <c r="E4964"/>
      <c r="F4964"/>
    </row>
    <row r="4965" spans="4:6" outlineLevel="1">
      <c r="D4965"/>
      <c r="E4965"/>
      <c r="F4965"/>
    </row>
    <row r="4966" spans="4:6" outlineLevel="1">
      <c r="D4966"/>
      <c r="E4966"/>
      <c r="F4966"/>
    </row>
    <row r="4967" spans="4:6" outlineLevel="1">
      <c r="D4967"/>
      <c r="E4967"/>
      <c r="F4967"/>
    </row>
    <row r="4968" spans="4:6" outlineLevel="1">
      <c r="D4968"/>
      <c r="E4968"/>
      <c r="F4968"/>
    </row>
    <row r="4969" spans="4:6" outlineLevel="1">
      <c r="D4969"/>
      <c r="E4969"/>
      <c r="F4969"/>
    </row>
    <row r="4970" spans="4:6" outlineLevel="1">
      <c r="D4970"/>
      <c r="E4970"/>
      <c r="F4970"/>
    </row>
    <row r="4971" spans="4:6" outlineLevel="1">
      <c r="D4971"/>
      <c r="E4971"/>
      <c r="F4971"/>
    </row>
    <row r="4972" spans="4:6" outlineLevel="1">
      <c r="D4972"/>
      <c r="E4972"/>
      <c r="F4972"/>
    </row>
    <row r="4973" spans="4:6" outlineLevel="1">
      <c r="D4973"/>
      <c r="E4973"/>
      <c r="F4973"/>
    </row>
    <row r="4974" spans="4:6" outlineLevel="1">
      <c r="D4974"/>
      <c r="E4974"/>
      <c r="F4974"/>
    </row>
    <row r="4975" spans="4:6" outlineLevel="1">
      <c r="D4975"/>
      <c r="E4975"/>
      <c r="F4975"/>
    </row>
    <row r="4976" spans="4:6" outlineLevel="1">
      <c r="D4976"/>
      <c r="E4976"/>
      <c r="F4976"/>
    </row>
    <row r="4977" spans="4:6" outlineLevel="1">
      <c r="D4977"/>
      <c r="E4977"/>
      <c r="F4977"/>
    </row>
    <row r="4978" spans="4:6" outlineLevel="1">
      <c r="D4978"/>
      <c r="E4978"/>
      <c r="F4978"/>
    </row>
    <row r="4979" spans="4:6" outlineLevel="1">
      <c r="D4979"/>
      <c r="E4979"/>
      <c r="F4979"/>
    </row>
    <row r="4980" spans="4:6" outlineLevel="1">
      <c r="D4980"/>
      <c r="E4980"/>
      <c r="F4980"/>
    </row>
    <row r="4981" spans="4:6" outlineLevel="1">
      <c r="D4981"/>
      <c r="E4981"/>
      <c r="F4981"/>
    </row>
    <row r="4982" spans="4:6" outlineLevel="1">
      <c r="D4982"/>
      <c r="E4982"/>
      <c r="F4982"/>
    </row>
    <row r="4983" spans="4:6" outlineLevel="1">
      <c r="D4983"/>
      <c r="E4983"/>
      <c r="F4983"/>
    </row>
    <row r="4984" spans="4:6" outlineLevel="1">
      <c r="D4984"/>
      <c r="E4984"/>
      <c r="F4984"/>
    </row>
    <row r="4985" spans="4:6" outlineLevel="1">
      <c r="D4985"/>
      <c r="E4985"/>
      <c r="F4985"/>
    </row>
    <row r="4986" spans="4:6" outlineLevel="1">
      <c r="D4986"/>
      <c r="E4986"/>
      <c r="F4986"/>
    </row>
    <row r="4987" spans="4:6" outlineLevel="1">
      <c r="D4987"/>
      <c r="E4987"/>
      <c r="F4987"/>
    </row>
    <row r="4988" spans="4:6" outlineLevel="1">
      <c r="D4988"/>
      <c r="E4988"/>
      <c r="F4988"/>
    </row>
    <row r="4989" spans="4:6" outlineLevel="1">
      <c r="D4989"/>
      <c r="E4989"/>
      <c r="F4989"/>
    </row>
    <row r="4990" spans="4:6" outlineLevel="1">
      <c r="D4990"/>
      <c r="E4990"/>
      <c r="F4990"/>
    </row>
    <row r="4991" spans="4:6" outlineLevel="1">
      <c r="D4991"/>
      <c r="E4991"/>
      <c r="F4991"/>
    </row>
    <row r="4992" spans="4:6" outlineLevel="1">
      <c r="D4992"/>
      <c r="E4992"/>
      <c r="F4992"/>
    </row>
    <row r="4993" spans="4:6" outlineLevel="1">
      <c r="D4993"/>
      <c r="E4993"/>
      <c r="F4993"/>
    </row>
    <row r="4994" spans="4:6" outlineLevel="1">
      <c r="D4994"/>
      <c r="E4994"/>
      <c r="F4994"/>
    </row>
    <row r="4995" spans="4:6" outlineLevel="1">
      <c r="D4995"/>
      <c r="E4995"/>
      <c r="F4995"/>
    </row>
    <row r="4996" spans="4:6" outlineLevel="1">
      <c r="D4996"/>
      <c r="E4996"/>
      <c r="F4996"/>
    </row>
    <row r="4997" spans="4:6" outlineLevel="1">
      <c r="D4997"/>
      <c r="E4997"/>
      <c r="F4997"/>
    </row>
    <row r="4998" spans="4:6" outlineLevel="1">
      <c r="D4998"/>
      <c r="E4998"/>
      <c r="F4998"/>
    </row>
    <row r="4999" spans="4:6" outlineLevel="1">
      <c r="D4999"/>
      <c r="E4999"/>
      <c r="F4999"/>
    </row>
    <row r="5000" spans="4:6" outlineLevel="1">
      <c r="D5000"/>
      <c r="E5000"/>
      <c r="F5000"/>
    </row>
    <row r="5001" spans="4:6" outlineLevel="1">
      <c r="D5001"/>
      <c r="E5001"/>
      <c r="F5001"/>
    </row>
    <row r="5002" spans="4:6" outlineLevel="1">
      <c r="D5002"/>
      <c r="E5002"/>
      <c r="F5002"/>
    </row>
    <row r="5003" spans="4:6" outlineLevel="1">
      <c r="D5003"/>
      <c r="E5003"/>
      <c r="F5003"/>
    </row>
    <row r="5004" spans="4:6" outlineLevel="1">
      <c r="D5004"/>
      <c r="E5004"/>
      <c r="F5004"/>
    </row>
    <row r="5005" spans="4:6" outlineLevel="1">
      <c r="D5005"/>
      <c r="E5005"/>
      <c r="F5005"/>
    </row>
    <row r="5006" spans="4:6" outlineLevel="1">
      <c r="D5006"/>
      <c r="E5006"/>
      <c r="F5006"/>
    </row>
    <row r="5007" spans="4:6" outlineLevel="1">
      <c r="D5007"/>
      <c r="E5007"/>
      <c r="F5007"/>
    </row>
    <row r="5008" spans="4:6" outlineLevel="1">
      <c r="D5008"/>
      <c r="E5008"/>
      <c r="F5008"/>
    </row>
    <row r="5009" spans="4:6" outlineLevel="1">
      <c r="D5009"/>
      <c r="E5009"/>
      <c r="F5009"/>
    </row>
    <row r="5010" spans="4:6" outlineLevel="1">
      <c r="D5010"/>
      <c r="E5010"/>
      <c r="F5010"/>
    </row>
    <row r="5011" spans="4:6" outlineLevel="1">
      <c r="D5011"/>
      <c r="E5011"/>
      <c r="F5011"/>
    </row>
    <row r="5012" spans="4:6" outlineLevel="1">
      <c r="D5012"/>
      <c r="E5012"/>
      <c r="F5012"/>
    </row>
    <row r="5013" spans="4:6" outlineLevel="1">
      <c r="D5013"/>
      <c r="E5013"/>
      <c r="F5013"/>
    </row>
    <row r="5014" spans="4:6" outlineLevel="1">
      <c r="D5014"/>
      <c r="E5014"/>
      <c r="F5014"/>
    </row>
    <row r="5015" spans="4:6" outlineLevel="1">
      <c r="D5015"/>
      <c r="E5015"/>
      <c r="F5015"/>
    </row>
    <row r="5016" spans="4:6" outlineLevel="1">
      <c r="D5016"/>
      <c r="E5016"/>
      <c r="F5016"/>
    </row>
    <row r="5017" spans="4:6" outlineLevel="1">
      <c r="D5017"/>
      <c r="E5017"/>
      <c r="F5017"/>
    </row>
    <row r="5018" spans="4:6" outlineLevel="1">
      <c r="D5018"/>
      <c r="E5018"/>
      <c r="F5018"/>
    </row>
    <row r="5019" spans="4:6" outlineLevel="1">
      <c r="D5019"/>
      <c r="E5019"/>
      <c r="F5019"/>
    </row>
    <row r="5020" spans="4:6" outlineLevel="1">
      <c r="D5020"/>
      <c r="E5020"/>
      <c r="F5020"/>
    </row>
    <row r="5021" spans="4:6" outlineLevel="1">
      <c r="D5021"/>
      <c r="E5021"/>
      <c r="F5021"/>
    </row>
    <row r="5022" spans="4:6" outlineLevel="1">
      <c r="D5022"/>
      <c r="E5022"/>
      <c r="F5022"/>
    </row>
    <row r="5023" spans="4:6" outlineLevel="1">
      <c r="D5023"/>
      <c r="E5023"/>
      <c r="F5023"/>
    </row>
    <row r="5024" spans="4:6" outlineLevel="1">
      <c r="D5024"/>
      <c r="E5024"/>
      <c r="F5024"/>
    </row>
    <row r="5025" spans="4:6" outlineLevel="1">
      <c r="D5025"/>
      <c r="E5025"/>
      <c r="F5025"/>
    </row>
    <row r="5026" spans="4:6" outlineLevel="1">
      <c r="D5026"/>
      <c r="E5026"/>
      <c r="F5026"/>
    </row>
    <row r="5027" spans="4:6" outlineLevel="1">
      <c r="D5027"/>
      <c r="E5027"/>
      <c r="F5027"/>
    </row>
    <row r="5028" spans="4:6" outlineLevel="1">
      <c r="D5028"/>
      <c r="E5028"/>
      <c r="F5028"/>
    </row>
    <row r="5029" spans="4:6" outlineLevel="1">
      <c r="D5029"/>
      <c r="E5029"/>
      <c r="F5029"/>
    </row>
    <row r="5030" spans="4:6" outlineLevel="1">
      <c r="D5030"/>
      <c r="E5030"/>
      <c r="F5030"/>
    </row>
    <row r="5031" spans="4:6" outlineLevel="1">
      <c r="D5031"/>
      <c r="E5031"/>
      <c r="F5031"/>
    </row>
    <row r="5032" spans="4:6" outlineLevel="1">
      <c r="D5032"/>
      <c r="E5032"/>
      <c r="F5032"/>
    </row>
    <row r="5033" spans="4:6" outlineLevel="1">
      <c r="D5033"/>
      <c r="E5033"/>
      <c r="F5033"/>
    </row>
    <row r="5034" spans="4:6" outlineLevel="1">
      <c r="D5034"/>
      <c r="E5034"/>
      <c r="F5034"/>
    </row>
    <row r="5035" spans="4:6" outlineLevel="1">
      <c r="D5035"/>
      <c r="E5035"/>
      <c r="F5035"/>
    </row>
    <row r="5036" spans="4:6" outlineLevel="1">
      <c r="D5036"/>
      <c r="E5036"/>
      <c r="F5036"/>
    </row>
    <row r="5037" spans="4:6" outlineLevel="1">
      <c r="D5037"/>
      <c r="E5037"/>
      <c r="F5037"/>
    </row>
    <row r="5038" spans="4:6" outlineLevel="1">
      <c r="D5038"/>
      <c r="E5038"/>
      <c r="F5038"/>
    </row>
    <row r="5039" spans="4:6" outlineLevel="1">
      <c r="D5039"/>
      <c r="E5039"/>
      <c r="F5039"/>
    </row>
    <row r="5040" spans="4:6" outlineLevel="1">
      <c r="D5040"/>
      <c r="E5040"/>
      <c r="F5040"/>
    </row>
    <row r="5041" spans="4:6" outlineLevel="1">
      <c r="D5041"/>
      <c r="E5041"/>
      <c r="F5041"/>
    </row>
    <row r="5042" spans="4:6" outlineLevel="1">
      <c r="D5042"/>
      <c r="E5042"/>
      <c r="F5042"/>
    </row>
    <row r="5043" spans="4:6" outlineLevel="1">
      <c r="D5043"/>
      <c r="E5043"/>
      <c r="F5043"/>
    </row>
    <row r="5044" spans="4:6" outlineLevel="1">
      <c r="D5044"/>
      <c r="E5044"/>
      <c r="F5044"/>
    </row>
    <row r="5045" spans="4:6" outlineLevel="1">
      <c r="D5045"/>
      <c r="E5045"/>
      <c r="F5045"/>
    </row>
    <row r="5046" spans="4:6" outlineLevel="1">
      <c r="D5046"/>
      <c r="E5046"/>
      <c r="F5046"/>
    </row>
    <row r="5047" spans="4:6" outlineLevel="1">
      <c r="D5047"/>
      <c r="E5047"/>
      <c r="F5047"/>
    </row>
    <row r="5048" spans="4:6" outlineLevel="1">
      <c r="D5048"/>
      <c r="E5048"/>
      <c r="F5048"/>
    </row>
    <row r="5049" spans="4:6" outlineLevel="1">
      <c r="D5049"/>
      <c r="E5049"/>
      <c r="F5049"/>
    </row>
    <row r="5050" spans="4:6" outlineLevel="1">
      <c r="D5050"/>
      <c r="E5050"/>
      <c r="F5050"/>
    </row>
    <row r="5051" spans="4:6" outlineLevel="1">
      <c r="D5051"/>
      <c r="E5051"/>
      <c r="F5051"/>
    </row>
    <row r="5052" spans="4:6" outlineLevel="1">
      <c r="D5052"/>
      <c r="E5052"/>
      <c r="F5052"/>
    </row>
    <row r="5053" spans="4:6" outlineLevel="1">
      <c r="D5053"/>
      <c r="E5053"/>
      <c r="F5053"/>
    </row>
    <row r="5054" spans="4:6" outlineLevel="1">
      <c r="D5054"/>
      <c r="E5054"/>
      <c r="F5054"/>
    </row>
    <row r="5055" spans="4:6" outlineLevel="1">
      <c r="D5055"/>
      <c r="E5055"/>
      <c r="F5055"/>
    </row>
    <row r="5056" spans="4:6" outlineLevel="1">
      <c r="D5056"/>
      <c r="E5056"/>
      <c r="F5056"/>
    </row>
    <row r="5057" spans="4:6" outlineLevel="1">
      <c r="D5057"/>
      <c r="E5057"/>
      <c r="F5057"/>
    </row>
    <row r="5058" spans="4:6" outlineLevel="1">
      <c r="D5058"/>
      <c r="E5058"/>
      <c r="F5058"/>
    </row>
    <row r="5059" spans="4:6" outlineLevel="1">
      <c r="D5059"/>
      <c r="E5059"/>
      <c r="F5059"/>
    </row>
    <row r="5060" spans="4:6" outlineLevel="1">
      <c r="D5060"/>
      <c r="E5060"/>
      <c r="F5060"/>
    </row>
    <row r="5061" spans="4:6" outlineLevel="1">
      <c r="D5061"/>
      <c r="E5061"/>
      <c r="F5061"/>
    </row>
    <row r="5062" spans="4:6" outlineLevel="1">
      <c r="D5062"/>
      <c r="E5062"/>
      <c r="F5062"/>
    </row>
    <row r="5063" spans="4:6" outlineLevel="1">
      <c r="D5063"/>
      <c r="E5063"/>
      <c r="F5063"/>
    </row>
    <row r="5064" spans="4:6" outlineLevel="1">
      <c r="D5064"/>
      <c r="E5064"/>
      <c r="F5064"/>
    </row>
    <row r="5065" spans="4:6" outlineLevel="1">
      <c r="D5065"/>
      <c r="E5065"/>
      <c r="F5065"/>
    </row>
    <row r="5066" spans="4:6" outlineLevel="1">
      <c r="D5066"/>
      <c r="E5066"/>
      <c r="F5066"/>
    </row>
    <row r="5067" spans="4:6" outlineLevel="1">
      <c r="D5067"/>
      <c r="E5067"/>
      <c r="F5067"/>
    </row>
    <row r="5068" spans="4:6" outlineLevel="1">
      <c r="D5068"/>
      <c r="E5068"/>
      <c r="F5068"/>
    </row>
    <row r="5069" spans="4:6" outlineLevel="1">
      <c r="D5069"/>
      <c r="E5069"/>
      <c r="F5069"/>
    </row>
    <row r="5070" spans="4:6" outlineLevel="1">
      <c r="D5070"/>
      <c r="E5070"/>
      <c r="F5070"/>
    </row>
    <row r="5071" spans="4:6" outlineLevel="1">
      <c r="D5071"/>
      <c r="E5071"/>
      <c r="F5071"/>
    </row>
    <row r="5072" spans="4:6" outlineLevel="1">
      <c r="D5072"/>
      <c r="E5072"/>
      <c r="F5072"/>
    </row>
    <row r="5073" spans="4:6" outlineLevel="1">
      <c r="D5073"/>
      <c r="E5073"/>
      <c r="F5073"/>
    </row>
    <row r="5074" spans="4:6" outlineLevel="1">
      <c r="D5074"/>
      <c r="E5074"/>
      <c r="F5074"/>
    </row>
    <row r="5075" spans="4:6" outlineLevel="1">
      <c r="D5075"/>
      <c r="E5075"/>
      <c r="F5075"/>
    </row>
    <row r="5076" spans="4:6" outlineLevel="1">
      <c r="D5076"/>
      <c r="E5076"/>
      <c r="F5076"/>
    </row>
    <row r="5077" spans="4:6" outlineLevel="1">
      <c r="D5077"/>
      <c r="E5077"/>
      <c r="F5077"/>
    </row>
    <row r="5078" spans="4:6" outlineLevel="1">
      <c r="D5078"/>
      <c r="E5078"/>
      <c r="F5078"/>
    </row>
    <row r="5079" spans="4:6" outlineLevel="1">
      <c r="D5079"/>
      <c r="E5079"/>
      <c r="F5079"/>
    </row>
    <row r="5080" spans="4:6" outlineLevel="1">
      <c r="D5080"/>
      <c r="E5080"/>
      <c r="F5080"/>
    </row>
    <row r="5081" spans="4:6" outlineLevel="1">
      <c r="D5081"/>
      <c r="E5081"/>
      <c r="F5081"/>
    </row>
    <row r="5082" spans="4:6" outlineLevel="1">
      <c r="D5082"/>
      <c r="E5082"/>
      <c r="F5082"/>
    </row>
    <row r="5083" spans="4:6" outlineLevel="1">
      <c r="D5083"/>
      <c r="E5083"/>
      <c r="F5083"/>
    </row>
    <row r="5084" spans="4:6" outlineLevel="1">
      <c r="D5084"/>
      <c r="E5084"/>
      <c r="F5084"/>
    </row>
    <row r="5085" spans="4:6" outlineLevel="1">
      <c r="D5085"/>
      <c r="E5085"/>
      <c r="F5085"/>
    </row>
    <row r="5086" spans="4:6" outlineLevel="1">
      <c r="D5086"/>
      <c r="E5086"/>
      <c r="F5086"/>
    </row>
    <row r="5087" spans="4:6" outlineLevel="1">
      <c r="D5087"/>
      <c r="E5087"/>
      <c r="F5087"/>
    </row>
    <row r="5088" spans="4:6" outlineLevel="1">
      <c r="D5088"/>
      <c r="E5088"/>
      <c r="F5088"/>
    </row>
    <row r="5089" spans="4:6">
      <c r="D5089"/>
      <c r="E5089"/>
      <c r="F5089"/>
    </row>
    <row r="5090" spans="4:6" outlineLevel="1">
      <c r="D5090"/>
      <c r="E5090"/>
      <c r="F5090"/>
    </row>
    <row r="5091" spans="4:6" outlineLevel="1">
      <c r="D5091"/>
      <c r="E5091"/>
      <c r="F5091"/>
    </row>
    <row r="5092" spans="4:6" outlineLevel="1">
      <c r="D5092"/>
      <c r="E5092"/>
      <c r="F5092"/>
    </row>
    <row r="5093" spans="4:6" outlineLevel="1">
      <c r="D5093"/>
      <c r="E5093"/>
      <c r="F5093"/>
    </row>
    <row r="5094" spans="4:6" outlineLevel="1">
      <c r="D5094"/>
      <c r="E5094"/>
      <c r="F5094"/>
    </row>
    <row r="5095" spans="4:6" outlineLevel="1">
      <c r="D5095"/>
      <c r="E5095"/>
      <c r="F5095"/>
    </row>
    <row r="5096" spans="4:6" outlineLevel="1">
      <c r="D5096"/>
      <c r="E5096"/>
      <c r="F5096"/>
    </row>
    <row r="5097" spans="4:6" outlineLevel="1">
      <c r="D5097"/>
      <c r="E5097"/>
      <c r="F5097"/>
    </row>
    <row r="5098" spans="4:6" outlineLevel="1">
      <c r="D5098"/>
      <c r="E5098"/>
      <c r="F5098"/>
    </row>
    <row r="5099" spans="4:6" outlineLevel="1">
      <c r="D5099"/>
      <c r="E5099"/>
      <c r="F5099"/>
    </row>
    <row r="5100" spans="4:6" outlineLevel="1">
      <c r="D5100"/>
      <c r="E5100"/>
      <c r="F5100"/>
    </row>
    <row r="5101" spans="4:6" outlineLevel="1">
      <c r="D5101"/>
      <c r="E5101"/>
      <c r="F5101"/>
    </row>
    <row r="5102" spans="4:6" outlineLevel="1">
      <c r="D5102"/>
      <c r="E5102"/>
      <c r="F5102"/>
    </row>
    <row r="5103" spans="4:6" outlineLevel="1">
      <c r="D5103"/>
      <c r="E5103"/>
      <c r="F5103"/>
    </row>
    <row r="5104" spans="4:6" outlineLevel="1">
      <c r="D5104"/>
      <c r="E5104"/>
      <c r="F5104"/>
    </row>
    <row r="5105" spans="4:6" outlineLevel="1">
      <c r="D5105"/>
      <c r="E5105"/>
      <c r="F5105"/>
    </row>
    <row r="5106" spans="4:6" outlineLevel="1">
      <c r="D5106"/>
      <c r="E5106"/>
      <c r="F5106"/>
    </row>
    <row r="5107" spans="4:6" outlineLevel="1">
      <c r="D5107"/>
      <c r="E5107"/>
      <c r="F5107"/>
    </row>
    <row r="5108" spans="4:6" outlineLevel="1">
      <c r="D5108"/>
      <c r="E5108"/>
      <c r="F5108"/>
    </row>
    <row r="5109" spans="4:6" outlineLevel="1">
      <c r="D5109"/>
      <c r="E5109"/>
      <c r="F5109"/>
    </row>
    <row r="5110" spans="4:6" outlineLevel="1">
      <c r="D5110"/>
      <c r="E5110"/>
      <c r="F5110"/>
    </row>
    <row r="5111" spans="4:6" outlineLevel="1">
      <c r="D5111"/>
      <c r="E5111"/>
      <c r="F5111"/>
    </row>
    <row r="5112" spans="4:6" outlineLevel="1">
      <c r="D5112"/>
      <c r="E5112"/>
      <c r="F5112"/>
    </row>
    <row r="5113" spans="4:6" outlineLevel="1">
      <c r="D5113"/>
      <c r="E5113"/>
      <c r="F5113"/>
    </row>
    <row r="5114" spans="4:6" outlineLevel="1">
      <c r="D5114"/>
      <c r="E5114"/>
      <c r="F5114"/>
    </row>
    <row r="5115" spans="4:6" outlineLevel="1">
      <c r="D5115"/>
      <c r="E5115"/>
      <c r="F5115"/>
    </row>
    <row r="5116" spans="4:6" outlineLevel="1">
      <c r="D5116"/>
      <c r="E5116"/>
      <c r="F5116"/>
    </row>
    <row r="5117" spans="4:6" outlineLevel="1">
      <c r="D5117"/>
      <c r="E5117"/>
      <c r="F5117"/>
    </row>
    <row r="5118" spans="4:6" outlineLevel="1">
      <c r="D5118"/>
      <c r="E5118"/>
      <c r="F5118"/>
    </row>
    <row r="5119" spans="4:6" outlineLevel="1">
      <c r="D5119"/>
      <c r="E5119"/>
      <c r="F5119"/>
    </row>
    <row r="5120" spans="4:6" outlineLevel="1">
      <c r="D5120"/>
      <c r="E5120"/>
      <c r="F5120"/>
    </row>
    <row r="5121" spans="4:6" outlineLevel="1">
      <c r="D5121"/>
      <c r="E5121"/>
      <c r="F5121"/>
    </row>
    <row r="5122" spans="4:6" outlineLevel="1">
      <c r="D5122"/>
      <c r="E5122"/>
      <c r="F5122"/>
    </row>
    <row r="5123" spans="4:6" outlineLevel="1">
      <c r="D5123"/>
      <c r="E5123"/>
      <c r="F5123"/>
    </row>
    <row r="5124" spans="4:6" outlineLevel="1">
      <c r="D5124"/>
      <c r="E5124"/>
      <c r="F5124"/>
    </row>
    <row r="5125" spans="4:6" outlineLevel="1">
      <c r="D5125"/>
      <c r="E5125"/>
      <c r="F5125"/>
    </row>
    <row r="5126" spans="4:6" outlineLevel="1">
      <c r="D5126"/>
      <c r="E5126"/>
      <c r="F5126"/>
    </row>
    <row r="5127" spans="4:6" outlineLevel="1">
      <c r="D5127"/>
      <c r="E5127"/>
      <c r="F5127"/>
    </row>
    <row r="5128" spans="4:6" outlineLevel="1">
      <c r="D5128"/>
      <c r="E5128"/>
      <c r="F5128"/>
    </row>
    <row r="5129" spans="4:6" outlineLevel="1">
      <c r="D5129"/>
      <c r="E5129"/>
      <c r="F5129"/>
    </row>
    <row r="5130" spans="4:6" outlineLevel="1">
      <c r="D5130"/>
      <c r="E5130"/>
      <c r="F5130"/>
    </row>
    <row r="5131" spans="4:6" outlineLevel="1">
      <c r="D5131"/>
      <c r="E5131"/>
      <c r="F5131"/>
    </row>
    <row r="5132" spans="4:6" outlineLevel="1">
      <c r="D5132"/>
      <c r="E5132"/>
      <c r="F5132"/>
    </row>
    <row r="5133" spans="4:6" outlineLevel="1">
      <c r="D5133"/>
      <c r="E5133"/>
      <c r="F5133"/>
    </row>
    <row r="5134" spans="4:6" outlineLevel="1">
      <c r="D5134"/>
      <c r="E5134"/>
      <c r="F5134"/>
    </row>
    <row r="5135" spans="4:6" outlineLevel="1">
      <c r="D5135"/>
      <c r="E5135"/>
      <c r="F5135"/>
    </row>
    <row r="5136" spans="4:6" outlineLevel="1">
      <c r="D5136"/>
      <c r="E5136"/>
      <c r="F5136"/>
    </row>
    <row r="5137" spans="4:6" outlineLevel="1">
      <c r="D5137"/>
      <c r="E5137"/>
      <c r="F5137"/>
    </row>
    <row r="5138" spans="4:6" outlineLevel="1">
      <c r="D5138"/>
      <c r="E5138"/>
      <c r="F5138"/>
    </row>
    <row r="5139" spans="4:6" outlineLevel="1">
      <c r="D5139"/>
      <c r="E5139"/>
      <c r="F5139"/>
    </row>
    <row r="5140" spans="4:6" outlineLevel="1">
      <c r="D5140"/>
      <c r="E5140"/>
      <c r="F5140"/>
    </row>
    <row r="5141" spans="4:6" outlineLevel="1">
      <c r="D5141"/>
      <c r="E5141"/>
      <c r="F5141"/>
    </row>
    <row r="5142" spans="4:6" outlineLevel="1">
      <c r="D5142"/>
      <c r="E5142"/>
      <c r="F5142"/>
    </row>
    <row r="5143" spans="4:6" outlineLevel="1">
      <c r="D5143"/>
      <c r="E5143"/>
      <c r="F5143"/>
    </row>
    <row r="5144" spans="4:6" outlineLevel="1">
      <c r="D5144"/>
      <c r="E5144"/>
      <c r="F5144"/>
    </row>
    <row r="5145" spans="4:6" outlineLevel="1">
      <c r="D5145"/>
      <c r="E5145"/>
      <c r="F5145"/>
    </row>
    <row r="5146" spans="4:6" outlineLevel="1">
      <c r="D5146"/>
      <c r="E5146"/>
      <c r="F5146"/>
    </row>
    <row r="5147" spans="4:6" outlineLevel="1">
      <c r="D5147"/>
      <c r="E5147"/>
      <c r="F5147"/>
    </row>
    <row r="5148" spans="4:6" outlineLevel="1">
      <c r="D5148"/>
      <c r="E5148"/>
      <c r="F5148"/>
    </row>
    <row r="5149" spans="4:6" outlineLevel="1">
      <c r="D5149"/>
      <c r="E5149"/>
      <c r="F5149"/>
    </row>
    <row r="5150" spans="4:6" outlineLevel="1">
      <c r="D5150"/>
      <c r="E5150"/>
      <c r="F5150"/>
    </row>
    <row r="5151" spans="4:6" outlineLevel="1">
      <c r="D5151"/>
      <c r="E5151"/>
      <c r="F5151"/>
    </row>
    <row r="5152" spans="4:6" outlineLevel="1">
      <c r="D5152"/>
      <c r="E5152"/>
      <c r="F5152"/>
    </row>
    <row r="5153" spans="4:6" outlineLevel="1">
      <c r="D5153"/>
      <c r="E5153"/>
      <c r="F5153"/>
    </row>
    <row r="5154" spans="4:6" outlineLevel="1">
      <c r="D5154"/>
      <c r="E5154"/>
      <c r="F5154"/>
    </row>
    <row r="5155" spans="4:6" outlineLevel="1">
      <c r="D5155"/>
      <c r="E5155"/>
      <c r="F5155"/>
    </row>
    <row r="5156" spans="4:6" outlineLevel="1">
      <c r="D5156"/>
      <c r="E5156"/>
      <c r="F5156"/>
    </row>
    <row r="5157" spans="4:6" outlineLevel="1">
      <c r="D5157"/>
      <c r="E5157"/>
      <c r="F5157"/>
    </row>
    <row r="5158" spans="4:6" outlineLevel="1">
      <c r="D5158"/>
      <c r="E5158"/>
      <c r="F5158"/>
    </row>
    <row r="5159" spans="4:6" outlineLevel="1">
      <c r="D5159"/>
      <c r="E5159"/>
      <c r="F5159"/>
    </row>
    <row r="5160" spans="4:6" outlineLevel="1">
      <c r="D5160"/>
      <c r="E5160"/>
      <c r="F5160"/>
    </row>
    <row r="5161" spans="4:6" outlineLevel="1">
      <c r="D5161"/>
      <c r="E5161"/>
      <c r="F5161"/>
    </row>
    <row r="5162" spans="4:6" outlineLevel="1">
      <c r="D5162"/>
      <c r="E5162"/>
      <c r="F5162"/>
    </row>
    <row r="5163" spans="4:6" outlineLevel="1">
      <c r="D5163"/>
      <c r="E5163"/>
      <c r="F5163"/>
    </row>
    <row r="5164" spans="4:6" outlineLevel="1">
      <c r="D5164"/>
      <c r="E5164"/>
      <c r="F5164"/>
    </row>
    <row r="5165" spans="4:6" outlineLevel="1">
      <c r="D5165"/>
      <c r="E5165"/>
      <c r="F5165"/>
    </row>
    <row r="5166" spans="4:6" outlineLevel="1">
      <c r="D5166"/>
      <c r="E5166"/>
      <c r="F5166"/>
    </row>
    <row r="5167" spans="4:6" outlineLevel="1">
      <c r="D5167"/>
      <c r="E5167"/>
      <c r="F5167"/>
    </row>
    <row r="5168" spans="4:6" outlineLevel="1">
      <c r="D5168"/>
      <c r="E5168"/>
      <c r="F5168"/>
    </row>
    <row r="5169" spans="4:6" outlineLevel="1">
      <c r="D5169"/>
      <c r="E5169"/>
      <c r="F5169"/>
    </row>
    <row r="5170" spans="4:6" outlineLevel="1">
      <c r="D5170"/>
      <c r="E5170"/>
      <c r="F5170"/>
    </row>
    <row r="5171" spans="4:6" outlineLevel="1">
      <c r="D5171"/>
      <c r="E5171"/>
      <c r="F5171"/>
    </row>
    <row r="5172" spans="4:6" outlineLevel="1">
      <c r="D5172"/>
      <c r="E5172"/>
      <c r="F5172"/>
    </row>
    <row r="5173" spans="4:6" outlineLevel="1">
      <c r="D5173"/>
      <c r="E5173"/>
      <c r="F5173"/>
    </row>
    <row r="5174" spans="4:6" outlineLevel="1">
      <c r="D5174"/>
      <c r="E5174"/>
      <c r="F5174"/>
    </row>
    <row r="5175" spans="4:6" outlineLevel="1">
      <c r="D5175"/>
      <c r="E5175"/>
      <c r="F5175"/>
    </row>
    <row r="5176" spans="4:6" outlineLevel="1">
      <c r="D5176"/>
      <c r="E5176"/>
      <c r="F5176"/>
    </row>
    <row r="5177" spans="4:6" outlineLevel="1">
      <c r="D5177"/>
      <c r="E5177"/>
      <c r="F5177"/>
    </row>
    <row r="5178" spans="4:6" outlineLevel="1">
      <c r="D5178"/>
      <c r="E5178"/>
      <c r="F5178"/>
    </row>
    <row r="5179" spans="4:6" outlineLevel="1">
      <c r="D5179"/>
      <c r="E5179"/>
      <c r="F5179"/>
    </row>
    <row r="5180" spans="4:6" outlineLevel="1">
      <c r="D5180"/>
      <c r="E5180"/>
      <c r="F5180"/>
    </row>
    <row r="5181" spans="4:6" outlineLevel="1">
      <c r="D5181"/>
      <c r="E5181"/>
      <c r="F5181"/>
    </row>
    <row r="5182" spans="4:6" outlineLevel="1">
      <c r="D5182"/>
      <c r="E5182"/>
      <c r="F5182"/>
    </row>
    <row r="5183" spans="4:6" outlineLevel="1">
      <c r="D5183"/>
      <c r="E5183"/>
      <c r="F5183"/>
    </row>
    <row r="5184" spans="4:6" outlineLevel="1">
      <c r="D5184"/>
      <c r="E5184"/>
      <c r="F5184"/>
    </row>
    <row r="5185" spans="4:6" outlineLevel="1">
      <c r="D5185"/>
      <c r="E5185"/>
      <c r="F5185"/>
    </row>
    <row r="5186" spans="4:6" outlineLevel="1">
      <c r="D5186"/>
      <c r="E5186"/>
      <c r="F5186"/>
    </row>
    <row r="5187" spans="4:6" outlineLevel="1">
      <c r="D5187"/>
      <c r="E5187"/>
      <c r="F5187"/>
    </row>
    <row r="5188" spans="4:6" outlineLevel="1">
      <c r="D5188"/>
      <c r="E5188"/>
      <c r="F5188"/>
    </row>
    <row r="5189" spans="4:6" outlineLevel="1">
      <c r="D5189"/>
      <c r="E5189"/>
      <c r="F5189"/>
    </row>
    <row r="5190" spans="4:6" outlineLevel="1">
      <c r="D5190"/>
      <c r="E5190"/>
      <c r="F5190"/>
    </row>
    <row r="5191" spans="4:6" outlineLevel="1">
      <c r="D5191"/>
      <c r="E5191"/>
      <c r="F5191"/>
    </row>
    <row r="5192" spans="4:6" outlineLevel="1">
      <c r="D5192"/>
      <c r="E5192"/>
      <c r="F5192"/>
    </row>
    <row r="5193" spans="4:6" outlineLevel="1">
      <c r="D5193"/>
      <c r="E5193"/>
      <c r="F5193"/>
    </row>
    <row r="5194" spans="4:6" outlineLevel="1">
      <c r="D5194"/>
      <c r="E5194"/>
      <c r="F5194"/>
    </row>
    <row r="5195" spans="4:6" outlineLevel="1">
      <c r="D5195"/>
      <c r="E5195"/>
      <c r="F5195"/>
    </row>
    <row r="5196" spans="4:6" outlineLevel="1">
      <c r="D5196"/>
      <c r="E5196"/>
      <c r="F5196"/>
    </row>
    <row r="5197" spans="4:6" outlineLevel="1">
      <c r="D5197"/>
      <c r="E5197"/>
      <c r="F5197"/>
    </row>
    <row r="5198" spans="4:6" outlineLevel="1">
      <c r="D5198"/>
      <c r="E5198"/>
      <c r="F5198"/>
    </row>
    <row r="5199" spans="4:6" outlineLevel="1">
      <c r="D5199"/>
      <c r="E5199"/>
      <c r="F5199"/>
    </row>
    <row r="5200" spans="4:6" outlineLevel="1">
      <c r="D5200"/>
      <c r="E5200"/>
      <c r="F5200"/>
    </row>
    <row r="5201" spans="4:6" outlineLevel="1">
      <c r="D5201"/>
      <c r="E5201"/>
      <c r="F5201"/>
    </row>
    <row r="5202" spans="4:6" outlineLevel="1">
      <c r="D5202"/>
      <c r="E5202"/>
      <c r="F5202"/>
    </row>
    <row r="5203" spans="4:6" outlineLevel="1">
      <c r="D5203"/>
      <c r="E5203"/>
      <c r="F5203"/>
    </row>
    <row r="5204" spans="4:6" outlineLevel="1">
      <c r="D5204"/>
      <c r="E5204"/>
      <c r="F5204"/>
    </row>
    <row r="5205" spans="4:6" outlineLevel="1">
      <c r="D5205"/>
      <c r="E5205"/>
      <c r="F5205"/>
    </row>
    <row r="5206" spans="4:6">
      <c r="D5206"/>
      <c r="E5206"/>
      <c r="F5206"/>
    </row>
    <row r="5207" spans="4:6" outlineLevel="1">
      <c r="D5207"/>
      <c r="E5207"/>
      <c r="F5207"/>
    </row>
    <row r="5208" spans="4:6" outlineLevel="1">
      <c r="D5208"/>
      <c r="E5208"/>
      <c r="F5208"/>
    </row>
    <row r="5209" spans="4:6" outlineLevel="1">
      <c r="D5209"/>
      <c r="E5209"/>
      <c r="F5209"/>
    </row>
    <row r="5210" spans="4:6" outlineLevel="1">
      <c r="D5210"/>
      <c r="E5210"/>
      <c r="F5210"/>
    </row>
    <row r="5211" spans="4:6" outlineLevel="1">
      <c r="D5211"/>
      <c r="E5211"/>
      <c r="F5211"/>
    </row>
    <row r="5212" spans="4:6" outlineLevel="1">
      <c r="D5212"/>
      <c r="E5212"/>
      <c r="F5212"/>
    </row>
    <row r="5213" spans="4:6" outlineLevel="1">
      <c r="D5213"/>
      <c r="E5213"/>
      <c r="F5213"/>
    </row>
    <row r="5214" spans="4:6" outlineLevel="1">
      <c r="D5214"/>
      <c r="E5214"/>
      <c r="F5214"/>
    </row>
    <row r="5215" spans="4:6" outlineLevel="1">
      <c r="D5215"/>
      <c r="E5215"/>
      <c r="F5215"/>
    </row>
    <row r="5216" spans="4:6" outlineLevel="1">
      <c r="D5216"/>
      <c r="E5216"/>
      <c r="F5216"/>
    </row>
    <row r="5217" spans="4:6" outlineLevel="1">
      <c r="D5217"/>
      <c r="E5217"/>
      <c r="F5217"/>
    </row>
    <row r="5218" spans="4:6" outlineLevel="1">
      <c r="D5218"/>
      <c r="E5218"/>
      <c r="F5218"/>
    </row>
    <row r="5219" spans="4:6" outlineLevel="1">
      <c r="D5219"/>
      <c r="E5219"/>
      <c r="F5219"/>
    </row>
    <row r="5220" spans="4:6" outlineLevel="1">
      <c r="D5220"/>
      <c r="E5220"/>
      <c r="F5220"/>
    </row>
    <row r="5221" spans="4:6" outlineLevel="1">
      <c r="D5221"/>
      <c r="E5221"/>
      <c r="F5221"/>
    </row>
    <row r="5222" spans="4:6" outlineLevel="1">
      <c r="D5222"/>
      <c r="E5222"/>
      <c r="F5222"/>
    </row>
    <row r="5223" spans="4:6" outlineLevel="1">
      <c r="D5223"/>
      <c r="E5223"/>
      <c r="F5223"/>
    </row>
    <row r="5224" spans="4:6" outlineLevel="1">
      <c r="D5224"/>
      <c r="E5224"/>
      <c r="F5224"/>
    </row>
    <row r="5225" spans="4:6" outlineLevel="1">
      <c r="D5225"/>
      <c r="E5225"/>
      <c r="F5225"/>
    </row>
    <row r="5226" spans="4:6" outlineLevel="1">
      <c r="D5226"/>
      <c r="E5226"/>
      <c r="F5226"/>
    </row>
    <row r="5227" spans="4:6" outlineLevel="1">
      <c r="D5227"/>
      <c r="E5227"/>
      <c r="F5227"/>
    </row>
    <row r="5228" spans="4:6" outlineLevel="1">
      <c r="D5228"/>
      <c r="E5228"/>
      <c r="F5228"/>
    </row>
    <row r="5229" spans="4:6" outlineLevel="1">
      <c r="D5229"/>
      <c r="E5229"/>
      <c r="F5229"/>
    </row>
    <row r="5230" spans="4:6" outlineLevel="1">
      <c r="D5230"/>
      <c r="E5230"/>
      <c r="F5230"/>
    </row>
    <row r="5231" spans="4:6" outlineLevel="1">
      <c r="D5231"/>
      <c r="E5231"/>
      <c r="F5231"/>
    </row>
    <row r="5232" spans="4:6" outlineLevel="1">
      <c r="D5232"/>
      <c r="E5232"/>
      <c r="F5232"/>
    </row>
    <row r="5233" spans="4:6" outlineLevel="1">
      <c r="D5233"/>
      <c r="E5233"/>
      <c r="F5233"/>
    </row>
    <row r="5234" spans="4:6" outlineLevel="1">
      <c r="D5234"/>
      <c r="E5234"/>
      <c r="F5234"/>
    </row>
    <row r="5235" spans="4:6" outlineLevel="1">
      <c r="D5235"/>
      <c r="E5235"/>
      <c r="F5235"/>
    </row>
    <row r="5236" spans="4:6" outlineLevel="1">
      <c r="D5236"/>
      <c r="E5236"/>
      <c r="F5236"/>
    </row>
    <row r="5237" spans="4:6" outlineLevel="1">
      <c r="D5237"/>
      <c r="E5237"/>
      <c r="F5237"/>
    </row>
    <row r="5238" spans="4:6" outlineLevel="1">
      <c r="D5238"/>
      <c r="E5238"/>
      <c r="F5238"/>
    </row>
    <row r="5239" spans="4:6" outlineLevel="1">
      <c r="D5239"/>
      <c r="E5239"/>
      <c r="F5239"/>
    </row>
    <row r="5240" spans="4:6" outlineLevel="1">
      <c r="D5240"/>
      <c r="E5240"/>
      <c r="F5240"/>
    </row>
    <row r="5241" spans="4:6" outlineLevel="1">
      <c r="D5241"/>
      <c r="E5241"/>
      <c r="F5241"/>
    </row>
    <row r="5242" spans="4:6" outlineLevel="1">
      <c r="D5242"/>
      <c r="E5242"/>
      <c r="F5242"/>
    </row>
    <row r="5243" spans="4:6" outlineLevel="1">
      <c r="D5243"/>
      <c r="E5243"/>
      <c r="F5243"/>
    </row>
    <row r="5244" spans="4:6" outlineLevel="1">
      <c r="D5244"/>
      <c r="E5244"/>
      <c r="F5244"/>
    </row>
    <row r="5245" spans="4:6" outlineLevel="1">
      <c r="D5245"/>
      <c r="E5245"/>
      <c r="F5245"/>
    </row>
    <row r="5246" spans="4:6" outlineLevel="1">
      <c r="D5246"/>
      <c r="E5246"/>
      <c r="F5246"/>
    </row>
    <row r="5247" spans="4:6" outlineLevel="1">
      <c r="D5247"/>
      <c r="E5247"/>
      <c r="F5247"/>
    </row>
    <row r="5248" spans="4:6" outlineLevel="1">
      <c r="D5248"/>
      <c r="E5248"/>
      <c r="F5248"/>
    </row>
    <row r="5249" spans="4:6" outlineLevel="1">
      <c r="D5249"/>
      <c r="E5249"/>
      <c r="F5249"/>
    </row>
    <row r="5250" spans="4:6" outlineLevel="1">
      <c r="D5250"/>
      <c r="E5250"/>
      <c r="F5250"/>
    </row>
    <row r="5251" spans="4:6" outlineLevel="1">
      <c r="D5251"/>
      <c r="E5251"/>
      <c r="F5251"/>
    </row>
    <row r="5252" spans="4:6">
      <c r="D5252"/>
      <c r="E5252"/>
      <c r="F5252"/>
    </row>
    <row r="5253" spans="4:6" outlineLevel="1">
      <c r="D5253"/>
      <c r="E5253"/>
      <c r="F5253"/>
    </row>
    <row r="5254" spans="4:6" outlineLevel="1">
      <c r="D5254"/>
      <c r="E5254"/>
      <c r="F5254"/>
    </row>
    <row r="5255" spans="4:6" outlineLevel="1">
      <c r="D5255"/>
      <c r="E5255"/>
      <c r="F5255"/>
    </row>
    <row r="5256" spans="4:6" outlineLevel="1">
      <c r="D5256"/>
      <c r="E5256"/>
      <c r="F5256"/>
    </row>
    <row r="5257" spans="4:6" outlineLevel="1">
      <c r="D5257"/>
      <c r="E5257"/>
      <c r="F5257"/>
    </row>
    <row r="5258" spans="4:6" outlineLevel="1">
      <c r="D5258"/>
      <c r="E5258"/>
      <c r="F5258"/>
    </row>
    <row r="5259" spans="4:6" outlineLevel="1">
      <c r="D5259"/>
      <c r="E5259"/>
      <c r="F5259"/>
    </row>
    <row r="5260" spans="4:6" outlineLevel="1">
      <c r="D5260"/>
      <c r="E5260"/>
      <c r="F5260"/>
    </row>
    <row r="5261" spans="4:6" outlineLevel="1">
      <c r="D5261"/>
      <c r="E5261"/>
      <c r="F5261"/>
    </row>
    <row r="5262" spans="4:6" outlineLevel="1">
      <c r="D5262"/>
      <c r="E5262"/>
      <c r="F5262"/>
    </row>
    <row r="5263" spans="4:6" outlineLevel="1">
      <c r="D5263"/>
      <c r="E5263"/>
      <c r="F5263"/>
    </row>
    <row r="5264" spans="4:6" outlineLevel="1">
      <c r="D5264"/>
      <c r="E5264"/>
      <c r="F5264"/>
    </row>
    <row r="5265" spans="4:6" outlineLevel="1">
      <c r="D5265"/>
      <c r="E5265"/>
      <c r="F5265"/>
    </row>
    <row r="5266" spans="4:6" outlineLevel="1">
      <c r="D5266"/>
      <c r="E5266"/>
      <c r="F5266"/>
    </row>
    <row r="5267" spans="4:6" outlineLevel="1">
      <c r="D5267"/>
      <c r="E5267"/>
      <c r="F5267"/>
    </row>
    <row r="5268" spans="4:6" outlineLevel="1">
      <c r="D5268"/>
      <c r="E5268"/>
      <c r="F5268"/>
    </row>
    <row r="5269" spans="4:6" outlineLevel="1">
      <c r="D5269"/>
      <c r="E5269"/>
      <c r="F5269"/>
    </row>
    <row r="5270" spans="4:6" outlineLevel="1">
      <c r="D5270"/>
      <c r="E5270"/>
      <c r="F5270"/>
    </row>
    <row r="5271" spans="4:6" outlineLevel="1">
      <c r="D5271"/>
      <c r="E5271"/>
      <c r="F5271"/>
    </row>
    <row r="5272" spans="4:6" outlineLevel="1">
      <c r="D5272"/>
      <c r="E5272"/>
      <c r="F5272"/>
    </row>
    <row r="5273" spans="4:6" outlineLevel="1">
      <c r="D5273"/>
      <c r="E5273"/>
      <c r="F5273"/>
    </row>
    <row r="5274" spans="4:6" outlineLevel="1">
      <c r="D5274"/>
      <c r="E5274"/>
      <c r="F5274"/>
    </row>
    <row r="5275" spans="4:6" outlineLevel="1">
      <c r="D5275"/>
      <c r="E5275"/>
      <c r="F5275"/>
    </row>
    <row r="5276" spans="4:6" outlineLevel="1">
      <c r="D5276"/>
      <c r="E5276"/>
      <c r="F5276"/>
    </row>
    <row r="5277" spans="4:6" outlineLevel="1">
      <c r="D5277"/>
      <c r="E5277"/>
      <c r="F5277"/>
    </row>
    <row r="5278" spans="4:6">
      <c r="D5278"/>
      <c r="E5278"/>
      <c r="F5278"/>
    </row>
    <row r="5279" spans="4:6" outlineLevel="1">
      <c r="D5279"/>
      <c r="E5279"/>
      <c r="F5279"/>
    </row>
    <row r="5280" spans="4:6" outlineLevel="1">
      <c r="D5280"/>
      <c r="E5280"/>
      <c r="F5280"/>
    </row>
    <row r="5281" spans="4:6">
      <c r="D5281"/>
      <c r="E5281"/>
      <c r="F5281"/>
    </row>
    <row r="5282" spans="4:6" outlineLevel="1">
      <c r="D5282"/>
      <c r="E5282"/>
      <c r="F5282"/>
    </row>
    <row r="5283" spans="4:6" outlineLevel="1">
      <c r="D5283"/>
      <c r="E5283"/>
      <c r="F5283"/>
    </row>
    <row r="5284" spans="4:6" outlineLevel="1">
      <c r="D5284"/>
      <c r="E5284"/>
      <c r="F5284"/>
    </row>
    <row r="5285" spans="4:6" outlineLevel="1">
      <c r="D5285"/>
      <c r="E5285"/>
      <c r="F5285"/>
    </row>
    <row r="5286" spans="4:6" outlineLevel="1">
      <c r="D5286"/>
      <c r="E5286"/>
      <c r="F5286"/>
    </row>
    <row r="5287" spans="4:6" outlineLevel="1">
      <c r="D5287"/>
      <c r="E5287"/>
      <c r="F5287"/>
    </row>
    <row r="5288" spans="4:6" outlineLevel="1">
      <c r="D5288"/>
      <c r="E5288"/>
      <c r="F5288"/>
    </row>
    <row r="5289" spans="4:6" outlineLevel="1">
      <c r="D5289"/>
      <c r="E5289"/>
      <c r="F5289"/>
    </row>
    <row r="5290" spans="4:6" outlineLevel="1">
      <c r="D5290"/>
      <c r="E5290"/>
      <c r="F5290"/>
    </row>
    <row r="5291" spans="4:6" outlineLevel="1">
      <c r="D5291"/>
      <c r="E5291"/>
      <c r="F5291"/>
    </row>
    <row r="5292" spans="4:6" outlineLevel="1">
      <c r="D5292"/>
      <c r="E5292"/>
      <c r="F5292"/>
    </row>
    <row r="5293" spans="4:6" outlineLevel="1">
      <c r="D5293"/>
      <c r="E5293"/>
      <c r="F5293"/>
    </row>
    <row r="5294" spans="4:6" outlineLevel="1">
      <c r="D5294"/>
      <c r="E5294"/>
      <c r="F5294"/>
    </row>
    <row r="5295" spans="4:6" outlineLevel="1">
      <c r="D5295"/>
      <c r="E5295"/>
      <c r="F5295"/>
    </row>
    <row r="5296" spans="4:6" outlineLevel="1">
      <c r="D5296"/>
      <c r="E5296"/>
      <c r="F5296"/>
    </row>
    <row r="5297" spans="4:6" outlineLevel="1">
      <c r="D5297"/>
      <c r="E5297"/>
      <c r="F5297"/>
    </row>
    <row r="5298" spans="4:6" outlineLevel="1">
      <c r="D5298"/>
      <c r="E5298"/>
      <c r="F5298"/>
    </row>
    <row r="5299" spans="4:6" outlineLevel="1">
      <c r="D5299"/>
      <c r="E5299"/>
      <c r="F5299"/>
    </row>
    <row r="5300" spans="4:6" outlineLevel="1">
      <c r="D5300"/>
      <c r="E5300"/>
      <c r="F5300"/>
    </row>
    <row r="5301" spans="4:6" outlineLevel="1">
      <c r="D5301"/>
      <c r="E5301"/>
      <c r="F5301"/>
    </row>
    <row r="5302" spans="4:6">
      <c r="D5302"/>
      <c r="E5302"/>
      <c r="F5302"/>
    </row>
    <row r="5303" spans="4:6" outlineLevel="1">
      <c r="D5303"/>
      <c r="E5303"/>
      <c r="F5303"/>
    </row>
    <row r="5304" spans="4:6" outlineLevel="1">
      <c r="D5304"/>
      <c r="E5304"/>
      <c r="F5304"/>
    </row>
    <row r="5305" spans="4:6" outlineLevel="1">
      <c r="D5305"/>
      <c r="E5305"/>
      <c r="F5305"/>
    </row>
    <row r="5306" spans="4:6" outlineLevel="1">
      <c r="D5306"/>
      <c r="E5306"/>
      <c r="F5306"/>
    </row>
    <row r="5307" spans="4:6">
      <c r="D5307"/>
      <c r="E5307"/>
      <c r="F5307"/>
    </row>
    <row r="5308" spans="4:6" outlineLevel="1">
      <c r="D5308"/>
      <c r="E5308"/>
      <c r="F5308"/>
    </row>
    <row r="5309" spans="4:6" outlineLevel="1">
      <c r="D5309"/>
      <c r="E5309"/>
      <c r="F5309"/>
    </row>
    <row r="5310" spans="4:6" outlineLevel="1">
      <c r="D5310"/>
      <c r="E5310"/>
      <c r="F5310"/>
    </row>
    <row r="5311" spans="4:6" outlineLevel="1">
      <c r="D5311"/>
      <c r="E5311"/>
      <c r="F5311"/>
    </row>
    <row r="5312" spans="4:6" outlineLevel="1">
      <c r="D5312"/>
      <c r="E5312"/>
      <c r="F5312"/>
    </row>
    <row r="5313" spans="4:6" outlineLevel="1">
      <c r="D5313"/>
      <c r="E5313"/>
      <c r="F5313"/>
    </row>
    <row r="5314" spans="4:6" outlineLevel="1">
      <c r="D5314"/>
      <c r="E5314"/>
      <c r="F5314"/>
    </row>
    <row r="5315" spans="4:6" outlineLevel="1">
      <c r="D5315"/>
      <c r="E5315"/>
      <c r="F5315"/>
    </row>
    <row r="5316" spans="4:6" outlineLevel="1">
      <c r="D5316"/>
      <c r="E5316"/>
      <c r="F5316"/>
    </row>
    <row r="5317" spans="4:6" outlineLevel="1">
      <c r="D5317"/>
      <c r="E5317"/>
      <c r="F5317"/>
    </row>
    <row r="5318" spans="4:6" outlineLevel="1">
      <c r="D5318"/>
      <c r="E5318"/>
      <c r="F5318"/>
    </row>
    <row r="5319" spans="4:6" outlineLevel="1">
      <c r="D5319"/>
      <c r="E5319"/>
      <c r="F5319"/>
    </row>
    <row r="5320" spans="4:6" outlineLevel="1">
      <c r="D5320"/>
      <c r="E5320"/>
      <c r="F5320"/>
    </row>
    <row r="5321" spans="4:6" outlineLevel="1">
      <c r="D5321"/>
      <c r="E5321"/>
      <c r="F5321"/>
    </row>
    <row r="5322" spans="4:6" outlineLevel="1">
      <c r="D5322"/>
      <c r="E5322"/>
      <c r="F5322"/>
    </row>
    <row r="5323" spans="4:6" outlineLevel="1">
      <c r="D5323"/>
      <c r="E5323"/>
      <c r="F5323"/>
    </row>
    <row r="5324" spans="4:6" outlineLevel="1">
      <c r="D5324"/>
      <c r="E5324"/>
      <c r="F5324"/>
    </row>
    <row r="5325" spans="4:6" outlineLevel="1">
      <c r="D5325"/>
      <c r="E5325"/>
      <c r="F5325"/>
    </row>
    <row r="5326" spans="4:6" outlineLevel="1">
      <c r="D5326"/>
      <c r="E5326"/>
      <c r="F5326"/>
    </row>
    <row r="5327" spans="4:6" outlineLevel="1">
      <c r="D5327"/>
      <c r="E5327"/>
      <c r="F5327"/>
    </row>
    <row r="5328" spans="4:6" outlineLevel="1">
      <c r="D5328"/>
      <c r="E5328"/>
      <c r="F5328"/>
    </row>
    <row r="5329" spans="4:6" outlineLevel="1">
      <c r="D5329"/>
      <c r="E5329"/>
      <c r="F5329"/>
    </row>
    <row r="5330" spans="4:6" outlineLevel="1">
      <c r="D5330"/>
      <c r="E5330"/>
      <c r="F5330"/>
    </row>
    <row r="5331" spans="4:6" outlineLevel="1">
      <c r="D5331"/>
      <c r="E5331"/>
      <c r="F5331"/>
    </row>
    <row r="5332" spans="4:6" outlineLevel="1">
      <c r="D5332"/>
      <c r="E5332"/>
      <c r="F5332"/>
    </row>
    <row r="5333" spans="4:6" outlineLevel="1">
      <c r="D5333"/>
      <c r="E5333"/>
      <c r="F5333"/>
    </row>
    <row r="5334" spans="4:6" outlineLevel="1">
      <c r="D5334"/>
      <c r="E5334"/>
      <c r="F5334"/>
    </row>
    <row r="5335" spans="4:6" outlineLevel="1">
      <c r="D5335"/>
      <c r="E5335"/>
      <c r="F5335"/>
    </row>
    <row r="5336" spans="4:6" outlineLevel="1">
      <c r="D5336"/>
      <c r="E5336"/>
      <c r="F5336"/>
    </row>
    <row r="5337" spans="4:6" outlineLevel="1">
      <c r="D5337"/>
      <c r="E5337"/>
      <c r="F5337"/>
    </row>
    <row r="5338" spans="4:6" outlineLevel="1">
      <c r="D5338"/>
      <c r="E5338"/>
      <c r="F5338"/>
    </row>
    <row r="5339" spans="4:6" outlineLevel="1">
      <c r="D5339"/>
      <c r="E5339"/>
      <c r="F5339"/>
    </row>
    <row r="5340" spans="4:6" outlineLevel="1">
      <c r="D5340"/>
      <c r="E5340"/>
      <c r="F5340"/>
    </row>
    <row r="5341" spans="4:6" outlineLevel="1">
      <c r="D5341"/>
      <c r="E5341"/>
      <c r="F5341"/>
    </row>
    <row r="5342" spans="4:6">
      <c r="D5342"/>
      <c r="E5342"/>
      <c r="F5342"/>
    </row>
    <row r="5343" spans="4:6" outlineLevel="1">
      <c r="D5343"/>
      <c r="E5343"/>
      <c r="F5343"/>
    </row>
    <row r="5344" spans="4:6" outlineLevel="1">
      <c r="D5344"/>
      <c r="E5344"/>
      <c r="F5344"/>
    </row>
    <row r="5345" spans="4:6" outlineLevel="1">
      <c r="D5345"/>
      <c r="E5345"/>
      <c r="F5345"/>
    </row>
    <row r="5346" spans="4:6" outlineLevel="1">
      <c r="D5346"/>
      <c r="E5346"/>
      <c r="F5346"/>
    </row>
    <row r="5347" spans="4:6" outlineLevel="1">
      <c r="D5347"/>
      <c r="E5347"/>
      <c r="F5347"/>
    </row>
    <row r="5348" spans="4:6" outlineLevel="1">
      <c r="D5348"/>
      <c r="E5348"/>
      <c r="F5348"/>
    </row>
    <row r="5349" spans="4:6" outlineLevel="1">
      <c r="D5349"/>
      <c r="E5349"/>
      <c r="F5349"/>
    </row>
    <row r="5350" spans="4:6">
      <c r="D5350"/>
      <c r="E5350"/>
      <c r="F5350"/>
    </row>
    <row r="5351" spans="4:6" outlineLevel="1">
      <c r="D5351"/>
      <c r="E5351"/>
      <c r="F5351"/>
    </row>
    <row r="5352" spans="4:6" outlineLevel="1">
      <c r="D5352"/>
      <c r="E5352"/>
      <c r="F5352"/>
    </row>
    <row r="5353" spans="4:6" outlineLevel="1">
      <c r="D5353"/>
      <c r="E5353"/>
      <c r="F5353"/>
    </row>
    <row r="5354" spans="4:6" outlineLevel="1">
      <c r="D5354"/>
      <c r="E5354"/>
      <c r="F5354"/>
    </row>
    <row r="5355" spans="4:6" outlineLevel="1">
      <c r="D5355"/>
      <c r="E5355"/>
      <c r="F5355"/>
    </row>
    <row r="5356" spans="4:6" outlineLevel="1">
      <c r="D5356"/>
      <c r="E5356"/>
      <c r="F5356"/>
    </row>
    <row r="5357" spans="4:6" outlineLevel="1">
      <c r="D5357"/>
      <c r="E5357"/>
      <c r="F5357"/>
    </row>
    <row r="5358" spans="4:6" outlineLevel="1">
      <c r="D5358"/>
      <c r="E5358"/>
      <c r="F5358"/>
    </row>
    <row r="5359" spans="4:6" outlineLevel="1">
      <c r="D5359"/>
      <c r="E5359"/>
      <c r="F5359"/>
    </row>
    <row r="5360" spans="4:6" outlineLevel="1">
      <c r="D5360"/>
      <c r="E5360"/>
      <c r="F5360"/>
    </row>
    <row r="5361" spans="4:6" outlineLevel="1">
      <c r="D5361"/>
      <c r="E5361"/>
      <c r="F5361"/>
    </row>
    <row r="5362" spans="4:6" outlineLevel="1">
      <c r="D5362"/>
      <c r="E5362"/>
      <c r="F5362"/>
    </row>
    <row r="5363" spans="4:6" outlineLevel="1">
      <c r="D5363"/>
      <c r="E5363"/>
      <c r="F5363"/>
    </row>
    <row r="5364" spans="4:6" outlineLevel="1">
      <c r="D5364"/>
      <c r="E5364"/>
      <c r="F5364"/>
    </row>
    <row r="5365" spans="4:6" outlineLevel="1">
      <c r="D5365"/>
      <c r="E5365"/>
      <c r="F5365"/>
    </row>
    <row r="5366" spans="4:6" outlineLevel="1">
      <c r="D5366"/>
      <c r="E5366"/>
      <c r="F5366"/>
    </row>
    <row r="5367" spans="4:6" outlineLevel="1">
      <c r="D5367"/>
      <c r="E5367"/>
      <c r="F5367"/>
    </row>
    <row r="5368" spans="4:6" outlineLevel="1">
      <c r="D5368"/>
      <c r="E5368"/>
      <c r="F5368"/>
    </row>
    <row r="5369" spans="4:6" outlineLevel="1">
      <c r="D5369"/>
      <c r="E5369"/>
      <c r="F5369"/>
    </row>
    <row r="5370" spans="4:6" outlineLevel="1">
      <c r="D5370"/>
      <c r="E5370"/>
      <c r="F5370"/>
    </row>
    <row r="5371" spans="4:6" outlineLevel="1">
      <c r="D5371"/>
      <c r="E5371"/>
      <c r="F5371"/>
    </row>
    <row r="5372" spans="4:6">
      <c r="D5372"/>
      <c r="E5372"/>
      <c r="F5372"/>
    </row>
    <row r="5373" spans="4:6" outlineLevel="1">
      <c r="D5373"/>
      <c r="E5373"/>
      <c r="F5373"/>
    </row>
    <row r="5374" spans="4:6">
      <c r="D5374"/>
      <c r="E5374"/>
      <c r="F5374"/>
    </row>
    <row r="5375" spans="4:6" outlineLevel="1">
      <c r="D5375"/>
      <c r="E5375"/>
      <c r="F5375"/>
    </row>
    <row r="5376" spans="4:6" outlineLevel="1">
      <c r="D5376"/>
      <c r="E5376"/>
      <c r="F5376"/>
    </row>
    <row r="5377" spans="4:6" outlineLevel="1">
      <c r="D5377"/>
      <c r="E5377"/>
      <c r="F5377"/>
    </row>
    <row r="5378" spans="4:6" outlineLevel="1">
      <c r="D5378"/>
      <c r="E5378"/>
      <c r="F5378"/>
    </row>
    <row r="5379" spans="4:6" outlineLevel="1">
      <c r="D5379"/>
      <c r="E5379"/>
      <c r="F5379"/>
    </row>
    <row r="5380" spans="4:6" outlineLevel="1">
      <c r="D5380"/>
      <c r="E5380"/>
      <c r="F5380"/>
    </row>
    <row r="5381" spans="4:6" outlineLevel="1">
      <c r="D5381"/>
      <c r="E5381"/>
      <c r="F5381"/>
    </row>
    <row r="5382" spans="4:6" outlineLevel="1">
      <c r="D5382"/>
      <c r="E5382"/>
      <c r="F5382"/>
    </row>
    <row r="5383" spans="4:6" outlineLevel="1">
      <c r="D5383"/>
      <c r="E5383"/>
      <c r="F5383"/>
    </row>
    <row r="5384" spans="4:6" outlineLevel="1">
      <c r="D5384"/>
      <c r="E5384"/>
      <c r="F5384"/>
    </row>
    <row r="5385" spans="4:6" outlineLevel="1">
      <c r="D5385"/>
      <c r="E5385"/>
      <c r="F5385"/>
    </row>
    <row r="5386" spans="4:6" outlineLevel="1">
      <c r="D5386"/>
      <c r="E5386"/>
      <c r="F5386"/>
    </row>
    <row r="5387" spans="4:6" outlineLevel="1">
      <c r="D5387"/>
      <c r="E5387"/>
      <c r="F5387"/>
    </row>
    <row r="5388" spans="4:6" outlineLevel="1">
      <c r="D5388"/>
      <c r="E5388"/>
      <c r="F5388"/>
    </row>
    <row r="5389" spans="4:6" outlineLevel="1">
      <c r="D5389"/>
      <c r="E5389"/>
      <c r="F5389"/>
    </row>
    <row r="5390" spans="4:6" outlineLevel="1">
      <c r="D5390"/>
      <c r="E5390"/>
      <c r="F5390"/>
    </row>
    <row r="5391" spans="4:6" outlineLevel="1">
      <c r="D5391"/>
      <c r="E5391"/>
      <c r="F5391"/>
    </row>
    <row r="5392" spans="4:6" outlineLevel="1">
      <c r="D5392"/>
      <c r="E5392"/>
      <c r="F5392"/>
    </row>
    <row r="5393" spans="4:6" outlineLevel="1">
      <c r="D5393"/>
      <c r="E5393"/>
      <c r="F5393"/>
    </row>
    <row r="5394" spans="4:6" outlineLevel="1">
      <c r="D5394"/>
      <c r="E5394"/>
      <c r="F5394"/>
    </row>
    <row r="5395" spans="4:6" outlineLevel="1">
      <c r="D5395"/>
      <c r="E5395"/>
      <c r="F5395"/>
    </row>
    <row r="5396" spans="4:6" outlineLevel="1">
      <c r="D5396"/>
      <c r="E5396"/>
      <c r="F5396"/>
    </row>
    <row r="5397" spans="4:6" outlineLevel="1">
      <c r="D5397"/>
      <c r="E5397"/>
      <c r="F5397"/>
    </row>
    <row r="5398" spans="4:6" outlineLevel="1">
      <c r="D5398"/>
      <c r="E5398"/>
      <c r="F5398"/>
    </row>
    <row r="5399" spans="4:6" outlineLevel="1">
      <c r="D5399"/>
      <c r="E5399"/>
      <c r="F5399"/>
    </row>
    <row r="5400" spans="4:6" outlineLevel="1">
      <c r="D5400"/>
      <c r="E5400"/>
      <c r="F5400"/>
    </row>
    <row r="5401" spans="4:6" outlineLevel="1">
      <c r="D5401"/>
      <c r="E5401"/>
      <c r="F5401"/>
    </row>
    <row r="5402" spans="4:6" outlineLevel="1">
      <c r="D5402"/>
      <c r="E5402"/>
      <c r="F5402"/>
    </row>
    <row r="5403" spans="4:6" outlineLevel="1">
      <c r="D5403"/>
      <c r="E5403"/>
      <c r="F5403"/>
    </row>
    <row r="5404" spans="4:6" outlineLevel="1">
      <c r="D5404"/>
      <c r="E5404"/>
      <c r="F5404"/>
    </row>
    <row r="5405" spans="4:6" outlineLevel="1">
      <c r="D5405"/>
      <c r="E5405"/>
      <c r="F5405"/>
    </row>
    <row r="5406" spans="4:6" outlineLevel="1">
      <c r="D5406"/>
      <c r="E5406"/>
      <c r="F5406"/>
    </row>
    <row r="5407" spans="4:6" outlineLevel="1">
      <c r="D5407"/>
      <c r="E5407"/>
      <c r="F5407"/>
    </row>
    <row r="5408" spans="4:6" outlineLevel="1">
      <c r="D5408"/>
      <c r="E5408"/>
      <c r="F5408"/>
    </row>
    <row r="5409" spans="4:6" outlineLevel="1">
      <c r="D5409"/>
      <c r="E5409"/>
      <c r="F5409"/>
    </row>
    <row r="5410" spans="4:6" outlineLevel="1">
      <c r="D5410"/>
      <c r="E5410"/>
      <c r="F5410"/>
    </row>
    <row r="5411" spans="4:6" outlineLevel="1">
      <c r="D5411"/>
      <c r="E5411"/>
      <c r="F5411"/>
    </row>
    <row r="5412" spans="4:6" outlineLevel="1">
      <c r="D5412"/>
      <c r="E5412"/>
      <c r="F5412"/>
    </row>
    <row r="5413" spans="4:6" outlineLevel="1">
      <c r="D5413"/>
      <c r="E5413"/>
      <c r="F5413"/>
    </row>
    <row r="5414" spans="4:6" outlineLevel="1">
      <c r="D5414"/>
      <c r="E5414"/>
      <c r="F5414"/>
    </row>
    <row r="5415" spans="4:6" outlineLevel="1">
      <c r="D5415"/>
      <c r="E5415"/>
      <c r="F5415"/>
    </row>
    <row r="5416" spans="4:6" outlineLevel="1">
      <c r="D5416"/>
      <c r="E5416"/>
      <c r="F5416"/>
    </row>
    <row r="5417" spans="4:6" outlineLevel="1">
      <c r="D5417"/>
      <c r="E5417"/>
      <c r="F5417"/>
    </row>
    <row r="5418" spans="4:6" outlineLevel="1">
      <c r="D5418"/>
      <c r="E5418"/>
      <c r="F5418"/>
    </row>
    <row r="5419" spans="4:6" outlineLevel="1">
      <c r="D5419"/>
      <c r="E5419"/>
      <c r="F5419"/>
    </row>
    <row r="5420" spans="4:6" outlineLevel="1">
      <c r="D5420"/>
      <c r="E5420"/>
      <c r="F5420"/>
    </row>
    <row r="5421" spans="4:6" outlineLevel="1">
      <c r="D5421"/>
      <c r="E5421"/>
      <c r="F5421"/>
    </row>
    <row r="5422" spans="4:6">
      <c r="D5422"/>
      <c r="E5422"/>
      <c r="F5422"/>
    </row>
    <row r="5423" spans="4:6" outlineLevel="1">
      <c r="D5423"/>
      <c r="E5423"/>
      <c r="F5423"/>
    </row>
    <row r="5424" spans="4:6">
      <c r="D5424"/>
      <c r="E5424"/>
      <c r="F5424"/>
    </row>
    <row r="5425" spans="4:6" outlineLevel="1">
      <c r="D5425"/>
      <c r="E5425"/>
      <c r="F5425"/>
    </row>
    <row r="5426" spans="4:6" outlineLevel="1">
      <c r="D5426"/>
      <c r="E5426"/>
      <c r="F5426"/>
    </row>
    <row r="5427" spans="4:6" outlineLevel="1">
      <c r="D5427"/>
      <c r="E5427"/>
      <c r="F5427"/>
    </row>
    <row r="5428" spans="4:6" outlineLevel="1">
      <c r="D5428"/>
      <c r="E5428"/>
      <c r="F5428"/>
    </row>
    <row r="5429" spans="4:6" outlineLevel="1">
      <c r="D5429"/>
      <c r="E5429"/>
      <c r="F5429"/>
    </row>
    <row r="5430" spans="4:6" outlineLevel="1">
      <c r="D5430"/>
      <c r="E5430"/>
      <c r="F5430"/>
    </row>
    <row r="5431" spans="4:6" outlineLevel="1">
      <c r="D5431"/>
      <c r="E5431"/>
      <c r="F5431"/>
    </row>
    <row r="5432" spans="4:6" outlineLevel="1">
      <c r="D5432"/>
      <c r="E5432"/>
      <c r="F5432"/>
    </row>
    <row r="5433" spans="4:6" outlineLevel="1">
      <c r="D5433"/>
      <c r="E5433"/>
      <c r="F5433"/>
    </row>
    <row r="5434" spans="4:6" outlineLevel="1">
      <c r="D5434"/>
      <c r="E5434"/>
      <c r="F5434"/>
    </row>
    <row r="5435" spans="4:6" outlineLevel="1">
      <c r="D5435"/>
      <c r="E5435"/>
      <c r="F5435"/>
    </row>
    <row r="5436" spans="4:6" outlineLevel="1">
      <c r="D5436"/>
      <c r="E5436"/>
      <c r="F5436"/>
    </row>
    <row r="5437" spans="4:6" outlineLevel="1">
      <c r="D5437"/>
      <c r="E5437"/>
      <c r="F5437"/>
    </row>
    <row r="5438" spans="4:6" outlineLevel="1">
      <c r="D5438"/>
      <c r="E5438"/>
      <c r="F5438"/>
    </row>
    <row r="5439" spans="4:6" outlineLevel="1">
      <c r="D5439"/>
      <c r="E5439"/>
      <c r="F5439"/>
    </row>
    <row r="5440" spans="4:6" outlineLevel="1">
      <c r="D5440"/>
      <c r="E5440"/>
      <c r="F5440"/>
    </row>
    <row r="5441" spans="4:6" outlineLevel="1">
      <c r="D5441"/>
      <c r="E5441"/>
      <c r="F5441"/>
    </row>
    <row r="5442" spans="4:6" outlineLevel="1">
      <c r="D5442"/>
      <c r="E5442"/>
      <c r="F5442"/>
    </row>
    <row r="5443" spans="4:6" outlineLevel="1">
      <c r="D5443"/>
      <c r="E5443"/>
      <c r="F5443"/>
    </row>
    <row r="5444" spans="4:6" outlineLevel="1">
      <c r="D5444"/>
      <c r="E5444"/>
      <c r="F5444"/>
    </row>
    <row r="5445" spans="4:6" outlineLevel="1">
      <c r="D5445"/>
      <c r="E5445"/>
      <c r="F5445"/>
    </row>
    <row r="5446" spans="4:6" outlineLevel="1">
      <c r="D5446"/>
      <c r="E5446"/>
      <c r="F5446"/>
    </row>
    <row r="5447" spans="4:6" outlineLevel="1">
      <c r="D5447"/>
      <c r="E5447"/>
      <c r="F5447"/>
    </row>
    <row r="5448" spans="4:6" outlineLevel="1">
      <c r="D5448"/>
      <c r="E5448"/>
      <c r="F5448"/>
    </row>
    <row r="5449" spans="4:6" outlineLevel="1">
      <c r="D5449"/>
      <c r="E5449"/>
      <c r="F5449"/>
    </row>
    <row r="5450" spans="4:6" outlineLevel="1">
      <c r="D5450"/>
      <c r="E5450"/>
      <c r="F5450"/>
    </row>
    <row r="5451" spans="4:6" outlineLevel="1">
      <c r="D5451"/>
      <c r="E5451"/>
      <c r="F5451"/>
    </row>
    <row r="5452" spans="4:6" outlineLevel="1">
      <c r="D5452"/>
      <c r="E5452"/>
      <c r="F5452"/>
    </row>
    <row r="5453" spans="4:6" outlineLevel="1">
      <c r="D5453"/>
      <c r="E5453"/>
      <c r="F5453"/>
    </row>
    <row r="5454" spans="4:6" outlineLevel="1">
      <c r="D5454"/>
      <c r="E5454"/>
      <c r="F5454"/>
    </row>
    <row r="5455" spans="4:6" outlineLevel="1">
      <c r="D5455"/>
      <c r="E5455"/>
      <c r="F5455"/>
    </row>
    <row r="5456" spans="4:6" outlineLevel="1">
      <c r="D5456"/>
      <c r="E5456"/>
      <c r="F5456"/>
    </row>
    <row r="5457" spans="4:6" outlineLevel="1">
      <c r="D5457"/>
      <c r="E5457"/>
      <c r="F5457"/>
    </row>
    <row r="5458" spans="4:6" outlineLevel="1">
      <c r="D5458"/>
      <c r="E5458"/>
      <c r="F5458"/>
    </row>
    <row r="5459" spans="4:6" outlineLevel="1">
      <c r="D5459"/>
      <c r="E5459"/>
      <c r="F5459"/>
    </row>
    <row r="5460" spans="4:6" outlineLevel="1">
      <c r="D5460"/>
      <c r="E5460"/>
      <c r="F5460"/>
    </row>
    <row r="5461" spans="4:6" outlineLevel="1">
      <c r="D5461"/>
      <c r="E5461"/>
      <c r="F5461"/>
    </row>
    <row r="5462" spans="4:6" outlineLevel="1">
      <c r="D5462"/>
      <c r="E5462"/>
      <c r="F5462"/>
    </row>
    <row r="5463" spans="4:6">
      <c r="D5463"/>
      <c r="E5463"/>
      <c r="F5463"/>
    </row>
    <row r="5464" spans="4:6" outlineLevel="1">
      <c r="D5464"/>
      <c r="E5464"/>
      <c r="F5464"/>
    </row>
    <row r="5465" spans="4:6" outlineLevel="1">
      <c r="D5465"/>
      <c r="E5465"/>
      <c r="F5465"/>
    </row>
    <row r="5466" spans="4:6" outlineLevel="1">
      <c r="D5466"/>
      <c r="E5466"/>
      <c r="F5466"/>
    </row>
    <row r="5467" spans="4:6" outlineLevel="1">
      <c r="D5467"/>
      <c r="E5467"/>
      <c r="F5467"/>
    </row>
    <row r="5468" spans="4:6" outlineLevel="1">
      <c r="D5468"/>
      <c r="E5468"/>
      <c r="F5468"/>
    </row>
    <row r="5469" spans="4:6" outlineLevel="1">
      <c r="D5469"/>
      <c r="E5469"/>
      <c r="F5469"/>
    </row>
    <row r="5470" spans="4:6" outlineLevel="1">
      <c r="D5470"/>
      <c r="E5470"/>
      <c r="F5470"/>
    </row>
    <row r="5471" spans="4:6" outlineLevel="1">
      <c r="D5471"/>
      <c r="E5471"/>
      <c r="F5471"/>
    </row>
    <row r="5472" spans="4:6" outlineLevel="1">
      <c r="D5472"/>
      <c r="E5472"/>
      <c r="F5472"/>
    </row>
    <row r="5473" spans="4:6">
      <c r="D5473"/>
      <c r="E5473"/>
      <c r="F5473"/>
    </row>
    <row r="5474" spans="4:6" outlineLevel="1">
      <c r="D5474"/>
      <c r="E5474"/>
      <c r="F5474"/>
    </row>
    <row r="5475" spans="4:6" outlineLevel="1">
      <c r="D5475"/>
      <c r="E5475"/>
      <c r="F5475"/>
    </row>
    <row r="5476" spans="4:6" outlineLevel="1">
      <c r="D5476"/>
      <c r="E5476"/>
      <c r="F5476"/>
    </row>
    <row r="5477" spans="4:6" outlineLevel="1">
      <c r="D5477"/>
      <c r="E5477"/>
      <c r="F5477"/>
    </row>
    <row r="5478" spans="4:6" outlineLevel="1">
      <c r="D5478"/>
      <c r="E5478"/>
      <c r="F5478"/>
    </row>
    <row r="5479" spans="4:6" outlineLevel="1">
      <c r="D5479"/>
      <c r="E5479"/>
      <c r="F5479"/>
    </row>
    <row r="5480" spans="4:6" outlineLevel="1">
      <c r="D5480"/>
      <c r="E5480"/>
      <c r="F5480"/>
    </row>
    <row r="5481" spans="4:6" outlineLevel="1">
      <c r="D5481"/>
      <c r="E5481"/>
      <c r="F5481"/>
    </row>
    <row r="5482" spans="4:6" outlineLevel="1">
      <c r="D5482"/>
      <c r="E5482"/>
      <c r="F5482"/>
    </row>
    <row r="5483" spans="4:6" outlineLevel="1">
      <c r="D5483"/>
      <c r="E5483"/>
      <c r="F5483"/>
    </row>
    <row r="5484" spans="4:6" outlineLevel="1">
      <c r="D5484"/>
      <c r="E5484"/>
      <c r="F5484"/>
    </row>
    <row r="5485" spans="4:6" outlineLevel="1">
      <c r="D5485"/>
      <c r="E5485"/>
      <c r="F5485"/>
    </row>
    <row r="5486" spans="4:6" outlineLevel="1">
      <c r="D5486"/>
      <c r="E5486"/>
      <c r="F5486"/>
    </row>
    <row r="5487" spans="4:6" outlineLevel="1">
      <c r="D5487"/>
      <c r="E5487"/>
      <c r="F5487"/>
    </row>
    <row r="5488" spans="4:6" outlineLevel="1">
      <c r="D5488"/>
      <c r="E5488"/>
      <c r="F5488"/>
    </row>
    <row r="5489" spans="4:6" outlineLevel="1">
      <c r="D5489"/>
      <c r="E5489"/>
      <c r="F5489"/>
    </row>
    <row r="5490" spans="4:6" outlineLevel="1">
      <c r="D5490"/>
      <c r="E5490"/>
      <c r="F5490"/>
    </row>
    <row r="5491" spans="4:6" outlineLevel="1">
      <c r="D5491"/>
      <c r="E5491"/>
      <c r="F5491"/>
    </row>
    <row r="5492" spans="4:6" outlineLevel="1">
      <c r="D5492"/>
      <c r="E5492"/>
      <c r="F5492"/>
    </row>
    <row r="5493" spans="4:6" outlineLevel="1">
      <c r="D5493"/>
      <c r="E5493"/>
      <c r="F5493"/>
    </row>
    <row r="5494" spans="4:6" outlineLevel="1">
      <c r="D5494"/>
      <c r="E5494"/>
      <c r="F5494"/>
    </row>
    <row r="5495" spans="4:6" outlineLevel="1">
      <c r="D5495"/>
      <c r="E5495"/>
      <c r="F5495"/>
    </row>
    <row r="5496" spans="4:6" outlineLevel="1">
      <c r="D5496"/>
      <c r="E5496"/>
      <c r="F5496"/>
    </row>
    <row r="5497" spans="4:6" outlineLevel="1">
      <c r="D5497"/>
      <c r="E5497"/>
      <c r="F5497"/>
    </row>
    <row r="5498" spans="4:6" outlineLevel="1">
      <c r="D5498"/>
      <c r="E5498"/>
      <c r="F5498"/>
    </row>
    <row r="5499" spans="4:6" outlineLevel="1">
      <c r="D5499"/>
      <c r="E5499"/>
      <c r="F5499"/>
    </row>
    <row r="5500" spans="4:6" outlineLevel="1">
      <c r="D5500"/>
      <c r="E5500"/>
      <c r="F5500"/>
    </row>
    <row r="5501" spans="4:6" outlineLevel="1">
      <c r="D5501"/>
      <c r="E5501"/>
      <c r="F5501"/>
    </row>
    <row r="5502" spans="4:6" outlineLevel="1">
      <c r="D5502"/>
      <c r="E5502"/>
      <c r="F5502"/>
    </row>
    <row r="5503" spans="4:6" outlineLevel="1">
      <c r="D5503"/>
      <c r="E5503"/>
      <c r="F5503"/>
    </row>
    <row r="5504" spans="4:6" outlineLevel="1">
      <c r="D5504"/>
      <c r="E5504"/>
      <c r="F5504"/>
    </row>
    <row r="5505" spans="4:6" outlineLevel="1">
      <c r="D5505"/>
      <c r="E5505"/>
      <c r="F5505"/>
    </row>
    <row r="5506" spans="4:6" outlineLevel="1">
      <c r="D5506"/>
      <c r="E5506"/>
      <c r="F5506"/>
    </row>
    <row r="5507" spans="4:6" outlineLevel="1">
      <c r="D5507"/>
      <c r="E5507"/>
      <c r="F5507"/>
    </row>
    <row r="5508" spans="4:6" outlineLevel="1">
      <c r="D5508"/>
      <c r="E5508"/>
      <c r="F5508"/>
    </row>
    <row r="5509" spans="4:6" outlineLevel="1">
      <c r="D5509"/>
      <c r="E5509"/>
      <c r="F5509"/>
    </row>
    <row r="5510" spans="4:6" outlineLevel="1">
      <c r="D5510"/>
      <c r="E5510"/>
      <c r="F5510"/>
    </row>
    <row r="5511" spans="4:6" outlineLevel="1">
      <c r="D5511"/>
      <c r="E5511"/>
      <c r="F5511"/>
    </row>
    <row r="5512" spans="4:6" outlineLevel="1">
      <c r="D5512"/>
      <c r="E5512"/>
      <c r="F5512"/>
    </row>
    <row r="5513" spans="4:6" outlineLevel="1">
      <c r="D5513"/>
      <c r="E5513"/>
      <c r="F5513"/>
    </row>
    <row r="5514" spans="4:6" outlineLevel="1">
      <c r="D5514"/>
      <c r="E5514"/>
      <c r="F5514"/>
    </row>
    <row r="5515" spans="4:6" outlineLevel="1">
      <c r="D5515"/>
      <c r="E5515"/>
      <c r="F5515"/>
    </row>
    <row r="5516" spans="4:6" outlineLevel="1">
      <c r="D5516"/>
      <c r="E5516"/>
      <c r="F5516"/>
    </row>
    <row r="5517" spans="4:6" outlineLevel="1">
      <c r="D5517"/>
      <c r="E5517"/>
      <c r="F5517"/>
    </row>
    <row r="5518" spans="4:6" outlineLevel="1">
      <c r="D5518"/>
      <c r="E5518"/>
      <c r="F5518"/>
    </row>
    <row r="5519" spans="4:6" outlineLevel="1">
      <c r="D5519"/>
      <c r="E5519"/>
      <c r="F5519"/>
    </row>
    <row r="5520" spans="4:6" outlineLevel="1">
      <c r="D5520"/>
      <c r="E5520"/>
      <c r="F5520"/>
    </row>
    <row r="5521" spans="4:6" outlineLevel="1">
      <c r="D5521"/>
      <c r="E5521"/>
      <c r="F5521"/>
    </row>
    <row r="5522" spans="4:6" outlineLevel="1">
      <c r="D5522"/>
      <c r="E5522"/>
      <c r="F5522"/>
    </row>
    <row r="5523" spans="4:6" outlineLevel="1">
      <c r="D5523"/>
      <c r="E5523"/>
      <c r="F5523"/>
    </row>
    <row r="5524" spans="4:6" outlineLevel="1">
      <c r="D5524"/>
      <c r="E5524"/>
      <c r="F5524"/>
    </row>
    <row r="5525" spans="4:6" outlineLevel="1">
      <c r="D5525"/>
      <c r="E5525"/>
      <c r="F5525"/>
    </row>
    <row r="5526" spans="4:6" outlineLevel="1">
      <c r="D5526"/>
      <c r="E5526"/>
      <c r="F5526"/>
    </row>
    <row r="5527" spans="4:6" outlineLevel="1">
      <c r="D5527"/>
      <c r="E5527"/>
      <c r="F5527"/>
    </row>
    <row r="5528" spans="4:6" outlineLevel="1">
      <c r="D5528"/>
      <c r="E5528"/>
      <c r="F5528"/>
    </row>
    <row r="5529" spans="4:6" outlineLevel="1">
      <c r="D5529"/>
      <c r="E5529"/>
      <c r="F5529"/>
    </row>
    <row r="5530" spans="4:6" outlineLevel="1">
      <c r="D5530"/>
      <c r="E5530"/>
      <c r="F5530"/>
    </row>
    <row r="5531" spans="4:6" outlineLevel="1">
      <c r="D5531"/>
      <c r="E5531"/>
      <c r="F5531"/>
    </row>
    <row r="5532" spans="4:6" outlineLevel="1">
      <c r="D5532"/>
      <c r="E5532"/>
      <c r="F5532"/>
    </row>
    <row r="5533" spans="4:6" outlineLevel="1">
      <c r="D5533"/>
      <c r="E5533"/>
      <c r="F5533"/>
    </row>
    <row r="5534" spans="4:6" outlineLevel="1">
      <c r="D5534"/>
      <c r="E5534"/>
      <c r="F5534"/>
    </row>
    <row r="5535" spans="4:6" outlineLevel="1">
      <c r="D5535"/>
      <c r="E5535"/>
      <c r="F5535"/>
    </row>
    <row r="5536" spans="4:6" outlineLevel="1">
      <c r="D5536"/>
      <c r="E5536"/>
      <c r="F5536"/>
    </row>
    <row r="5537" spans="4:6" outlineLevel="1">
      <c r="D5537"/>
      <c r="E5537"/>
      <c r="F5537"/>
    </row>
    <row r="5538" spans="4:6" outlineLevel="1">
      <c r="D5538"/>
      <c r="E5538"/>
      <c r="F5538"/>
    </row>
    <row r="5539" spans="4:6" outlineLevel="1">
      <c r="D5539"/>
      <c r="E5539"/>
      <c r="F5539"/>
    </row>
    <row r="5540" spans="4:6" outlineLevel="1">
      <c r="D5540"/>
      <c r="E5540"/>
      <c r="F5540"/>
    </row>
    <row r="5541" spans="4:6" outlineLevel="1">
      <c r="D5541"/>
      <c r="E5541"/>
      <c r="F5541"/>
    </row>
    <row r="5542" spans="4:6" outlineLevel="1">
      <c r="D5542"/>
      <c r="E5542"/>
      <c r="F5542"/>
    </row>
    <row r="5543" spans="4:6" outlineLevel="1">
      <c r="D5543"/>
      <c r="E5543"/>
      <c r="F5543"/>
    </row>
    <row r="5544" spans="4:6" outlineLevel="1">
      <c r="D5544"/>
      <c r="E5544"/>
      <c r="F5544"/>
    </row>
    <row r="5545" spans="4:6" outlineLevel="1">
      <c r="D5545"/>
      <c r="E5545"/>
      <c r="F5545"/>
    </row>
    <row r="5546" spans="4:6" outlineLevel="1">
      <c r="D5546"/>
      <c r="E5546"/>
      <c r="F5546"/>
    </row>
    <row r="5547" spans="4:6" outlineLevel="1">
      <c r="D5547"/>
      <c r="E5547"/>
      <c r="F5547"/>
    </row>
    <row r="5548" spans="4:6" outlineLevel="1">
      <c r="D5548"/>
      <c r="E5548"/>
      <c r="F5548"/>
    </row>
    <row r="5549" spans="4:6" outlineLevel="1">
      <c r="D5549"/>
      <c r="E5549"/>
      <c r="F5549"/>
    </row>
    <row r="5550" spans="4:6" outlineLevel="1">
      <c r="D5550"/>
      <c r="E5550"/>
      <c r="F5550"/>
    </row>
    <row r="5551" spans="4:6" outlineLevel="1">
      <c r="D5551"/>
      <c r="E5551"/>
      <c r="F5551"/>
    </row>
    <row r="5552" spans="4:6" outlineLevel="1">
      <c r="D5552"/>
      <c r="E5552"/>
      <c r="F5552"/>
    </row>
    <row r="5553" spans="4:6" outlineLevel="1">
      <c r="D5553"/>
      <c r="E5553"/>
      <c r="F5553"/>
    </row>
    <row r="5554" spans="4:6" outlineLevel="1">
      <c r="D5554"/>
      <c r="E5554"/>
      <c r="F5554"/>
    </row>
    <row r="5555" spans="4:6" outlineLevel="1">
      <c r="D5555"/>
      <c r="E5555"/>
      <c r="F5555"/>
    </row>
    <row r="5556" spans="4:6" outlineLevel="1">
      <c r="D5556"/>
      <c r="E5556"/>
      <c r="F5556"/>
    </row>
    <row r="5557" spans="4:6" outlineLevel="1">
      <c r="D5557"/>
      <c r="E5557"/>
      <c r="F5557"/>
    </row>
    <row r="5558" spans="4:6" outlineLevel="1">
      <c r="D5558"/>
      <c r="E5558"/>
      <c r="F5558"/>
    </row>
    <row r="5559" spans="4:6" outlineLevel="1">
      <c r="D5559"/>
      <c r="E5559"/>
      <c r="F5559"/>
    </row>
    <row r="5560" spans="4:6" outlineLevel="1">
      <c r="D5560"/>
      <c r="E5560"/>
      <c r="F5560"/>
    </row>
    <row r="5561" spans="4:6" outlineLevel="1">
      <c r="D5561"/>
      <c r="E5561"/>
      <c r="F5561"/>
    </row>
    <row r="5562" spans="4:6" outlineLevel="1">
      <c r="D5562"/>
      <c r="E5562"/>
      <c r="F5562"/>
    </row>
    <row r="5563" spans="4:6" outlineLevel="1">
      <c r="D5563"/>
      <c r="E5563"/>
      <c r="F5563"/>
    </row>
    <row r="5564" spans="4:6" outlineLevel="1">
      <c r="D5564"/>
      <c r="E5564"/>
      <c r="F5564"/>
    </row>
    <row r="5565" spans="4:6">
      <c r="D5565"/>
      <c r="E5565"/>
      <c r="F5565"/>
    </row>
    <row r="5566" spans="4:6" outlineLevel="1">
      <c r="D5566"/>
      <c r="E5566"/>
      <c r="F5566"/>
    </row>
    <row r="5567" spans="4:6" outlineLevel="1">
      <c r="D5567"/>
      <c r="E5567"/>
      <c r="F5567"/>
    </row>
    <row r="5568" spans="4:6">
      <c r="D5568"/>
      <c r="E5568"/>
      <c r="F5568"/>
    </row>
    <row r="5569" spans="4:6" outlineLevel="1">
      <c r="D5569"/>
      <c r="E5569"/>
      <c r="F5569"/>
    </row>
    <row r="5570" spans="4:6" outlineLevel="1">
      <c r="D5570"/>
      <c r="E5570"/>
      <c r="F5570"/>
    </row>
    <row r="5571" spans="4:6" outlineLevel="1">
      <c r="D5571"/>
      <c r="E5571"/>
      <c r="F5571"/>
    </row>
    <row r="5572" spans="4:6" outlineLevel="1">
      <c r="D5572"/>
      <c r="E5572"/>
      <c r="F5572"/>
    </row>
    <row r="5573" spans="4:6" outlineLevel="1">
      <c r="D5573"/>
      <c r="E5573"/>
      <c r="F5573"/>
    </row>
    <row r="5574" spans="4:6" outlineLevel="1">
      <c r="D5574"/>
      <c r="E5574"/>
      <c r="F5574"/>
    </row>
    <row r="5575" spans="4:6" outlineLevel="1">
      <c r="D5575"/>
      <c r="E5575"/>
      <c r="F5575"/>
    </row>
    <row r="5576" spans="4:6" outlineLevel="1">
      <c r="D5576"/>
      <c r="E5576"/>
      <c r="F5576"/>
    </row>
    <row r="5577" spans="4:6" outlineLevel="1">
      <c r="D5577"/>
      <c r="E5577"/>
      <c r="F5577"/>
    </row>
    <row r="5578" spans="4:6" outlineLevel="1">
      <c r="D5578"/>
      <c r="E5578"/>
      <c r="F5578"/>
    </row>
    <row r="5579" spans="4:6" outlineLevel="1">
      <c r="D5579"/>
      <c r="E5579"/>
      <c r="F5579"/>
    </row>
    <row r="5580" spans="4:6" outlineLevel="1">
      <c r="D5580"/>
      <c r="E5580"/>
      <c r="F5580"/>
    </row>
    <row r="5581" spans="4:6">
      <c r="D5581"/>
      <c r="E5581"/>
      <c r="F5581"/>
    </row>
    <row r="5582" spans="4:6" outlineLevel="1">
      <c r="D5582"/>
      <c r="E5582"/>
      <c r="F5582"/>
    </row>
    <row r="5583" spans="4:6" outlineLevel="1">
      <c r="D5583"/>
      <c r="E5583"/>
      <c r="F5583"/>
    </row>
    <row r="5584" spans="4:6" outlineLevel="1">
      <c r="D5584"/>
      <c r="E5584"/>
      <c r="F5584"/>
    </row>
    <row r="5585" spans="4:6" outlineLevel="1">
      <c r="D5585"/>
      <c r="E5585"/>
      <c r="F5585"/>
    </row>
    <row r="5586" spans="4:6" outlineLevel="1">
      <c r="D5586"/>
      <c r="E5586"/>
      <c r="F5586"/>
    </row>
    <row r="5587" spans="4:6" outlineLevel="1">
      <c r="D5587"/>
      <c r="E5587"/>
      <c r="F5587"/>
    </row>
    <row r="5588" spans="4:6" outlineLevel="1">
      <c r="D5588"/>
      <c r="E5588"/>
      <c r="F5588"/>
    </row>
    <row r="5589" spans="4:6" outlineLevel="1">
      <c r="D5589"/>
      <c r="E5589"/>
      <c r="F5589"/>
    </row>
    <row r="5590" spans="4:6" outlineLevel="1">
      <c r="D5590"/>
      <c r="E5590"/>
      <c r="F5590"/>
    </row>
    <row r="5591" spans="4:6" outlineLevel="1">
      <c r="D5591"/>
      <c r="E5591"/>
      <c r="F5591"/>
    </row>
    <row r="5592" spans="4:6" outlineLevel="1">
      <c r="D5592"/>
      <c r="E5592"/>
      <c r="F5592"/>
    </row>
    <row r="5593" spans="4:6" outlineLevel="1">
      <c r="D5593"/>
      <c r="E5593"/>
      <c r="F5593"/>
    </row>
    <row r="5594" spans="4:6" outlineLevel="1">
      <c r="D5594"/>
      <c r="E5594"/>
      <c r="F5594"/>
    </row>
    <row r="5595" spans="4:6" outlineLevel="1">
      <c r="D5595"/>
      <c r="E5595"/>
      <c r="F5595"/>
    </row>
    <row r="5596" spans="4:6" outlineLevel="1">
      <c r="D5596"/>
      <c r="E5596"/>
      <c r="F5596"/>
    </row>
    <row r="5597" spans="4:6">
      <c r="D5597"/>
      <c r="E5597"/>
      <c r="F5597"/>
    </row>
    <row r="5598" spans="4:6" outlineLevel="1">
      <c r="D5598"/>
      <c r="E5598"/>
      <c r="F5598"/>
    </row>
    <row r="5599" spans="4:6" outlineLevel="1">
      <c r="D5599"/>
      <c r="E5599"/>
      <c r="F5599"/>
    </row>
    <row r="5600" spans="4:6">
      <c r="D5600"/>
      <c r="E5600"/>
      <c r="F5600"/>
    </row>
    <row r="5601" spans="4:6" outlineLevel="1">
      <c r="D5601"/>
      <c r="E5601"/>
      <c r="F5601"/>
    </row>
    <row r="5602" spans="4:6" outlineLevel="1">
      <c r="D5602"/>
      <c r="E5602"/>
      <c r="F5602"/>
    </row>
    <row r="5603" spans="4:6" outlineLevel="1">
      <c r="D5603"/>
      <c r="E5603"/>
      <c r="F5603"/>
    </row>
    <row r="5604" spans="4:6">
      <c r="D5604"/>
      <c r="E5604"/>
      <c r="F5604"/>
    </row>
    <row r="5605" spans="4:6" outlineLevel="1">
      <c r="D5605"/>
      <c r="E5605"/>
      <c r="F5605"/>
    </row>
    <row r="5606" spans="4:6" outlineLevel="1">
      <c r="D5606"/>
      <c r="E5606"/>
      <c r="F5606"/>
    </row>
    <row r="5607" spans="4:6">
      <c r="D5607"/>
      <c r="E5607"/>
      <c r="F5607"/>
    </row>
    <row r="5608" spans="4:6" outlineLevel="1">
      <c r="D5608"/>
      <c r="E5608"/>
      <c r="F5608"/>
    </row>
    <row r="5609" spans="4:6" outlineLevel="1">
      <c r="D5609"/>
      <c r="E5609"/>
      <c r="F5609"/>
    </row>
    <row r="5610" spans="4:6" outlineLevel="1">
      <c r="D5610"/>
      <c r="E5610"/>
      <c r="F5610"/>
    </row>
    <row r="5611" spans="4:6" outlineLevel="1">
      <c r="D5611"/>
      <c r="E5611"/>
      <c r="F5611"/>
    </row>
    <row r="5612" spans="4:6" outlineLevel="1">
      <c r="D5612"/>
      <c r="E5612"/>
      <c r="F5612"/>
    </row>
    <row r="5613" spans="4:6" outlineLevel="1">
      <c r="D5613"/>
      <c r="E5613"/>
      <c r="F5613"/>
    </row>
    <row r="5614" spans="4:6">
      <c r="D5614"/>
      <c r="E5614"/>
      <c r="F5614"/>
    </row>
    <row r="5615" spans="4:6" outlineLevel="1">
      <c r="D5615"/>
      <c r="E5615"/>
      <c r="F5615"/>
    </row>
    <row r="5616" spans="4:6" outlineLevel="1">
      <c r="D5616"/>
      <c r="E5616"/>
      <c r="F5616"/>
    </row>
    <row r="5617" spans="4:6" outlineLevel="1">
      <c r="D5617"/>
      <c r="E5617"/>
      <c r="F5617"/>
    </row>
    <row r="5618" spans="4:6" outlineLevel="1">
      <c r="D5618"/>
      <c r="E5618"/>
      <c r="F5618"/>
    </row>
    <row r="5619" spans="4:6" outlineLevel="1">
      <c r="D5619"/>
      <c r="E5619"/>
      <c r="F5619"/>
    </row>
    <row r="5620" spans="4:6" outlineLevel="1">
      <c r="D5620"/>
      <c r="E5620"/>
      <c r="F5620"/>
    </row>
    <row r="5621" spans="4:6" outlineLevel="1">
      <c r="D5621"/>
      <c r="E5621"/>
      <c r="F5621"/>
    </row>
    <row r="5622" spans="4:6" outlineLevel="1">
      <c r="D5622"/>
      <c r="E5622"/>
      <c r="F5622"/>
    </row>
    <row r="5623" spans="4:6" outlineLevel="1">
      <c r="D5623"/>
      <c r="E5623"/>
      <c r="F5623"/>
    </row>
    <row r="5624" spans="4:6" outlineLevel="1">
      <c r="D5624"/>
      <c r="E5624"/>
      <c r="F5624"/>
    </row>
    <row r="5625" spans="4:6" outlineLevel="1">
      <c r="D5625"/>
      <c r="E5625"/>
      <c r="F5625"/>
    </row>
    <row r="5626" spans="4:6" outlineLevel="1">
      <c r="D5626"/>
      <c r="E5626"/>
      <c r="F5626"/>
    </row>
    <row r="5627" spans="4:6" outlineLevel="1">
      <c r="D5627"/>
      <c r="E5627"/>
      <c r="F5627"/>
    </row>
    <row r="5628" spans="4:6" outlineLevel="1">
      <c r="D5628"/>
      <c r="E5628"/>
      <c r="F5628"/>
    </row>
    <row r="5629" spans="4:6" outlineLevel="1">
      <c r="D5629"/>
      <c r="E5629"/>
      <c r="F5629"/>
    </row>
    <row r="5630" spans="4:6" outlineLevel="1">
      <c r="D5630"/>
      <c r="E5630"/>
      <c r="F5630"/>
    </row>
    <row r="5631" spans="4:6" outlineLevel="1">
      <c r="D5631"/>
      <c r="E5631"/>
      <c r="F5631"/>
    </row>
    <row r="5632" spans="4:6" outlineLevel="1">
      <c r="D5632"/>
      <c r="E5632"/>
      <c r="F5632"/>
    </row>
    <row r="5633" spans="4:6" outlineLevel="1">
      <c r="D5633"/>
      <c r="E5633"/>
      <c r="F5633"/>
    </row>
    <row r="5634" spans="4:6" outlineLevel="1">
      <c r="D5634"/>
      <c r="E5634"/>
      <c r="F5634"/>
    </row>
    <row r="5635" spans="4:6" outlineLevel="1">
      <c r="D5635"/>
      <c r="E5635"/>
      <c r="F5635"/>
    </row>
    <row r="5636" spans="4:6" outlineLevel="1">
      <c r="D5636"/>
      <c r="E5636"/>
      <c r="F5636"/>
    </row>
    <row r="5637" spans="4:6" outlineLevel="1">
      <c r="D5637"/>
      <c r="E5637"/>
      <c r="F5637"/>
    </row>
    <row r="5638" spans="4:6" outlineLevel="1">
      <c r="D5638"/>
      <c r="E5638"/>
      <c r="F5638"/>
    </row>
    <row r="5639" spans="4:6" outlineLevel="1">
      <c r="D5639"/>
      <c r="E5639"/>
      <c r="F5639"/>
    </row>
    <row r="5640" spans="4:6" outlineLevel="1">
      <c r="D5640"/>
      <c r="E5640"/>
      <c r="F5640"/>
    </row>
    <row r="5641" spans="4:6" outlineLevel="1">
      <c r="D5641"/>
      <c r="E5641"/>
      <c r="F5641"/>
    </row>
    <row r="5642" spans="4:6" outlineLevel="1">
      <c r="D5642"/>
      <c r="E5642"/>
      <c r="F5642"/>
    </row>
    <row r="5643" spans="4:6" outlineLevel="1">
      <c r="D5643"/>
      <c r="E5643"/>
      <c r="F5643"/>
    </row>
    <row r="5644" spans="4:6" outlineLevel="1">
      <c r="D5644"/>
      <c r="E5644"/>
      <c r="F5644"/>
    </row>
    <row r="5645" spans="4:6" outlineLevel="1">
      <c r="D5645"/>
      <c r="E5645"/>
      <c r="F5645"/>
    </row>
    <row r="5646" spans="4:6" outlineLevel="1">
      <c r="D5646"/>
      <c r="E5646"/>
      <c r="F5646"/>
    </row>
    <row r="5647" spans="4:6" outlineLevel="1">
      <c r="D5647"/>
      <c r="E5647"/>
      <c r="F5647"/>
    </row>
    <row r="5648" spans="4:6" outlineLevel="1">
      <c r="D5648"/>
      <c r="E5648"/>
      <c r="F5648"/>
    </row>
    <row r="5649" spans="4:6" outlineLevel="1">
      <c r="D5649"/>
      <c r="E5649"/>
      <c r="F5649"/>
    </row>
    <row r="5650" spans="4:6" outlineLevel="1">
      <c r="D5650"/>
      <c r="E5650"/>
      <c r="F5650"/>
    </row>
    <row r="5651" spans="4:6" outlineLevel="1">
      <c r="D5651"/>
      <c r="E5651"/>
      <c r="F5651"/>
    </row>
    <row r="5652" spans="4:6" outlineLevel="1">
      <c r="D5652"/>
      <c r="E5652"/>
      <c r="F5652"/>
    </row>
    <row r="5653" spans="4:6" outlineLevel="1">
      <c r="D5653"/>
      <c r="E5653"/>
      <c r="F5653"/>
    </row>
    <row r="5654" spans="4:6" outlineLevel="1">
      <c r="D5654"/>
      <c r="E5654"/>
      <c r="F5654"/>
    </row>
    <row r="5655" spans="4:6" outlineLevel="1">
      <c r="D5655"/>
      <c r="E5655"/>
      <c r="F5655"/>
    </row>
    <row r="5656" spans="4:6" outlineLevel="1">
      <c r="D5656"/>
      <c r="E5656"/>
      <c r="F5656"/>
    </row>
    <row r="5657" spans="4:6" outlineLevel="1">
      <c r="D5657"/>
      <c r="E5657"/>
      <c r="F5657"/>
    </row>
    <row r="5658" spans="4:6" outlineLevel="1">
      <c r="D5658"/>
      <c r="E5658"/>
      <c r="F5658"/>
    </row>
    <row r="5659" spans="4:6">
      <c r="D5659"/>
      <c r="E5659"/>
      <c r="F5659"/>
    </row>
    <row r="5660" spans="4:6">
      <c r="D5660"/>
      <c r="E5660"/>
      <c r="F5660"/>
    </row>
    <row r="5661" spans="4:6">
      <c r="D5661"/>
      <c r="E5661"/>
      <c r="F5661"/>
    </row>
    <row r="5662" spans="4:6">
      <c r="D5662"/>
      <c r="E5662"/>
      <c r="F5662"/>
    </row>
    <row r="5663" spans="4:6">
      <c r="D5663"/>
      <c r="E5663"/>
      <c r="F5663"/>
    </row>
    <row r="5664" spans="4:6">
      <c r="D5664"/>
      <c r="E5664"/>
      <c r="F5664"/>
    </row>
    <row r="5665" spans="4:6">
      <c r="D5665"/>
      <c r="E5665"/>
      <c r="F5665"/>
    </row>
    <row r="5666" spans="4:6">
      <c r="D5666"/>
      <c r="E5666"/>
      <c r="F5666"/>
    </row>
    <row r="5667" spans="4:6">
      <c r="D5667"/>
      <c r="E5667"/>
      <c r="F5667"/>
    </row>
    <row r="5668" spans="4:6">
      <c r="D5668"/>
      <c r="E5668"/>
      <c r="F5668"/>
    </row>
    <row r="5669" spans="4:6">
      <c r="D5669"/>
      <c r="E5669"/>
      <c r="F5669"/>
    </row>
    <row r="5670" spans="4:6">
      <c r="D5670"/>
      <c r="E5670"/>
      <c r="F5670"/>
    </row>
    <row r="5671" spans="4:6">
      <c r="D5671"/>
      <c r="E5671"/>
      <c r="F5671"/>
    </row>
    <row r="5672" spans="4:6">
      <c r="D5672"/>
      <c r="E5672"/>
      <c r="F5672"/>
    </row>
    <row r="5673" spans="4:6">
      <c r="D5673"/>
      <c r="E5673"/>
      <c r="F5673"/>
    </row>
    <row r="5674" spans="4:6">
      <c r="D5674"/>
      <c r="E5674"/>
      <c r="F5674"/>
    </row>
    <row r="5675" spans="4:6">
      <c r="D5675"/>
      <c r="E5675"/>
      <c r="F5675"/>
    </row>
    <row r="5676" spans="4:6">
      <c r="D5676"/>
      <c r="E5676"/>
      <c r="F5676"/>
    </row>
    <row r="5677" spans="4:6">
      <c r="D5677"/>
      <c r="E5677"/>
      <c r="F5677"/>
    </row>
    <row r="5678" spans="4:6">
      <c r="D5678"/>
      <c r="E5678"/>
      <c r="F5678"/>
    </row>
    <row r="5679" spans="4:6">
      <c r="D5679"/>
      <c r="E5679"/>
      <c r="F5679"/>
    </row>
    <row r="5680" spans="4:6">
      <c r="D5680"/>
      <c r="E5680"/>
      <c r="F5680"/>
    </row>
    <row r="5681" spans="4:6">
      <c r="D5681"/>
      <c r="E5681"/>
      <c r="F5681"/>
    </row>
    <row r="5682" spans="4:6">
      <c r="D5682"/>
      <c r="E5682"/>
      <c r="F5682"/>
    </row>
    <row r="5683" spans="4:6">
      <c r="D5683"/>
      <c r="E5683"/>
      <c r="F5683"/>
    </row>
    <row r="5684" spans="4:6">
      <c r="D5684"/>
      <c r="E5684"/>
      <c r="F5684"/>
    </row>
    <row r="5685" spans="4:6">
      <c r="D5685"/>
      <c r="E5685"/>
      <c r="F5685"/>
    </row>
    <row r="5686" spans="4:6">
      <c r="D5686"/>
      <c r="E5686"/>
      <c r="F5686"/>
    </row>
    <row r="5687" spans="4:6">
      <c r="D5687"/>
      <c r="E5687"/>
      <c r="F5687"/>
    </row>
    <row r="5688" spans="4:6">
      <c r="D5688"/>
      <c r="E5688"/>
      <c r="F5688"/>
    </row>
    <row r="5689" spans="4:6">
      <c r="D5689"/>
      <c r="E5689"/>
      <c r="F5689"/>
    </row>
    <row r="5690" spans="4:6">
      <c r="D5690"/>
      <c r="E5690"/>
      <c r="F5690"/>
    </row>
    <row r="5691" spans="4:6">
      <c r="D5691"/>
      <c r="E5691"/>
      <c r="F5691"/>
    </row>
    <row r="5692" spans="4:6">
      <c r="D5692"/>
      <c r="E5692"/>
      <c r="F5692"/>
    </row>
    <row r="5693" spans="4:6">
      <c r="D5693"/>
      <c r="E5693"/>
      <c r="F5693"/>
    </row>
    <row r="5694" spans="4:6">
      <c r="D5694"/>
      <c r="E5694"/>
      <c r="F5694"/>
    </row>
    <row r="5695" spans="4:6">
      <c r="D5695"/>
      <c r="E5695"/>
      <c r="F5695"/>
    </row>
    <row r="5696" spans="4:6">
      <c r="D5696"/>
      <c r="E5696"/>
      <c r="F5696"/>
    </row>
    <row r="5697" spans="4:6">
      <c r="D5697"/>
      <c r="E5697"/>
      <c r="F5697"/>
    </row>
    <row r="5698" spans="4:6">
      <c r="D5698"/>
      <c r="E5698"/>
      <c r="F5698"/>
    </row>
    <row r="5699" spans="4:6">
      <c r="D5699"/>
      <c r="E5699"/>
      <c r="F5699"/>
    </row>
  </sheetData>
  <dataValidations count="1">
    <dataValidation type="textLength" errorStyle="information" allowBlank="1" showInputMessage="1" showErrorMessage="1" error="XLBVal:8=_x000d__x000a_XLBRowCount:3=403_x000d__x000a_XLBColCount:3=22_x000d__x000a_Style:2=2_x000d__x000a_" sqref="A10" xr:uid="{00000000-0002-0000-0500-000000000000}">
      <formula1>0</formula1>
      <formula2>300</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
  <sheetViews>
    <sheetView workbookViewId="0">
      <selection activeCell="D4" sqref="D4"/>
    </sheetView>
  </sheetViews>
  <sheetFormatPr defaultRowHeight="15"/>
  <cols>
    <col min="1" max="1" width="35.85546875" style="218" customWidth="1"/>
    <col min="2" max="2" width="14.85546875" style="218" customWidth="1"/>
    <col min="3" max="4" width="14.28515625" style="218" customWidth="1"/>
    <col min="5" max="5" width="23" style="218" customWidth="1"/>
    <col min="6" max="16384" width="9.140625" style="218"/>
  </cols>
  <sheetData>
    <row r="1" spans="1:5" ht="39">
      <c r="A1" s="122" t="s">
        <v>343</v>
      </c>
      <c r="B1" s="122" t="s">
        <v>336</v>
      </c>
      <c r="C1" s="122" t="s">
        <v>337</v>
      </c>
      <c r="D1" s="122" t="s">
        <v>338</v>
      </c>
      <c r="E1" s="123" t="s">
        <v>339</v>
      </c>
    </row>
    <row r="2" spans="1:5">
      <c r="A2" s="124" t="s">
        <v>327</v>
      </c>
      <c r="B2" s="120">
        <v>113421</v>
      </c>
      <c r="C2" s="119" t="s">
        <v>309</v>
      </c>
      <c r="D2" s="121">
        <v>1</v>
      </c>
      <c r="E2" s="174">
        <f>SUMIF('DETAILED REPROT-Q4'!$D$19:$D$139,'SUMMARY REPORT Q4'!A2,'DETAILED REPROT-Q4'!$S$19:$S$139)</f>
        <v>258311.14999999994</v>
      </c>
    </row>
    <row r="3" spans="1:5">
      <c r="A3" s="124" t="s">
        <v>326</v>
      </c>
      <c r="B3" s="120">
        <v>113421</v>
      </c>
      <c r="C3" s="119" t="s">
        <v>309</v>
      </c>
      <c r="D3" s="121">
        <v>2</v>
      </c>
      <c r="E3" s="174">
        <f>SUMIF('DETAILED REPROT-Q4'!$D$19:$D$139,'SUMMARY REPORT Q4'!A3,'DETAILED REPROT-Q4'!$S$19:$S$139)</f>
        <v>125418.96999999999</v>
      </c>
    </row>
    <row r="4" spans="1:5" ht="25.5">
      <c r="A4" s="124" t="s">
        <v>331</v>
      </c>
      <c r="B4" s="120">
        <v>113421</v>
      </c>
      <c r="C4" s="119" t="s">
        <v>309</v>
      </c>
      <c r="D4" s="121">
        <v>3</v>
      </c>
      <c r="E4" s="174">
        <f>SUMIF('DETAILED REPROT-Q4'!$D$19:$D$139,'SUMMARY REPORT Q4'!A4,'DETAILED REPROT-Q4'!$S$19:$S$139)</f>
        <v>2855.99</v>
      </c>
    </row>
    <row r="5" spans="1:5">
      <c r="A5" s="124" t="s">
        <v>329</v>
      </c>
      <c r="B5" s="120">
        <v>113421</v>
      </c>
      <c r="C5" s="119" t="s">
        <v>309</v>
      </c>
      <c r="D5" s="121">
        <v>4</v>
      </c>
      <c r="E5" s="174">
        <f>SUMIF('DETAILED REPROT-Q4'!$D$19:$D$139,'SUMMARY REPORT Q4'!A5,'DETAILED REPROT-Q4'!$S$19:$S$139)</f>
        <v>2512.4499999999998</v>
      </c>
    </row>
    <row r="6" spans="1:5">
      <c r="A6" s="124" t="s">
        <v>330</v>
      </c>
      <c r="B6" s="120">
        <v>113421</v>
      </c>
      <c r="C6" s="119" t="s">
        <v>309</v>
      </c>
      <c r="D6" s="121">
        <v>5</v>
      </c>
      <c r="E6" s="174">
        <f>SUMIF('DETAILED REPROT-Q4'!$D$19:$D$139,'SUMMARY REPORT Q4'!A6,'DETAILED REPROT-Q4'!$S$19:$S$139)</f>
        <v>8805.68</v>
      </c>
    </row>
    <row r="7" spans="1:5">
      <c r="A7" s="124" t="s">
        <v>325</v>
      </c>
      <c r="B7" s="120">
        <v>113421</v>
      </c>
      <c r="C7" s="119" t="s">
        <v>309</v>
      </c>
      <c r="D7" s="121">
        <v>6</v>
      </c>
      <c r="E7" s="174">
        <f>SUMIF('DETAILED REPROT-Q4'!$D$19:$D$139,'SUMMARY REPORT Q4'!A7,'DETAILED REPROT-Q4'!$S$19:$S$139)</f>
        <v>228198.32999999996</v>
      </c>
    </row>
    <row r="8" spans="1:5">
      <c r="A8" s="124" t="s">
        <v>328</v>
      </c>
      <c r="B8" s="120">
        <v>113421</v>
      </c>
      <c r="C8" s="119" t="s">
        <v>309</v>
      </c>
      <c r="D8" s="121">
        <v>7</v>
      </c>
      <c r="E8" s="174">
        <f>SUMIF('DETAILED REPROT-Q4'!$D$19:$D$139,'SUMMARY REPORT Q4'!A8,'DETAILED REPROT-Q4'!$S$19:$S$139)</f>
        <v>47624.15</v>
      </c>
    </row>
    <row r="9" spans="1:5">
      <c r="A9" s="124" t="s">
        <v>332</v>
      </c>
      <c r="B9" s="120">
        <v>113421</v>
      </c>
      <c r="C9" s="119" t="s">
        <v>309</v>
      </c>
      <c r="D9" s="121">
        <v>8</v>
      </c>
      <c r="E9" s="174">
        <f>SUMIF('DETAILED REPROT-Q4'!$D$19:$D$139,'SUMMARY REPORT Q4'!A9,'DETAILED REPROT-Q4'!$S$19:$S$139)</f>
        <v>47052.735699416829</v>
      </c>
    </row>
    <row r="10" spans="1:5">
      <c r="A10" s="124" t="s">
        <v>340</v>
      </c>
      <c r="B10" s="120">
        <v>113421</v>
      </c>
      <c r="C10" s="119" t="s">
        <v>309</v>
      </c>
      <c r="D10" s="121">
        <v>9</v>
      </c>
      <c r="E10" s="174">
        <f>SUMIF('DETAILED REPROT-Q4'!$D$19:$D$140,'SUMMARY REPORT Q4'!A10,'DETAILED REPROT-Q4'!$O$19:$O$140)</f>
        <v>0</v>
      </c>
    </row>
    <row r="11" spans="1:5">
      <c r="A11" s="124" t="s">
        <v>341</v>
      </c>
      <c r="B11" s="120">
        <v>113421</v>
      </c>
      <c r="C11" s="119" t="s">
        <v>309</v>
      </c>
      <c r="D11" s="121">
        <v>10</v>
      </c>
      <c r="E11" s="174">
        <f>SUMIF('DETAILED REPROT-Q4'!$D$19:$D$140,'SUMMARY REPORT Q4'!A11,'DETAILED REPROT-Q4'!$O$19:$O$140)</f>
        <v>0</v>
      </c>
    </row>
    <row r="12" spans="1:5">
      <c r="A12" s="124" t="s">
        <v>342</v>
      </c>
      <c r="B12" s="120">
        <v>113421</v>
      </c>
      <c r="C12" s="119" t="s">
        <v>309</v>
      </c>
      <c r="D12" s="121">
        <v>11</v>
      </c>
      <c r="E12" s="174">
        <f>SUMIF('DETAILED REPROT-Q4'!$D$19:$D$140,'SUMMARY REPORT Q4'!A12,'DETAILED REPROT-Q4'!$O$19:$O$140)</f>
        <v>0</v>
      </c>
    </row>
    <row r="13" spans="1:5">
      <c r="E13" s="11">
        <f>SUM(E2:E12)</f>
        <v>720779.45569941669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3"/>
  <sheetViews>
    <sheetView workbookViewId="0">
      <selection activeCell="E2" sqref="E2"/>
    </sheetView>
  </sheetViews>
  <sheetFormatPr defaultRowHeight="15"/>
  <cols>
    <col min="1" max="1" width="35.85546875" customWidth="1"/>
    <col min="2" max="2" width="14.85546875" customWidth="1"/>
    <col min="3" max="4" width="14.28515625" customWidth="1"/>
    <col min="5" max="5" width="23" customWidth="1"/>
  </cols>
  <sheetData>
    <row r="1" spans="1:5" ht="39">
      <c r="A1" s="122" t="s">
        <v>343</v>
      </c>
      <c r="B1" s="122" t="s">
        <v>336</v>
      </c>
      <c r="C1" s="122" t="s">
        <v>337</v>
      </c>
      <c r="D1" s="122" t="s">
        <v>338</v>
      </c>
      <c r="E1" s="123" t="s">
        <v>339</v>
      </c>
    </row>
    <row r="2" spans="1:5">
      <c r="A2" s="124" t="s">
        <v>327</v>
      </c>
      <c r="B2" s="120">
        <v>113421</v>
      </c>
      <c r="C2" s="119" t="s">
        <v>309</v>
      </c>
      <c r="D2" s="121">
        <v>1</v>
      </c>
      <c r="E2" s="174">
        <f>SUMIF('DETAILED REPROT-Q4'!$D$19:$D$140,'SUMMARY REPORT-Q3'!A2,'DETAILED REPROT-Q4'!$O$19:$O$140)</f>
        <v>51457.82</v>
      </c>
    </row>
    <row r="3" spans="1:5">
      <c r="A3" s="124" t="s">
        <v>326</v>
      </c>
      <c r="B3" s="120">
        <v>113421</v>
      </c>
      <c r="C3" s="119" t="s">
        <v>309</v>
      </c>
      <c r="D3" s="121">
        <v>2</v>
      </c>
      <c r="E3" s="174">
        <f>SUMIF('DETAILED REPROT-Q4'!$D$19:$D$140,'SUMMARY REPORT-Q3'!A3,'DETAILED REPROT-Q4'!$O$19:$O$140)</f>
        <v>36403.01</v>
      </c>
    </row>
    <row r="4" spans="1:5" ht="25.5">
      <c r="A4" s="124" t="s">
        <v>331</v>
      </c>
      <c r="B4" s="120">
        <v>113421</v>
      </c>
      <c r="C4" s="119" t="s">
        <v>309</v>
      </c>
      <c r="D4" s="121">
        <v>3</v>
      </c>
      <c r="E4" s="174">
        <f>SUMIF('DETAILED REPROT-Q4'!$D$19:$D$140,'SUMMARY REPORT-Q3'!A4,'DETAILED REPROT-Q4'!$O$19:$O$140)</f>
        <v>2099.9899999999998</v>
      </c>
    </row>
    <row r="5" spans="1:5">
      <c r="A5" s="124" t="s">
        <v>329</v>
      </c>
      <c r="B5" s="120">
        <v>113421</v>
      </c>
      <c r="C5" s="119" t="s">
        <v>309</v>
      </c>
      <c r="D5" s="121">
        <v>4</v>
      </c>
      <c r="E5" s="174">
        <f>SUMIF('DETAILED REPROT-Q4'!$D$19:$D$140,'SUMMARY REPORT-Q3'!A5,'DETAILED REPROT-Q4'!$O$19:$O$140)</f>
        <v>752.74</v>
      </c>
    </row>
    <row r="6" spans="1:5">
      <c r="A6" s="124" t="s">
        <v>330</v>
      </c>
      <c r="B6" s="120">
        <v>113421</v>
      </c>
      <c r="C6" s="119" t="s">
        <v>309</v>
      </c>
      <c r="D6" s="121">
        <v>5</v>
      </c>
      <c r="E6" s="174">
        <f>SUMIF('DETAILED REPROT-Q4'!$D$19:$D$140,'SUMMARY REPORT-Q3'!A6,'DETAILED REPROT-Q4'!$O$19:$O$140)</f>
        <v>1509.52</v>
      </c>
    </row>
    <row r="7" spans="1:5">
      <c r="A7" s="124" t="s">
        <v>325</v>
      </c>
      <c r="B7" s="120">
        <v>113421</v>
      </c>
      <c r="C7" s="119" t="s">
        <v>309</v>
      </c>
      <c r="D7" s="121">
        <v>6</v>
      </c>
      <c r="E7" s="174">
        <f>SUMIF('DETAILED REPROT-Q4'!$D$19:$D$140,'SUMMARY REPORT-Q3'!A7,'DETAILED REPROT-Q4'!$O$19:$O$140)</f>
        <v>59875.07</v>
      </c>
    </row>
    <row r="8" spans="1:5">
      <c r="A8" s="124" t="s">
        <v>328</v>
      </c>
      <c r="B8" s="120">
        <v>113421</v>
      </c>
      <c r="C8" s="119" t="s">
        <v>309</v>
      </c>
      <c r="D8" s="121">
        <v>7</v>
      </c>
      <c r="E8" s="174">
        <f>SUMIF('DETAILED REPROT-Q4'!$D$19:$D$140,'SUMMARY REPORT-Q3'!A8,'DETAILED REPROT-Q4'!$O$19:$O$140)</f>
        <v>10065.310000000001</v>
      </c>
    </row>
    <row r="9" spans="1:5">
      <c r="A9" s="124" t="s">
        <v>332</v>
      </c>
      <c r="B9" s="120">
        <v>113421</v>
      </c>
      <c r="C9" s="119" t="s">
        <v>309</v>
      </c>
      <c r="D9" s="121">
        <v>8</v>
      </c>
      <c r="E9" s="174">
        <f>SUMIF('DETAILED REPROT-Q4'!$D$19:$D$140,'SUMMARY REPORT-Q3'!A9,'DETAILED REPROT-Q4'!$O$19:$O$140)</f>
        <v>11301.14</v>
      </c>
    </row>
    <row r="10" spans="1:5">
      <c r="A10" s="124" t="s">
        <v>340</v>
      </c>
      <c r="B10" s="120">
        <v>113421</v>
      </c>
      <c r="C10" s="119" t="s">
        <v>309</v>
      </c>
      <c r="D10" s="121">
        <v>9</v>
      </c>
      <c r="E10" s="174">
        <f>SUMIF('DETAILED REPROT-Q4'!$D$19:$D$140,'SUMMARY REPORT-Q3'!A10,'DETAILED REPROT-Q4'!$O$19:$O$140)</f>
        <v>0</v>
      </c>
    </row>
    <row r="11" spans="1:5">
      <c r="A11" s="124" t="s">
        <v>341</v>
      </c>
      <c r="B11" s="120">
        <v>113421</v>
      </c>
      <c r="C11" s="119" t="s">
        <v>309</v>
      </c>
      <c r="D11" s="121">
        <v>10</v>
      </c>
      <c r="E11" s="174">
        <f>SUMIF('DETAILED REPROT-Q4'!$D$19:$D$140,'SUMMARY REPORT-Q3'!A11,'DETAILED REPROT-Q4'!$O$19:$O$140)</f>
        <v>0</v>
      </c>
    </row>
    <row r="12" spans="1:5">
      <c r="A12" s="124" t="s">
        <v>342</v>
      </c>
      <c r="B12" s="120">
        <v>113421</v>
      </c>
      <c r="C12" s="119" t="s">
        <v>309</v>
      </c>
      <c r="D12" s="121">
        <v>11</v>
      </c>
      <c r="E12" s="174">
        <f>SUMIF('DETAILED REPROT-Q4'!$D$19:$D$140,'SUMMARY REPORT-Q3'!A12,'DETAILED REPROT-Q4'!$O$19:$O$140)</f>
        <v>0</v>
      </c>
    </row>
    <row r="13" spans="1:5">
      <c r="E13" s="11">
        <f>SUM(E2:E12)</f>
        <v>173464.60000000003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687"/>
  <sheetViews>
    <sheetView topLeftCell="D1" workbookViewId="0">
      <selection activeCell="E11" sqref="E11"/>
    </sheetView>
  </sheetViews>
  <sheetFormatPr defaultColWidth="9.140625" defaultRowHeight="15" outlineLevelRow="1"/>
  <cols>
    <col min="1" max="1" width="16.85546875" bestFit="1" customWidth="1"/>
    <col min="2" max="2" width="18.140625" bestFit="1" customWidth="1"/>
    <col min="3" max="3" width="17" bestFit="1" customWidth="1"/>
    <col min="4" max="4" width="34.85546875" bestFit="1" customWidth="1"/>
    <col min="5" max="5" width="52.28515625" bestFit="1" customWidth="1"/>
    <col min="6" max="6" width="11.140625" style="129" bestFit="1" customWidth="1"/>
    <col min="7" max="7" width="19.28515625" bestFit="1" customWidth="1"/>
    <col min="8" max="8" width="20" bestFit="1" customWidth="1"/>
    <col min="9" max="9" width="14.7109375" bestFit="1" customWidth="1"/>
    <col min="10" max="10" width="21.42578125" bestFit="1" customWidth="1"/>
    <col min="11" max="11" width="14" bestFit="1" customWidth="1"/>
    <col min="12" max="12" width="19.7109375" bestFit="1" customWidth="1"/>
    <col min="13" max="13" width="19.5703125" bestFit="1" customWidth="1"/>
    <col min="14" max="14" width="13.85546875" bestFit="1" customWidth="1"/>
    <col min="15" max="15" width="13.42578125" bestFit="1" customWidth="1"/>
    <col min="16" max="16" width="10.140625" bestFit="1" customWidth="1"/>
    <col min="17" max="17" width="12.85546875" bestFit="1" customWidth="1"/>
    <col min="18" max="18" width="18.28515625" bestFit="1" customWidth="1"/>
    <col min="19" max="19" width="5.85546875" bestFit="1" customWidth="1"/>
    <col min="20" max="20" width="2.28515625" bestFit="1" customWidth="1"/>
    <col min="21" max="21" width="7.42578125" bestFit="1" customWidth="1"/>
    <col min="22" max="22" width="4" bestFit="1" customWidth="1"/>
    <col min="23" max="23" width="35.42578125" customWidth="1"/>
  </cols>
  <sheetData>
    <row r="1" spans="1:22" ht="15.75" thickBot="1">
      <c r="A1" s="125"/>
      <c r="B1" s="126"/>
      <c r="C1" s="126"/>
      <c r="D1" s="177"/>
    </row>
    <row r="2" spans="1:22" ht="15.75" thickBot="1">
      <c r="A2" s="130"/>
      <c r="B2" s="178" t="s">
        <v>344</v>
      </c>
      <c r="C2" s="132" t="s">
        <v>345</v>
      </c>
      <c r="D2" s="179"/>
    </row>
    <row r="3" spans="1:22" ht="15.75" thickBot="1">
      <c r="A3" s="130"/>
      <c r="B3" s="178" t="s">
        <v>346</v>
      </c>
      <c r="C3" s="132" t="s">
        <v>747</v>
      </c>
      <c r="D3" s="179"/>
    </row>
    <row r="4" spans="1:22" ht="15.75" thickBot="1">
      <c r="A4" s="130"/>
      <c r="B4" s="178" t="s">
        <v>348</v>
      </c>
      <c r="C4" s="132" t="s">
        <v>748</v>
      </c>
      <c r="D4" s="179"/>
    </row>
    <row r="5" spans="1:22" ht="15.75" thickBot="1">
      <c r="A5" s="130"/>
      <c r="B5" s="178" t="s">
        <v>350</v>
      </c>
      <c r="C5" s="132">
        <v>4000</v>
      </c>
      <c r="D5" s="179"/>
    </row>
    <row r="6" spans="1:22" ht="15.75" thickBot="1">
      <c r="A6" s="130"/>
      <c r="B6" s="178" t="s">
        <v>351</v>
      </c>
      <c r="C6" s="132">
        <v>9999</v>
      </c>
      <c r="D6" s="179"/>
    </row>
    <row r="7" spans="1:22" ht="15.75" thickBot="1">
      <c r="A7" s="130"/>
      <c r="B7" s="178" t="s">
        <v>352</v>
      </c>
      <c r="C7" s="134" t="s">
        <v>309</v>
      </c>
      <c r="D7" s="179"/>
    </row>
    <row r="8" spans="1:22" ht="15.75" thickBot="1">
      <c r="A8" s="135"/>
      <c r="B8" s="136"/>
      <c r="C8" s="136"/>
      <c r="D8" s="180"/>
    </row>
    <row r="10" spans="1:22">
      <c r="A10" s="181" t="e">
        <f ca="1">[1]!AG_DTRT("0,Detail Report 1,1",'[2]AP21RR-004-19'!$C$2,'[2]AP21RR-004-19'!$C$5,'[2]AP21RR-004-19'!$C$6,'[2]AP21RR-004-19'!$C$3,'[2]AP21RR-004-19'!$C$4,'[2]AP21RR-004-19'!$C$7,'[2]AP21RR-004-19'!$C$7)</f>
        <v>#NAME?</v>
      </c>
      <c r="B10" s="181"/>
      <c r="C10" s="181"/>
      <c r="D10" s="181"/>
      <c r="E10" s="182"/>
      <c r="F10" s="183"/>
      <c r="G10" s="184"/>
      <c r="H10" s="181"/>
      <c r="I10" s="181"/>
      <c r="J10" s="181"/>
      <c r="K10" s="181"/>
      <c r="L10" s="181"/>
      <c r="M10" s="185"/>
      <c r="N10" s="185"/>
      <c r="O10" s="181"/>
      <c r="P10" s="181"/>
      <c r="Q10" s="181"/>
      <c r="R10" s="181"/>
      <c r="S10" s="181"/>
      <c r="T10" s="181"/>
      <c r="U10" s="181"/>
      <c r="V10" s="181"/>
    </row>
    <row r="11" spans="1:22" s="147" customFormat="1" ht="74.25" customHeight="1">
      <c r="A11" s="186" t="s">
        <v>353</v>
      </c>
      <c r="B11" s="186" t="s">
        <v>354</v>
      </c>
      <c r="C11" s="186" t="s">
        <v>355</v>
      </c>
      <c r="D11" s="186" t="s">
        <v>356</v>
      </c>
      <c r="E11" s="186" t="s">
        <v>357</v>
      </c>
      <c r="F11" s="187" t="s">
        <v>358</v>
      </c>
      <c r="G11" s="188" t="s">
        <v>359</v>
      </c>
      <c r="H11" s="186" t="s">
        <v>360</v>
      </c>
      <c r="I11" s="186" t="s">
        <v>361</v>
      </c>
      <c r="J11" s="186" t="s">
        <v>362</v>
      </c>
      <c r="K11" s="186" t="s">
        <v>363</v>
      </c>
      <c r="L11" s="186" t="s">
        <v>364</v>
      </c>
      <c r="M11" s="189" t="s">
        <v>365</v>
      </c>
      <c r="N11" s="186" t="s">
        <v>366</v>
      </c>
      <c r="O11" s="186" t="s">
        <v>367</v>
      </c>
      <c r="P11" s="186" t="s">
        <v>368</v>
      </c>
      <c r="Q11" s="186" t="s">
        <v>369</v>
      </c>
      <c r="R11" s="186" t="s">
        <v>370</v>
      </c>
      <c r="S11" s="186"/>
      <c r="T11" s="186"/>
      <c r="U11" s="186"/>
      <c r="V11" s="186"/>
    </row>
    <row r="12" spans="1:22" outlineLevel="1">
      <c r="A12" s="181" t="s">
        <v>379</v>
      </c>
      <c r="B12" s="181" t="s">
        <v>748</v>
      </c>
      <c r="C12" s="190">
        <v>43650</v>
      </c>
      <c r="D12" s="181" t="s">
        <v>745</v>
      </c>
      <c r="E12" s="182" t="s">
        <v>372</v>
      </c>
      <c r="F12" s="183">
        <v>76193</v>
      </c>
      <c r="G12" s="184">
        <v>-7.1</v>
      </c>
      <c r="H12" s="181">
        <v>-9.06</v>
      </c>
      <c r="I12" s="181" t="s">
        <v>292</v>
      </c>
      <c r="J12" s="191">
        <v>-8.9600000000000009</v>
      </c>
      <c r="K12" s="192" t="s">
        <v>380</v>
      </c>
      <c r="L12" s="193" t="s">
        <v>374</v>
      </c>
      <c r="M12" s="193" t="s">
        <v>309</v>
      </c>
      <c r="N12" s="193"/>
      <c r="O12" s="193"/>
      <c r="P12" s="193" t="s">
        <v>381</v>
      </c>
      <c r="Q12" s="193" t="s">
        <v>295</v>
      </c>
      <c r="R12" s="193" t="s">
        <v>379</v>
      </c>
      <c r="S12" s="181"/>
      <c r="T12" s="181" t="s">
        <v>381</v>
      </c>
      <c r="U12" s="181" t="s">
        <v>295</v>
      </c>
      <c r="V12" s="181" t="s">
        <v>379</v>
      </c>
    </row>
    <row r="13" spans="1:22">
      <c r="A13" s="194" t="s">
        <v>378</v>
      </c>
      <c r="B13" s="194"/>
      <c r="C13" s="194"/>
      <c r="D13" s="194"/>
      <c r="E13" s="195"/>
      <c r="F13" s="196"/>
      <c r="G13" s="197">
        <f>SUM(G12:G12)</f>
        <v>-7.1</v>
      </c>
      <c r="H13" s="198">
        <f>SUM(H12:H12)</f>
        <v>-9.06</v>
      </c>
      <c r="I13" s="194"/>
      <c r="J13" s="198">
        <f>SUM(J12:J12)</f>
        <v>-8.9600000000000009</v>
      </c>
      <c r="K13" s="194"/>
      <c r="L13" s="194"/>
      <c r="M13" s="194"/>
      <c r="N13" s="194"/>
      <c r="O13" s="194"/>
      <c r="P13" s="194"/>
      <c r="Q13" s="194"/>
      <c r="R13" s="194"/>
      <c r="S13" s="181"/>
      <c r="T13" s="181"/>
      <c r="U13" s="181"/>
      <c r="V13" s="181"/>
    </row>
    <row r="14" spans="1:22" outlineLevel="1">
      <c r="A14" s="199" t="s">
        <v>199</v>
      </c>
      <c r="B14" s="181" t="s">
        <v>748</v>
      </c>
      <c r="C14" s="190">
        <v>43496</v>
      </c>
      <c r="D14" s="181" t="s">
        <v>749</v>
      </c>
      <c r="E14" s="182" t="s">
        <v>384</v>
      </c>
      <c r="F14" s="183">
        <v>76193</v>
      </c>
      <c r="G14" s="184">
        <v>-289.64</v>
      </c>
      <c r="H14" s="181">
        <v>-289.64</v>
      </c>
      <c r="I14" s="181" t="s">
        <v>293</v>
      </c>
      <c r="J14" s="191">
        <v>-365.59</v>
      </c>
      <c r="K14" s="192" t="s">
        <v>385</v>
      </c>
      <c r="L14" s="193" t="s">
        <v>374</v>
      </c>
      <c r="M14" s="193" t="s">
        <v>309</v>
      </c>
      <c r="N14" s="193" t="s">
        <v>386</v>
      </c>
      <c r="O14" s="193"/>
      <c r="P14" s="193" t="s">
        <v>381</v>
      </c>
      <c r="Q14" s="193" t="s">
        <v>295</v>
      </c>
      <c r="R14" s="193" t="s">
        <v>379</v>
      </c>
      <c r="S14" s="181"/>
      <c r="T14" s="181" t="s">
        <v>381</v>
      </c>
      <c r="U14" s="181" t="s">
        <v>295</v>
      </c>
      <c r="V14" s="181" t="s">
        <v>379</v>
      </c>
    </row>
    <row r="15" spans="1:22" s="200" customFormat="1" outlineLevel="1">
      <c r="A15" s="199" t="s">
        <v>199</v>
      </c>
      <c r="B15" s="181" t="s">
        <v>748</v>
      </c>
      <c r="C15" s="190">
        <v>43496</v>
      </c>
      <c r="D15" s="181" t="s">
        <v>749</v>
      </c>
      <c r="E15" s="182" t="s">
        <v>387</v>
      </c>
      <c r="F15" s="183">
        <v>76193</v>
      </c>
      <c r="G15" s="184">
        <v>-14.48</v>
      </c>
      <c r="H15" s="181">
        <v>-14.48</v>
      </c>
      <c r="I15" s="181" t="s">
        <v>293</v>
      </c>
      <c r="J15" s="191">
        <v>-18.28</v>
      </c>
      <c r="K15" s="192" t="s">
        <v>385</v>
      </c>
      <c r="L15" s="193" t="s">
        <v>374</v>
      </c>
      <c r="M15" s="193" t="s">
        <v>309</v>
      </c>
      <c r="N15" s="193" t="s">
        <v>386</v>
      </c>
      <c r="O15" s="193"/>
      <c r="P15" s="193" t="s">
        <v>388</v>
      </c>
      <c r="Q15" s="193" t="s">
        <v>295</v>
      </c>
      <c r="R15" s="192" t="s">
        <v>199</v>
      </c>
      <c r="S15" s="181"/>
      <c r="T15" s="181" t="s">
        <v>388</v>
      </c>
      <c r="U15" s="181" t="s">
        <v>295</v>
      </c>
      <c r="V15" s="199" t="s">
        <v>199</v>
      </c>
    </row>
    <row r="16" spans="1:22" s="200" customFormat="1" outlineLevel="1">
      <c r="A16" s="199" t="s">
        <v>199</v>
      </c>
      <c r="B16" s="181" t="s">
        <v>748</v>
      </c>
      <c r="C16" s="190">
        <v>43496</v>
      </c>
      <c r="D16" s="181" t="s">
        <v>749</v>
      </c>
      <c r="E16" s="182" t="s">
        <v>389</v>
      </c>
      <c r="F16" s="183">
        <v>76193</v>
      </c>
      <c r="G16" s="184">
        <v>-4.34</v>
      </c>
      <c r="H16" s="181">
        <v>-4.34</v>
      </c>
      <c r="I16" s="181" t="s">
        <v>293</v>
      </c>
      <c r="J16" s="191">
        <v>-5.48</v>
      </c>
      <c r="K16" s="192" t="s">
        <v>385</v>
      </c>
      <c r="L16" s="193" t="s">
        <v>374</v>
      </c>
      <c r="M16" s="193" t="s">
        <v>309</v>
      </c>
      <c r="N16" s="193" t="s">
        <v>386</v>
      </c>
      <c r="O16" s="193"/>
      <c r="P16" s="193" t="s">
        <v>390</v>
      </c>
      <c r="Q16" s="193" t="s">
        <v>295</v>
      </c>
      <c r="R16" s="192" t="s">
        <v>379</v>
      </c>
      <c r="S16" s="181"/>
      <c r="T16" s="181" t="s">
        <v>390</v>
      </c>
      <c r="U16" s="181" t="s">
        <v>295</v>
      </c>
      <c r="V16" s="199" t="s">
        <v>379</v>
      </c>
    </row>
    <row r="17" spans="1:22" s="200" customFormat="1" outlineLevel="1">
      <c r="A17" s="199" t="s">
        <v>199</v>
      </c>
      <c r="B17" s="181" t="s">
        <v>748</v>
      </c>
      <c r="C17" s="190">
        <v>43496</v>
      </c>
      <c r="D17" s="181" t="s">
        <v>749</v>
      </c>
      <c r="E17" s="182" t="s">
        <v>384</v>
      </c>
      <c r="F17" s="183">
        <v>76193</v>
      </c>
      <c r="G17" s="184">
        <v>-28.96</v>
      </c>
      <c r="H17" s="181">
        <v>-28.96</v>
      </c>
      <c r="I17" s="181" t="s">
        <v>293</v>
      </c>
      <c r="J17" s="191">
        <v>-36.549999999999997</v>
      </c>
      <c r="K17" s="192" t="s">
        <v>391</v>
      </c>
      <c r="L17" s="193" t="s">
        <v>374</v>
      </c>
      <c r="M17" s="193" t="s">
        <v>309</v>
      </c>
      <c r="N17" s="193" t="s">
        <v>386</v>
      </c>
      <c r="O17" s="193"/>
      <c r="P17" s="193" t="s">
        <v>381</v>
      </c>
      <c r="Q17" s="193" t="s">
        <v>295</v>
      </c>
      <c r="R17" s="192" t="s">
        <v>379</v>
      </c>
      <c r="S17" s="181"/>
      <c r="T17" s="181" t="s">
        <v>381</v>
      </c>
      <c r="U17" s="181" t="s">
        <v>295</v>
      </c>
      <c r="V17" s="199" t="s">
        <v>379</v>
      </c>
    </row>
    <row r="18" spans="1:22" outlineLevel="1">
      <c r="A18" s="199" t="s">
        <v>199</v>
      </c>
      <c r="B18" s="181" t="s">
        <v>748</v>
      </c>
      <c r="C18" s="190">
        <v>43496</v>
      </c>
      <c r="D18" s="181" t="s">
        <v>749</v>
      </c>
      <c r="E18" s="182" t="s">
        <v>384</v>
      </c>
      <c r="F18" s="183">
        <v>76193</v>
      </c>
      <c r="G18" s="184">
        <v>-35.130000000000003</v>
      </c>
      <c r="H18" s="181">
        <v>-35.130000000000003</v>
      </c>
      <c r="I18" s="181" t="s">
        <v>293</v>
      </c>
      <c r="J18" s="191">
        <v>-44.34</v>
      </c>
      <c r="K18" s="192" t="s">
        <v>392</v>
      </c>
      <c r="L18" s="193" t="s">
        <v>374</v>
      </c>
      <c r="M18" s="193" t="s">
        <v>309</v>
      </c>
      <c r="N18" s="193" t="s">
        <v>386</v>
      </c>
      <c r="O18" s="193"/>
      <c r="P18" s="193" t="s">
        <v>381</v>
      </c>
      <c r="Q18" s="193" t="s">
        <v>295</v>
      </c>
      <c r="R18" s="192" t="s">
        <v>379</v>
      </c>
      <c r="S18" s="181"/>
      <c r="T18" s="181" t="s">
        <v>381</v>
      </c>
      <c r="U18" s="181" t="s">
        <v>295</v>
      </c>
      <c r="V18" s="199" t="s">
        <v>379</v>
      </c>
    </row>
    <row r="19" spans="1:22" outlineLevel="1">
      <c r="A19" s="199" t="s">
        <v>199</v>
      </c>
      <c r="B19" s="181" t="s">
        <v>748</v>
      </c>
      <c r="C19" s="190">
        <v>43496</v>
      </c>
      <c r="D19" s="181" t="s">
        <v>749</v>
      </c>
      <c r="E19" s="182" t="s">
        <v>384</v>
      </c>
      <c r="F19" s="183">
        <v>76193</v>
      </c>
      <c r="G19" s="184">
        <v>35.130000000000003</v>
      </c>
      <c r="H19" s="181">
        <v>35.130000000000003</v>
      </c>
      <c r="I19" s="181" t="s">
        <v>293</v>
      </c>
      <c r="J19" s="191">
        <v>44.34</v>
      </c>
      <c r="K19" s="192" t="s">
        <v>392</v>
      </c>
      <c r="L19" s="193" t="s">
        <v>374</v>
      </c>
      <c r="M19" s="193" t="s">
        <v>309</v>
      </c>
      <c r="N19" s="193" t="s">
        <v>386</v>
      </c>
      <c r="O19" s="193"/>
      <c r="P19" s="193" t="s">
        <v>381</v>
      </c>
      <c r="Q19" s="193" t="s">
        <v>295</v>
      </c>
      <c r="R19" s="192" t="s">
        <v>379</v>
      </c>
      <c r="S19" s="181"/>
      <c r="T19" s="181" t="s">
        <v>381</v>
      </c>
      <c r="U19" s="181" t="s">
        <v>295</v>
      </c>
      <c r="V19" s="199" t="s">
        <v>379</v>
      </c>
    </row>
    <row r="20" spans="1:22" outlineLevel="1">
      <c r="A20" s="199" t="s">
        <v>199</v>
      </c>
      <c r="B20" s="181" t="s">
        <v>748</v>
      </c>
      <c r="C20" s="190">
        <v>43646</v>
      </c>
      <c r="D20" s="181" t="s">
        <v>750</v>
      </c>
      <c r="E20" s="182" t="s">
        <v>751</v>
      </c>
      <c r="F20" s="183">
        <v>76330</v>
      </c>
      <c r="G20" s="184">
        <v>3012.92</v>
      </c>
      <c r="H20" s="181">
        <v>4000</v>
      </c>
      <c r="I20" s="181" t="s">
        <v>292</v>
      </c>
      <c r="J20" s="191">
        <v>3803.01</v>
      </c>
      <c r="K20" s="192" t="s">
        <v>752</v>
      </c>
      <c r="L20" s="193" t="s">
        <v>396</v>
      </c>
      <c r="M20" s="193" t="s">
        <v>309</v>
      </c>
      <c r="N20" s="193"/>
      <c r="O20" s="193" t="s">
        <v>737</v>
      </c>
      <c r="P20" s="193" t="s">
        <v>381</v>
      </c>
      <c r="Q20" s="193" t="s">
        <v>295</v>
      </c>
      <c r="R20" s="192" t="s">
        <v>379</v>
      </c>
      <c r="S20" s="181" t="s">
        <v>737</v>
      </c>
      <c r="T20" s="181" t="s">
        <v>381</v>
      </c>
      <c r="U20" s="181" t="s">
        <v>295</v>
      </c>
      <c r="V20" s="199" t="s">
        <v>379</v>
      </c>
    </row>
    <row r="21" spans="1:22" outlineLevel="1">
      <c r="A21" s="199" t="s">
        <v>199</v>
      </c>
      <c r="B21" s="181" t="s">
        <v>748</v>
      </c>
      <c r="C21" s="190">
        <v>43646</v>
      </c>
      <c r="D21" s="181" t="s">
        <v>750</v>
      </c>
      <c r="E21" s="182" t="s">
        <v>753</v>
      </c>
      <c r="F21" s="183">
        <v>76340</v>
      </c>
      <c r="G21" s="184">
        <v>837.93</v>
      </c>
      <c r="H21" s="181">
        <v>980</v>
      </c>
      <c r="I21" s="181" t="s">
        <v>292</v>
      </c>
      <c r="J21" s="191">
        <v>980</v>
      </c>
      <c r="K21" s="192" t="s">
        <v>752</v>
      </c>
      <c r="L21" s="193" t="s">
        <v>396</v>
      </c>
      <c r="M21" s="193" t="s">
        <v>309</v>
      </c>
      <c r="N21" s="193"/>
      <c r="O21" s="193" t="s">
        <v>743</v>
      </c>
      <c r="P21" s="193" t="s">
        <v>381</v>
      </c>
      <c r="Q21" s="193" t="s">
        <v>295</v>
      </c>
      <c r="R21" s="192" t="s">
        <v>379</v>
      </c>
      <c r="S21" s="181" t="s">
        <v>743</v>
      </c>
      <c r="T21" s="181" t="s">
        <v>381</v>
      </c>
      <c r="U21" s="181" t="s">
        <v>295</v>
      </c>
      <c r="V21" s="199" t="s">
        <v>379</v>
      </c>
    </row>
    <row r="22" spans="1:22" outlineLevel="1">
      <c r="A22" s="199" t="s">
        <v>199</v>
      </c>
      <c r="B22" s="181" t="s">
        <v>748</v>
      </c>
      <c r="C22" s="190">
        <v>43646</v>
      </c>
      <c r="D22" s="181" t="s">
        <v>754</v>
      </c>
      <c r="E22" s="182" t="s">
        <v>755</v>
      </c>
      <c r="F22" s="183">
        <v>76341</v>
      </c>
      <c r="G22" s="184">
        <v>7.61</v>
      </c>
      <c r="H22" s="181">
        <v>10.1</v>
      </c>
      <c r="I22" s="181" t="s">
        <v>292</v>
      </c>
      <c r="J22" s="191">
        <v>10.1</v>
      </c>
      <c r="K22" s="192" t="s">
        <v>752</v>
      </c>
      <c r="L22" s="193" t="s">
        <v>396</v>
      </c>
      <c r="M22" s="193" t="s">
        <v>309</v>
      </c>
      <c r="N22" s="193"/>
      <c r="O22" s="193" t="s">
        <v>740</v>
      </c>
      <c r="P22" s="193" t="s">
        <v>381</v>
      </c>
      <c r="Q22" s="193" t="s">
        <v>295</v>
      </c>
      <c r="R22" s="192" t="s">
        <v>379</v>
      </c>
      <c r="S22" s="181" t="s">
        <v>740</v>
      </c>
      <c r="T22" s="181" t="s">
        <v>381</v>
      </c>
      <c r="U22" s="181" t="s">
        <v>295</v>
      </c>
      <c r="V22" s="199" t="s">
        <v>379</v>
      </c>
    </row>
    <row r="23" spans="1:22" outlineLevel="1">
      <c r="A23" s="199" t="s">
        <v>199</v>
      </c>
      <c r="B23" s="181" t="s">
        <v>748</v>
      </c>
      <c r="C23" s="190">
        <v>43646</v>
      </c>
      <c r="D23" s="181" t="s">
        <v>754</v>
      </c>
      <c r="E23" s="182" t="s">
        <v>756</v>
      </c>
      <c r="F23" s="183">
        <v>76341</v>
      </c>
      <c r="G23" s="184">
        <v>157.05000000000001</v>
      </c>
      <c r="H23" s="181">
        <v>208.5</v>
      </c>
      <c r="I23" s="181" t="s">
        <v>292</v>
      </c>
      <c r="J23" s="191">
        <v>208.5</v>
      </c>
      <c r="K23" s="192" t="s">
        <v>752</v>
      </c>
      <c r="L23" s="193" t="s">
        <v>396</v>
      </c>
      <c r="M23" s="193" t="s">
        <v>309</v>
      </c>
      <c r="N23" s="193"/>
      <c r="O23" s="193" t="s">
        <v>740</v>
      </c>
      <c r="P23" s="193" t="s">
        <v>381</v>
      </c>
      <c r="Q23" s="193" t="s">
        <v>295</v>
      </c>
      <c r="R23" s="192" t="s">
        <v>379</v>
      </c>
      <c r="S23" s="181" t="s">
        <v>740</v>
      </c>
      <c r="T23" s="181" t="s">
        <v>381</v>
      </c>
      <c r="U23" s="181" t="s">
        <v>295</v>
      </c>
      <c r="V23" s="199" t="s">
        <v>379</v>
      </c>
    </row>
    <row r="24" spans="1:22" outlineLevel="1">
      <c r="A24" s="199" t="s">
        <v>199</v>
      </c>
      <c r="B24" s="181" t="s">
        <v>748</v>
      </c>
      <c r="C24" s="190">
        <v>43646</v>
      </c>
      <c r="D24" s="181" t="s">
        <v>754</v>
      </c>
      <c r="E24" s="182" t="s">
        <v>757</v>
      </c>
      <c r="F24" s="183">
        <v>76341</v>
      </c>
      <c r="G24" s="184">
        <v>37.659999999999997</v>
      </c>
      <c r="H24" s="181">
        <v>50</v>
      </c>
      <c r="I24" s="181" t="s">
        <v>292</v>
      </c>
      <c r="J24" s="191">
        <v>50</v>
      </c>
      <c r="K24" s="192" t="s">
        <v>752</v>
      </c>
      <c r="L24" s="193" t="s">
        <v>396</v>
      </c>
      <c r="M24" s="193" t="s">
        <v>309</v>
      </c>
      <c r="N24" s="193"/>
      <c r="O24" s="193" t="s">
        <v>740</v>
      </c>
      <c r="P24" s="193" t="s">
        <v>381</v>
      </c>
      <c r="Q24" s="193" t="s">
        <v>295</v>
      </c>
      <c r="R24" s="192" t="s">
        <v>379</v>
      </c>
      <c r="S24" s="181" t="s">
        <v>740</v>
      </c>
      <c r="T24" s="181" t="s">
        <v>381</v>
      </c>
      <c r="U24" s="181" t="s">
        <v>295</v>
      </c>
      <c r="V24" s="199" t="s">
        <v>379</v>
      </c>
    </row>
    <row r="25" spans="1:22" outlineLevel="1">
      <c r="A25" s="199" t="s">
        <v>199</v>
      </c>
      <c r="B25" s="181" t="s">
        <v>748</v>
      </c>
      <c r="C25" s="190">
        <v>43646</v>
      </c>
      <c r="D25" s="181" t="s">
        <v>754</v>
      </c>
      <c r="E25" s="182" t="s">
        <v>758</v>
      </c>
      <c r="F25" s="183">
        <v>76341</v>
      </c>
      <c r="G25" s="184">
        <v>188.31</v>
      </c>
      <c r="H25" s="181">
        <v>250</v>
      </c>
      <c r="I25" s="181" t="s">
        <v>292</v>
      </c>
      <c r="J25" s="191">
        <v>250</v>
      </c>
      <c r="K25" s="192" t="s">
        <v>752</v>
      </c>
      <c r="L25" s="193" t="s">
        <v>396</v>
      </c>
      <c r="M25" s="193" t="s">
        <v>309</v>
      </c>
      <c r="N25" s="193"/>
      <c r="O25" s="193" t="s">
        <v>740</v>
      </c>
      <c r="P25" s="193" t="s">
        <v>381</v>
      </c>
      <c r="Q25" s="193" t="s">
        <v>295</v>
      </c>
      <c r="R25" s="192" t="s">
        <v>379</v>
      </c>
      <c r="S25" s="181" t="s">
        <v>740</v>
      </c>
      <c r="T25" s="181" t="s">
        <v>381</v>
      </c>
      <c r="U25" s="181" t="s">
        <v>295</v>
      </c>
      <c r="V25" s="199" t="s">
        <v>379</v>
      </c>
    </row>
    <row r="26" spans="1:22" outlineLevel="1">
      <c r="A26" s="199" t="s">
        <v>199</v>
      </c>
      <c r="B26" s="181" t="s">
        <v>748</v>
      </c>
      <c r="C26" s="190">
        <v>43646</v>
      </c>
      <c r="D26" s="181" t="s">
        <v>754</v>
      </c>
      <c r="E26" s="182" t="s">
        <v>757</v>
      </c>
      <c r="F26" s="183">
        <v>76341</v>
      </c>
      <c r="G26" s="184">
        <v>37.659999999999997</v>
      </c>
      <c r="H26" s="181">
        <v>50</v>
      </c>
      <c r="I26" s="181" t="s">
        <v>292</v>
      </c>
      <c r="J26" s="191">
        <v>50</v>
      </c>
      <c r="K26" s="192" t="s">
        <v>752</v>
      </c>
      <c r="L26" s="193" t="s">
        <v>396</v>
      </c>
      <c r="M26" s="193" t="s">
        <v>309</v>
      </c>
      <c r="N26" s="193"/>
      <c r="O26" s="193" t="s">
        <v>740</v>
      </c>
      <c r="P26" s="193" t="s">
        <v>381</v>
      </c>
      <c r="Q26" s="193" t="s">
        <v>295</v>
      </c>
      <c r="R26" s="192" t="s">
        <v>379</v>
      </c>
      <c r="S26" s="181" t="s">
        <v>740</v>
      </c>
      <c r="T26" s="181" t="s">
        <v>381</v>
      </c>
      <c r="U26" s="181" t="s">
        <v>295</v>
      </c>
      <c r="V26" s="199" t="s">
        <v>379</v>
      </c>
    </row>
    <row r="27" spans="1:22" outlineLevel="1">
      <c r="A27" s="199" t="s">
        <v>199</v>
      </c>
      <c r="B27" s="181" t="s">
        <v>748</v>
      </c>
      <c r="C27" s="190">
        <v>43646</v>
      </c>
      <c r="D27" s="181" t="s">
        <v>754</v>
      </c>
      <c r="E27" s="182" t="s">
        <v>759</v>
      </c>
      <c r="F27" s="183">
        <v>76341</v>
      </c>
      <c r="G27" s="184">
        <v>188.31</v>
      </c>
      <c r="H27" s="181">
        <v>250</v>
      </c>
      <c r="I27" s="181" t="s">
        <v>292</v>
      </c>
      <c r="J27" s="191">
        <v>250</v>
      </c>
      <c r="K27" s="192" t="s">
        <v>752</v>
      </c>
      <c r="L27" s="193" t="s">
        <v>396</v>
      </c>
      <c r="M27" s="193" t="s">
        <v>309</v>
      </c>
      <c r="N27" s="193"/>
      <c r="O27" s="193" t="s">
        <v>740</v>
      </c>
      <c r="P27" s="193" t="s">
        <v>381</v>
      </c>
      <c r="Q27" s="193" t="s">
        <v>295</v>
      </c>
      <c r="R27" s="192" t="s">
        <v>379</v>
      </c>
      <c r="S27" s="181" t="s">
        <v>740</v>
      </c>
      <c r="T27" s="181" t="s">
        <v>381</v>
      </c>
      <c r="U27" s="181" t="s">
        <v>295</v>
      </c>
      <c r="V27" s="199" t="s">
        <v>379</v>
      </c>
    </row>
    <row r="28" spans="1:22" outlineLevel="1">
      <c r="A28" s="199" t="s">
        <v>199</v>
      </c>
      <c r="B28" s="181" t="s">
        <v>748</v>
      </c>
      <c r="C28" s="190">
        <v>43646</v>
      </c>
      <c r="D28" s="181" t="s">
        <v>754</v>
      </c>
      <c r="E28" s="182" t="s">
        <v>759</v>
      </c>
      <c r="F28" s="183">
        <v>76341</v>
      </c>
      <c r="G28" s="184">
        <v>188.31</v>
      </c>
      <c r="H28" s="181">
        <v>250</v>
      </c>
      <c r="I28" s="181" t="s">
        <v>292</v>
      </c>
      <c r="J28" s="191">
        <v>250</v>
      </c>
      <c r="K28" s="192" t="s">
        <v>752</v>
      </c>
      <c r="L28" s="193" t="s">
        <v>396</v>
      </c>
      <c r="M28" s="193" t="s">
        <v>309</v>
      </c>
      <c r="N28" s="193"/>
      <c r="O28" s="193" t="s">
        <v>740</v>
      </c>
      <c r="P28" s="193" t="s">
        <v>381</v>
      </c>
      <c r="Q28" s="193" t="s">
        <v>295</v>
      </c>
      <c r="R28" s="192" t="s">
        <v>379</v>
      </c>
      <c r="S28" s="181" t="s">
        <v>740</v>
      </c>
      <c r="T28" s="181" t="s">
        <v>381</v>
      </c>
      <c r="U28" s="181" t="s">
        <v>295</v>
      </c>
      <c r="V28" s="199" t="s">
        <v>379</v>
      </c>
    </row>
    <row r="29" spans="1:22" outlineLevel="1">
      <c r="A29" s="199" t="s">
        <v>199</v>
      </c>
      <c r="B29" s="181" t="s">
        <v>748</v>
      </c>
      <c r="C29" s="190">
        <v>43646</v>
      </c>
      <c r="D29" s="181" t="s">
        <v>754</v>
      </c>
      <c r="E29" s="182" t="s">
        <v>758</v>
      </c>
      <c r="F29" s="183">
        <v>76341</v>
      </c>
      <c r="G29" s="184">
        <v>188.31</v>
      </c>
      <c r="H29" s="181">
        <v>250</v>
      </c>
      <c r="I29" s="181" t="s">
        <v>292</v>
      </c>
      <c r="J29" s="191">
        <v>250</v>
      </c>
      <c r="K29" s="192" t="s">
        <v>752</v>
      </c>
      <c r="L29" s="193" t="s">
        <v>396</v>
      </c>
      <c r="M29" s="193" t="s">
        <v>309</v>
      </c>
      <c r="N29" s="193"/>
      <c r="O29" s="193" t="s">
        <v>740</v>
      </c>
      <c r="P29" s="193" t="s">
        <v>381</v>
      </c>
      <c r="Q29" s="193" t="s">
        <v>295</v>
      </c>
      <c r="R29" s="192" t="s">
        <v>379</v>
      </c>
      <c r="S29" s="181" t="s">
        <v>740</v>
      </c>
      <c r="T29" s="181" t="s">
        <v>381</v>
      </c>
      <c r="U29" s="181" t="s">
        <v>295</v>
      </c>
      <c r="V29" s="199" t="s">
        <v>379</v>
      </c>
    </row>
    <row r="30" spans="1:22" outlineLevel="1">
      <c r="A30" s="199" t="s">
        <v>199</v>
      </c>
      <c r="B30" s="181" t="s">
        <v>748</v>
      </c>
      <c r="C30" s="190">
        <v>43646</v>
      </c>
      <c r="D30" s="181" t="s">
        <v>754</v>
      </c>
      <c r="E30" s="182" t="s">
        <v>758</v>
      </c>
      <c r="F30" s="183">
        <v>76341</v>
      </c>
      <c r="G30" s="184">
        <v>188.31</v>
      </c>
      <c r="H30" s="181">
        <v>250</v>
      </c>
      <c r="I30" s="181" t="s">
        <v>292</v>
      </c>
      <c r="J30" s="191">
        <v>250</v>
      </c>
      <c r="K30" s="192" t="s">
        <v>752</v>
      </c>
      <c r="L30" s="193" t="s">
        <v>396</v>
      </c>
      <c r="M30" s="193" t="s">
        <v>309</v>
      </c>
      <c r="N30" s="193"/>
      <c r="O30" s="193" t="s">
        <v>740</v>
      </c>
      <c r="P30" s="193" t="s">
        <v>381</v>
      </c>
      <c r="Q30" s="193" t="s">
        <v>295</v>
      </c>
      <c r="R30" s="192" t="s">
        <v>379</v>
      </c>
      <c r="S30" s="181" t="s">
        <v>740</v>
      </c>
      <c r="T30" s="181" t="s">
        <v>381</v>
      </c>
      <c r="U30" s="181" t="s">
        <v>295</v>
      </c>
      <c r="V30" s="199" t="s">
        <v>379</v>
      </c>
    </row>
    <row r="31" spans="1:22" outlineLevel="1">
      <c r="A31" s="199" t="s">
        <v>199</v>
      </c>
      <c r="B31" s="181" t="s">
        <v>748</v>
      </c>
      <c r="C31" s="190">
        <v>43646</v>
      </c>
      <c r="D31" s="181" t="s">
        <v>754</v>
      </c>
      <c r="E31" s="182" t="s">
        <v>757</v>
      </c>
      <c r="F31" s="183">
        <v>76341</v>
      </c>
      <c r="G31" s="184">
        <v>37.659999999999997</v>
      </c>
      <c r="H31" s="181">
        <v>50</v>
      </c>
      <c r="I31" s="181" t="s">
        <v>292</v>
      </c>
      <c r="J31" s="191">
        <v>50</v>
      </c>
      <c r="K31" s="192" t="s">
        <v>752</v>
      </c>
      <c r="L31" s="193" t="s">
        <v>396</v>
      </c>
      <c r="M31" s="193" t="s">
        <v>309</v>
      </c>
      <c r="N31" s="193"/>
      <c r="O31" s="193" t="s">
        <v>740</v>
      </c>
      <c r="P31" s="193" t="s">
        <v>381</v>
      </c>
      <c r="Q31" s="193" t="s">
        <v>295</v>
      </c>
      <c r="R31" s="192" t="s">
        <v>379</v>
      </c>
      <c r="S31" s="181" t="s">
        <v>740</v>
      </c>
      <c r="T31" s="181" t="s">
        <v>381</v>
      </c>
      <c r="U31" s="181" t="s">
        <v>295</v>
      </c>
      <c r="V31" s="199" t="s">
        <v>379</v>
      </c>
    </row>
    <row r="32" spans="1:22" outlineLevel="1">
      <c r="A32" s="199" t="s">
        <v>199</v>
      </c>
      <c r="B32" s="181" t="s">
        <v>748</v>
      </c>
      <c r="C32" s="190">
        <v>43646</v>
      </c>
      <c r="D32" s="181" t="s">
        <v>754</v>
      </c>
      <c r="E32" s="182" t="s">
        <v>759</v>
      </c>
      <c r="F32" s="183">
        <v>76341</v>
      </c>
      <c r="G32" s="184">
        <v>188.31</v>
      </c>
      <c r="H32" s="181">
        <v>250</v>
      </c>
      <c r="I32" s="181" t="s">
        <v>292</v>
      </c>
      <c r="J32" s="191">
        <v>250</v>
      </c>
      <c r="K32" s="192" t="s">
        <v>752</v>
      </c>
      <c r="L32" s="193" t="s">
        <v>396</v>
      </c>
      <c r="M32" s="193" t="s">
        <v>309</v>
      </c>
      <c r="N32" s="193"/>
      <c r="O32" s="193" t="s">
        <v>740</v>
      </c>
      <c r="P32" s="193" t="s">
        <v>381</v>
      </c>
      <c r="Q32" s="193" t="s">
        <v>295</v>
      </c>
      <c r="R32" s="192" t="s">
        <v>379</v>
      </c>
      <c r="S32" s="181" t="s">
        <v>740</v>
      </c>
      <c r="T32" s="181" t="s">
        <v>381</v>
      </c>
      <c r="U32" s="181" t="s">
        <v>295</v>
      </c>
      <c r="V32" s="199" t="s">
        <v>379</v>
      </c>
    </row>
    <row r="33" spans="1:22">
      <c r="A33" s="194" t="s">
        <v>378</v>
      </c>
      <c r="B33" s="194"/>
      <c r="C33" s="194"/>
      <c r="D33" s="194"/>
      <c r="E33" s="195"/>
      <c r="F33" s="196"/>
      <c r="G33" s="197">
        <f>SUM(G14:G32)</f>
        <v>4920.9300000000012</v>
      </c>
      <c r="H33" s="198">
        <f>SUM(H14:H32)</f>
        <v>6511.18</v>
      </c>
      <c r="I33" s="194"/>
      <c r="J33" s="198">
        <f>SUM(J14:J32)</f>
        <v>6225.7100000000009</v>
      </c>
      <c r="K33" s="194"/>
      <c r="L33" s="194"/>
      <c r="M33" s="194"/>
      <c r="N33" s="194"/>
      <c r="O33" s="194"/>
      <c r="P33" s="194"/>
      <c r="Q33" s="194"/>
      <c r="R33" s="194"/>
      <c r="S33" s="181"/>
      <c r="T33" s="181"/>
      <c r="U33" s="181"/>
      <c r="V33" s="181"/>
    </row>
    <row r="34" spans="1:22" outlineLevel="1">
      <c r="A34" s="199" t="s">
        <v>211</v>
      </c>
      <c r="B34" s="181" t="s">
        <v>748</v>
      </c>
      <c r="C34" s="190">
        <v>43646</v>
      </c>
      <c r="D34" s="181" t="s">
        <v>754</v>
      </c>
      <c r="E34" s="182" t="s">
        <v>760</v>
      </c>
      <c r="F34" s="183">
        <v>76341</v>
      </c>
      <c r="G34" s="184">
        <v>352.51</v>
      </c>
      <c r="H34" s="181">
        <v>468</v>
      </c>
      <c r="I34" s="181" t="s">
        <v>292</v>
      </c>
      <c r="J34" s="191">
        <v>468</v>
      </c>
      <c r="K34" s="192" t="s">
        <v>752</v>
      </c>
      <c r="L34" s="193" t="s">
        <v>396</v>
      </c>
      <c r="M34" s="193" t="s">
        <v>309</v>
      </c>
      <c r="N34" s="193"/>
      <c r="O34" s="193" t="s">
        <v>740</v>
      </c>
      <c r="P34" s="193" t="s">
        <v>381</v>
      </c>
      <c r="Q34" s="193" t="s">
        <v>295</v>
      </c>
      <c r="R34" s="192" t="s">
        <v>379</v>
      </c>
      <c r="S34" s="181" t="s">
        <v>740</v>
      </c>
      <c r="T34" s="181" t="s">
        <v>381</v>
      </c>
      <c r="U34" s="181" t="s">
        <v>295</v>
      </c>
      <c r="V34" s="199" t="s">
        <v>379</v>
      </c>
    </row>
    <row r="35" spans="1:22" outlineLevel="1">
      <c r="A35" s="199" t="s">
        <v>211</v>
      </c>
      <c r="B35" s="181" t="s">
        <v>748</v>
      </c>
      <c r="C35" s="190">
        <v>43646</v>
      </c>
      <c r="D35" s="181" t="s">
        <v>754</v>
      </c>
      <c r="E35" s="182" t="s">
        <v>761</v>
      </c>
      <c r="F35" s="183">
        <v>76341</v>
      </c>
      <c r="G35" s="184">
        <v>37.659999999999997</v>
      </c>
      <c r="H35" s="181">
        <v>50</v>
      </c>
      <c r="I35" s="181" t="s">
        <v>292</v>
      </c>
      <c r="J35" s="191">
        <v>50</v>
      </c>
      <c r="K35" s="192" t="s">
        <v>752</v>
      </c>
      <c r="L35" s="193" t="s">
        <v>396</v>
      </c>
      <c r="M35" s="193" t="s">
        <v>309</v>
      </c>
      <c r="N35" s="193"/>
      <c r="O35" s="193" t="s">
        <v>740</v>
      </c>
      <c r="P35" s="193" t="s">
        <v>381</v>
      </c>
      <c r="Q35" s="193" t="s">
        <v>295</v>
      </c>
      <c r="R35" s="192" t="s">
        <v>379</v>
      </c>
      <c r="S35" s="181" t="s">
        <v>740</v>
      </c>
      <c r="T35" s="181" t="s">
        <v>381</v>
      </c>
      <c r="U35" s="181" t="s">
        <v>295</v>
      </c>
      <c r="V35" s="199" t="s">
        <v>379</v>
      </c>
    </row>
    <row r="36" spans="1:22" outlineLevel="1">
      <c r="A36" s="199" t="s">
        <v>211</v>
      </c>
      <c r="B36" s="181" t="s">
        <v>748</v>
      </c>
      <c r="C36" s="190">
        <v>43646</v>
      </c>
      <c r="D36" s="181" t="s">
        <v>754</v>
      </c>
      <c r="E36" s="182" t="s">
        <v>762</v>
      </c>
      <c r="F36" s="183">
        <v>76341</v>
      </c>
      <c r="G36" s="184">
        <v>188.31</v>
      </c>
      <c r="H36" s="181">
        <v>250</v>
      </c>
      <c r="I36" s="181" t="s">
        <v>292</v>
      </c>
      <c r="J36" s="191">
        <v>250</v>
      </c>
      <c r="K36" s="192" t="s">
        <v>752</v>
      </c>
      <c r="L36" s="193" t="s">
        <v>396</v>
      </c>
      <c r="M36" s="193" t="s">
        <v>309</v>
      </c>
      <c r="N36" s="193"/>
      <c r="O36" s="193" t="s">
        <v>740</v>
      </c>
      <c r="P36" s="193" t="s">
        <v>381</v>
      </c>
      <c r="Q36" s="193" t="s">
        <v>295</v>
      </c>
      <c r="R36" s="192" t="s">
        <v>379</v>
      </c>
      <c r="S36" s="181" t="s">
        <v>740</v>
      </c>
      <c r="T36" s="181" t="s">
        <v>381</v>
      </c>
      <c r="U36" s="181" t="s">
        <v>295</v>
      </c>
      <c r="V36" s="199" t="s">
        <v>379</v>
      </c>
    </row>
    <row r="37" spans="1:22" outlineLevel="1">
      <c r="A37" s="199" t="s">
        <v>211</v>
      </c>
      <c r="B37" s="181" t="s">
        <v>748</v>
      </c>
      <c r="C37" s="190">
        <v>43646</v>
      </c>
      <c r="D37" s="181" t="s">
        <v>754</v>
      </c>
      <c r="E37" s="182" t="s">
        <v>763</v>
      </c>
      <c r="F37" s="183">
        <v>76341</v>
      </c>
      <c r="G37" s="184">
        <v>60.26</v>
      </c>
      <c r="H37" s="181">
        <v>80</v>
      </c>
      <c r="I37" s="181" t="s">
        <v>292</v>
      </c>
      <c r="J37" s="191">
        <v>80</v>
      </c>
      <c r="K37" s="192" t="s">
        <v>752</v>
      </c>
      <c r="L37" s="193" t="s">
        <v>396</v>
      </c>
      <c r="M37" s="193" t="s">
        <v>309</v>
      </c>
      <c r="N37" s="193"/>
      <c r="O37" s="193" t="s">
        <v>740</v>
      </c>
      <c r="P37" s="193" t="s">
        <v>381</v>
      </c>
      <c r="Q37" s="193" t="s">
        <v>295</v>
      </c>
      <c r="R37" s="192" t="s">
        <v>379</v>
      </c>
      <c r="S37" s="181" t="s">
        <v>740</v>
      </c>
      <c r="T37" s="181" t="s">
        <v>381</v>
      </c>
      <c r="U37" s="181" t="s">
        <v>295</v>
      </c>
      <c r="V37" s="199" t="s">
        <v>379</v>
      </c>
    </row>
    <row r="38" spans="1:22" outlineLevel="1">
      <c r="A38" s="199" t="s">
        <v>211</v>
      </c>
      <c r="B38" s="181" t="s">
        <v>748</v>
      </c>
      <c r="C38" s="190">
        <v>43646</v>
      </c>
      <c r="D38" s="181" t="s">
        <v>754</v>
      </c>
      <c r="E38" s="182" t="s">
        <v>764</v>
      </c>
      <c r="F38" s="183">
        <v>76341</v>
      </c>
      <c r="G38" s="184">
        <v>149.13999999999999</v>
      </c>
      <c r="H38" s="181">
        <v>198</v>
      </c>
      <c r="I38" s="181" t="s">
        <v>292</v>
      </c>
      <c r="J38" s="191">
        <v>198</v>
      </c>
      <c r="K38" s="192" t="s">
        <v>752</v>
      </c>
      <c r="L38" s="193" t="s">
        <v>396</v>
      </c>
      <c r="M38" s="193" t="s">
        <v>309</v>
      </c>
      <c r="N38" s="193"/>
      <c r="O38" s="193" t="s">
        <v>740</v>
      </c>
      <c r="P38" s="193" t="s">
        <v>381</v>
      </c>
      <c r="Q38" s="193" t="s">
        <v>295</v>
      </c>
      <c r="R38" s="192" t="s">
        <v>379</v>
      </c>
      <c r="S38" s="181" t="s">
        <v>740</v>
      </c>
      <c r="T38" s="181" t="s">
        <v>381</v>
      </c>
      <c r="U38" s="181" t="s">
        <v>295</v>
      </c>
      <c r="V38" s="199" t="s">
        <v>379</v>
      </c>
    </row>
    <row r="39" spans="1:22" outlineLevel="1">
      <c r="A39" s="199" t="s">
        <v>211</v>
      </c>
      <c r="B39" s="181" t="s">
        <v>748</v>
      </c>
      <c r="C39" s="190">
        <v>43646</v>
      </c>
      <c r="D39" s="181" t="s">
        <v>754</v>
      </c>
      <c r="E39" s="182" t="s">
        <v>765</v>
      </c>
      <c r="F39" s="183">
        <v>76341</v>
      </c>
      <c r="G39" s="184">
        <v>22.6</v>
      </c>
      <c r="H39" s="181">
        <v>30</v>
      </c>
      <c r="I39" s="181" t="s">
        <v>292</v>
      </c>
      <c r="J39" s="191">
        <v>30</v>
      </c>
      <c r="K39" s="192" t="s">
        <v>752</v>
      </c>
      <c r="L39" s="193" t="s">
        <v>396</v>
      </c>
      <c r="M39" s="193" t="s">
        <v>309</v>
      </c>
      <c r="N39" s="193"/>
      <c r="O39" s="193" t="s">
        <v>740</v>
      </c>
      <c r="P39" s="193" t="s">
        <v>381</v>
      </c>
      <c r="Q39" s="193" t="s">
        <v>295</v>
      </c>
      <c r="R39" s="192" t="s">
        <v>379</v>
      </c>
      <c r="S39" s="181" t="s">
        <v>740</v>
      </c>
      <c r="T39" s="181" t="s">
        <v>381</v>
      </c>
      <c r="U39" s="181" t="s">
        <v>295</v>
      </c>
      <c r="V39" s="199" t="s">
        <v>379</v>
      </c>
    </row>
    <row r="40" spans="1:22" outlineLevel="1">
      <c r="A40" s="199" t="s">
        <v>211</v>
      </c>
      <c r="B40" s="181" t="s">
        <v>748</v>
      </c>
      <c r="C40" s="190">
        <v>43646</v>
      </c>
      <c r="D40" s="181" t="s">
        <v>754</v>
      </c>
      <c r="E40" s="182" t="s">
        <v>766</v>
      </c>
      <c r="F40" s="183">
        <v>76341</v>
      </c>
      <c r="G40" s="184">
        <v>112.98</v>
      </c>
      <c r="H40" s="181">
        <v>150</v>
      </c>
      <c r="I40" s="181" t="s">
        <v>292</v>
      </c>
      <c r="J40" s="191">
        <v>150</v>
      </c>
      <c r="K40" s="192" t="s">
        <v>752</v>
      </c>
      <c r="L40" s="193" t="s">
        <v>396</v>
      </c>
      <c r="M40" s="193" t="s">
        <v>309</v>
      </c>
      <c r="N40" s="193"/>
      <c r="O40" s="193" t="s">
        <v>740</v>
      </c>
      <c r="P40" s="193" t="s">
        <v>381</v>
      </c>
      <c r="Q40" s="193" t="s">
        <v>295</v>
      </c>
      <c r="R40" s="192" t="s">
        <v>379</v>
      </c>
      <c r="S40" s="181" t="s">
        <v>740</v>
      </c>
      <c r="T40" s="181" t="s">
        <v>381</v>
      </c>
      <c r="U40" s="181" t="s">
        <v>295</v>
      </c>
      <c r="V40" s="199" t="s">
        <v>379</v>
      </c>
    </row>
    <row r="41" spans="1:22" outlineLevel="1">
      <c r="A41" s="199" t="s">
        <v>211</v>
      </c>
      <c r="B41" s="181" t="s">
        <v>748</v>
      </c>
      <c r="C41" s="190">
        <v>43646</v>
      </c>
      <c r="D41" s="181" t="s">
        <v>754</v>
      </c>
      <c r="E41" s="182" t="s">
        <v>767</v>
      </c>
      <c r="F41" s="183">
        <v>76341</v>
      </c>
      <c r="G41" s="184">
        <v>451.94</v>
      </c>
      <c r="H41" s="181">
        <v>600</v>
      </c>
      <c r="I41" s="181" t="s">
        <v>292</v>
      </c>
      <c r="J41" s="191">
        <v>600</v>
      </c>
      <c r="K41" s="192" t="s">
        <v>752</v>
      </c>
      <c r="L41" s="193" t="s">
        <v>396</v>
      </c>
      <c r="M41" s="193" t="s">
        <v>309</v>
      </c>
      <c r="N41" s="193"/>
      <c r="O41" s="193" t="s">
        <v>740</v>
      </c>
      <c r="P41" s="193" t="s">
        <v>381</v>
      </c>
      <c r="Q41" s="193" t="s">
        <v>295</v>
      </c>
      <c r="R41" s="192" t="s">
        <v>379</v>
      </c>
      <c r="S41" s="181" t="s">
        <v>740</v>
      </c>
      <c r="T41" s="181" t="s">
        <v>381</v>
      </c>
      <c r="U41" s="181" t="s">
        <v>295</v>
      </c>
      <c r="V41" s="199" t="s">
        <v>379</v>
      </c>
    </row>
    <row r="42" spans="1:22" outlineLevel="1">
      <c r="A42" s="199" t="s">
        <v>211</v>
      </c>
      <c r="B42" s="181" t="s">
        <v>748</v>
      </c>
      <c r="C42" s="190">
        <v>43646</v>
      </c>
      <c r="D42" s="181" t="s">
        <v>754</v>
      </c>
      <c r="E42" s="182" t="s">
        <v>768</v>
      </c>
      <c r="F42" s="183">
        <v>76341</v>
      </c>
      <c r="G42" s="184">
        <v>105.45</v>
      </c>
      <c r="H42" s="181">
        <v>140</v>
      </c>
      <c r="I42" s="181" t="s">
        <v>292</v>
      </c>
      <c r="J42" s="191">
        <v>140</v>
      </c>
      <c r="K42" s="192" t="s">
        <v>752</v>
      </c>
      <c r="L42" s="193" t="s">
        <v>396</v>
      </c>
      <c r="M42" s="193" t="s">
        <v>309</v>
      </c>
      <c r="N42" s="193"/>
      <c r="O42" s="193" t="s">
        <v>740</v>
      </c>
      <c r="P42" s="193" t="s">
        <v>381</v>
      </c>
      <c r="Q42" s="193" t="s">
        <v>295</v>
      </c>
      <c r="R42" s="192" t="s">
        <v>379</v>
      </c>
      <c r="S42" s="181" t="s">
        <v>740</v>
      </c>
      <c r="T42" s="181" t="s">
        <v>381</v>
      </c>
      <c r="U42" s="181" t="s">
        <v>295</v>
      </c>
      <c r="V42" s="199" t="s">
        <v>379</v>
      </c>
    </row>
    <row r="43" spans="1:22" outlineLevel="1">
      <c r="A43" s="199" t="s">
        <v>211</v>
      </c>
      <c r="B43" s="181" t="s">
        <v>748</v>
      </c>
      <c r="C43" s="190">
        <v>43646</v>
      </c>
      <c r="D43" s="181" t="s">
        <v>754</v>
      </c>
      <c r="E43" s="182" t="s">
        <v>761</v>
      </c>
      <c r="F43" s="183">
        <v>76341</v>
      </c>
      <c r="G43" s="184">
        <v>37.659999999999997</v>
      </c>
      <c r="H43" s="181">
        <v>50</v>
      </c>
      <c r="I43" s="181" t="s">
        <v>292</v>
      </c>
      <c r="J43" s="191">
        <v>50</v>
      </c>
      <c r="K43" s="192" t="s">
        <v>752</v>
      </c>
      <c r="L43" s="193" t="s">
        <v>396</v>
      </c>
      <c r="M43" s="193" t="s">
        <v>309</v>
      </c>
      <c r="N43" s="193"/>
      <c r="O43" s="193" t="s">
        <v>740</v>
      </c>
      <c r="P43" s="193" t="s">
        <v>381</v>
      </c>
      <c r="Q43" s="193" t="s">
        <v>295</v>
      </c>
      <c r="R43" s="192" t="s">
        <v>379</v>
      </c>
      <c r="S43" s="181" t="s">
        <v>740</v>
      </c>
      <c r="T43" s="181" t="s">
        <v>381</v>
      </c>
      <c r="U43" s="181" t="s">
        <v>295</v>
      </c>
      <c r="V43" s="199" t="s">
        <v>379</v>
      </c>
    </row>
    <row r="44" spans="1:22" outlineLevel="1">
      <c r="A44" s="199" t="s">
        <v>211</v>
      </c>
      <c r="B44" s="181" t="s">
        <v>748</v>
      </c>
      <c r="C44" s="190">
        <v>43646</v>
      </c>
      <c r="D44" s="181" t="s">
        <v>754</v>
      </c>
      <c r="E44" s="182" t="s">
        <v>762</v>
      </c>
      <c r="F44" s="183">
        <v>76341</v>
      </c>
      <c r="G44" s="184">
        <v>188.31</v>
      </c>
      <c r="H44" s="181">
        <v>250</v>
      </c>
      <c r="I44" s="181" t="s">
        <v>292</v>
      </c>
      <c r="J44" s="191">
        <v>250</v>
      </c>
      <c r="K44" s="192" t="s">
        <v>752</v>
      </c>
      <c r="L44" s="193" t="s">
        <v>396</v>
      </c>
      <c r="M44" s="193" t="s">
        <v>309</v>
      </c>
      <c r="N44" s="193"/>
      <c r="O44" s="193" t="s">
        <v>740</v>
      </c>
      <c r="P44" s="193" t="s">
        <v>381</v>
      </c>
      <c r="Q44" s="193" t="s">
        <v>295</v>
      </c>
      <c r="R44" s="192" t="s">
        <v>379</v>
      </c>
      <c r="S44" s="181" t="s">
        <v>740</v>
      </c>
      <c r="T44" s="181" t="s">
        <v>381</v>
      </c>
      <c r="U44" s="181" t="s">
        <v>295</v>
      </c>
      <c r="V44" s="199" t="s">
        <v>379</v>
      </c>
    </row>
    <row r="45" spans="1:22" outlineLevel="1">
      <c r="A45" s="199" t="s">
        <v>211</v>
      </c>
      <c r="B45" s="181" t="s">
        <v>748</v>
      </c>
      <c r="C45" s="190">
        <v>43646</v>
      </c>
      <c r="D45" s="181" t="s">
        <v>754</v>
      </c>
      <c r="E45" s="182" t="s">
        <v>763</v>
      </c>
      <c r="F45" s="183">
        <v>76341</v>
      </c>
      <c r="G45" s="184">
        <v>60.26</v>
      </c>
      <c r="H45" s="181">
        <v>80</v>
      </c>
      <c r="I45" s="181" t="s">
        <v>292</v>
      </c>
      <c r="J45" s="191">
        <v>80</v>
      </c>
      <c r="K45" s="192" t="s">
        <v>752</v>
      </c>
      <c r="L45" s="193" t="s">
        <v>396</v>
      </c>
      <c r="M45" s="193" t="s">
        <v>309</v>
      </c>
      <c r="N45" s="193"/>
      <c r="O45" s="193" t="s">
        <v>740</v>
      </c>
      <c r="P45" s="193" t="s">
        <v>381</v>
      </c>
      <c r="Q45" s="193" t="s">
        <v>295</v>
      </c>
      <c r="R45" s="192" t="s">
        <v>379</v>
      </c>
      <c r="S45" s="181" t="s">
        <v>740</v>
      </c>
      <c r="T45" s="181" t="s">
        <v>381</v>
      </c>
      <c r="U45" s="181" t="s">
        <v>295</v>
      </c>
      <c r="V45" s="199" t="s">
        <v>379</v>
      </c>
    </row>
    <row r="46" spans="1:22" outlineLevel="1">
      <c r="A46" s="199" t="s">
        <v>211</v>
      </c>
      <c r="B46" s="181" t="s">
        <v>748</v>
      </c>
      <c r="C46" s="190">
        <v>43646</v>
      </c>
      <c r="D46" s="181" t="s">
        <v>754</v>
      </c>
      <c r="E46" s="182" t="s">
        <v>761</v>
      </c>
      <c r="F46" s="183">
        <v>76341</v>
      </c>
      <c r="G46" s="184">
        <v>37.659999999999997</v>
      </c>
      <c r="H46" s="181">
        <v>50</v>
      </c>
      <c r="I46" s="181" t="s">
        <v>292</v>
      </c>
      <c r="J46" s="191">
        <v>50</v>
      </c>
      <c r="K46" s="192" t="s">
        <v>752</v>
      </c>
      <c r="L46" s="193" t="s">
        <v>396</v>
      </c>
      <c r="M46" s="193" t="s">
        <v>309</v>
      </c>
      <c r="N46" s="193"/>
      <c r="O46" s="193" t="s">
        <v>740</v>
      </c>
      <c r="P46" s="193" t="s">
        <v>381</v>
      </c>
      <c r="Q46" s="193" t="s">
        <v>295</v>
      </c>
      <c r="R46" s="192" t="s">
        <v>379</v>
      </c>
      <c r="S46" s="181" t="s">
        <v>740</v>
      </c>
      <c r="T46" s="181" t="s">
        <v>381</v>
      </c>
      <c r="U46" s="181" t="s">
        <v>295</v>
      </c>
      <c r="V46" s="199" t="s">
        <v>379</v>
      </c>
    </row>
    <row r="47" spans="1:22" outlineLevel="1">
      <c r="A47" s="199" t="s">
        <v>211</v>
      </c>
      <c r="B47" s="181" t="s">
        <v>748</v>
      </c>
      <c r="C47" s="190">
        <v>43646</v>
      </c>
      <c r="D47" s="181" t="s">
        <v>754</v>
      </c>
      <c r="E47" s="182" t="s">
        <v>769</v>
      </c>
      <c r="F47" s="183">
        <v>76341</v>
      </c>
      <c r="G47" s="184">
        <v>822.53</v>
      </c>
      <c r="H47" s="181">
        <v>1092</v>
      </c>
      <c r="I47" s="181" t="s">
        <v>292</v>
      </c>
      <c r="J47" s="191">
        <v>1092</v>
      </c>
      <c r="K47" s="192" t="s">
        <v>752</v>
      </c>
      <c r="L47" s="193" t="s">
        <v>396</v>
      </c>
      <c r="M47" s="193" t="s">
        <v>309</v>
      </c>
      <c r="N47" s="193"/>
      <c r="O47" s="193" t="s">
        <v>740</v>
      </c>
      <c r="P47" s="193" t="s">
        <v>381</v>
      </c>
      <c r="Q47" s="193" t="s">
        <v>295</v>
      </c>
      <c r="R47" s="192" t="s">
        <v>379</v>
      </c>
      <c r="S47" s="181" t="s">
        <v>740</v>
      </c>
      <c r="T47" s="181" t="s">
        <v>381</v>
      </c>
      <c r="U47" s="181" t="s">
        <v>295</v>
      </c>
      <c r="V47" s="199" t="s">
        <v>379</v>
      </c>
    </row>
    <row r="48" spans="1:22" outlineLevel="1">
      <c r="A48" s="199" t="s">
        <v>211</v>
      </c>
      <c r="B48" s="181" t="s">
        <v>748</v>
      </c>
      <c r="C48" s="190">
        <v>43646</v>
      </c>
      <c r="D48" s="181" t="s">
        <v>754</v>
      </c>
      <c r="E48" s="182" t="s">
        <v>762</v>
      </c>
      <c r="F48" s="183">
        <v>76341</v>
      </c>
      <c r="G48" s="184">
        <v>188.31</v>
      </c>
      <c r="H48" s="181">
        <v>250</v>
      </c>
      <c r="I48" s="181" t="s">
        <v>292</v>
      </c>
      <c r="J48" s="191">
        <v>250</v>
      </c>
      <c r="K48" s="192" t="s">
        <v>752</v>
      </c>
      <c r="L48" s="193" t="s">
        <v>396</v>
      </c>
      <c r="M48" s="193" t="s">
        <v>309</v>
      </c>
      <c r="N48" s="193"/>
      <c r="O48" s="193" t="s">
        <v>740</v>
      </c>
      <c r="P48" s="193" t="s">
        <v>381</v>
      </c>
      <c r="Q48" s="193" t="s">
        <v>295</v>
      </c>
      <c r="R48" s="192" t="s">
        <v>379</v>
      </c>
      <c r="S48" s="181" t="s">
        <v>740</v>
      </c>
      <c r="T48" s="181" t="s">
        <v>381</v>
      </c>
      <c r="U48" s="181" t="s">
        <v>295</v>
      </c>
      <c r="V48" s="199" t="s">
        <v>379</v>
      </c>
    </row>
    <row r="49" spans="1:22" outlineLevel="1">
      <c r="A49" s="199" t="s">
        <v>211</v>
      </c>
      <c r="B49" s="181" t="s">
        <v>748</v>
      </c>
      <c r="C49" s="190">
        <v>43646</v>
      </c>
      <c r="D49" s="181" t="s">
        <v>754</v>
      </c>
      <c r="E49" s="182" t="s">
        <v>763</v>
      </c>
      <c r="F49" s="183">
        <v>76341</v>
      </c>
      <c r="G49" s="184">
        <v>60.26</v>
      </c>
      <c r="H49" s="181">
        <v>80</v>
      </c>
      <c r="I49" s="181" t="s">
        <v>292</v>
      </c>
      <c r="J49" s="191">
        <v>80</v>
      </c>
      <c r="K49" s="192" t="s">
        <v>752</v>
      </c>
      <c r="L49" s="193" t="s">
        <v>396</v>
      </c>
      <c r="M49" s="193" t="s">
        <v>309</v>
      </c>
      <c r="N49" s="193"/>
      <c r="O49" s="193" t="s">
        <v>740</v>
      </c>
      <c r="P49" s="193" t="s">
        <v>381</v>
      </c>
      <c r="Q49" s="193" t="s">
        <v>295</v>
      </c>
      <c r="R49" s="192" t="s">
        <v>379</v>
      </c>
      <c r="S49" s="181" t="s">
        <v>740</v>
      </c>
      <c r="T49" s="181" t="s">
        <v>381</v>
      </c>
      <c r="U49" s="181" t="s">
        <v>295</v>
      </c>
      <c r="V49" s="199" t="s">
        <v>379</v>
      </c>
    </row>
    <row r="50" spans="1:22" outlineLevel="1">
      <c r="A50" s="199" t="s">
        <v>211</v>
      </c>
      <c r="B50" s="181" t="s">
        <v>748</v>
      </c>
      <c r="C50" s="190">
        <v>43646</v>
      </c>
      <c r="D50" s="181" t="s">
        <v>750</v>
      </c>
      <c r="E50" s="182" t="s">
        <v>770</v>
      </c>
      <c r="F50" s="183">
        <v>76330</v>
      </c>
      <c r="G50" s="184">
        <v>4353.67</v>
      </c>
      <c r="H50" s="181">
        <v>5780</v>
      </c>
      <c r="I50" s="181" t="s">
        <v>292</v>
      </c>
      <c r="J50" s="191">
        <v>5495.36</v>
      </c>
      <c r="K50" s="192" t="s">
        <v>752</v>
      </c>
      <c r="L50" s="193" t="s">
        <v>396</v>
      </c>
      <c r="M50" s="193" t="s">
        <v>309</v>
      </c>
      <c r="N50" s="193"/>
      <c r="O50" s="193" t="s">
        <v>737</v>
      </c>
      <c r="P50" s="193" t="s">
        <v>381</v>
      </c>
      <c r="Q50" s="193" t="s">
        <v>295</v>
      </c>
      <c r="R50" s="192" t="s">
        <v>379</v>
      </c>
      <c r="S50" s="181" t="s">
        <v>737</v>
      </c>
      <c r="T50" s="181" t="s">
        <v>381</v>
      </c>
      <c r="U50" s="181" t="s">
        <v>295</v>
      </c>
      <c r="V50" s="199" t="s">
        <v>379</v>
      </c>
    </row>
    <row r="51" spans="1:22">
      <c r="A51" s="194" t="s">
        <v>378</v>
      </c>
      <c r="B51" s="194"/>
      <c r="C51" s="194"/>
      <c r="D51" s="194"/>
      <c r="E51" s="195"/>
      <c r="F51" s="196"/>
      <c r="G51" s="197">
        <f>SUM(G34:G50)</f>
        <v>7229.51</v>
      </c>
      <c r="H51" s="198">
        <f>SUM(H34:H50)</f>
        <v>9598</v>
      </c>
      <c r="I51" s="194"/>
      <c r="J51" s="198">
        <f>SUM(J34:J50)</f>
        <v>9313.36</v>
      </c>
      <c r="K51" s="194"/>
      <c r="L51" s="194"/>
      <c r="M51" s="194"/>
      <c r="N51" s="194"/>
      <c r="O51" s="194"/>
      <c r="P51" s="194"/>
      <c r="Q51" s="194"/>
      <c r="R51" s="194"/>
      <c r="S51" s="181"/>
      <c r="T51" s="181"/>
      <c r="U51" s="181"/>
      <c r="V51" s="181"/>
    </row>
    <row r="52" spans="1:22" outlineLevel="1">
      <c r="A52" s="199" t="s">
        <v>212</v>
      </c>
      <c r="B52" s="181" t="s">
        <v>748</v>
      </c>
      <c r="C52" s="190">
        <v>43644</v>
      </c>
      <c r="D52" s="181" t="s">
        <v>771</v>
      </c>
      <c r="E52" s="182" t="s">
        <v>772</v>
      </c>
      <c r="F52" s="183">
        <v>76250</v>
      </c>
      <c r="G52" s="184">
        <v>61</v>
      </c>
      <c r="H52" s="181">
        <v>77</v>
      </c>
      <c r="I52" s="181" t="s">
        <v>292</v>
      </c>
      <c r="J52" s="191">
        <v>77</v>
      </c>
      <c r="K52" s="192" t="s">
        <v>615</v>
      </c>
      <c r="L52" s="193" t="s">
        <v>400</v>
      </c>
      <c r="M52" s="193" t="s">
        <v>309</v>
      </c>
      <c r="N52" s="193" t="s">
        <v>773</v>
      </c>
      <c r="O52" s="193"/>
      <c r="P52" s="193" t="s">
        <v>381</v>
      </c>
      <c r="Q52" s="193" t="s">
        <v>295</v>
      </c>
      <c r="R52" s="192" t="s">
        <v>379</v>
      </c>
      <c r="S52" s="181"/>
      <c r="T52" s="181" t="s">
        <v>381</v>
      </c>
      <c r="U52" s="181" t="s">
        <v>295</v>
      </c>
      <c r="V52" s="199" t="s">
        <v>379</v>
      </c>
    </row>
    <row r="53" spans="1:22">
      <c r="A53" s="194" t="s">
        <v>378</v>
      </c>
      <c r="B53" s="194"/>
      <c r="C53" s="194"/>
      <c r="D53" s="194"/>
      <c r="E53" s="195"/>
      <c r="F53" s="196"/>
      <c r="G53" s="197">
        <f>SUM(G52:G52)</f>
        <v>61</v>
      </c>
      <c r="H53" s="198">
        <f>SUM(H52:H52)</f>
        <v>77</v>
      </c>
      <c r="I53" s="194"/>
      <c r="J53" s="198">
        <f>SUM(J52:J52)</f>
        <v>77</v>
      </c>
      <c r="K53" s="194"/>
      <c r="L53" s="194"/>
      <c r="M53" s="194"/>
      <c r="N53" s="194"/>
      <c r="O53" s="194"/>
      <c r="P53" s="194"/>
      <c r="Q53" s="194"/>
      <c r="R53" s="194"/>
      <c r="S53" s="181"/>
      <c r="T53" s="181"/>
      <c r="U53" s="181"/>
      <c r="V53" s="181"/>
    </row>
    <row r="54" spans="1:22" outlineLevel="1">
      <c r="A54" s="199" t="s">
        <v>213</v>
      </c>
      <c r="B54" s="181" t="s">
        <v>748</v>
      </c>
      <c r="C54" s="190">
        <v>43630</v>
      </c>
      <c r="D54" s="181" t="s">
        <v>774</v>
      </c>
      <c r="E54" s="182" t="s">
        <v>775</v>
      </c>
      <c r="F54" s="183">
        <v>76315</v>
      </c>
      <c r="G54" s="184">
        <v>52.29</v>
      </c>
      <c r="H54" s="181">
        <v>66</v>
      </c>
      <c r="I54" s="181" t="s">
        <v>292</v>
      </c>
      <c r="J54" s="191">
        <v>66</v>
      </c>
      <c r="K54" s="192" t="s">
        <v>776</v>
      </c>
      <c r="L54" s="193" t="s">
        <v>396</v>
      </c>
      <c r="M54" s="193" t="s">
        <v>309</v>
      </c>
      <c r="N54" s="193"/>
      <c r="O54" s="193"/>
      <c r="P54" s="193" t="s">
        <v>381</v>
      </c>
      <c r="Q54" s="193" t="s">
        <v>295</v>
      </c>
      <c r="R54" s="192" t="s">
        <v>379</v>
      </c>
      <c r="S54" s="181"/>
      <c r="T54" s="181" t="s">
        <v>381</v>
      </c>
      <c r="U54" s="181" t="s">
        <v>295</v>
      </c>
      <c r="V54" s="199" t="s">
        <v>379</v>
      </c>
    </row>
    <row r="55" spans="1:22" ht="20.25" customHeight="1">
      <c r="A55" s="194" t="s">
        <v>378</v>
      </c>
      <c r="B55" s="194"/>
      <c r="C55" s="194"/>
      <c r="D55" s="194"/>
      <c r="E55" s="195"/>
      <c r="F55" s="196"/>
      <c r="G55" s="197">
        <f>SUM(G54:G54)</f>
        <v>52.29</v>
      </c>
      <c r="H55" s="198">
        <f>SUM(H54:H54)</f>
        <v>66</v>
      </c>
      <c r="I55" s="194"/>
      <c r="J55" s="198">
        <f>SUM(J54:J54)</f>
        <v>66</v>
      </c>
      <c r="K55" s="194"/>
      <c r="L55" s="194"/>
      <c r="M55" s="194"/>
      <c r="N55" s="194"/>
      <c r="O55" s="194"/>
      <c r="P55" s="194"/>
      <c r="Q55" s="194"/>
      <c r="R55" s="194"/>
      <c r="S55" s="181"/>
      <c r="T55" s="181"/>
      <c r="U55" s="181"/>
      <c r="V55" s="181"/>
    </row>
    <row r="56" spans="1:22" outlineLevel="1">
      <c r="A56" s="199" t="s">
        <v>220</v>
      </c>
      <c r="B56" s="181" t="s">
        <v>777</v>
      </c>
      <c r="C56" s="190">
        <v>43606</v>
      </c>
      <c r="D56" s="181" t="s">
        <v>778</v>
      </c>
      <c r="E56" s="182" t="s">
        <v>779</v>
      </c>
      <c r="F56" s="183">
        <v>75988</v>
      </c>
      <c r="G56" s="184">
        <v>1.84</v>
      </c>
      <c r="H56" s="181">
        <v>2.4</v>
      </c>
      <c r="I56" s="181" t="s">
        <v>292</v>
      </c>
      <c r="J56" s="191">
        <v>2.4</v>
      </c>
      <c r="K56" s="192" t="s">
        <v>595</v>
      </c>
      <c r="L56" s="193" t="s">
        <v>400</v>
      </c>
      <c r="M56" s="193" t="s">
        <v>309</v>
      </c>
      <c r="N56" s="193" t="s">
        <v>345</v>
      </c>
      <c r="O56" s="193"/>
      <c r="P56" s="193" t="s">
        <v>381</v>
      </c>
      <c r="Q56" s="193" t="s">
        <v>295</v>
      </c>
      <c r="R56" s="192" t="s">
        <v>379</v>
      </c>
      <c r="S56" s="181"/>
      <c r="T56" s="181" t="s">
        <v>381</v>
      </c>
      <c r="U56" s="181" t="s">
        <v>295</v>
      </c>
      <c r="V56" s="199" t="s">
        <v>379</v>
      </c>
    </row>
    <row r="57" spans="1:22" outlineLevel="1">
      <c r="A57" s="199" t="s">
        <v>220</v>
      </c>
      <c r="B57" s="181" t="s">
        <v>777</v>
      </c>
      <c r="C57" s="190">
        <v>43606</v>
      </c>
      <c r="D57" s="181" t="s">
        <v>778</v>
      </c>
      <c r="E57" s="182" t="s">
        <v>780</v>
      </c>
      <c r="F57" s="183">
        <v>75988</v>
      </c>
      <c r="G57" s="184">
        <v>0.77</v>
      </c>
      <c r="H57" s="181">
        <v>1</v>
      </c>
      <c r="I57" s="181" t="s">
        <v>292</v>
      </c>
      <c r="J57" s="191">
        <v>1</v>
      </c>
      <c r="K57" s="192" t="s">
        <v>595</v>
      </c>
      <c r="L57" s="193" t="s">
        <v>400</v>
      </c>
      <c r="M57" s="193" t="s">
        <v>309</v>
      </c>
      <c r="N57" s="193" t="s">
        <v>469</v>
      </c>
      <c r="O57" s="193"/>
      <c r="P57" s="193" t="s">
        <v>381</v>
      </c>
      <c r="Q57" s="193" t="s">
        <v>295</v>
      </c>
      <c r="R57" s="192" t="s">
        <v>379</v>
      </c>
      <c r="S57" s="181"/>
      <c r="T57" s="181" t="s">
        <v>381</v>
      </c>
      <c r="U57" s="181" t="s">
        <v>295</v>
      </c>
      <c r="V57" s="199" t="s">
        <v>379</v>
      </c>
    </row>
    <row r="58" spans="1:22" outlineLevel="1">
      <c r="A58" s="199" t="s">
        <v>220</v>
      </c>
      <c r="B58" s="181" t="s">
        <v>748</v>
      </c>
      <c r="C58" s="190">
        <v>43606</v>
      </c>
      <c r="D58" s="181" t="s">
        <v>781</v>
      </c>
      <c r="E58" s="182" t="s">
        <v>779</v>
      </c>
      <c r="F58" s="183">
        <v>76193</v>
      </c>
      <c r="G58" s="184">
        <v>-1.84</v>
      </c>
      <c r="H58" s="181">
        <v>-2.4</v>
      </c>
      <c r="I58" s="181" t="s">
        <v>292</v>
      </c>
      <c r="J58" s="191">
        <v>-2.3199999999999998</v>
      </c>
      <c r="K58" s="192" t="s">
        <v>595</v>
      </c>
      <c r="L58" s="193" t="s">
        <v>400</v>
      </c>
      <c r="M58" s="193" t="s">
        <v>309</v>
      </c>
      <c r="N58" s="193" t="s">
        <v>345</v>
      </c>
      <c r="O58" s="193"/>
      <c r="P58" s="193" t="s">
        <v>381</v>
      </c>
      <c r="Q58" s="193" t="s">
        <v>295</v>
      </c>
      <c r="R58" s="192" t="s">
        <v>379</v>
      </c>
      <c r="S58" s="181"/>
      <c r="T58" s="181" t="s">
        <v>381</v>
      </c>
      <c r="U58" s="181" t="s">
        <v>295</v>
      </c>
      <c r="V58" s="199" t="s">
        <v>379</v>
      </c>
    </row>
    <row r="59" spans="1:22" outlineLevel="1">
      <c r="A59" s="199" t="s">
        <v>220</v>
      </c>
      <c r="B59" s="181" t="s">
        <v>748</v>
      </c>
      <c r="C59" s="190">
        <v>43606</v>
      </c>
      <c r="D59" s="181" t="s">
        <v>781</v>
      </c>
      <c r="E59" s="182" t="s">
        <v>780</v>
      </c>
      <c r="F59" s="183">
        <v>76193</v>
      </c>
      <c r="G59" s="184">
        <v>-0.77</v>
      </c>
      <c r="H59" s="181">
        <v>-1</v>
      </c>
      <c r="I59" s="181" t="s">
        <v>292</v>
      </c>
      <c r="J59" s="191">
        <v>-0.97</v>
      </c>
      <c r="K59" s="192" t="s">
        <v>595</v>
      </c>
      <c r="L59" s="193" t="s">
        <v>400</v>
      </c>
      <c r="M59" s="193" t="s">
        <v>309</v>
      </c>
      <c r="N59" s="193" t="s">
        <v>469</v>
      </c>
      <c r="O59" s="193"/>
      <c r="P59" s="193" t="s">
        <v>381</v>
      </c>
      <c r="Q59" s="193" t="s">
        <v>295</v>
      </c>
      <c r="R59" s="192" t="s">
        <v>379</v>
      </c>
      <c r="S59" s="181"/>
      <c r="T59" s="181" t="s">
        <v>381</v>
      </c>
      <c r="U59" s="181" t="s">
        <v>295</v>
      </c>
      <c r="V59" s="199" t="s">
        <v>379</v>
      </c>
    </row>
    <row r="60" spans="1:22" outlineLevel="1">
      <c r="A60" s="199" t="s">
        <v>220</v>
      </c>
      <c r="B60" s="181" t="s">
        <v>748</v>
      </c>
      <c r="C60" s="190">
        <v>43622</v>
      </c>
      <c r="D60" s="181" t="s">
        <v>782</v>
      </c>
      <c r="E60" s="182" t="s">
        <v>783</v>
      </c>
      <c r="F60" s="183">
        <v>76250</v>
      </c>
      <c r="G60" s="184">
        <v>0.79</v>
      </c>
      <c r="H60" s="181">
        <v>1</v>
      </c>
      <c r="I60" s="181" t="s">
        <v>292</v>
      </c>
      <c r="J60" s="191">
        <v>1</v>
      </c>
      <c r="K60" s="192" t="s">
        <v>595</v>
      </c>
      <c r="L60" s="193" t="s">
        <v>400</v>
      </c>
      <c r="M60" s="193" t="s">
        <v>309</v>
      </c>
      <c r="N60" s="193" t="s">
        <v>469</v>
      </c>
      <c r="O60" s="193"/>
      <c r="P60" s="193" t="s">
        <v>381</v>
      </c>
      <c r="Q60" s="193" t="s">
        <v>295</v>
      </c>
      <c r="R60" s="192" t="s">
        <v>379</v>
      </c>
      <c r="S60" s="181"/>
      <c r="T60" s="181" t="s">
        <v>381</v>
      </c>
      <c r="U60" s="181" t="s">
        <v>295</v>
      </c>
      <c r="V60" s="199" t="s">
        <v>379</v>
      </c>
    </row>
    <row r="61" spans="1:22">
      <c r="A61" s="194" t="s">
        <v>378</v>
      </c>
      <c r="B61" s="194"/>
      <c r="C61" s="194"/>
      <c r="D61" s="194"/>
      <c r="E61" s="195"/>
      <c r="F61" s="196"/>
      <c r="G61" s="197">
        <f>SUM(G56:G60)</f>
        <v>0.79000000000000026</v>
      </c>
      <c r="H61" s="198">
        <f>SUM(H56:H60)</f>
        <v>1</v>
      </c>
      <c r="I61" s="194"/>
      <c r="J61" s="198">
        <f>SUM(J56:J60)</f>
        <v>1.1100000000000001</v>
      </c>
      <c r="K61" s="194"/>
      <c r="L61" s="194"/>
      <c r="M61" s="194"/>
      <c r="N61" s="194"/>
      <c r="O61" s="194"/>
      <c r="P61" s="194"/>
      <c r="Q61" s="194"/>
      <c r="R61" s="194"/>
      <c r="S61" s="181"/>
      <c r="T61" s="181"/>
      <c r="U61" s="181"/>
      <c r="V61" s="181"/>
    </row>
    <row r="62" spans="1:22" outlineLevel="1">
      <c r="A62" s="199" t="s">
        <v>239</v>
      </c>
      <c r="B62" s="181" t="s">
        <v>748</v>
      </c>
      <c r="C62" s="190">
        <v>43646</v>
      </c>
      <c r="D62" s="181" t="s">
        <v>750</v>
      </c>
      <c r="E62" s="182" t="s">
        <v>784</v>
      </c>
      <c r="F62" s="183">
        <v>76340</v>
      </c>
      <c r="G62" s="184">
        <v>1628.83</v>
      </c>
      <c r="H62" s="181">
        <v>1905</v>
      </c>
      <c r="I62" s="181" t="s">
        <v>292</v>
      </c>
      <c r="J62" s="191">
        <v>1905</v>
      </c>
      <c r="K62" s="192" t="s">
        <v>752</v>
      </c>
      <c r="L62" s="193" t="s">
        <v>396</v>
      </c>
      <c r="M62" s="193" t="s">
        <v>309</v>
      </c>
      <c r="N62" s="193"/>
      <c r="O62" s="193" t="s">
        <v>743</v>
      </c>
      <c r="P62" s="193" t="s">
        <v>381</v>
      </c>
      <c r="Q62" s="193" t="s">
        <v>295</v>
      </c>
      <c r="R62" s="192" t="s">
        <v>379</v>
      </c>
      <c r="S62" s="181" t="s">
        <v>743</v>
      </c>
      <c r="T62" s="181" t="s">
        <v>381</v>
      </c>
      <c r="U62" s="181" t="s">
        <v>295</v>
      </c>
      <c r="V62" s="199" t="s">
        <v>379</v>
      </c>
    </row>
    <row r="63" spans="1:22">
      <c r="A63" s="194" t="s">
        <v>378</v>
      </c>
      <c r="B63" s="194"/>
      <c r="C63" s="194"/>
      <c r="D63" s="194"/>
      <c r="E63" s="195"/>
      <c r="F63" s="196"/>
      <c r="G63" s="197">
        <f>SUM(G62:G62)</f>
        <v>1628.83</v>
      </c>
      <c r="H63" s="198">
        <f>SUM(H62:H62)</f>
        <v>1905</v>
      </c>
      <c r="I63" s="194"/>
      <c r="J63" s="198">
        <f>SUM(J62:J62)</f>
        <v>1905</v>
      </c>
      <c r="K63" s="194"/>
      <c r="L63" s="194"/>
      <c r="M63" s="194"/>
      <c r="N63" s="194"/>
      <c r="O63" s="194"/>
      <c r="P63" s="194"/>
      <c r="Q63" s="194"/>
      <c r="R63" s="194"/>
      <c r="S63" s="181"/>
      <c r="T63" s="181"/>
      <c r="U63" s="181"/>
      <c r="V63" s="181"/>
    </row>
    <row r="64" spans="1:22" outlineLevel="1">
      <c r="A64" s="199" t="s">
        <v>245</v>
      </c>
      <c r="B64" s="181" t="s">
        <v>747</v>
      </c>
      <c r="C64" s="190">
        <v>43580</v>
      </c>
      <c r="D64" s="181" t="s">
        <v>785</v>
      </c>
      <c r="E64" s="182" t="s">
        <v>786</v>
      </c>
      <c r="F64" s="183">
        <v>75701</v>
      </c>
      <c r="G64" s="184">
        <v>2114.73</v>
      </c>
      <c r="H64" s="181">
        <v>2758.14</v>
      </c>
      <c r="I64" s="181" t="s">
        <v>292</v>
      </c>
      <c r="J64" s="191">
        <v>2758.14</v>
      </c>
      <c r="K64" s="192" t="s">
        <v>385</v>
      </c>
      <c r="L64" s="193" t="s">
        <v>396</v>
      </c>
      <c r="M64" s="193" t="s">
        <v>309</v>
      </c>
      <c r="N64" s="193" t="s">
        <v>397</v>
      </c>
      <c r="O64" s="193"/>
      <c r="P64" s="193" t="s">
        <v>381</v>
      </c>
      <c r="Q64" s="193" t="s">
        <v>295</v>
      </c>
      <c r="R64" s="192" t="s">
        <v>379</v>
      </c>
      <c r="S64" s="181"/>
      <c r="T64" s="181" t="s">
        <v>381</v>
      </c>
      <c r="U64" s="181" t="s">
        <v>295</v>
      </c>
      <c r="V64" s="199" t="s">
        <v>379</v>
      </c>
    </row>
    <row r="65" spans="1:22" outlineLevel="1">
      <c r="A65" s="199" t="s">
        <v>245</v>
      </c>
      <c r="B65" s="181" t="s">
        <v>747</v>
      </c>
      <c r="C65" s="190">
        <v>43580</v>
      </c>
      <c r="D65" s="181" t="s">
        <v>787</v>
      </c>
      <c r="E65" s="182" t="s">
        <v>788</v>
      </c>
      <c r="F65" s="183">
        <v>75701</v>
      </c>
      <c r="G65" s="184">
        <v>374.38</v>
      </c>
      <c r="H65" s="181">
        <v>488.29</v>
      </c>
      <c r="I65" s="181" t="s">
        <v>292</v>
      </c>
      <c r="J65" s="191">
        <v>488.29</v>
      </c>
      <c r="K65" s="192" t="s">
        <v>385</v>
      </c>
      <c r="L65" s="193" t="s">
        <v>396</v>
      </c>
      <c r="M65" s="193" t="s">
        <v>309</v>
      </c>
      <c r="N65" s="193" t="s">
        <v>397</v>
      </c>
      <c r="O65" s="193"/>
      <c r="P65" s="193" t="s">
        <v>381</v>
      </c>
      <c r="Q65" s="193" t="s">
        <v>295</v>
      </c>
      <c r="R65" s="192" t="s">
        <v>379</v>
      </c>
      <c r="S65" s="181"/>
      <c r="T65" s="181" t="s">
        <v>381</v>
      </c>
      <c r="U65" s="181" t="s">
        <v>295</v>
      </c>
      <c r="V65" s="199" t="s">
        <v>379</v>
      </c>
    </row>
    <row r="66" spans="1:22" outlineLevel="1">
      <c r="A66" s="199" t="s">
        <v>245</v>
      </c>
      <c r="B66" s="181" t="s">
        <v>747</v>
      </c>
      <c r="C66" s="190">
        <v>43580</v>
      </c>
      <c r="D66" s="181" t="s">
        <v>789</v>
      </c>
      <c r="E66" s="182" t="s">
        <v>411</v>
      </c>
      <c r="F66" s="183">
        <v>75701</v>
      </c>
      <c r="G66" s="184">
        <v>343.13</v>
      </c>
      <c r="H66" s="181">
        <v>447.53</v>
      </c>
      <c r="I66" s="181" t="s">
        <v>292</v>
      </c>
      <c r="J66" s="191">
        <v>447.53</v>
      </c>
      <c r="K66" s="192" t="s">
        <v>391</v>
      </c>
      <c r="L66" s="193" t="s">
        <v>396</v>
      </c>
      <c r="M66" s="193" t="s">
        <v>309</v>
      </c>
      <c r="N66" s="193" t="s">
        <v>397</v>
      </c>
      <c r="O66" s="193"/>
      <c r="P66" s="193" t="s">
        <v>381</v>
      </c>
      <c r="Q66" s="193" t="s">
        <v>295</v>
      </c>
      <c r="R66" s="192" t="s">
        <v>379</v>
      </c>
      <c r="S66" s="181"/>
      <c r="T66" s="181" t="s">
        <v>381</v>
      </c>
      <c r="U66" s="181" t="s">
        <v>295</v>
      </c>
      <c r="V66" s="199" t="s">
        <v>379</v>
      </c>
    </row>
    <row r="67" spans="1:22" outlineLevel="1">
      <c r="A67" s="199" t="s">
        <v>245</v>
      </c>
      <c r="B67" s="181" t="s">
        <v>747</v>
      </c>
      <c r="C67" s="190">
        <v>43557</v>
      </c>
      <c r="D67" s="181" t="s">
        <v>790</v>
      </c>
      <c r="E67" s="182" t="s">
        <v>791</v>
      </c>
      <c r="F67" s="183">
        <v>75701</v>
      </c>
      <c r="G67" s="184">
        <v>3.81</v>
      </c>
      <c r="H67" s="181">
        <v>4.97</v>
      </c>
      <c r="I67" s="181" t="s">
        <v>292</v>
      </c>
      <c r="J67" s="191">
        <v>4.97</v>
      </c>
      <c r="K67" s="192" t="s">
        <v>405</v>
      </c>
      <c r="L67" s="193" t="s">
        <v>396</v>
      </c>
      <c r="M67" s="193" t="s">
        <v>309</v>
      </c>
      <c r="N67" s="193" t="s">
        <v>397</v>
      </c>
      <c r="O67" s="193"/>
      <c r="P67" s="193" t="s">
        <v>381</v>
      </c>
      <c r="Q67" s="193" t="s">
        <v>295</v>
      </c>
      <c r="R67" s="192" t="s">
        <v>379</v>
      </c>
      <c r="S67" s="181"/>
      <c r="T67" s="181" t="s">
        <v>381</v>
      </c>
      <c r="U67" s="181" t="s">
        <v>295</v>
      </c>
      <c r="V67" s="199" t="s">
        <v>379</v>
      </c>
    </row>
    <row r="68" spans="1:22" outlineLevel="1">
      <c r="A68" s="199" t="s">
        <v>245</v>
      </c>
      <c r="B68" s="181" t="s">
        <v>747</v>
      </c>
      <c r="C68" s="190">
        <v>43585</v>
      </c>
      <c r="D68" s="181" t="s">
        <v>792</v>
      </c>
      <c r="E68" s="182" t="s">
        <v>415</v>
      </c>
      <c r="F68" s="183">
        <v>75701</v>
      </c>
      <c r="G68" s="184">
        <v>57.19</v>
      </c>
      <c r="H68" s="181">
        <v>74.59</v>
      </c>
      <c r="I68" s="181" t="s">
        <v>292</v>
      </c>
      <c r="J68" s="191">
        <v>74.59</v>
      </c>
      <c r="K68" s="192" t="s">
        <v>405</v>
      </c>
      <c r="L68" s="193" t="s">
        <v>396</v>
      </c>
      <c r="M68" s="193" t="s">
        <v>309</v>
      </c>
      <c r="N68" s="193" t="s">
        <v>397</v>
      </c>
      <c r="O68" s="193"/>
      <c r="P68" s="193" t="s">
        <v>381</v>
      </c>
      <c r="Q68" s="193" t="s">
        <v>295</v>
      </c>
      <c r="R68" s="192" t="s">
        <v>379</v>
      </c>
      <c r="S68" s="181"/>
      <c r="T68" s="181" t="s">
        <v>381</v>
      </c>
      <c r="U68" s="181" t="s">
        <v>295</v>
      </c>
      <c r="V68" s="199" t="s">
        <v>379</v>
      </c>
    </row>
    <row r="69" spans="1:22" outlineLevel="1">
      <c r="A69" s="199" t="s">
        <v>245</v>
      </c>
      <c r="B69" s="181" t="s">
        <v>777</v>
      </c>
      <c r="C69" s="190">
        <v>43609</v>
      </c>
      <c r="D69" s="181" t="s">
        <v>793</v>
      </c>
      <c r="E69" s="182" t="s">
        <v>794</v>
      </c>
      <c r="F69" s="183">
        <v>75987</v>
      </c>
      <c r="G69" s="184">
        <v>2115.06</v>
      </c>
      <c r="H69" s="181">
        <v>2755.81</v>
      </c>
      <c r="I69" s="181" t="s">
        <v>292</v>
      </c>
      <c r="J69" s="191">
        <v>2755.81</v>
      </c>
      <c r="K69" s="192" t="s">
        <v>385</v>
      </c>
      <c r="L69" s="193" t="s">
        <v>396</v>
      </c>
      <c r="M69" s="193" t="s">
        <v>309</v>
      </c>
      <c r="N69" s="193" t="s">
        <v>397</v>
      </c>
      <c r="O69" s="193"/>
      <c r="P69" s="193" t="s">
        <v>381</v>
      </c>
      <c r="Q69" s="193" t="s">
        <v>295</v>
      </c>
      <c r="R69" s="192" t="s">
        <v>379</v>
      </c>
      <c r="S69" s="181"/>
      <c r="T69" s="181" t="s">
        <v>381</v>
      </c>
      <c r="U69" s="181" t="s">
        <v>295</v>
      </c>
      <c r="V69" s="199" t="s">
        <v>379</v>
      </c>
    </row>
    <row r="70" spans="1:22" outlineLevel="1">
      <c r="A70" s="199" t="s">
        <v>245</v>
      </c>
      <c r="B70" s="181" t="s">
        <v>777</v>
      </c>
      <c r="C70" s="190">
        <v>43609</v>
      </c>
      <c r="D70" s="181" t="s">
        <v>795</v>
      </c>
      <c r="E70" s="182" t="s">
        <v>796</v>
      </c>
      <c r="F70" s="183">
        <v>75987</v>
      </c>
      <c r="G70" s="184">
        <v>373.48</v>
      </c>
      <c r="H70" s="181">
        <v>486.62</v>
      </c>
      <c r="I70" s="181" t="s">
        <v>292</v>
      </c>
      <c r="J70" s="191">
        <v>486.62</v>
      </c>
      <c r="K70" s="192" t="s">
        <v>385</v>
      </c>
      <c r="L70" s="193" t="s">
        <v>396</v>
      </c>
      <c r="M70" s="193" t="s">
        <v>309</v>
      </c>
      <c r="N70" s="193" t="s">
        <v>397</v>
      </c>
      <c r="O70" s="193"/>
      <c r="P70" s="193" t="s">
        <v>381</v>
      </c>
      <c r="Q70" s="193" t="s">
        <v>295</v>
      </c>
      <c r="R70" s="192" t="s">
        <v>379</v>
      </c>
      <c r="S70" s="181"/>
      <c r="T70" s="181" t="s">
        <v>381</v>
      </c>
      <c r="U70" s="181" t="s">
        <v>295</v>
      </c>
      <c r="V70" s="199" t="s">
        <v>379</v>
      </c>
    </row>
    <row r="71" spans="1:22" outlineLevel="1">
      <c r="A71" s="199" t="s">
        <v>245</v>
      </c>
      <c r="B71" s="181" t="s">
        <v>777</v>
      </c>
      <c r="C71" s="190">
        <v>43609</v>
      </c>
      <c r="D71" s="181" t="s">
        <v>797</v>
      </c>
      <c r="E71" s="182" t="s">
        <v>798</v>
      </c>
      <c r="F71" s="183">
        <v>75987</v>
      </c>
      <c r="G71" s="184">
        <v>343.48</v>
      </c>
      <c r="H71" s="181">
        <v>447.53</v>
      </c>
      <c r="I71" s="181" t="s">
        <v>292</v>
      </c>
      <c r="J71" s="191">
        <v>447.54</v>
      </c>
      <c r="K71" s="192" t="s">
        <v>391</v>
      </c>
      <c r="L71" s="193" t="s">
        <v>396</v>
      </c>
      <c r="M71" s="193" t="s">
        <v>309</v>
      </c>
      <c r="N71" s="193" t="s">
        <v>397</v>
      </c>
      <c r="O71" s="193"/>
      <c r="P71" s="193" t="s">
        <v>381</v>
      </c>
      <c r="Q71" s="193" t="s">
        <v>295</v>
      </c>
      <c r="R71" s="192" t="s">
        <v>379</v>
      </c>
      <c r="S71" s="181"/>
      <c r="T71" s="181" t="s">
        <v>381</v>
      </c>
      <c r="U71" s="181" t="s">
        <v>295</v>
      </c>
      <c r="V71" s="199" t="s">
        <v>379</v>
      </c>
    </row>
    <row r="72" spans="1:22" outlineLevel="1">
      <c r="A72" s="199" t="s">
        <v>245</v>
      </c>
      <c r="B72" s="181" t="s">
        <v>777</v>
      </c>
      <c r="C72" s="190">
        <v>43587</v>
      </c>
      <c r="D72" s="181" t="s">
        <v>799</v>
      </c>
      <c r="E72" s="182" t="s">
        <v>800</v>
      </c>
      <c r="F72" s="183">
        <v>75987</v>
      </c>
      <c r="G72" s="184">
        <v>3.81</v>
      </c>
      <c r="H72" s="181">
        <v>4.97</v>
      </c>
      <c r="I72" s="181" t="s">
        <v>292</v>
      </c>
      <c r="J72" s="191">
        <v>4.96</v>
      </c>
      <c r="K72" s="192" t="s">
        <v>405</v>
      </c>
      <c r="L72" s="193" t="s">
        <v>396</v>
      </c>
      <c r="M72" s="193" t="s">
        <v>309</v>
      </c>
      <c r="N72" s="193" t="s">
        <v>397</v>
      </c>
      <c r="O72" s="193"/>
      <c r="P72" s="193" t="s">
        <v>381</v>
      </c>
      <c r="Q72" s="193" t="s">
        <v>295</v>
      </c>
      <c r="R72" s="192" t="s">
        <v>379</v>
      </c>
      <c r="S72" s="181"/>
      <c r="T72" s="181" t="s">
        <v>381</v>
      </c>
      <c r="U72" s="181" t="s">
        <v>295</v>
      </c>
      <c r="V72" s="199" t="s">
        <v>379</v>
      </c>
    </row>
    <row r="73" spans="1:22" outlineLevel="1">
      <c r="A73" s="199" t="s">
        <v>245</v>
      </c>
      <c r="B73" s="181" t="s">
        <v>777</v>
      </c>
      <c r="C73" s="190">
        <v>43609</v>
      </c>
      <c r="D73" s="181" t="s">
        <v>801</v>
      </c>
      <c r="E73" s="182" t="s">
        <v>802</v>
      </c>
      <c r="F73" s="183">
        <v>75987</v>
      </c>
      <c r="G73" s="184">
        <v>57.25</v>
      </c>
      <c r="H73" s="181">
        <v>74.59</v>
      </c>
      <c r="I73" s="181" t="s">
        <v>292</v>
      </c>
      <c r="J73" s="191">
        <v>74.59</v>
      </c>
      <c r="K73" s="192" t="s">
        <v>405</v>
      </c>
      <c r="L73" s="193" t="s">
        <v>396</v>
      </c>
      <c r="M73" s="193" t="s">
        <v>309</v>
      </c>
      <c r="N73" s="193" t="s">
        <v>397</v>
      </c>
      <c r="O73" s="193"/>
      <c r="P73" s="193" t="s">
        <v>381</v>
      </c>
      <c r="Q73" s="193" t="s">
        <v>295</v>
      </c>
      <c r="R73" s="192" t="s">
        <v>379</v>
      </c>
      <c r="S73" s="181"/>
      <c r="T73" s="181" t="s">
        <v>381</v>
      </c>
      <c r="U73" s="181" t="s">
        <v>295</v>
      </c>
      <c r="V73" s="199" t="s">
        <v>379</v>
      </c>
    </row>
    <row r="74" spans="1:22" outlineLevel="1">
      <c r="A74" s="199" t="s">
        <v>245</v>
      </c>
      <c r="B74" s="181" t="s">
        <v>777</v>
      </c>
      <c r="C74" s="190">
        <v>43614</v>
      </c>
      <c r="D74" s="181" t="s">
        <v>803</v>
      </c>
      <c r="E74" s="182" t="s">
        <v>804</v>
      </c>
      <c r="F74" s="183">
        <v>75987</v>
      </c>
      <c r="G74" s="184">
        <v>3.84</v>
      </c>
      <c r="H74" s="181">
        <v>5</v>
      </c>
      <c r="I74" s="181" t="s">
        <v>292</v>
      </c>
      <c r="J74" s="191">
        <v>5</v>
      </c>
      <c r="K74" s="192" t="s">
        <v>405</v>
      </c>
      <c r="L74" s="193" t="s">
        <v>396</v>
      </c>
      <c r="M74" s="193" t="s">
        <v>309</v>
      </c>
      <c r="N74" s="193" t="s">
        <v>397</v>
      </c>
      <c r="O74" s="193"/>
      <c r="P74" s="193" t="s">
        <v>381</v>
      </c>
      <c r="Q74" s="193" t="s">
        <v>295</v>
      </c>
      <c r="R74" s="192" t="s">
        <v>379</v>
      </c>
      <c r="S74" s="181"/>
      <c r="T74" s="181" t="s">
        <v>381</v>
      </c>
      <c r="U74" s="181" t="s">
        <v>295</v>
      </c>
      <c r="V74" s="199" t="s">
        <v>379</v>
      </c>
    </row>
    <row r="75" spans="1:22" outlineLevel="1">
      <c r="A75" s="199" t="s">
        <v>245</v>
      </c>
      <c r="B75" s="181" t="s">
        <v>748</v>
      </c>
      <c r="C75" s="190">
        <v>43641</v>
      </c>
      <c r="D75" s="181" t="s">
        <v>805</v>
      </c>
      <c r="E75" s="182" t="s">
        <v>806</v>
      </c>
      <c r="F75" s="183">
        <v>76315</v>
      </c>
      <c r="G75" s="184">
        <v>2186.46</v>
      </c>
      <c r="H75" s="181">
        <v>2759.83</v>
      </c>
      <c r="I75" s="181" t="s">
        <v>292</v>
      </c>
      <c r="J75" s="191">
        <v>2759.83</v>
      </c>
      <c r="K75" s="192" t="s">
        <v>385</v>
      </c>
      <c r="L75" s="193" t="s">
        <v>396</v>
      </c>
      <c r="M75" s="193" t="s">
        <v>309</v>
      </c>
      <c r="N75" s="193" t="s">
        <v>397</v>
      </c>
      <c r="O75" s="193"/>
      <c r="P75" s="193" t="s">
        <v>381</v>
      </c>
      <c r="Q75" s="193" t="s">
        <v>295</v>
      </c>
      <c r="R75" s="192" t="s">
        <v>379</v>
      </c>
      <c r="S75" s="181"/>
      <c r="T75" s="181" t="s">
        <v>381</v>
      </c>
      <c r="U75" s="181" t="s">
        <v>295</v>
      </c>
      <c r="V75" s="199" t="s">
        <v>379</v>
      </c>
    </row>
    <row r="76" spans="1:22" outlineLevel="1">
      <c r="A76" s="199" t="s">
        <v>245</v>
      </c>
      <c r="B76" s="181" t="s">
        <v>748</v>
      </c>
      <c r="C76" s="190">
        <v>43641</v>
      </c>
      <c r="D76" s="181" t="s">
        <v>807</v>
      </c>
      <c r="E76" s="182" t="s">
        <v>808</v>
      </c>
      <c r="F76" s="183">
        <v>76315</v>
      </c>
      <c r="G76" s="184">
        <v>388.68</v>
      </c>
      <c r="H76" s="181">
        <v>490.6</v>
      </c>
      <c r="I76" s="181" t="s">
        <v>292</v>
      </c>
      <c r="J76" s="191">
        <v>490.61</v>
      </c>
      <c r="K76" s="192" t="s">
        <v>385</v>
      </c>
      <c r="L76" s="193" t="s">
        <v>396</v>
      </c>
      <c r="M76" s="193" t="s">
        <v>309</v>
      </c>
      <c r="N76" s="193" t="s">
        <v>397</v>
      </c>
      <c r="O76" s="193"/>
      <c r="P76" s="193" t="s">
        <v>381</v>
      </c>
      <c r="Q76" s="193" t="s">
        <v>295</v>
      </c>
      <c r="R76" s="192" t="s">
        <v>379</v>
      </c>
      <c r="S76" s="181"/>
      <c r="T76" s="181" t="s">
        <v>381</v>
      </c>
      <c r="U76" s="181" t="s">
        <v>295</v>
      </c>
      <c r="V76" s="199" t="s">
        <v>379</v>
      </c>
    </row>
    <row r="77" spans="1:22" outlineLevel="1">
      <c r="A77" s="199" t="s">
        <v>245</v>
      </c>
      <c r="B77" s="181" t="s">
        <v>748</v>
      </c>
      <c r="C77" s="190">
        <v>43641</v>
      </c>
      <c r="D77" s="181" t="s">
        <v>809</v>
      </c>
      <c r="E77" s="182" t="s">
        <v>810</v>
      </c>
      <c r="F77" s="183">
        <v>76315</v>
      </c>
      <c r="G77" s="184">
        <v>354.55</v>
      </c>
      <c r="H77" s="181">
        <v>447.53</v>
      </c>
      <c r="I77" s="181" t="s">
        <v>292</v>
      </c>
      <c r="J77" s="191">
        <v>447.53</v>
      </c>
      <c r="K77" s="192" t="s">
        <v>391</v>
      </c>
      <c r="L77" s="193" t="s">
        <v>396</v>
      </c>
      <c r="M77" s="193" t="s">
        <v>309</v>
      </c>
      <c r="N77" s="193" t="s">
        <v>397</v>
      </c>
      <c r="O77" s="193"/>
      <c r="P77" s="193" t="s">
        <v>381</v>
      </c>
      <c r="Q77" s="193" t="s">
        <v>295</v>
      </c>
      <c r="R77" s="192" t="s">
        <v>379</v>
      </c>
      <c r="S77" s="181"/>
      <c r="T77" s="181" t="s">
        <v>381</v>
      </c>
      <c r="U77" s="181" t="s">
        <v>295</v>
      </c>
      <c r="V77" s="199" t="s">
        <v>379</v>
      </c>
    </row>
    <row r="78" spans="1:22" outlineLevel="1">
      <c r="A78" s="199" t="s">
        <v>245</v>
      </c>
      <c r="B78" s="181" t="s">
        <v>748</v>
      </c>
      <c r="C78" s="190">
        <v>43641</v>
      </c>
      <c r="D78" s="181" t="s">
        <v>811</v>
      </c>
      <c r="E78" s="182" t="s">
        <v>812</v>
      </c>
      <c r="F78" s="183">
        <v>76315</v>
      </c>
      <c r="G78" s="184">
        <v>59.09</v>
      </c>
      <c r="H78" s="181">
        <v>74.59</v>
      </c>
      <c r="I78" s="181" t="s">
        <v>292</v>
      </c>
      <c r="J78" s="191">
        <v>74.59</v>
      </c>
      <c r="K78" s="192" t="s">
        <v>405</v>
      </c>
      <c r="L78" s="193" t="s">
        <v>396</v>
      </c>
      <c r="M78" s="193" t="s">
        <v>309</v>
      </c>
      <c r="N78" s="193" t="s">
        <v>397</v>
      </c>
      <c r="O78" s="193"/>
      <c r="P78" s="193" t="s">
        <v>381</v>
      </c>
      <c r="Q78" s="193" t="s">
        <v>295</v>
      </c>
      <c r="R78" s="192" t="s">
        <v>379</v>
      </c>
      <c r="S78" s="181"/>
      <c r="T78" s="181" t="s">
        <v>381</v>
      </c>
      <c r="U78" s="181" t="s">
        <v>295</v>
      </c>
      <c r="V78" s="199" t="s">
        <v>379</v>
      </c>
    </row>
    <row r="79" spans="1:22">
      <c r="A79" s="194" t="s">
        <v>378</v>
      </c>
      <c r="B79" s="194"/>
      <c r="C79" s="194"/>
      <c r="D79" s="194"/>
      <c r="E79" s="195"/>
      <c r="F79" s="196"/>
      <c r="G79" s="197">
        <f>SUM(G64:G78)</f>
        <v>8778.94</v>
      </c>
      <c r="H79" s="198">
        <f>SUM(H64:H78)</f>
        <v>11320.59</v>
      </c>
      <c r="I79" s="194"/>
      <c r="J79" s="198">
        <f>SUM(J64:J78)</f>
        <v>11320.6</v>
      </c>
      <c r="K79" s="194"/>
      <c r="L79" s="194"/>
      <c r="M79" s="194"/>
      <c r="N79" s="194"/>
      <c r="O79" s="194"/>
      <c r="P79" s="194"/>
      <c r="Q79" s="194"/>
      <c r="R79" s="194"/>
      <c r="S79" s="181"/>
      <c r="T79" s="181"/>
      <c r="U79" s="181"/>
      <c r="V79" s="181"/>
    </row>
    <row r="80" spans="1:22" outlineLevel="1">
      <c r="A80" s="199" t="s">
        <v>246</v>
      </c>
      <c r="B80" s="181" t="s">
        <v>748</v>
      </c>
      <c r="C80" s="190">
        <v>43622</v>
      </c>
      <c r="D80" s="181" t="s">
        <v>813</v>
      </c>
      <c r="E80" s="182" t="s">
        <v>814</v>
      </c>
      <c r="F80" s="183">
        <v>76315</v>
      </c>
      <c r="G80" s="184">
        <v>793.15</v>
      </c>
      <c r="H80" s="181">
        <v>1001</v>
      </c>
      <c r="I80" s="181" t="s">
        <v>292</v>
      </c>
      <c r="J80" s="191">
        <v>1001</v>
      </c>
      <c r="K80" s="192" t="s">
        <v>640</v>
      </c>
      <c r="L80" s="193" t="s">
        <v>396</v>
      </c>
      <c r="M80" s="193" t="s">
        <v>309</v>
      </c>
      <c r="N80" s="193"/>
      <c r="O80" s="193"/>
      <c r="P80" s="193" t="s">
        <v>381</v>
      </c>
      <c r="Q80" s="193" t="s">
        <v>295</v>
      </c>
      <c r="R80" s="192" t="s">
        <v>379</v>
      </c>
      <c r="S80" s="181"/>
      <c r="T80" s="181" t="s">
        <v>381</v>
      </c>
      <c r="U80" s="181" t="s">
        <v>295</v>
      </c>
      <c r="V80" s="199" t="s">
        <v>379</v>
      </c>
    </row>
    <row r="81" spans="1:22" outlineLevel="1">
      <c r="A81" s="199" t="s">
        <v>246</v>
      </c>
      <c r="B81" s="181" t="s">
        <v>748</v>
      </c>
      <c r="C81" s="190">
        <v>43622</v>
      </c>
      <c r="D81" s="181" t="s">
        <v>815</v>
      </c>
      <c r="E81" s="182" t="s">
        <v>816</v>
      </c>
      <c r="F81" s="183">
        <v>76315</v>
      </c>
      <c r="G81" s="184">
        <v>793.15</v>
      </c>
      <c r="H81" s="181">
        <v>1001</v>
      </c>
      <c r="I81" s="181" t="s">
        <v>292</v>
      </c>
      <c r="J81" s="191">
        <v>1001</v>
      </c>
      <c r="K81" s="192" t="s">
        <v>640</v>
      </c>
      <c r="L81" s="193" t="s">
        <v>396</v>
      </c>
      <c r="M81" s="193" t="s">
        <v>309</v>
      </c>
      <c r="N81" s="193"/>
      <c r="O81" s="193"/>
      <c r="P81" s="193" t="s">
        <v>381</v>
      </c>
      <c r="Q81" s="193" t="s">
        <v>295</v>
      </c>
      <c r="R81" s="192" t="s">
        <v>379</v>
      </c>
      <c r="S81" s="181"/>
      <c r="T81" s="181" t="s">
        <v>381</v>
      </c>
      <c r="U81" s="181" t="s">
        <v>295</v>
      </c>
      <c r="V81" s="199" t="s">
        <v>379</v>
      </c>
    </row>
    <row r="82" spans="1:22">
      <c r="A82" s="194" t="s">
        <v>378</v>
      </c>
      <c r="B82" s="194"/>
      <c r="C82" s="194"/>
      <c r="D82" s="194"/>
      <c r="E82" s="195"/>
      <c r="F82" s="196"/>
      <c r="G82" s="197">
        <f>SUM(G80:G81)</f>
        <v>1586.3</v>
      </c>
      <c r="H82" s="198">
        <f>SUM(H80:H81)</f>
        <v>2002</v>
      </c>
      <c r="I82" s="194"/>
      <c r="J82" s="198">
        <f>SUM(J80:J81)</f>
        <v>2002</v>
      </c>
      <c r="K82" s="194"/>
      <c r="L82" s="194"/>
      <c r="M82" s="194"/>
      <c r="N82" s="194"/>
      <c r="O82" s="194"/>
      <c r="P82" s="194"/>
      <c r="Q82" s="194"/>
      <c r="R82" s="194"/>
      <c r="S82" s="181"/>
      <c r="T82" s="181"/>
      <c r="U82" s="181"/>
      <c r="V82" s="181"/>
    </row>
    <row r="83" spans="1:22" outlineLevel="1">
      <c r="A83" s="199" t="s">
        <v>247</v>
      </c>
      <c r="B83" s="181" t="s">
        <v>777</v>
      </c>
      <c r="C83" s="190">
        <v>43616</v>
      </c>
      <c r="D83" s="181" t="s">
        <v>817</v>
      </c>
      <c r="E83" s="182" t="s">
        <v>818</v>
      </c>
      <c r="F83" s="183">
        <v>75982</v>
      </c>
      <c r="G83" s="184">
        <v>1150.42</v>
      </c>
      <c r="H83" s="181">
        <v>1150.42</v>
      </c>
      <c r="I83" s="181" t="s">
        <v>293</v>
      </c>
      <c r="J83" s="191">
        <v>1498.93</v>
      </c>
      <c r="K83" s="192" t="s">
        <v>385</v>
      </c>
      <c r="L83" s="193" t="s">
        <v>374</v>
      </c>
      <c r="M83" s="193" t="s">
        <v>309</v>
      </c>
      <c r="N83" s="193" t="s">
        <v>345</v>
      </c>
      <c r="O83" s="193"/>
      <c r="P83" s="193" t="s">
        <v>381</v>
      </c>
      <c r="Q83" s="193" t="s">
        <v>295</v>
      </c>
      <c r="R83" s="192" t="s">
        <v>379</v>
      </c>
      <c r="S83" s="181"/>
      <c r="T83" s="181" t="s">
        <v>381</v>
      </c>
      <c r="U83" s="181" t="s">
        <v>295</v>
      </c>
      <c r="V83" s="199" t="s">
        <v>379</v>
      </c>
    </row>
    <row r="84" spans="1:22" outlineLevel="1">
      <c r="A84" s="199" t="s">
        <v>247</v>
      </c>
      <c r="B84" s="181" t="s">
        <v>777</v>
      </c>
      <c r="C84" s="190">
        <v>43616</v>
      </c>
      <c r="D84" s="181" t="s">
        <v>817</v>
      </c>
      <c r="E84" s="182" t="s">
        <v>819</v>
      </c>
      <c r="F84" s="183">
        <v>75983</v>
      </c>
      <c r="G84" s="184">
        <v>57.52</v>
      </c>
      <c r="H84" s="181">
        <v>57.52</v>
      </c>
      <c r="I84" s="181" t="s">
        <v>293</v>
      </c>
      <c r="J84" s="191">
        <v>74.95</v>
      </c>
      <c r="K84" s="192" t="s">
        <v>385</v>
      </c>
      <c r="L84" s="193" t="s">
        <v>374</v>
      </c>
      <c r="M84" s="193" t="s">
        <v>309</v>
      </c>
      <c r="N84" s="193" t="s">
        <v>345</v>
      </c>
      <c r="O84" s="193"/>
      <c r="P84" s="193" t="s">
        <v>388</v>
      </c>
      <c r="Q84" s="193" t="s">
        <v>295</v>
      </c>
      <c r="R84" s="192" t="s">
        <v>247</v>
      </c>
      <c r="S84" s="181"/>
      <c r="T84" s="181" t="s">
        <v>388</v>
      </c>
      <c r="U84" s="181" t="s">
        <v>295</v>
      </c>
      <c r="V84" s="199" t="s">
        <v>247</v>
      </c>
    </row>
    <row r="85" spans="1:22" outlineLevel="1">
      <c r="A85" s="199" t="s">
        <v>247</v>
      </c>
      <c r="B85" s="181" t="s">
        <v>777</v>
      </c>
      <c r="C85" s="190">
        <v>43616</v>
      </c>
      <c r="D85" s="181" t="s">
        <v>817</v>
      </c>
      <c r="E85" s="182" t="s">
        <v>820</v>
      </c>
      <c r="F85" s="183">
        <v>75984</v>
      </c>
      <c r="G85" s="184">
        <v>17.260000000000002</v>
      </c>
      <c r="H85" s="181">
        <v>17.260000000000002</v>
      </c>
      <c r="I85" s="181" t="s">
        <v>293</v>
      </c>
      <c r="J85" s="191">
        <v>22.49</v>
      </c>
      <c r="K85" s="192" t="s">
        <v>385</v>
      </c>
      <c r="L85" s="193" t="s">
        <v>374</v>
      </c>
      <c r="M85" s="193" t="s">
        <v>309</v>
      </c>
      <c r="N85" s="193" t="s">
        <v>345</v>
      </c>
      <c r="O85" s="193"/>
      <c r="P85" s="193" t="s">
        <v>390</v>
      </c>
      <c r="Q85" s="193" t="s">
        <v>295</v>
      </c>
      <c r="R85" s="192" t="s">
        <v>379</v>
      </c>
      <c r="S85" s="181"/>
      <c r="T85" s="181" t="s">
        <v>390</v>
      </c>
      <c r="U85" s="181" t="s">
        <v>295</v>
      </c>
      <c r="V85" s="199" t="s">
        <v>379</v>
      </c>
    </row>
    <row r="86" spans="1:22" outlineLevel="1">
      <c r="A86" s="199" t="s">
        <v>247</v>
      </c>
      <c r="B86" s="181" t="s">
        <v>777</v>
      </c>
      <c r="C86" s="190">
        <v>43616</v>
      </c>
      <c r="D86" s="181" t="s">
        <v>817</v>
      </c>
      <c r="E86" s="182" t="s">
        <v>818</v>
      </c>
      <c r="F86" s="183">
        <v>75982</v>
      </c>
      <c r="G86" s="184">
        <v>115.04</v>
      </c>
      <c r="H86" s="181">
        <v>115.04</v>
      </c>
      <c r="I86" s="181" t="s">
        <v>293</v>
      </c>
      <c r="J86" s="191">
        <v>149.88999999999999</v>
      </c>
      <c r="K86" s="192" t="s">
        <v>391</v>
      </c>
      <c r="L86" s="193" t="s">
        <v>374</v>
      </c>
      <c r="M86" s="193" t="s">
        <v>309</v>
      </c>
      <c r="N86" s="193" t="s">
        <v>345</v>
      </c>
      <c r="O86" s="193"/>
      <c r="P86" s="193" t="s">
        <v>381</v>
      </c>
      <c r="Q86" s="193" t="s">
        <v>295</v>
      </c>
      <c r="R86" s="192" t="s">
        <v>379</v>
      </c>
      <c r="S86" s="181"/>
      <c r="T86" s="181" t="s">
        <v>381</v>
      </c>
      <c r="U86" s="181" t="s">
        <v>295</v>
      </c>
      <c r="V86" s="199" t="s">
        <v>379</v>
      </c>
    </row>
    <row r="87" spans="1:22">
      <c r="A87" s="194" t="s">
        <v>378</v>
      </c>
      <c r="B87" s="194"/>
      <c r="C87" s="194"/>
      <c r="D87" s="194"/>
      <c r="E87" s="195"/>
      <c r="F87" s="196"/>
      <c r="G87" s="197">
        <f>SUM(G83:G86)</f>
        <v>1340.24</v>
      </c>
      <c r="H87" s="198">
        <f>SUM(H83:H86)</f>
        <v>1340.24</v>
      </c>
      <c r="I87" s="194"/>
      <c r="J87" s="198">
        <f>SUM(J83:J86)</f>
        <v>1746.2600000000002</v>
      </c>
      <c r="K87" s="194"/>
      <c r="L87" s="194"/>
      <c r="M87" s="194"/>
      <c r="N87" s="194"/>
      <c r="O87" s="194"/>
      <c r="P87" s="194"/>
      <c r="Q87" s="194"/>
      <c r="R87" s="194"/>
      <c r="S87" s="181"/>
      <c r="T87" s="181"/>
      <c r="U87" s="181"/>
      <c r="V87" s="181"/>
    </row>
    <row r="88" spans="1:22" outlineLevel="1">
      <c r="A88" s="199" t="s">
        <v>248</v>
      </c>
      <c r="B88" s="181" t="s">
        <v>747</v>
      </c>
      <c r="C88" s="190">
        <v>43585</v>
      </c>
      <c r="D88" s="181" t="s">
        <v>821</v>
      </c>
      <c r="E88" s="182" t="s">
        <v>384</v>
      </c>
      <c r="F88" s="183">
        <v>75682</v>
      </c>
      <c r="G88" s="184">
        <v>288.01</v>
      </c>
      <c r="H88" s="181">
        <v>288.01</v>
      </c>
      <c r="I88" s="181" t="s">
        <v>293</v>
      </c>
      <c r="J88" s="191">
        <v>375.64</v>
      </c>
      <c r="K88" s="192" t="s">
        <v>385</v>
      </c>
      <c r="L88" s="193" t="s">
        <v>374</v>
      </c>
      <c r="M88" s="193" t="s">
        <v>309</v>
      </c>
      <c r="N88" s="193" t="s">
        <v>386</v>
      </c>
      <c r="O88" s="193"/>
      <c r="P88" s="193" t="s">
        <v>381</v>
      </c>
      <c r="Q88" s="193" t="s">
        <v>295</v>
      </c>
      <c r="R88" s="192" t="s">
        <v>379</v>
      </c>
      <c r="S88" s="181"/>
      <c r="T88" s="181" t="s">
        <v>381</v>
      </c>
      <c r="U88" s="181" t="s">
        <v>295</v>
      </c>
      <c r="V88" s="199" t="s">
        <v>379</v>
      </c>
    </row>
    <row r="89" spans="1:22" outlineLevel="1">
      <c r="A89" s="199" t="s">
        <v>248</v>
      </c>
      <c r="B89" s="181" t="s">
        <v>747</v>
      </c>
      <c r="C89" s="190">
        <v>43585</v>
      </c>
      <c r="D89" s="181" t="s">
        <v>821</v>
      </c>
      <c r="E89" s="182" t="s">
        <v>822</v>
      </c>
      <c r="F89" s="183">
        <v>75683</v>
      </c>
      <c r="G89" s="184">
        <v>14.4</v>
      </c>
      <c r="H89" s="181">
        <v>14.4</v>
      </c>
      <c r="I89" s="181" t="s">
        <v>293</v>
      </c>
      <c r="J89" s="191">
        <v>18.78</v>
      </c>
      <c r="K89" s="192" t="s">
        <v>385</v>
      </c>
      <c r="L89" s="193" t="s">
        <v>374</v>
      </c>
      <c r="M89" s="193" t="s">
        <v>309</v>
      </c>
      <c r="N89" s="193" t="s">
        <v>386</v>
      </c>
      <c r="O89" s="193"/>
      <c r="P89" s="193" t="s">
        <v>388</v>
      </c>
      <c r="Q89" s="193" t="s">
        <v>295</v>
      </c>
      <c r="R89" s="192" t="s">
        <v>248</v>
      </c>
      <c r="S89" s="181"/>
      <c r="T89" s="181" t="s">
        <v>388</v>
      </c>
      <c r="U89" s="181" t="s">
        <v>295</v>
      </c>
      <c r="V89" s="199" t="s">
        <v>248</v>
      </c>
    </row>
    <row r="90" spans="1:22" outlineLevel="1">
      <c r="A90" s="199" t="s">
        <v>248</v>
      </c>
      <c r="B90" s="181" t="s">
        <v>747</v>
      </c>
      <c r="C90" s="190">
        <v>43585</v>
      </c>
      <c r="D90" s="181" t="s">
        <v>821</v>
      </c>
      <c r="E90" s="182" t="s">
        <v>823</v>
      </c>
      <c r="F90" s="183">
        <v>75684</v>
      </c>
      <c r="G90" s="184">
        <v>4.32</v>
      </c>
      <c r="H90" s="181">
        <v>4.32</v>
      </c>
      <c r="I90" s="181" t="s">
        <v>293</v>
      </c>
      <c r="J90" s="191">
        <v>5.63</v>
      </c>
      <c r="K90" s="192" t="s">
        <v>385</v>
      </c>
      <c r="L90" s="193" t="s">
        <v>374</v>
      </c>
      <c r="M90" s="193" t="s">
        <v>309</v>
      </c>
      <c r="N90" s="193" t="s">
        <v>386</v>
      </c>
      <c r="O90" s="193"/>
      <c r="P90" s="193" t="s">
        <v>390</v>
      </c>
      <c r="Q90" s="193" t="s">
        <v>295</v>
      </c>
      <c r="R90" s="192" t="s">
        <v>379</v>
      </c>
      <c r="S90" s="181"/>
      <c r="T90" s="181" t="s">
        <v>390</v>
      </c>
      <c r="U90" s="181" t="s">
        <v>295</v>
      </c>
      <c r="V90" s="199" t="s">
        <v>379</v>
      </c>
    </row>
    <row r="91" spans="1:22" outlineLevel="1">
      <c r="A91" s="199" t="s">
        <v>248</v>
      </c>
      <c r="B91" s="181" t="s">
        <v>747</v>
      </c>
      <c r="C91" s="190">
        <v>43585</v>
      </c>
      <c r="D91" s="181" t="s">
        <v>821</v>
      </c>
      <c r="E91" s="182" t="s">
        <v>384</v>
      </c>
      <c r="F91" s="183">
        <v>75682</v>
      </c>
      <c r="G91" s="184">
        <v>28.8</v>
      </c>
      <c r="H91" s="181">
        <v>28.8</v>
      </c>
      <c r="I91" s="181" t="s">
        <v>293</v>
      </c>
      <c r="J91" s="191">
        <v>37.56</v>
      </c>
      <c r="K91" s="192" t="s">
        <v>391</v>
      </c>
      <c r="L91" s="193" t="s">
        <v>374</v>
      </c>
      <c r="M91" s="193" t="s">
        <v>309</v>
      </c>
      <c r="N91" s="193" t="s">
        <v>386</v>
      </c>
      <c r="O91" s="193"/>
      <c r="P91" s="193" t="s">
        <v>381</v>
      </c>
      <c r="Q91" s="193" t="s">
        <v>295</v>
      </c>
      <c r="R91" s="192" t="s">
        <v>379</v>
      </c>
      <c r="S91" s="181"/>
      <c r="T91" s="181" t="s">
        <v>381</v>
      </c>
      <c r="U91" s="181" t="s">
        <v>295</v>
      </c>
      <c r="V91" s="199" t="s">
        <v>379</v>
      </c>
    </row>
    <row r="92" spans="1:22" outlineLevel="1">
      <c r="A92" s="199" t="s">
        <v>248</v>
      </c>
      <c r="B92" s="181" t="s">
        <v>747</v>
      </c>
      <c r="C92" s="190">
        <v>43585</v>
      </c>
      <c r="D92" s="181" t="s">
        <v>821</v>
      </c>
      <c r="E92" s="182" t="s">
        <v>384</v>
      </c>
      <c r="F92" s="183">
        <v>75682</v>
      </c>
      <c r="G92" s="184">
        <v>34.78</v>
      </c>
      <c r="H92" s="181">
        <v>34.78</v>
      </c>
      <c r="I92" s="181" t="s">
        <v>293</v>
      </c>
      <c r="J92" s="191">
        <v>45.36</v>
      </c>
      <c r="K92" s="192" t="s">
        <v>392</v>
      </c>
      <c r="L92" s="193" t="s">
        <v>374</v>
      </c>
      <c r="M92" s="193" t="s">
        <v>309</v>
      </c>
      <c r="N92" s="193" t="s">
        <v>386</v>
      </c>
      <c r="O92" s="193"/>
      <c r="P92" s="193" t="s">
        <v>381</v>
      </c>
      <c r="Q92" s="193" t="s">
        <v>295</v>
      </c>
      <c r="R92" s="192" t="s">
        <v>379</v>
      </c>
      <c r="S92" s="181"/>
      <c r="T92" s="181" t="s">
        <v>381</v>
      </c>
      <c r="U92" s="181" t="s">
        <v>295</v>
      </c>
      <c r="V92" s="199" t="s">
        <v>379</v>
      </c>
    </row>
    <row r="93" spans="1:22" outlineLevel="1">
      <c r="A93" s="199" t="s">
        <v>248</v>
      </c>
      <c r="B93" s="181" t="s">
        <v>777</v>
      </c>
      <c r="C93" s="190">
        <v>43616</v>
      </c>
      <c r="D93" s="181" t="s">
        <v>817</v>
      </c>
      <c r="E93" s="182" t="s">
        <v>819</v>
      </c>
      <c r="F93" s="183">
        <v>75983</v>
      </c>
      <c r="G93" s="184">
        <v>17.059999999999999</v>
      </c>
      <c r="H93" s="181">
        <v>17.059999999999999</v>
      </c>
      <c r="I93" s="181" t="s">
        <v>293</v>
      </c>
      <c r="J93" s="191">
        <v>22.23</v>
      </c>
      <c r="K93" s="192" t="s">
        <v>385</v>
      </c>
      <c r="L93" s="193" t="s">
        <v>374</v>
      </c>
      <c r="M93" s="193" t="s">
        <v>309</v>
      </c>
      <c r="N93" s="193" t="s">
        <v>386</v>
      </c>
      <c r="O93" s="193"/>
      <c r="P93" s="193" t="s">
        <v>388</v>
      </c>
      <c r="Q93" s="193" t="s">
        <v>295</v>
      </c>
      <c r="R93" s="192" t="s">
        <v>248</v>
      </c>
      <c r="S93" s="181"/>
      <c r="T93" s="181" t="s">
        <v>388</v>
      </c>
      <c r="U93" s="181" t="s">
        <v>295</v>
      </c>
      <c r="V93" s="199" t="s">
        <v>248</v>
      </c>
    </row>
    <row r="94" spans="1:22" outlineLevel="1">
      <c r="A94" s="199" t="s">
        <v>248</v>
      </c>
      <c r="B94" s="181" t="s">
        <v>777</v>
      </c>
      <c r="C94" s="190">
        <v>43616</v>
      </c>
      <c r="D94" s="181" t="s">
        <v>817</v>
      </c>
      <c r="E94" s="182" t="s">
        <v>820</v>
      </c>
      <c r="F94" s="183">
        <v>75984</v>
      </c>
      <c r="G94" s="184">
        <v>5.12</v>
      </c>
      <c r="H94" s="181">
        <v>5.12</v>
      </c>
      <c r="I94" s="181" t="s">
        <v>293</v>
      </c>
      <c r="J94" s="191">
        <v>6.67</v>
      </c>
      <c r="K94" s="192" t="s">
        <v>385</v>
      </c>
      <c r="L94" s="193" t="s">
        <v>374</v>
      </c>
      <c r="M94" s="193" t="s">
        <v>309</v>
      </c>
      <c r="N94" s="193" t="s">
        <v>386</v>
      </c>
      <c r="O94" s="193"/>
      <c r="P94" s="193" t="s">
        <v>390</v>
      </c>
      <c r="Q94" s="193" t="s">
        <v>295</v>
      </c>
      <c r="R94" s="192" t="s">
        <v>379</v>
      </c>
      <c r="S94" s="181"/>
      <c r="T94" s="181" t="s">
        <v>390</v>
      </c>
      <c r="U94" s="181" t="s">
        <v>295</v>
      </c>
      <c r="V94" s="199" t="s">
        <v>379</v>
      </c>
    </row>
    <row r="95" spans="1:22" outlineLevel="1">
      <c r="A95" s="199" t="s">
        <v>248</v>
      </c>
      <c r="B95" s="181" t="s">
        <v>777</v>
      </c>
      <c r="C95" s="190">
        <v>43616</v>
      </c>
      <c r="D95" s="181" t="s">
        <v>817</v>
      </c>
      <c r="E95" s="182" t="s">
        <v>384</v>
      </c>
      <c r="F95" s="183">
        <v>75982</v>
      </c>
      <c r="G95" s="184">
        <v>341.18</v>
      </c>
      <c r="H95" s="181">
        <v>341.18</v>
      </c>
      <c r="I95" s="181" t="s">
        <v>293</v>
      </c>
      <c r="J95" s="191">
        <v>444.54</v>
      </c>
      <c r="K95" s="192" t="s">
        <v>385</v>
      </c>
      <c r="L95" s="193" t="s">
        <v>374</v>
      </c>
      <c r="M95" s="193" t="s">
        <v>309</v>
      </c>
      <c r="N95" s="193" t="s">
        <v>386</v>
      </c>
      <c r="O95" s="193"/>
      <c r="P95" s="193" t="s">
        <v>381</v>
      </c>
      <c r="Q95" s="193" t="s">
        <v>295</v>
      </c>
      <c r="R95" s="192" t="s">
        <v>379</v>
      </c>
      <c r="S95" s="181"/>
      <c r="T95" s="181" t="s">
        <v>381</v>
      </c>
      <c r="U95" s="181" t="s">
        <v>295</v>
      </c>
      <c r="V95" s="199" t="s">
        <v>379</v>
      </c>
    </row>
    <row r="96" spans="1:22" outlineLevel="1">
      <c r="A96" s="199" t="s">
        <v>248</v>
      </c>
      <c r="B96" s="181" t="s">
        <v>777</v>
      </c>
      <c r="C96" s="190">
        <v>43616</v>
      </c>
      <c r="D96" s="181" t="s">
        <v>817</v>
      </c>
      <c r="E96" s="182" t="s">
        <v>384</v>
      </c>
      <c r="F96" s="183">
        <v>75982</v>
      </c>
      <c r="G96" s="184">
        <v>34.119999999999997</v>
      </c>
      <c r="H96" s="181">
        <v>34.119999999999997</v>
      </c>
      <c r="I96" s="181" t="s">
        <v>293</v>
      </c>
      <c r="J96" s="191">
        <v>44.46</v>
      </c>
      <c r="K96" s="192" t="s">
        <v>391</v>
      </c>
      <c r="L96" s="193" t="s">
        <v>374</v>
      </c>
      <c r="M96" s="193" t="s">
        <v>309</v>
      </c>
      <c r="N96" s="193" t="s">
        <v>386</v>
      </c>
      <c r="O96" s="193"/>
      <c r="P96" s="193" t="s">
        <v>381</v>
      </c>
      <c r="Q96" s="193" t="s">
        <v>295</v>
      </c>
      <c r="R96" s="192" t="s">
        <v>379</v>
      </c>
      <c r="S96" s="181"/>
      <c r="T96" s="181" t="s">
        <v>381</v>
      </c>
      <c r="U96" s="181" t="s">
        <v>295</v>
      </c>
      <c r="V96" s="199" t="s">
        <v>379</v>
      </c>
    </row>
    <row r="97" spans="1:22" outlineLevel="1">
      <c r="A97" s="199" t="s">
        <v>248</v>
      </c>
      <c r="B97" s="181" t="s">
        <v>777</v>
      </c>
      <c r="C97" s="190">
        <v>43616</v>
      </c>
      <c r="D97" s="181" t="s">
        <v>817</v>
      </c>
      <c r="E97" s="182" t="s">
        <v>384</v>
      </c>
      <c r="F97" s="183">
        <v>75982</v>
      </c>
      <c r="G97" s="184">
        <v>42.12</v>
      </c>
      <c r="H97" s="181">
        <v>42.12</v>
      </c>
      <c r="I97" s="181" t="s">
        <v>293</v>
      </c>
      <c r="J97" s="191">
        <v>54.88</v>
      </c>
      <c r="K97" s="192" t="s">
        <v>392</v>
      </c>
      <c r="L97" s="193" t="s">
        <v>374</v>
      </c>
      <c r="M97" s="193" t="s">
        <v>309</v>
      </c>
      <c r="N97" s="193" t="s">
        <v>386</v>
      </c>
      <c r="O97" s="193"/>
      <c r="P97" s="193" t="s">
        <v>381</v>
      </c>
      <c r="Q97" s="193" t="s">
        <v>295</v>
      </c>
      <c r="R97" s="192" t="s">
        <v>379</v>
      </c>
      <c r="S97" s="181"/>
      <c r="T97" s="181" t="s">
        <v>381</v>
      </c>
      <c r="U97" s="181" t="s">
        <v>295</v>
      </c>
      <c r="V97" s="199" t="s">
        <v>379</v>
      </c>
    </row>
    <row r="98" spans="1:22" outlineLevel="1">
      <c r="A98" s="199" t="s">
        <v>248</v>
      </c>
      <c r="B98" s="181" t="s">
        <v>748</v>
      </c>
      <c r="C98" s="190">
        <v>43646</v>
      </c>
      <c r="D98" s="181" t="s">
        <v>824</v>
      </c>
      <c r="E98" s="182" t="s">
        <v>825</v>
      </c>
      <c r="F98" s="183">
        <v>76202</v>
      </c>
      <c r="G98" s="184">
        <v>3.64</v>
      </c>
      <c r="H98" s="181">
        <v>3.64</v>
      </c>
      <c r="I98" s="181" t="s">
        <v>293</v>
      </c>
      <c r="J98" s="191">
        <v>4.59</v>
      </c>
      <c r="K98" s="192" t="s">
        <v>385</v>
      </c>
      <c r="L98" s="193" t="s">
        <v>374</v>
      </c>
      <c r="M98" s="193" t="s">
        <v>309</v>
      </c>
      <c r="N98" s="193" t="s">
        <v>826</v>
      </c>
      <c r="O98" s="193"/>
      <c r="P98" s="193" t="s">
        <v>390</v>
      </c>
      <c r="Q98" s="193" t="s">
        <v>295</v>
      </c>
      <c r="R98" s="192" t="s">
        <v>379</v>
      </c>
      <c r="S98" s="181"/>
      <c r="T98" s="181" t="s">
        <v>390</v>
      </c>
      <c r="U98" s="181" t="s">
        <v>295</v>
      </c>
      <c r="V98" s="199" t="s">
        <v>379</v>
      </c>
    </row>
    <row r="99" spans="1:22" outlineLevel="1">
      <c r="A99" s="199" t="s">
        <v>248</v>
      </c>
      <c r="B99" s="181" t="s">
        <v>748</v>
      </c>
      <c r="C99" s="190">
        <v>43646</v>
      </c>
      <c r="D99" s="181" t="s">
        <v>824</v>
      </c>
      <c r="E99" s="182" t="s">
        <v>827</v>
      </c>
      <c r="F99" s="183">
        <v>76200</v>
      </c>
      <c r="G99" s="184">
        <v>242.58</v>
      </c>
      <c r="H99" s="181">
        <v>242.58</v>
      </c>
      <c r="I99" s="181" t="s">
        <v>293</v>
      </c>
      <c r="J99" s="191">
        <v>306.19</v>
      </c>
      <c r="K99" s="192" t="s">
        <v>385</v>
      </c>
      <c r="L99" s="193" t="s">
        <v>374</v>
      </c>
      <c r="M99" s="193" t="s">
        <v>309</v>
      </c>
      <c r="N99" s="193" t="s">
        <v>826</v>
      </c>
      <c r="O99" s="193"/>
      <c r="P99" s="193" t="s">
        <v>381</v>
      </c>
      <c r="Q99" s="193" t="s">
        <v>295</v>
      </c>
      <c r="R99" s="192" t="s">
        <v>379</v>
      </c>
      <c r="S99" s="181"/>
      <c r="T99" s="181" t="s">
        <v>381</v>
      </c>
      <c r="U99" s="181" t="s">
        <v>295</v>
      </c>
      <c r="V99" s="199" t="s">
        <v>379</v>
      </c>
    </row>
    <row r="100" spans="1:22" outlineLevel="1">
      <c r="A100" s="199" t="s">
        <v>248</v>
      </c>
      <c r="B100" s="181" t="s">
        <v>748</v>
      </c>
      <c r="C100" s="190">
        <v>43646</v>
      </c>
      <c r="D100" s="181" t="s">
        <v>824</v>
      </c>
      <c r="E100" s="182" t="s">
        <v>828</v>
      </c>
      <c r="F100" s="183">
        <v>76201</v>
      </c>
      <c r="G100" s="184">
        <v>12.13</v>
      </c>
      <c r="H100" s="181">
        <v>12.13</v>
      </c>
      <c r="I100" s="181" t="s">
        <v>293</v>
      </c>
      <c r="J100" s="191">
        <v>15.31</v>
      </c>
      <c r="K100" s="192" t="s">
        <v>385</v>
      </c>
      <c r="L100" s="193" t="s">
        <v>374</v>
      </c>
      <c r="M100" s="193" t="s">
        <v>309</v>
      </c>
      <c r="N100" s="193" t="s">
        <v>826</v>
      </c>
      <c r="O100" s="193"/>
      <c r="P100" s="193" t="s">
        <v>388</v>
      </c>
      <c r="Q100" s="193" t="s">
        <v>295</v>
      </c>
      <c r="R100" s="192" t="s">
        <v>248</v>
      </c>
      <c r="S100" s="181"/>
      <c r="T100" s="181" t="s">
        <v>388</v>
      </c>
      <c r="U100" s="181" t="s">
        <v>295</v>
      </c>
      <c r="V100" s="199" t="s">
        <v>248</v>
      </c>
    </row>
    <row r="101" spans="1:22" outlineLevel="1">
      <c r="A101" s="199" t="s">
        <v>248</v>
      </c>
      <c r="B101" s="181" t="s">
        <v>748</v>
      </c>
      <c r="C101" s="190">
        <v>43496</v>
      </c>
      <c r="D101" s="181" t="s">
        <v>749</v>
      </c>
      <c r="E101" s="182" t="s">
        <v>384</v>
      </c>
      <c r="F101" s="183">
        <v>76193</v>
      </c>
      <c r="G101" s="184">
        <v>289.64</v>
      </c>
      <c r="H101" s="181">
        <v>289.64</v>
      </c>
      <c r="I101" s="181" t="s">
        <v>293</v>
      </c>
      <c r="J101" s="191">
        <v>365.59</v>
      </c>
      <c r="K101" s="192" t="s">
        <v>385</v>
      </c>
      <c r="L101" s="193" t="s">
        <v>374</v>
      </c>
      <c r="M101" s="193" t="s">
        <v>309</v>
      </c>
      <c r="N101" s="193" t="s">
        <v>386</v>
      </c>
      <c r="O101" s="193"/>
      <c r="P101" s="193" t="s">
        <v>381</v>
      </c>
      <c r="Q101" s="193" t="s">
        <v>295</v>
      </c>
      <c r="R101" s="192" t="s">
        <v>379</v>
      </c>
      <c r="S101" s="181"/>
      <c r="T101" s="181" t="s">
        <v>381</v>
      </c>
      <c r="U101" s="181" t="s">
        <v>295</v>
      </c>
      <c r="V101" s="199" t="s">
        <v>379</v>
      </c>
    </row>
    <row r="102" spans="1:22" outlineLevel="1">
      <c r="A102" s="199" t="s">
        <v>248</v>
      </c>
      <c r="B102" s="181" t="s">
        <v>748</v>
      </c>
      <c r="C102" s="190">
        <v>43496</v>
      </c>
      <c r="D102" s="181" t="s">
        <v>749</v>
      </c>
      <c r="E102" s="182" t="s">
        <v>387</v>
      </c>
      <c r="F102" s="183">
        <v>76193</v>
      </c>
      <c r="G102" s="184">
        <v>14.48</v>
      </c>
      <c r="H102" s="181">
        <v>14.48</v>
      </c>
      <c r="I102" s="181" t="s">
        <v>293</v>
      </c>
      <c r="J102" s="191">
        <v>18.28</v>
      </c>
      <c r="K102" s="192" t="s">
        <v>385</v>
      </c>
      <c r="L102" s="193" t="s">
        <v>374</v>
      </c>
      <c r="M102" s="193" t="s">
        <v>309</v>
      </c>
      <c r="N102" s="193" t="s">
        <v>386</v>
      </c>
      <c r="O102" s="193"/>
      <c r="P102" s="193" t="s">
        <v>388</v>
      </c>
      <c r="Q102" s="193" t="s">
        <v>295</v>
      </c>
      <c r="R102" s="192" t="s">
        <v>199</v>
      </c>
      <c r="S102" s="181"/>
      <c r="T102" s="181" t="s">
        <v>388</v>
      </c>
      <c r="U102" s="181" t="s">
        <v>295</v>
      </c>
      <c r="V102" s="199" t="s">
        <v>199</v>
      </c>
    </row>
    <row r="103" spans="1:22" outlineLevel="1">
      <c r="A103" s="199" t="s">
        <v>248</v>
      </c>
      <c r="B103" s="181" t="s">
        <v>748</v>
      </c>
      <c r="C103" s="190">
        <v>43496</v>
      </c>
      <c r="D103" s="181" t="s">
        <v>749</v>
      </c>
      <c r="E103" s="182" t="s">
        <v>389</v>
      </c>
      <c r="F103" s="183">
        <v>76193</v>
      </c>
      <c r="G103" s="184">
        <v>4.34</v>
      </c>
      <c r="H103" s="181">
        <v>4.34</v>
      </c>
      <c r="I103" s="181" t="s">
        <v>293</v>
      </c>
      <c r="J103" s="191">
        <v>5.48</v>
      </c>
      <c r="K103" s="192" t="s">
        <v>385</v>
      </c>
      <c r="L103" s="193" t="s">
        <v>374</v>
      </c>
      <c r="M103" s="193" t="s">
        <v>309</v>
      </c>
      <c r="N103" s="193" t="s">
        <v>386</v>
      </c>
      <c r="O103" s="193"/>
      <c r="P103" s="193" t="s">
        <v>390</v>
      </c>
      <c r="Q103" s="193" t="s">
        <v>295</v>
      </c>
      <c r="R103" s="192" t="s">
        <v>379</v>
      </c>
      <c r="S103" s="181"/>
      <c r="T103" s="181" t="s">
        <v>390</v>
      </c>
      <c r="U103" s="181" t="s">
        <v>295</v>
      </c>
      <c r="V103" s="199" t="s">
        <v>379</v>
      </c>
    </row>
    <row r="104" spans="1:22" outlineLevel="1">
      <c r="A104" s="199" t="s">
        <v>248</v>
      </c>
      <c r="B104" s="181" t="s">
        <v>748</v>
      </c>
      <c r="C104" s="190">
        <v>43496</v>
      </c>
      <c r="D104" s="181" t="s">
        <v>749</v>
      </c>
      <c r="E104" s="182" t="s">
        <v>384</v>
      </c>
      <c r="F104" s="183">
        <v>76193</v>
      </c>
      <c r="G104" s="184">
        <v>28.96</v>
      </c>
      <c r="H104" s="181">
        <v>28.96</v>
      </c>
      <c r="I104" s="181" t="s">
        <v>293</v>
      </c>
      <c r="J104" s="191">
        <v>36.549999999999997</v>
      </c>
      <c r="K104" s="192" t="s">
        <v>391</v>
      </c>
      <c r="L104" s="193" t="s">
        <v>374</v>
      </c>
      <c r="M104" s="193" t="s">
        <v>309</v>
      </c>
      <c r="N104" s="193" t="s">
        <v>386</v>
      </c>
      <c r="O104" s="193"/>
      <c r="P104" s="193" t="s">
        <v>381</v>
      </c>
      <c r="Q104" s="193" t="s">
        <v>295</v>
      </c>
      <c r="R104" s="192" t="s">
        <v>379</v>
      </c>
      <c r="S104" s="181"/>
      <c r="T104" s="181" t="s">
        <v>381</v>
      </c>
      <c r="U104" s="181" t="s">
        <v>295</v>
      </c>
      <c r="V104" s="199" t="s">
        <v>379</v>
      </c>
    </row>
    <row r="105" spans="1:22" outlineLevel="1">
      <c r="A105" s="199" t="s">
        <v>248</v>
      </c>
      <c r="B105" s="181" t="s">
        <v>748</v>
      </c>
      <c r="C105" s="190">
        <v>43646</v>
      </c>
      <c r="D105" s="181" t="s">
        <v>824</v>
      </c>
      <c r="E105" s="182" t="s">
        <v>827</v>
      </c>
      <c r="F105" s="183">
        <v>76200</v>
      </c>
      <c r="G105" s="184">
        <v>24.26</v>
      </c>
      <c r="H105" s="181">
        <v>24.26</v>
      </c>
      <c r="I105" s="181" t="s">
        <v>293</v>
      </c>
      <c r="J105" s="191">
        <v>30.62</v>
      </c>
      <c r="K105" s="192" t="s">
        <v>391</v>
      </c>
      <c r="L105" s="193" t="s">
        <v>374</v>
      </c>
      <c r="M105" s="193" t="s">
        <v>309</v>
      </c>
      <c r="N105" s="193" t="s">
        <v>826</v>
      </c>
      <c r="O105" s="193"/>
      <c r="P105" s="193" t="s">
        <v>381</v>
      </c>
      <c r="Q105" s="193" t="s">
        <v>295</v>
      </c>
      <c r="R105" s="192" t="s">
        <v>379</v>
      </c>
      <c r="S105" s="181"/>
      <c r="T105" s="181" t="s">
        <v>381</v>
      </c>
      <c r="U105" s="181" t="s">
        <v>295</v>
      </c>
      <c r="V105" s="199" t="s">
        <v>379</v>
      </c>
    </row>
    <row r="106" spans="1:22" outlineLevel="1">
      <c r="A106" s="199" t="s">
        <v>248</v>
      </c>
      <c r="B106" s="181" t="s">
        <v>748</v>
      </c>
      <c r="C106" s="190">
        <v>43646</v>
      </c>
      <c r="D106" s="181" t="s">
        <v>824</v>
      </c>
      <c r="E106" s="182" t="s">
        <v>827</v>
      </c>
      <c r="F106" s="183">
        <v>76200</v>
      </c>
      <c r="G106" s="184">
        <v>28.52</v>
      </c>
      <c r="H106" s="181">
        <v>28.52</v>
      </c>
      <c r="I106" s="181" t="s">
        <v>293</v>
      </c>
      <c r="J106" s="191">
        <v>36</v>
      </c>
      <c r="K106" s="192" t="s">
        <v>392</v>
      </c>
      <c r="L106" s="193" t="s">
        <v>374</v>
      </c>
      <c r="M106" s="193" t="s">
        <v>309</v>
      </c>
      <c r="N106" s="193" t="s">
        <v>826</v>
      </c>
      <c r="O106" s="193"/>
      <c r="P106" s="193" t="s">
        <v>381</v>
      </c>
      <c r="Q106" s="193" t="s">
        <v>295</v>
      </c>
      <c r="R106" s="192" t="s">
        <v>379</v>
      </c>
      <c r="S106" s="181"/>
      <c r="T106" s="181" t="s">
        <v>381</v>
      </c>
      <c r="U106" s="181" t="s">
        <v>295</v>
      </c>
      <c r="V106" s="199" t="s">
        <v>379</v>
      </c>
    </row>
    <row r="107" spans="1:22">
      <c r="A107" s="194" t="s">
        <v>378</v>
      </c>
      <c r="B107" s="194"/>
      <c r="C107" s="194"/>
      <c r="D107" s="194"/>
      <c r="E107" s="195"/>
      <c r="F107" s="196"/>
      <c r="G107" s="197">
        <f>SUM(G88:G106)</f>
        <v>1458.46</v>
      </c>
      <c r="H107" s="198">
        <f>SUM(H88:H106)</f>
        <v>1458.46</v>
      </c>
      <c r="I107" s="194"/>
      <c r="J107" s="198">
        <f>SUM(J88:J106)</f>
        <v>1874.36</v>
      </c>
      <c r="K107" s="194"/>
      <c r="L107" s="194"/>
      <c r="M107" s="194"/>
      <c r="N107" s="194"/>
      <c r="O107" s="194"/>
      <c r="P107" s="194"/>
      <c r="Q107" s="194"/>
      <c r="R107" s="194"/>
      <c r="S107" s="181"/>
      <c r="T107" s="181"/>
      <c r="U107" s="181"/>
      <c r="V107" s="181"/>
    </row>
    <row r="108" spans="1:22" outlineLevel="1">
      <c r="A108" s="199" t="s">
        <v>249</v>
      </c>
      <c r="B108" s="181" t="s">
        <v>747</v>
      </c>
      <c r="C108" s="190">
        <v>43585</v>
      </c>
      <c r="D108" s="181" t="s">
        <v>829</v>
      </c>
      <c r="E108" s="182" t="s">
        <v>424</v>
      </c>
      <c r="F108" s="183">
        <v>75694</v>
      </c>
      <c r="G108" s="184">
        <v>172.54</v>
      </c>
      <c r="H108" s="181">
        <v>225.04</v>
      </c>
      <c r="I108" s="181" t="s">
        <v>292</v>
      </c>
      <c r="J108" s="191">
        <v>225.04</v>
      </c>
      <c r="K108" s="192" t="s">
        <v>385</v>
      </c>
      <c r="L108" s="193" t="s">
        <v>400</v>
      </c>
      <c r="M108" s="193" t="s">
        <v>309</v>
      </c>
      <c r="N108" s="193" t="s">
        <v>425</v>
      </c>
      <c r="O108" s="193"/>
      <c r="P108" s="193" t="s">
        <v>381</v>
      </c>
      <c r="Q108" s="193" t="s">
        <v>295</v>
      </c>
      <c r="R108" s="192" t="s">
        <v>379</v>
      </c>
      <c r="S108" s="181"/>
      <c r="T108" s="181" t="s">
        <v>381</v>
      </c>
      <c r="U108" s="181" t="s">
        <v>295</v>
      </c>
      <c r="V108" s="199" t="s">
        <v>379</v>
      </c>
    </row>
    <row r="109" spans="1:22" outlineLevel="1">
      <c r="A109" s="199" t="s">
        <v>249</v>
      </c>
      <c r="B109" s="181" t="s">
        <v>747</v>
      </c>
      <c r="C109" s="190">
        <v>43585</v>
      </c>
      <c r="D109" s="181" t="s">
        <v>830</v>
      </c>
      <c r="E109" s="182" t="s">
        <v>427</v>
      </c>
      <c r="F109" s="183">
        <v>75694</v>
      </c>
      <c r="G109" s="184">
        <v>24.11</v>
      </c>
      <c r="H109" s="181">
        <v>31.44</v>
      </c>
      <c r="I109" s="181" t="s">
        <v>292</v>
      </c>
      <c r="J109" s="191">
        <v>31.45</v>
      </c>
      <c r="K109" s="192" t="s">
        <v>391</v>
      </c>
      <c r="L109" s="193" t="s">
        <v>400</v>
      </c>
      <c r="M109" s="193" t="s">
        <v>309</v>
      </c>
      <c r="N109" s="193" t="s">
        <v>425</v>
      </c>
      <c r="O109" s="193"/>
      <c r="P109" s="193" t="s">
        <v>381</v>
      </c>
      <c r="Q109" s="193" t="s">
        <v>295</v>
      </c>
      <c r="R109" s="192" t="s">
        <v>379</v>
      </c>
      <c r="S109" s="181"/>
      <c r="T109" s="181" t="s">
        <v>381</v>
      </c>
      <c r="U109" s="181" t="s">
        <v>295</v>
      </c>
      <c r="V109" s="199" t="s">
        <v>379</v>
      </c>
    </row>
    <row r="110" spans="1:22" outlineLevel="1">
      <c r="A110" s="199" t="s">
        <v>249</v>
      </c>
      <c r="B110" s="181" t="s">
        <v>747</v>
      </c>
      <c r="C110" s="190">
        <v>43585</v>
      </c>
      <c r="D110" s="181" t="s">
        <v>831</v>
      </c>
      <c r="E110" s="182" t="s">
        <v>431</v>
      </c>
      <c r="F110" s="183">
        <v>75694</v>
      </c>
      <c r="G110" s="184">
        <v>4.0199999999999996</v>
      </c>
      <c r="H110" s="181">
        <v>5.24</v>
      </c>
      <c r="I110" s="181" t="s">
        <v>292</v>
      </c>
      <c r="J110" s="191">
        <v>5.24</v>
      </c>
      <c r="K110" s="192" t="s">
        <v>405</v>
      </c>
      <c r="L110" s="193" t="s">
        <v>400</v>
      </c>
      <c r="M110" s="193" t="s">
        <v>309</v>
      </c>
      <c r="N110" s="193" t="s">
        <v>425</v>
      </c>
      <c r="O110" s="193"/>
      <c r="P110" s="193" t="s">
        <v>381</v>
      </c>
      <c r="Q110" s="193" t="s">
        <v>295</v>
      </c>
      <c r="R110" s="192" t="s">
        <v>379</v>
      </c>
      <c r="S110" s="181"/>
      <c r="T110" s="181" t="s">
        <v>381</v>
      </c>
      <c r="U110" s="181" t="s">
        <v>295</v>
      </c>
      <c r="V110" s="199" t="s">
        <v>379</v>
      </c>
    </row>
    <row r="111" spans="1:22" outlineLevel="1">
      <c r="A111" s="199" t="s">
        <v>249</v>
      </c>
      <c r="B111" s="181" t="s">
        <v>747</v>
      </c>
      <c r="C111" s="190">
        <v>43584</v>
      </c>
      <c r="D111" s="181" t="s">
        <v>832</v>
      </c>
      <c r="E111" s="182" t="s">
        <v>429</v>
      </c>
      <c r="F111" s="183">
        <v>75694</v>
      </c>
      <c r="G111" s="184">
        <v>0.27</v>
      </c>
      <c r="H111" s="181">
        <v>0.35</v>
      </c>
      <c r="I111" s="181" t="s">
        <v>292</v>
      </c>
      <c r="J111" s="191">
        <v>0.35</v>
      </c>
      <c r="K111" s="192" t="s">
        <v>405</v>
      </c>
      <c r="L111" s="193" t="s">
        <v>400</v>
      </c>
      <c r="M111" s="193" t="s">
        <v>309</v>
      </c>
      <c r="N111" s="193" t="s">
        <v>425</v>
      </c>
      <c r="O111" s="193"/>
      <c r="P111" s="193" t="s">
        <v>381</v>
      </c>
      <c r="Q111" s="193" t="s">
        <v>295</v>
      </c>
      <c r="R111" s="192" t="s">
        <v>379</v>
      </c>
      <c r="S111" s="181"/>
      <c r="T111" s="181" t="s">
        <v>381</v>
      </c>
      <c r="U111" s="181" t="s">
        <v>295</v>
      </c>
      <c r="V111" s="199" t="s">
        <v>379</v>
      </c>
    </row>
    <row r="112" spans="1:22" outlineLevel="1">
      <c r="A112" s="199" t="s">
        <v>249</v>
      </c>
      <c r="B112" s="181" t="s">
        <v>777</v>
      </c>
      <c r="C112" s="190">
        <v>43610</v>
      </c>
      <c r="D112" s="181" t="s">
        <v>833</v>
      </c>
      <c r="E112" s="182" t="s">
        <v>424</v>
      </c>
      <c r="F112" s="183">
        <v>75988</v>
      </c>
      <c r="G112" s="184">
        <v>172.5</v>
      </c>
      <c r="H112" s="181">
        <v>224.76</v>
      </c>
      <c r="I112" s="181" t="s">
        <v>292</v>
      </c>
      <c r="J112" s="191">
        <v>224.76</v>
      </c>
      <c r="K112" s="192" t="s">
        <v>385</v>
      </c>
      <c r="L112" s="193" t="s">
        <v>400</v>
      </c>
      <c r="M112" s="193" t="s">
        <v>309</v>
      </c>
      <c r="N112" s="193" t="s">
        <v>425</v>
      </c>
      <c r="O112" s="193"/>
      <c r="P112" s="193" t="s">
        <v>381</v>
      </c>
      <c r="Q112" s="193" t="s">
        <v>295</v>
      </c>
      <c r="R112" s="192" t="s">
        <v>379</v>
      </c>
      <c r="S112" s="181"/>
      <c r="T112" s="181" t="s">
        <v>381</v>
      </c>
      <c r="U112" s="181" t="s">
        <v>295</v>
      </c>
      <c r="V112" s="199" t="s">
        <v>379</v>
      </c>
    </row>
    <row r="113" spans="1:22" outlineLevel="1">
      <c r="A113" s="199" t="s">
        <v>249</v>
      </c>
      <c r="B113" s="181" t="s">
        <v>777</v>
      </c>
      <c r="C113" s="190">
        <v>43610</v>
      </c>
      <c r="D113" s="181" t="s">
        <v>834</v>
      </c>
      <c r="E113" s="182" t="s">
        <v>835</v>
      </c>
      <c r="F113" s="183">
        <v>75988</v>
      </c>
      <c r="G113" s="184">
        <v>24.12</v>
      </c>
      <c r="H113" s="181">
        <v>31.43</v>
      </c>
      <c r="I113" s="181" t="s">
        <v>292</v>
      </c>
      <c r="J113" s="191">
        <v>31.43</v>
      </c>
      <c r="K113" s="192" t="s">
        <v>391</v>
      </c>
      <c r="L113" s="193" t="s">
        <v>400</v>
      </c>
      <c r="M113" s="193" t="s">
        <v>309</v>
      </c>
      <c r="N113" s="193" t="s">
        <v>425</v>
      </c>
      <c r="O113" s="193"/>
      <c r="P113" s="193" t="s">
        <v>381</v>
      </c>
      <c r="Q113" s="193" t="s">
        <v>295</v>
      </c>
      <c r="R113" s="192" t="s">
        <v>379</v>
      </c>
      <c r="S113" s="181"/>
      <c r="T113" s="181" t="s">
        <v>381</v>
      </c>
      <c r="U113" s="181" t="s">
        <v>295</v>
      </c>
      <c r="V113" s="199" t="s">
        <v>379</v>
      </c>
    </row>
    <row r="114" spans="1:22" outlineLevel="1">
      <c r="A114" s="199" t="s">
        <v>249</v>
      </c>
      <c r="B114" s="181" t="s">
        <v>777</v>
      </c>
      <c r="C114" s="190">
        <v>43610</v>
      </c>
      <c r="D114" s="181" t="s">
        <v>836</v>
      </c>
      <c r="E114" s="182" t="s">
        <v>431</v>
      </c>
      <c r="F114" s="183">
        <v>75988</v>
      </c>
      <c r="G114" s="184">
        <v>4.0199999999999996</v>
      </c>
      <c r="H114" s="181">
        <v>5.24</v>
      </c>
      <c r="I114" s="181" t="s">
        <v>292</v>
      </c>
      <c r="J114" s="191">
        <v>5.24</v>
      </c>
      <c r="K114" s="192" t="s">
        <v>405</v>
      </c>
      <c r="L114" s="193" t="s">
        <v>400</v>
      </c>
      <c r="M114" s="193" t="s">
        <v>309</v>
      </c>
      <c r="N114" s="193" t="s">
        <v>425</v>
      </c>
      <c r="O114" s="193"/>
      <c r="P114" s="193" t="s">
        <v>381</v>
      </c>
      <c r="Q114" s="193" t="s">
        <v>295</v>
      </c>
      <c r="R114" s="192" t="s">
        <v>379</v>
      </c>
      <c r="S114" s="181"/>
      <c r="T114" s="181" t="s">
        <v>381</v>
      </c>
      <c r="U114" s="181" t="s">
        <v>295</v>
      </c>
      <c r="V114" s="199" t="s">
        <v>379</v>
      </c>
    </row>
    <row r="115" spans="1:22" outlineLevel="1">
      <c r="A115" s="199" t="s">
        <v>249</v>
      </c>
      <c r="B115" s="181" t="s">
        <v>777</v>
      </c>
      <c r="C115" s="190">
        <v>43616</v>
      </c>
      <c r="D115" s="181" t="s">
        <v>837</v>
      </c>
      <c r="E115" s="182" t="s">
        <v>429</v>
      </c>
      <c r="F115" s="183">
        <v>75988</v>
      </c>
      <c r="G115" s="184">
        <v>0.27</v>
      </c>
      <c r="H115" s="181">
        <v>0.35</v>
      </c>
      <c r="I115" s="181" t="s">
        <v>292</v>
      </c>
      <c r="J115" s="191">
        <v>0.35</v>
      </c>
      <c r="K115" s="192" t="s">
        <v>405</v>
      </c>
      <c r="L115" s="193" t="s">
        <v>400</v>
      </c>
      <c r="M115" s="193" t="s">
        <v>309</v>
      </c>
      <c r="N115" s="193" t="s">
        <v>425</v>
      </c>
      <c r="O115" s="193"/>
      <c r="P115" s="193" t="s">
        <v>381</v>
      </c>
      <c r="Q115" s="193" t="s">
        <v>295</v>
      </c>
      <c r="R115" s="192" t="s">
        <v>379</v>
      </c>
      <c r="S115" s="181"/>
      <c r="T115" s="181" t="s">
        <v>381</v>
      </c>
      <c r="U115" s="181" t="s">
        <v>295</v>
      </c>
      <c r="V115" s="199" t="s">
        <v>379</v>
      </c>
    </row>
    <row r="116" spans="1:22" outlineLevel="1">
      <c r="A116" s="199" t="s">
        <v>249</v>
      </c>
      <c r="B116" s="181" t="s">
        <v>748</v>
      </c>
      <c r="C116" s="190">
        <v>43644</v>
      </c>
      <c r="D116" s="181" t="s">
        <v>838</v>
      </c>
      <c r="E116" s="182" t="s">
        <v>839</v>
      </c>
      <c r="F116" s="183">
        <v>76250</v>
      </c>
      <c r="G116" s="184">
        <v>178.75</v>
      </c>
      <c r="H116" s="181">
        <v>225.62</v>
      </c>
      <c r="I116" s="181" t="s">
        <v>292</v>
      </c>
      <c r="J116" s="191">
        <v>225.62</v>
      </c>
      <c r="K116" s="192" t="s">
        <v>385</v>
      </c>
      <c r="L116" s="193" t="s">
        <v>400</v>
      </c>
      <c r="M116" s="193" t="s">
        <v>309</v>
      </c>
      <c r="N116" s="193" t="s">
        <v>425</v>
      </c>
      <c r="O116" s="193"/>
      <c r="P116" s="193" t="s">
        <v>381</v>
      </c>
      <c r="Q116" s="193" t="s">
        <v>295</v>
      </c>
      <c r="R116" s="192" t="s">
        <v>379</v>
      </c>
      <c r="S116" s="181"/>
      <c r="T116" s="181" t="s">
        <v>381</v>
      </c>
      <c r="U116" s="181" t="s">
        <v>295</v>
      </c>
      <c r="V116" s="199" t="s">
        <v>379</v>
      </c>
    </row>
    <row r="117" spans="1:22" outlineLevel="1">
      <c r="A117" s="199" t="s">
        <v>249</v>
      </c>
      <c r="B117" s="181" t="s">
        <v>748</v>
      </c>
      <c r="C117" s="190">
        <v>43644</v>
      </c>
      <c r="D117" s="181" t="s">
        <v>840</v>
      </c>
      <c r="E117" s="182" t="s">
        <v>841</v>
      </c>
      <c r="F117" s="183">
        <v>76250</v>
      </c>
      <c r="G117" s="184">
        <v>24.9</v>
      </c>
      <c r="H117" s="181">
        <v>31.43</v>
      </c>
      <c r="I117" s="181" t="s">
        <v>292</v>
      </c>
      <c r="J117" s="191">
        <v>31.43</v>
      </c>
      <c r="K117" s="192" t="s">
        <v>391</v>
      </c>
      <c r="L117" s="193" t="s">
        <v>400</v>
      </c>
      <c r="M117" s="193" t="s">
        <v>309</v>
      </c>
      <c r="N117" s="193" t="s">
        <v>425</v>
      </c>
      <c r="O117" s="193"/>
      <c r="P117" s="193" t="s">
        <v>381</v>
      </c>
      <c r="Q117" s="193" t="s">
        <v>295</v>
      </c>
      <c r="R117" s="192" t="s">
        <v>379</v>
      </c>
      <c r="S117" s="181"/>
      <c r="T117" s="181" t="s">
        <v>381</v>
      </c>
      <c r="U117" s="181" t="s">
        <v>295</v>
      </c>
      <c r="V117" s="199" t="s">
        <v>379</v>
      </c>
    </row>
    <row r="118" spans="1:22" outlineLevel="1">
      <c r="A118" s="199" t="s">
        <v>249</v>
      </c>
      <c r="B118" s="181" t="s">
        <v>748</v>
      </c>
      <c r="C118" s="190">
        <v>43644</v>
      </c>
      <c r="D118" s="181" t="s">
        <v>842</v>
      </c>
      <c r="E118" s="182" t="s">
        <v>843</v>
      </c>
      <c r="F118" s="183">
        <v>76250</v>
      </c>
      <c r="G118" s="184">
        <v>4.1500000000000004</v>
      </c>
      <c r="H118" s="181">
        <v>5.24</v>
      </c>
      <c r="I118" s="181" t="s">
        <v>292</v>
      </c>
      <c r="J118" s="191">
        <v>5.24</v>
      </c>
      <c r="K118" s="192" t="s">
        <v>405</v>
      </c>
      <c r="L118" s="193" t="s">
        <v>400</v>
      </c>
      <c r="M118" s="193" t="s">
        <v>309</v>
      </c>
      <c r="N118" s="193" t="s">
        <v>425</v>
      </c>
      <c r="O118" s="193"/>
      <c r="P118" s="193" t="s">
        <v>381</v>
      </c>
      <c r="Q118" s="193" t="s">
        <v>295</v>
      </c>
      <c r="R118" s="192" t="s">
        <v>379</v>
      </c>
      <c r="S118" s="181"/>
      <c r="T118" s="181" t="s">
        <v>381</v>
      </c>
      <c r="U118" s="181" t="s">
        <v>295</v>
      </c>
      <c r="V118" s="199" t="s">
        <v>379</v>
      </c>
    </row>
    <row r="119" spans="1:22" outlineLevel="1">
      <c r="A119" s="199" t="s">
        <v>249</v>
      </c>
      <c r="B119" s="181" t="s">
        <v>748</v>
      </c>
      <c r="C119" s="190">
        <v>43644</v>
      </c>
      <c r="D119" s="181" t="s">
        <v>844</v>
      </c>
      <c r="E119" s="182" t="s">
        <v>429</v>
      </c>
      <c r="F119" s="183">
        <v>76250</v>
      </c>
      <c r="G119" s="184">
        <v>0.28000000000000003</v>
      </c>
      <c r="H119" s="181">
        <v>0.35</v>
      </c>
      <c r="I119" s="181" t="s">
        <v>292</v>
      </c>
      <c r="J119" s="191">
        <v>0.35</v>
      </c>
      <c r="K119" s="192" t="s">
        <v>405</v>
      </c>
      <c r="L119" s="193" t="s">
        <v>400</v>
      </c>
      <c r="M119" s="193" t="s">
        <v>309</v>
      </c>
      <c r="N119" s="193" t="s">
        <v>425</v>
      </c>
      <c r="O119" s="193"/>
      <c r="P119" s="193" t="s">
        <v>381</v>
      </c>
      <c r="Q119" s="193" t="s">
        <v>295</v>
      </c>
      <c r="R119" s="192" t="s">
        <v>379</v>
      </c>
      <c r="S119" s="181"/>
      <c r="T119" s="181" t="s">
        <v>381</v>
      </c>
      <c r="U119" s="181" t="s">
        <v>295</v>
      </c>
      <c r="V119" s="199" t="s">
        <v>379</v>
      </c>
    </row>
    <row r="120" spans="1:22">
      <c r="A120" s="194" t="s">
        <v>378</v>
      </c>
      <c r="B120" s="194"/>
      <c r="C120" s="194"/>
      <c r="D120" s="194"/>
      <c r="E120" s="195"/>
      <c r="F120" s="196"/>
      <c r="G120" s="197">
        <f>SUM(G108:G119)</f>
        <v>609.92999999999984</v>
      </c>
      <c r="H120" s="198">
        <f>SUM(H108:H119)</f>
        <v>786.49</v>
      </c>
      <c r="I120" s="194"/>
      <c r="J120" s="198">
        <f>SUM(J108:J119)</f>
        <v>786.5</v>
      </c>
      <c r="K120" s="194"/>
      <c r="L120" s="194"/>
      <c r="M120" s="194"/>
      <c r="N120" s="194"/>
      <c r="O120" s="194"/>
      <c r="P120" s="194"/>
      <c r="Q120" s="194"/>
      <c r="R120" s="194"/>
      <c r="S120" s="181"/>
      <c r="T120" s="181"/>
      <c r="U120" s="181"/>
      <c r="V120" s="181"/>
    </row>
    <row r="121" spans="1:22" outlineLevel="1">
      <c r="A121" s="199" t="s">
        <v>250</v>
      </c>
      <c r="B121" s="181" t="s">
        <v>748</v>
      </c>
      <c r="C121" s="190">
        <v>43646</v>
      </c>
      <c r="D121" s="181" t="s">
        <v>824</v>
      </c>
      <c r="E121" s="182" t="s">
        <v>828</v>
      </c>
      <c r="F121" s="183">
        <v>76201</v>
      </c>
      <c r="G121" s="184">
        <v>27.26</v>
      </c>
      <c r="H121" s="181">
        <v>27.26</v>
      </c>
      <c r="I121" s="181" t="s">
        <v>293</v>
      </c>
      <c r="J121" s="191">
        <v>34.409999999999997</v>
      </c>
      <c r="K121" s="192" t="s">
        <v>385</v>
      </c>
      <c r="L121" s="193" t="s">
        <v>374</v>
      </c>
      <c r="M121" s="193" t="s">
        <v>309</v>
      </c>
      <c r="N121" s="193" t="s">
        <v>345</v>
      </c>
      <c r="O121" s="193"/>
      <c r="P121" s="193" t="s">
        <v>388</v>
      </c>
      <c r="Q121" s="193" t="s">
        <v>295</v>
      </c>
      <c r="R121" s="192" t="s">
        <v>250</v>
      </c>
      <c r="S121" s="181"/>
      <c r="T121" s="181" t="s">
        <v>388</v>
      </c>
      <c r="U121" s="181" t="s">
        <v>295</v>
      </c>
      <c r="V121" s="199" t="s">
        <v>250</v>
      </c>
    </row>
    <row r="122" spans="1:22" outlineLevel="1">
      <c r="A122" s="199" t="s">
        <v>250</v>
      </c>
      <c r="B122" s="181" t="s">
        <v>748</v>
      </c>
      <c r="C122" s="190">
        <v>43646</v>
      </c>
      <c r="D122" s="181" t="s">
        <v>824</v>
      </c>
      <c r="E122" s="182" t="s">
        <v>845</v>
      </c>
      <c r="F122" s="183">
        <v>76200</v>
      </c>
      <c r="G122" s="184">
        <v>545.12</v>
      </c>
      <c r="H122" s="181">
        <v>545.12</v>
      </c>
      <c r="I122" s="181" t="s">
        <v>293</v>
      </c>
      <c r="J122" s="191">
        <v>688.07</v>
      </c>
      <c r="K122" s="192" t="s">
        <v>385</v>
      </c>
      <c r="L122" s="193" t="s">
        <v>374</v>
      </c>
      <c r="M122" s="193" t="s">
        <v>309</v>
      </c>
      <c r="N122" s="193" t="s">
        <v>345</v>
      </c>
      <c r="O122" s="193"/>
      <c r="P122" s="193" t="s">
        <v>381</v>
      </c>
      <c r="Q122" s="193" t="s">
        <v>295</v>
      </c>
      <c r="R122" s="192" t="s">
        <v>379</v>
      </c>
      <c r="S122" s="181"/>
      <c r="T122" s="181" t="s">
        <v>381</v>
      </c>
      <c r="U122" s="181" t="s">
        <v>295</v>
      </c>
      <c r="V122" s="199" t="s">
        <v>379</v>
      </c>
    </row>
    <row r="123" spans="1:22" outlineLevel="1">
      <c r="A123" s="199" t="s">
        <v>250</v>
      </c>
      <c r="B123" s="181" t="s">
        <v>748</v>
      </c>
      <c r="C123" s="190">
        <v>43646</v>
      </c>
      <c r="D123" s="181" t="s">
        <v>824</v>
      </c>
      <c r="E123" s="182" t="s">
        <v>825</v>
      </c>
      <c r="F123" s="183">
        <v>76202</v>
      </c>
      <c r="G123" s="184">
        <v>8.18</v>
      </c>
      <c r="H123" s="181">
        <v>8.18</v>
      </c>
      <c r="I123" s="181" t="s">
        <v>293</v>
      </c>
      <c r="J123" s="191">
        <v>10.33</v>
      </c>
      <c r="K123" s="192" t="s">
        <v>385</v>
      </c>
      <c r="L123" s="193" t="s">
        <v>374</v>
      </c>
      <c r="M123" s="193" t="s">
        <v>309</v>
      </c>
      <c r="N123" s="193" t="s">
        <v>345</v>
      </c>
      <c r="O123" s="193"/>
      <c r="P123" s="193" t="s">
        <v>390</v>
      </c>
      <c r="Q123" s="193" t="s">
        <v>295</v>
      </c>
      <c r="R123" s="192" t="s">
        <v>379</v>
      </c>
      <c r="S123" s="181"/>
      <c r="T123" s="181" t="s">
        <v>390</v>
      </c>
      <c r="U123" s="181" t="s">
        <v>295</v>
      </c>
      <c r="V123" s="199" t="s">
        <v>379</v>
      </c>
    </row>
    <row r="124" spans="1:22" outlineLevel="1">
      <c r="A124" s="199" t="s">
        <v>250</v>
      </c>
      <c r="B124" s="181" t="s">
        <v>748</v>
      </c>
      <c r="C124" s="190">
        <v>43646</v>
      </c>
      <c r="D124" s="181" t="s">
        <v>824</v>
      </c>
      <c r="E124" s="182" t="s">
        <v>845</v>
      </c>
      <c r="F124" s="183">
        <v>76200</v>
      </c>
      <c r="G124" s="184">
        <v>54.51</v>
      </c>
      <c r="H124" s="181">
        <v>54.51</v>
      </c>
      <c r="I124" s="181" t="s">
        <v>293</v>
      </c>
      <c r="J124" s="191">
        <v>68.8</v>
      </c>
      <c r="K124" s="192" t="s">
        <v>391</v>
      </c>
      <c r="L124" s="193" t="s">
        <v>374</v>
      </c>
      <c r="M124" s="193" t="s">
        <v>309</v>
      </c>
      <c r="N124" s="193" t="s">
        <v>345</v>
      </c>
      <c r="O124" s="193"/>
      <c r="P124" s="193" t="s">
        <v>381</v>
      </c>
      <c r="Q124" s="193" t="s">
        <v>295</v>
      </c>
      <c r="R124" s="192" t="s">
        <v>379</v>
      </c>
      <c r="S124" s="181"/>
      <c r="T124" s="181" t="s">
        <v>381</v>
      </c>
      <c r="U124" s="181" t="s">
        <v>295</v>
      </c>
      <c r="V124" s="199" t="s">
        <v>379</v>
      </c>
    </row>
    <row r="125" spans="1:22">
      <c r="A125" s="194" t="s">
        <v>378</v>
      </c>
      <c r="B125" s="194"/>
      <c r="C125" s="194"/>
      <c r="D125" s="194"/>
      <c r="E125" s="195"/>
      <c r="F125" s="196"/>
      <c r="G125" s="197">
        <f>SUM(G121:G124)</f>
        <v>635.06999999999994</v>
      </c>
      <c r="H125" s="198">
        <f>SUM(H121:H124)</f>
        <v>635.06999999999994</v>
      </c>
      <c r="I125" s="194"/>
      <c r="J125" s="198">
        <f>SUM(J121:J124)</f>
        <v>801.61</v>
      </c>
      <c r="K125" s="194"/>
      <c r="L125" s="194"/>
      <c r="M125" s="194"/>
      <c r="N125" s="194"/>
      <c r="O125" s="194"/>
      <c r="P125" s="194"/>
      <c r="Q125" s="194"/>
      <c r="R125" s="194"/>
      <c r="S125" s="181"/>
      <c r="T125" s="181"/>
      <c r="U125" s="181"/>
      <c r="V125" s="181"/>
    </row>
    <row r="126" spans="1:22" outlineLevel="1">
      <c r="A126" s="199" t="s">
        <v>251</v>
      </c>
      <c r="B126" s="181" t="s">
        <v>747</v>
      </c>
      <c r="C126" s="190">
        <v>43585</v>
      </c>
      <c r="D126" s="181" t="s">
        <v>821</v>
      </c>
      <c r="E126" s="182" t="s">
        <v>823</v>
      </c>
      <c r="F126" s="183">
        <v>75684</v>
      </c>
      <c r="G126" s="184">
        <v>2.82</v>
      </c>
      <c r="H126" s="181">
        <v>2.82</v>
      </c>
      <c r="I126" s="181" t="s">
        <v>293</v>
      </c>
      <c r="J126" s="191">
        <v>3.68</v>
      </c>
      <c r="K126" s="192" t="s">
        <v>385</v>
      </c>
      <c r="L126" s="193" t="s">
        <v>374</v>
      </c>
      <c r="M126" s="193" t="s">
        <v>309</v>
      </c>
      <c r="N126" s="193" t="s">
        <v>445</v>
      </c>
      <c r="O126" s="193"/>
      <c r="P126" s="193" t="s">
        <v>390</v>
      </c>
      <c r="Q126" s="193" t="s">
        <v>295</v>
      </c>
      <c r="R126" s="192" t="s">
        <v>379</v>
      </c>
      <c r="S126" s="181"/>
      <c r="T126" s="181" t="s">
        <v>390</v>
      </c>
      <c r="U126" s="181" t="s">
        <v>295</v>
      </c>
      <c r="V126" s="199" t="s">
        <v>379</v>
      </c>
    </row>
    <row r="127" spans="1:22" outlineLevel="1">
      <c r="A127" s="199" t="s">
        <v>251</v>
      </c>
      <c r="B127" s="181" t="s">
        <v>747</v>
      </c>
      <c r="C127" s="190">
        <v>43585</v>
      </c>
      <c r="D127" s="181" t="s">
        <v>821</v>
      </c>
      <c r="E127" s="182" t="s">
        <v>822</v>
      </c>
      <c r="F127" s="183">
        <v>75683</v>
      </c>
      <c r="G127" s="184">
        <v>9.3800000000000008</v>
      </c>
      <c r="H127" s="181">
        <v>9.3800000000000008</v>
      </c>
      <c r="I127" s="181" t="s">
        <v>293</v>
      </c>
      <c r="J127" s="191">
        <v>12.23</v>
      </c>
      <c r="K127" s="192" t="s">
        <v>385</v>
      </c>
      <c r="L127" s="193" t="s">
        <v>374</v>
      </c>
      <c r="M127" s="193" t="s">
        <v>309</v>
      </c>
      <c r="N127" s="193" t="s">
        <v>445</v>
      </c>
      <c r="O127" s="193"/>
      <c r="P127" s="193" t="s">
        <v>388</v>
      </c>
      <c r="Q127" s="193" t="s">
        <v>295</v>
      </c>
      <c r="R127" s="192" t="s">
        <v>251</v>
      </c>
      <c r="S127" s="181"/>
      <c r="T127" s="181" t="s">
        <v>388</v>
      </c>
      <c r="U127" s="181" t="s">
        <v>295</v>
      </c>
      <c r="V127" s="199" t="s">
        <v>251</v>
      </c>
    </row>
    <row r="128" spans="1:22" outlineLevel="1">
      <c r="A128" s="199" t="s">
        <v>251</v>
      </c>
      <c r="B128" s="181" t="s">
        <v>747</v>
      </c>
      <c r="C128" s="190">
        <v>43585</v>
      </c>
      <c r="D128" s="181" t="s">
        <v>821</v>
      </c>
      <c r="E128" s="182" t="s">
        <v>446</v>
      </c>
      <c r="F128" s="183">
        <v>75682</v>
      </c>
      <c r="G128" s="184">
        <v>187.67</v>
      </c>
      <c r="H128" s="181">
        <v>187.67</v>
      </c>
      <c r="I128" s="181" t="s">
        <v>293</v>
      </c>
      <c r="J128" s="191">
        <v>244.77</v>
      </c>
      <c r="K128" s="192" t="s">
        <v>385</v>
      </c>
      <c r="L128" s="193" t="s">
        <v>374</v>
      </c>
      <c r="M128" s="193" t="s">
        <v>309</v>
      </c>
      <c r="N128" s="193" t="s">
        <v>445</v>
      </c>
      <c r="O128" s="193"/>
      <c r="P128" s="193" t="s">
        <v>381</v>
      </c>
      <c r="Q128" s="193" t="s">
        <v>295</v>
      </c>
      <c r="R128" s="192" t="s">
        <v>379</v>
      </c>
      <c r="S128" s="181"/>
      <c r="T128" s="181" t="s">
        <v>381</v>
      </c>
      <c r="U128" s="181" t="s">
        <v>295</v>
      </c>
      <c r="V128" s="199" t="s">
        <v>379</v>
      </c>
    </row>
    <row r="129" spans="1:22" outlineLevel="1">
      <c r="A129" s="199" t="s">
        <v>251</v>
      </c>
      <c r="B129" s="181" t="s">
        <v>747</v>
      </c>
      <c r="C129" s="190">
        <v>43585</v>
      </c>
      <c r="D129" s="181" t="s">
        <v>821</v>
      </c>
      <c r="E129" s="182" t="s">
        <v>446</v>
      </c>
      <c r="F129" s="183">
        <v>75682</v>
      </c>
      <c r="G129" s="184">
        <v>18.77</v>
      </c>
      <c r="H129" s="181">
        <v>18.77</v>
      </c>
      <c r="I129" s="181" t="s">
        <v>293</v>
      </c>
      <c r="J129" s="191">
        <v>24.48</v>
      </c>
      <c r="K129" s="192" t="s">
        <v>391</v>
      </c>
      <c r="L129" s="193" t="s">
        <v>374</v>
      </c>
      <c r="M129" s="193" t="s">
        <v>309</v>
      </c>
      <c r="N129" s="193" t="s">
        <v>445</v>
      </c>
      <c r="O129" s="193"/>
      <c r="P129" s="193" t="s">
        <v>381</v>
      </c>
      <c r="Q129" s="193" t="s">
        <v>295</v>
      </c>
      <c r="R129" s="192" t="s">
        <v>379</v>
      </c>
      <c r="S129" s="181"/>
      <c r="T129" s="181" t="s">
        <v>381</v>
      </c>
      <c r="U129" s="181" t="s">
        <v>295</v>
      </c>
      <c r="V129" s="199" t="s">
        <v>379</v>
      </c>
    </row>
    <row r="130" spans="1:22" outlineLevel="1">
      <c r="A130" s="199" t="s">
        <v>251</v>
      </c>
      <c r="B130" s="181" t="s">
        <v>748</v>
      </c>
      <c r="C130" s="190">
        <v>43646</v>
      </c>
      <c r="D130" s="181" t="s">
        <v>824</v>
      </c>
      <c r="E130" s="182" t="s">
        <v>825</v>
      </c>
      <c r="F130" s="183">
        <v>76202</v>
      </c>
      <c r="G130" s="184">
        <v>5.63</v>
      </c>
      <c r="H130" s="181">
        <v>5.63</v>
      </c>
      <c r="I130" s="181" t="s">
        <v>293</v>
      </c>
      <c r="J130" s="191">
        <v>7.11</v>
      </c>
      <c r="K130" s="192" t="s">
        <v>385</v>
      </c>
      <c r="L130" s="193" t="s">
        <v>374</v>
      </c>
      <c r="M130" s="193" t="s">
        <v>309</v>
      </c>
      <c r="N130" s="193" t="s">
        <v>445</v>
      </c>
      <c r="O130" s="193"/>
      <c r="P130" s="193" t="s">
        <v>390</v>
      </c>
      <c r="Q130" s="193" t="s">
        <v>295</v>
      </c>
      <c r="R130" s="192" t="s">
        <v>218</v>
      </c>
      <c r="S130" s="181"/>
      <c r="T130" s="181" t="s">
        <v>390</v>
      </c>
      <c r="U130" s="181" t="s">
        <v>295</v>
      </c>
      <c r="V130" s="199" t="s">
        <v>218</v>
      </c>
    </row>
    <row r="131" spans="1:22" outlineLevel="1">
      <c r="A131" s="199" t="s">
        <v>251</v>
      </c>
      <c r="B131" s="181" t="s">
        <v>748</v>
      </c>
      <c r="C131" s="190">
        <v>43646</v>
      </c>
      <c r="D131" s="181" t="s">
        <v>824</v>
      </c>
      <c r="E131" s="182" t="s">
        <v>846</v>
      </c>
      <c r="F131" s="183">
        <v>76200</v>
      </c>
      <c r="G131" s="184">
        <v>375.33</v>
      </c>
      <c r="H131" s="181">
        <v>375.33</v>
      </c>
      <c r="I131" s="181" t="s">
        <v>293</v>
      </c>
      <c r="J131" s="191">
        <v>473.75</v>
      </c>
      <c r="K131" s="192" t="s">
        <v>385</v>
      </c>
      <c r="L131" s="193" t="s">
        <v>374</v>
      </c>
      <c r="M131" s="193" t="s">
        <v>309</v>
      </c>
      <c r="N131" s="193" t="s">
        <v>445</v>
      </c>
      <c r="O131" s="193"/>
      <c r="P131" s="193" t="s">
        <v>381</v>
      </c>
      <c r="Q131" s="193" t="s">
        <v>295</v>
      </c>
      <c r="R131" s="192" t="s">
        <v>218</v>
      </c>
      <c r="S131" s="181"/>
      <c r="T131" s="181" t="s">
        <v>381</v>
      </c>
      <c r="U131" s="181" t="s">
        <v>295</v>
      </c>
      <c r="V131" s="199" t="s">
        <v>218</v>
      </c>
    </row>
    <row r="132" spans="1:22" outlineLevel="1">
      <c r="A132" s="199" t="s">
        <v>251</v>
      </c>
      <c r="B132" s="181" t="s">
        <v>748</v>
      </c>
      <c r="C132" s="190">
        <v>43646</v>
      </c>
      <c r="D132" s="181" t="s">
        <v>824</v>
      </c>
      <c r="E132" s="182" t="s">
        <v>828</v>
      </c>
      <c r="F132" s="183">
        <v>76201</v>
      </c>
      <c r="G132" s="184">
        <v>18.77</v>
      </c>
      <c r="H132" s="181">
        <v>18.77</v>
      </c>
      <c r="I132" s="181" t="s">
        <v>293</v>
      </c>
      <c r="J132" s="191">
        <v>23.69</v>
      </c>
      <c r="K132" s="192" t="s">
        <v>385</v>
      </c>
      <c r="L132" s="193" t="s">
        <v>374</v>
      </c>
      <c r="M132" s="193" t="s">
        <v>309</v>
      </c>
      <c r="N132" s="193" t="s">
        <v>445</v>
      </c>
      <c r="O132" s="193"/>
      <c r="P132" s="193" t="s">
        <v>388</v>
      </c>
      <c r="Q132" s="193" t="s">
        <v>295</v>
      </c>
      <c r="R132" s="192" t="s">
        <v>251</v>
      </c>
      <c r="S132" s="181"/>
      <c r="T132" s="181" t="s">
        <v>388</v>
      </c>
      <c r="U132" s="181" t="s">
        <v>295</v>
      </c>
      <c r="V132" s="199" t="s">
        <v>251</v>
      </c>
    </row>
    <row r="133" spans="1:22" outlineLevel="1">
      <c r="A133" s="199" t="s">
        <v>251</v>
      </c>
      <c r="B133" s="181" t="s">
        <v>748</v>
      </c>
      <c r="C133" s="190">
        <v>43646</v>
      </c>
      <c r="D133" s="181" t="s">
        <v>824</v>
      </c>
      <c r="E133" s="182" t="s">
        <v>846</v>
      </c>
      <c r="F133" s="183">
        <v>76200</v>
      </c>
      <c r="G133" s="184">
        <v>37.53</v>
      </c>
      <c r="H133" s="181">
        <v>37.53</v>
      </c>
      <c r="I133" s="181" t="s">
        <v>293</v>
      </c>
      <c r="J133" s="191">
        <v>47.37</v>
      </c>
      <c r="K133" s="192" t="s">
        <v>391</v>
      </c>
      <c r="L133" s="193" t="s">
        <v>374</v>
      </c>
      <c r="M133" s="193" t="s">
        <v>309</v>
      </c>
      <c r="N133" s="193" t="s">
        <v>445</v>
      </c>
      <c r="O133" s="193"/>
      <c r="P133" s="193" t="s">
        <v>381</v>
      </c>
      <c r="Q133" s="193" t="s">
        <v>295</v>
      </c>
      <c r="R133" s="192" t="s">
        <v>218</v>
      </c>
      <c r="S133" s="181"/>
      <c r="T133" s="181" t="s">
        <v>381</v>
      </c>
      <c r="U133" s="181" t="s">
        <v>295</v>
      </c>
      <c r="V133" s="199" t="s">
        <v>218</v>
      </c>
    </row>
    <row r="134" spans="1:22">
      <c r="A134" s="194" t="s">
        <v>378</v>
      </c>
      <c r="B134" s="194"/>
      <c r="C134" s="194"/>
      <c r="D134" s="194"/>
      <c r="E134" s="195"/>
      <c r="F134" s="196"/>
      <c r="G134" s="197">
        <f>SUM(G126:G133)</f>
        <v>655.89999999999986</v>
      </c>
      <c r="H134" s="198">
        <f>SUM(H126:H133)</f>
        <v>655.89999999999986</v>
      </c>
      <c r="I134" s="194"/>
      <c r="J134" s="198">
        <f>SUM(J126:J133)</f>
        <v>837.08</v>
      </c>
      <c r="K134" s="194"/>
      <c r="L134" s="194"/>
      <c r="M134" s="194"/>
      <c r="N134" s="194"/>
      <c r="O134" s="194"/>
      <c r="P134" s="194"/>
      <c r="Q134" s="194"/>
      <c r="R134" s="194"/>
      <c r="S134" s="181"/>
      <c r="T134" s="181"/>
      <c r="U134" s="181"/>
      <c r="V134" s="181"/>
    </row>
    <row r="135" spans="1:22" outlineLevel="1">
      <c r="A135" s="199" t="s">
        <v>252</v>
      </c>
      <c r="B135" s="181" t="s">
        <v>747</v>
      </c>
      <c r="C135" s="190">
        <v>43580</v>
      </c>
      <c r="D135" s="181" t="s">
        <v>787</v>
      </c>
      <c r="E135" s="182" t="s">
        <v>847</v>
      </c>
      <c r="F135" s="183">
        <v>75701</v>
      </c>
      <c r="G135" s="184">
        <v>32.32</v>
      </c>
      <c r="H135" s="181">
        <v>42.15</v>
      </c>
      <c r="I135" s="181" t="s">
        <v>292</v>
      </c>
      <c r="J135" s="191">
        <v>42.15</v>
      </c>
      <c r="K135" s="192" t="s">
        <v>385</v>
      </c>
      <c r="L135" s="193" t="s">
        <v>396</v>
      </c>
      <c r="M135" s="193" t="s">
        <v>309</v>
      </c>
      <c r="N135" s="193" t="s">
        <v>449</v>
      </c>
      <c r="O135" s="193"/>
      <c r="P135" s="193" t="s">
        <v>381</v>
      </c>
      <c r="Q135" s="193" t="s">
        <v>295</v>
      </c>
      <c r="R135" s="192" t="s">
        <v>379</v>
      </c>
      <c r="S135" s="181"/>
      <c r="T135" s="181" t="s">
        <v>381</v>
      </c>
      <c r="U135" s="181" t="s">
        <v>295</v>
      </c>
      <c r="V135" s="199" t="s">
        <v>379</v>
      </c>
    </row>
    <row r="136" spans="1:22" outlineLevel="1">
      <c r="A136" s="199" t="s">
        <v>252</v>
      </c>
      <c r="B136" s="181" t="s">
        <v>747</v>
      </c>
      <c r="C136" s="190">
        <v>43580</v>
      </c>
      <c r="D136" s="181" t="s">
        <v>785</v>
      </c>
      <c r="E136" s="182" t="s">
        <v>848</v>
      </c>
      <c r="F136" s="183">
        <v>75701</v>
      </c>
      <c r="G136" s="184">
        <v>208.88</v>
      </c>
      <c r="H136" s="181">
        <v>272.43</v>
      </c>
      <c r="I136" s="181" t="s">
        <v>292</v>
      </c>
      <c r="J136" s="191">
        <v>272.43</v>
      </c>
      <c r="K136" s="192" t="s">
        <v>385</v>
      </c>
      <c r="L136" s="193" t="s">
        <v>396</v>
      </c>
      <c r="M136" s="193" t="s">
        <v>309</v>
      </c>
      <c r="N136" s="193" t="s">
        <v>449</v>
      </c>
      <c r="O136" s="193"/>
      <c r="P136" s="193" t="s">
        <v>381</v>
      </c>
      <c r="Q136" s="193" t="s">
        <v>295</v>
      </c>
      <c r="R136" s="192" t="s">
        <v>379</v>
      </c>
      <c r="S136" s="181"/>
      <c r="T136" s="181" t="s">
        <v>381</v>
      </c>
      <c r="U136" s="181" t="s">
        <v>295</v>
      </c>
      <c r="V136" s="199" t="s">
        <v>379</v>
      </c>
    </row>
    <row r="137" spans="1:22" outlineLevel="1">
      <c r="A137" s="199" t="s">
        <v>252</v>
      </c>
      <c r="B137" s="181" t="s">
        <v>747</v>
      </c>
      <c r="C137" s="190">
        <v>43580</v>
      </c>
      <c r="D137" s="181" t="s">
        <v>789</v>
      </c>
      <c r="E137" s="182" t="s">
        <v>849</v>
      </c>
      <c r="F137" s="183">
        <v>75701</v>
      </c>
      <c r="G137" s="184">
        <v>33.28</v>
      </c>
      <c r="H137" s="181">
        <v>43.41</v>
      </c>
      <c r="I137" s="181" t="s">
        <v>292</v>
      </c>
      <c r="J137" s="191">
        <v>43.41</v>
      </c>
      <c r="K137" s="192" t="s">
        <v>391</v>
      </c>
      <c r="L137" s="193" t="s">
        <v>396</v>
      </c>
      <c r="M137" s="193" t="s">
        <v>309</v>
      </c>
      <c r="N137" s="193" t="s">
        <v>449</v>
      </c>
      <c r="O137" s="193"/>
      <c r="P137" s="193" t="s">
        <v>381</v>
      </c>
      <c r="Q137" s="193" t="s">
        <v>295</v>
      </c>
      <c r="R137" s="192" t="s">
        <v>379</v>
      </c>
      <c r="S137" s="181"/>
      <c r="T137" s="181" t="s">
        <v>381</v>
      </c>
      <c r="U137" s="181" t="s">
        <v>295</v>
      </c>
      <c r="V137" s="199" t="s">
        <v>379</v>
      </c>
    </row>
    <row r="138" spans="1:22" outlineLevel="1">
      <c r="A138" s="199" t="s">
        <v>252</v>
      </c>
      <c r="B138" s="181" t="s">
        <v>747</v>
      </c>
      <c r="C138" s="190">
        <v>43557</v>
      </c>
      <c r="D138" s="181" t="s">
        <v>790</v>
      </c>
      <c r="E138" s="182" t="s">
        <v>850</v>
      </c>
      <c r="F138" s="183">
        <v>75701</v>
      </c>
      <c r="G138" s="184">
        <v>0.33</v>
      </c>
      <c r="H138" s="181">
        <v>0.43</v>
      </c>
      <c r="I138" s="181" t="s">
        <v>292</v>
      </c>
      <c r="J138" s="191">
        <v>0.43</v>
      </c>
      <c r="K138" s="192" t="s">
        <v>405</v>
      </c>
      <c r="L138" s="193" t="s">
        <v>396</v>
      </c>
      <c r="M138" s="193" t="s">
        <v>309</v>
      </c>
      <c r="N138" s="193" t="s">
        <v>449</v>
      </c>
      <c r="O138" s="193"/>
      <c r="P138" s="193" t="s">
        <v>381</v>
      </c>
      <c r="Q138" s="193" t="s">
        <v>295</v>
      </c>
      <c r="R138" s="192" t="s">
        <v>379</v>
      </c>
      <c r="S138" s="181"/>
      <c r="T138" s="181" t="s">
        <v>381</v>
      </c>
      <c r="U138" s="181" t="s">
        <v>295</v>
      </c>
      <c r="V138" s="199" t="s">
        <v>379</v>
      </c>
    </row>
    <row r="139" spans="1:22" outlineLevel="1">
      <c r="A139" s="199" t="s">
        <v>252</v>
      </c>
      <c r="B139" s="181" t="s">
        <v>747</v>
      </c>
      <c r="C139" s="190">
        <v>43585</v>
      </c>
      <c r="D139" s="181" t="s">
        <v>792</v>
      </c>
      <c r="E139" s="182" t="s">
        <v>851</v>
      </c>
      <c r="F139" s="183">
        <v>75701</v>
      </c>
      <c r="G139" s="184">
        <v>5.55</v>
      </c>
      <c r="H139" s="181">
        <v>7.24</v>
      </c>
      <c r="I139" s="181" t="s">
        <v>292</v>
      </c>
      <c r="J139" s="191">
        <v>7.24</v>
      </c>
      <c r="K139" s="192" t="s">
        <v>405</v>
      </c>
      <c r="L139" s="193" t="s">
        <v>396</v>
      </c>
      <c r="M139" s="193" t="s">
        <v>309</v>
      </c>
      <c r="N139" s="193" t="s">
        <v>449</v>
      </c>
      <c r="O139" s="193"/>
      <c r="P139" s="193" t="s">
        <v>381</v>
      </c>
      <c r="Q139" s="193" t="s">
        <v>295</v>
      </c>
      <c r="R139" s="192" t="s">
        <v>379</v>
      </c>
      <c r="S139" s="181"/>
      <c r="T139" s="181" t="s">
        <v>381</v>
      </c>
      <c r="U139" s="181" t="s">
        <v>295</v>
      </c>
      <c r="V139" s="199" t="s">
        <v>379</v>
      </c>
    </row>
    <row r="140" spans="1:22" outlineLevel="1">
      <c r="A140" s="199" t="s">
        <v>252</v>
      </c>
      <c r="B140" s="181" t="s">
        <v>777</v>
      </c>
      <c r="C140" s="190">
        <v>43599</v>
      </c>
      <c r="D140" s="181" t="s">
        <v>852</v>
      </c>
      <c r="E140" s="182" t="s">
        <v>853</v>
      </c>
      <c r="F140" s="183">
        <v>75987</v>
      </c>
      <c r="G140" s="184">
        <v>299.55</v>
      </c>
      <c r="H140" s="181">
        <v>390.3</v>
      </c>
      <c r="I140" s="181" t="s">
        <v>292</v>
      </c>
      <c r="J140" s="191">
        <v>390.3</v>
      </c>
      <c r="K140" s="192" t="s">
        <v>385</v>
      </c>
      <c r="L140" s="193" t="s">
        <v>396</v>
      </c>
      <c r="M140" s="193" t="s">
        <v>309</v>
      </c>
      <c r="N140" s="193" t="s">
        <v>449</v>
      </c>
      <c r="O140" s="193"/>
      <c r="P140" s="193" t="s">
        <v>381</v>
      </c>
      <c r="Q140" s="193" t="s">
        <v>295</v>
      </c>
      <c r="R140" s="192" t="s">
        <v>379</v>
      </c>
      <c r="S140" s="181"/>
      <c r="T140" s="181" t="s">
        <v>381</v>
      </c>
      <c r="U140" s="181" t="s">
        <v>295</v>
      </c>
      <c r="V140" s="199" t="s">
        <v>379</v>
      </c>
    </row>
    <row r="141" spans="1:22" outlineLevel="1">
      <c r="A141" s="199" t="s">
        <v>252</v>
      </c>
      <c r="B141" s="181" t="s">
        <v>777</v>
      </c>
      <c r="C141" s="190">
        <v>43587</v>
      </c>
      <c r="D141" s="181" t="s">
        <v>799</v>
      </c>
      <c r="E141" s="182" t="s">
        <v>854</v>
      </c>
      <c r="F141" s="183">
        <v>75987</v>
      </c>
      <c r="G141" s="184">
        <v>0.37</v>
      </c>
      <c r="H141" s="181">
        <v>0.48</v>
      </c>
      <c r="I141" s="181" t="s">
        <v>292</v>
      </c>
      <c r="J141" s="191">
        <v>0.48</v>
      </c>
      <c r="K141" s="192" t="s">
        <v>405</v>
      </c>
      <c r="L141" s="193" t="s">
        <v>396</v>
      </c>
      <c r="M141" s="193" t="s">
        <v>309</v>
      </c>
      <c r="N141" s="193" t="s">
        <v>449</v>
      </c>
      <c r="O141" s="193"/>
      <c r="P141" s="193" t="s">
        <v>381</v>
      </c>
      <c r="Q141" s="193" t="s">
        <v>295</v>
      </c>
      <c r="R141" s="192" t="s">
        <v>379</v>
      </c>
      <c r="S141" s="181"/>
      <c r="T141" s="181" t="s">
        <v>381</v>
      </c>
      <c r="U141" s="181" t="s">
        <v>295</v>
      </c>
      <c r="V141" s="199" t="s">
        <v>379</v>
      </c>
    </row>
    <row r="142" spans="1:22" outlineLevel="1">
      <c r="A142" s="199" t="s">
        <v>252</v>
      </c>
      <c r="B142" s="181" t="s">
        <v>748</v>
      </c>
      <c r="C142" s="190">
        <v>43626</v>
      </c>
      <c r="D142" s="181" t="s">
        <v>855</v>
      </c>
      <c r="E142" s="182" t="s">
        <v>856</v>
      </c>
      <c r="F142" s="183">
        <v>76315</v>
      </c>
      <c r="G142" s="184">
        <v>27.38</v>
      </c>
      <c r="H142" s="181">
        <v>34.56</v>
      </c>
      <c r="I142" s="181" t="s">
        <v>292</v>
      </c>
      <c r="J142" s="191">
        <v>34.56</v>
      </c>
      <c r="K142" s="192" t="s">
        <v>385</v>
      </c>
      <c r="L142" s="193" t="s">
        <v>396</v>
      </c>
      <c r="M142" s="193" t="s">
        <v>309</v>
      </c>
      <c r="N142" s="193" t="s">
        <v>449</v>
      </c>
      <c r="O142" s="193"/>
      <c r="P142" s="193" t="s">
        <v>381</v>
      </c>
      <c r="Q142" s="193" t="s">
        <v>295</v>
      </c>
      <c r="R142" s="192" t="s">
        <v>379</v>
      </c>
      <c r="S142" s="181"/>
      <c r="T142" s="181" t="s">
        <v>381</v>
      </c>
      <c r="U142" s="181" t="s">
        <v>295</v>
      </c>
      <c r="V142" s="199" t="s">
        <v>379</v>
      </c>
    </row>
    <row r="143" spans="1:22" outlineLevel="1">
      <c r="A143" s="199" t="s">
        <v>252</v>
      </c>
      <c r="B143" s="181" t="s">
        <v>748</v>
      </c>
      <c r="C143" s="190">
        <v>43626</v>
      </c>
      <c r="D143" s="181" t="s">
        <v>857</v>
      </c>
      <c r="E143" s="182" t="s">
        <v>858</v>
      </c>
      <c r="F143" s="183">
        <v>76315</v>
      </c>
      <c r="G143" s="184">
        <v>47.58</v>
      </c>
      <c r="H143" s="181">
        <v>60.06</v>
      </c>
      <c r="I143" s="181" t="s">
        <v>292</v>
      </c>
      <c r="J143" s="191">
        <v>60.06</v>
      </c>
      <c r="K143" s="192" t="s">
        <v>385</v>
      </c>
      <c r="L143" s="193" t="s">
        <v>396</v>
      </c>
      <c r="M143" s="193" t="s">
        <v>309</v>
      </c>
      <c r="N143" s="193" t="s">
        <v>449</v>
      </c>
      <c r="O143" s="193"/>
      <c r="P143" s="193" t="s">
        <v>381</v>
      </c>
      <c r="Q143" s="193" t="s">
        <v>295</v>
      </c>
      <c r="R143" s="192" t="s">
        <v>379</v>
      </c>
      <c r="S143" s="181"/>
      <c r="T143" s="181" t="s">
        <v>381</v>
      </c>
      <c r="U143" s="181" t="s">
        <v>295</v>
      </c>
      <c r="V143" s="199" t="s">
        <v>379</v>
      </c>
    </row>
    <row r="144" spans="1:22">
      <c r="A144" s="194" t="s">
        <v>378</v>
      </c>
      <c r="B144" s="194"/>
      <c r="C144" s="194"/>
      <c r="D144" s="194"/>
      <c r="E144" s="195"/>
      <c r="F144" s="196"/>
      <c r="G144" s="197">
        <f>SUM(G135:G143)</f>
        <v>655.24000000000012</v>
      </c>
      <c r="H144" s="198">
        <f>SUM(H135:H143)</f>
        <v>851.06</v>
      </c>
      <c r="I144" s="194"/>
      <c r="J144" s="198">
        <f>SUM(J135:J143)</f>
        <v>851.06</v>
      </c>
      <c r="K144" s="194"/>
      <c r="L144" s="194"/>
      <c r="M144" s="194"/>
      <c r="N144" s="194"/>
      <c r="O144" s="194"/>
      <c r="P144" s="194"/>
      <c r="Q144" s="194"/>
      <c r="R144" s="194"/>
      <c r="S144" s="181"/>
      <c r="T144" s="181"/>
      <c r="U144" s="181"/>
      <c r="V144" s="181"/>
    </row>
    <row r="145" spans="1:22" outlineLevel="1">
      <c r="A145" s="199" t="s">
        <v>253</v>
      </c>
      <c r="B145" s="181" t="s">
        <v>777</v>
      </c>
      <c r="C145" s="190">
        <v>43522</v>
      </c>
      <c r="D145" s="181" t="s">
        <v>859</v>
      </c>
      <c r="E145" s="182" t="s">
        <v>860</v>
      </c>
      <c r="F145" s="183">
        <v>75764</v>
      </c>
      <c r="G145" s="184">
        <v>569.87</v>
      </c>
      <c r="H145" s="181">
        <v>742.51</v>
      </c>
      <c r="I145" s="181" t="s">
        <v>292</v>
      </c>
      <c r="J145" s="191">
        <v>742.51</v>
      </c>
      <c r="K145" s="192" t="s">
        <v>640</v>
      </c>
      <c r="L145" s="193" t="s">
        <v>374</v>
      </c>
      <c r="M145" s="193" t="s">
        <v>309</v>
      </c>
      <c r="N145" s="193"/>
      <c r="O145" s="193"/>
      <c r="P145" s="193" t="s">
        <v>381</v>
      </c>
      <c r="Q145" s="193" t="s">
        <v>295</v>
      </c>
      <c r="R145" s="192" t="s">
        <v>379</v>
      </c>
      <c r="S145" s="181"/>
      <c r="T145" s="181" t="s">
        <v>381</v>
      </c>
      <c r="U145" s="181" t="s">
        <v>295</v>
      </c>
      <c r="V145" s="199" t="s">
        <v>379</v>
      </c>
    </row>
    <row r="146" spans="1:22">
      <c r="A146" s="194" t="s">
        <v>378</v>
      </c>
      <c r="B146" s="194"/>
      <c r="C146" s="194"/>
      <c r="D146" s="194"/>
      <c r="E146" s="195"/>
      <c r="F146" s="196"/>
      <c r="G146" s="197">
        <f>SUM(G145:G145)</f>
        <v>569.87</v>
      </c>
      <c r="H146" s="198">
        <f>SUM(H145:H145)</f>
        <v>742.51</v>
      </c>
      <c r="I146" s="194"/>
      <c r="J146" s="198">
        <f>SUM(J145:J145)</f>
        <v>742.51</v>
      </c>
      <c r="K146" s="194"/>
      <c r="L146" s="194"/>
      <c r="M146" s="194"/>
      <c r="N146" s="194"/>
      <c r="O146" s="194"/>
      <c r="P146" s="194"/>
      <c r="Q146" s="194"/>
      <c r="R146" s="194"/>
      <c r="S146" s="181"/>
      <c r="T146" s="181"/>
      <c r="U146" s="181"/>
      <c r="V146" s="181"/>
    </row>
    <row r="147" spans="1:22" outlineLevel="1">
      <c r="A147" s="199" t="s">
        <v>254</v>
      </c>
      <c r="B147" s="181" t="s">
        <v>747</v>
      </c>
      <c r="C147" s="190">
        <v>43585</v>
      </c>
      <c r="D147" s="181" t="s">
        <v>829</v>
      </c>
      <c r="E147" s="182" t="s">
        <v>465</v>
      </c>
      <c r="F147" s="183">
        <v>75694</v>
      </c>
      <c r="G147" s="184">
        <v>322.66000000000003</v>
      </c>
      <c r="H147" s="181">
        <v>420.83</v>
      </c>
      <c r="I147" s="181" t="s">
        <v>292</v>
      </c>
      <c r="J147" s="191">
        <v>420.83</v>
      </c>
      <c r="K147" s="192" t="s">
        <v>385</v>
      </c>
      <c r="L147" s="193" t="s">
        <v>400</v>
      </c>
      <c r="M147" s="193" t="s">
        <v>309</v>
      </c>
      <c r="N147" s="193" t="s">
        <v>466</v>
      </c>
      <c r="O147" s="193"/>
      <c r="P147" s="193" t="s">
        <v>381</v>
      </c>
      <c r="Q147" s="193" t="s">
        <v>295</v>
      </c>
      <c r="R147" s="192" t="s">
        <v>379</v>
      </c>
      <c r="S147" s="181"/>
      <c r="T147" s="181" t="s">
        <v>381</v>
      </c>
      <c r="U147" s="181" t="s">
        <v>295</v>
      </c>
      <c r="V147" s="199" t="s">
        <v>379</v>
      </c>
    </row>
    <row r="148" spans="1:22" outlineLevel="1">
      <c r="A148" s="199" t="s">
        <v>254</v>
      </c>
      <c r="B148" s="181" t="s">
        <v>747</v>
      </c>
      <c r="C148" s="190">
        <v>43580</v>
      </c>
      <c r="D148" s="181" t="s">
        <v>787</v>
      </c>
      <c r="E148" s="182" t="s">
        <v>861</v>
      </c>
      <c r="F148" s="183">
        <v>75701</v>
      </c>
      <c r="G148" s="184">
        <v>16.39</v>
      </c>
      <c r="H148" s="181">
        <v>21.38</v>
      </c>
      <c r="I148" s="181" t="s">
        <v>292</v>
      </c>
      <c r="J148" s="191">
        <v>21.38</v>
      </c>
      <c r="K148" s="192" t="s">
        <v>385</v>
      </c>
      <c r="L148" s="193" t="s">
        <v>396</v>
      </c>
      <c r="M148" s="193" t="s">
        <v>309</v>
      </c>
      <c r="N148" s="193" t="s">
        <v>468</v>
      </c>
      <c r="O148" s="193"/>
      <c r="P148" s="193" t="s">
        <v>381</v>
      </c>
      <c r="Q148" s="193" t="s">
        <v>295</v>
      </c>
      <c r="R148" s="192" t="s">
        <v>379</v>
      </c>
      <c r="S148" s="181"/>
      <c r="T148" s="181" t="s">
        <v>381</v>
      </c>
      <c r="U148" s="181" t="s">
        <v>295</v>
      </c>
      <c r="V148" s="199" t="s">
        <v>379</v>
      </c>
    </row>
    <row r="149" spans="1:22" outlineLevel="1">
      <c r="A149" s="199" t="s">
        <v>254</v>
      </c>
      <c r="B149" s="181" t="s">
        <v>747</v>
      </c>
      <c r="C149" s="190">
        <v>43580</v>
      </c>
      <c r="D149" s="181" t="s">
        <v>785</v>
      </c>
      <c r="E149" s="182" t="s">
        <v>862</v>
      </c>
      <c r="F149" s="183">
        <v>75701</v>
      </c>
      <c r="G149" s="184">
        <v>143.16999999999999</v>
      </c>
      <c r="H149" s="181">
        <v>186.73</v>
      </c>
      <c r="I149" s="181" t="s">
        <v>292</v>
      </c>
      <c r="J149" s="191">
        <v>186.73</v>
      </c>
      <c r="K149" s="192" t="s">
        <v>385</v>
      </c>
      <c r="L149" s="193" t="s">
        <v>396</v>
      </c>
      <c r="M149" s="193" t="s">
        <v>309</v>
      </c>
      <c r="N149" s="193" t="s">
        <v>468</v>
      </c>
      <c r="O149" s="193"/>
      <c r="P149" s="193" t="s">
        <v>381</v>
      </c>
      <c r="Q149" s="193" t="s">
        <v>295</v>
      </c>
      <c r="R149" s="192" t="s">
        <v>379</v>
      </c>
      <c r="S149" s="181"/>
      <c r="T149" s="181" t="s">
        <v>381</v>
      </c>
      <c r="U149" s="181" t="s">
        <v>295</v>
      </c>
      <c r="V149" s="199" t="s">
        <v>379</v>
      </c>
    </row>
    <row r="150" spans="1:22" outlineLevel="1">
      <c r="A150" s="199" t="s">
        <v>254</v>
      </c>
      <c r="B150" s="181" t="s">
        <v>747</v>
      </c>
      <c r="C150" s="190">
        <v>43585</v>
      </c>
      <c r="D150" s="181" t="s">
        <v>821</v>
      </c>
      <c r="E150" s="182" t="s">
        <v>470</v>
      </c>
      <c r="F150" s="183">
        <v>75682</v>
      </c>
      <c r="G150" s="184">
        <v>174.33</v>
      </c>
      <c r="H150" s="181">
        <v>174.33</v>
      </c>
      <c r="I150" s="181" t="s">
        <v>293</v>
      </c>
      <c r="J150" s="191">
        <v>227.37</v>
      </c>
      <c r="K150" s="192" t="s">
        <v>385</v>
      </c>
      <c r="L150" s="193" t="s">
        <v>374</v>
      </c>
      <c r="M150" s="193" t="s">
        <v>309</v>
      </c>
      <c r="N150" s="193" t="s">
        <v>469</v>
      </c>
      <c r="O150" s="193"/>
      <c r="P150" s="193" t="s">
        <v>381</v>
      </c>
      <c r="Q150" s="193" t="s">
        <v>295</v>
      </c>
      <c r="R150" s="192" t="s">
        <v>379</v>
      </c>
      <c r="S150" s="181"/>
      <c r="T150" s="181" t="s">
        <v>381</v>
      </c>
      <c r="U150" s="181" t="s">
        <v>295</v>
      </c>
      <c r="V150" s="199" t="s">
        <v>379</v>
      </c>
    </row>
    <row r="151" spans="1:22" outlineLevel="1">
      <c r="A151" s="199" t="s">
        <v>254</v>
      </c>
      <c r="B151" s="181" t="s">
        <v>747</v>
      </c>
      <c r="C151" s="190">
        <v>43585</v>
      </c>
      <c r="D151" s="181" t="s">
        <v>821</v>
      </c>
      <c r="E151" s="182" t="s">
        <v>822</v>
      </c>
      <c r="F151" s="183">
        <v>75683</v>
      </c>
      <c r="G151" s="184">
        <v>8.7200000000000006</v>
      </c>
      <c r="H151" s="181">
        <v>8.7200000000000006</v>
      </c>
      <c r="I151" s="181" t="s">
        <v>293</v>
      </c>
      <c r="J151" s="191">
        <v>11.37</v>
      </c>
      <c r="K151" s="192" t="s">
        <v>385</v>
      </c>
      <c r="L151" s="193" t="s">
        <v>374</v>
      </c>
      <c r="M151" s="193" t="s">
        <v>309</v>
      </c>
      <c r="N151" s="193" t="s">
        <v>469</v>
      </c>
      <c r="O151" s="193"/>
      <c r="P151" s="193" t="s">
        <v>388</v>
      </c>
      <c r="Q151" s="193" t="s">
        <v>295</v>
      </c>
      <c r="R151" s="192" t="s">
        <v>254</v>
      </c>
      <c r="S151" s="181"/>
      <c r="T151" s="181" t="s">
        <v>388</v>
      </c>
      <c r="U151" s="181" t="s">
        <v>295</v>
      </c>
      <c r="V151" s="199" t="s">
        <v>254</v>
      </c>
    </row>
    <row r="152" spans="1:22" outlineLevel="1">
      <c r="A152" s="199" t="s">
        <v>254</v>
      </c>
      <c r="B152" s="181" t="s">
        <v>747</v>
      </c>
      <c r="C152" s="190">
        <v>43585</v>
      </c>
      <c r="D152" s="181" t="s">
        <v>821</v>
      </c>
      <c r="E152" s="182" t="s">
        <v>823</v>
      </c>
      <c r="F152" s="183">
        <v>75684</v>
      </c>
      <c r="G152" s="184">
        <v>2.61</v>
      </c>
      <c r="H152" s="181">
        <v>2.61</v>
      </c>
      <c r="I152" s="181" t="s">
        <v>293</v>
      </c>
      <c r="J152" s="191">
        <v>3.4</v>
      </c>
      <c r="K152" s="192" t="s">
        <v>385</v>
      </c>
      <c r="L152" s="193" t="s">
        <v>374</v>
      </c>
      <c r="M152" s="193" t="s">
        <v>309</v>
      </c>
      <c r="N152" s="193" t="s">
        <v>469</v>
      </c>
      <c r="O152" s="193"/>
      <c r="P152" s="193" t="s">
        <v>390</v>
      </c>
      <c r="Q152" s="193" t="s">
        <v>295</v>
      </c>
      <c r="R152" s="192" t="s">
        <v>379</v>
      </c>
      <c r="S152" s="181"/>
      <c r="T152" s="181" t="s">
        <v>390</v>
      </c>
      <c r="U152" s="181" t="s">
        <v>295</v>
      </c>
      <c r="V152" s="199" t="s">
        <v>379</v>
      </c>
    </row>
    <row r="153" spans="1:22" outlineLevel="1">
      <c r="A153" s="199" t="s">
        <v>254</v>
      </c>
      <c r="B153" s="181" t="s">
        <v>747</v>
      </c>
      <c r="C153" s="190">
        <v>43585</v>
      </c>
      <c r="D153" s="181" t="s">
        <v>821</v>
      </c>
      <c r="E153" s="182" t="s">
        <v>470</v>
      </c>
      <c r="F153" s="183">
        <v>75682</v>
      </c>
      <c r="G153" s="184">
        <v>17.43</v>
      </c>
      <c r="H153" s="181">
        <v>17.43</v>
      </c>
      <c r="I153" s="181" t="s">
        <v>293</v>
      </c>
      <c r="J153" s="191">
        <v>22.73</v>
      </c>
      <c r="K153" s="192" t="s">
        <v>391</v>
      </c>
      <c r="L153" s="193" t="s">
        <v>374</v>
      </c>
      <c r="M153" s="193" t="s">
        <v>309</v>
      </c>
      <c r="N153" s="193" t="s">
        <v>469</v>
      </c>
      <c r="O153" s="193"/>
      <c r="P153" s="193" t="s">
        <v>381</v>
      </c>
      <c r="Q153" s="193" t="s">
        <v>295</v>
      </c>
      <c r="R153" s="192" t="s">
        <v>379</v>
      </c>
      <c r="S153" s="181"/>
      <c r="T153" s="181" t="s">
        <v>381</v>
      </c>
      <c r="U153" s="181" t="s">
        <v>295</v>
      </c>
      <c r="V153" s="199" t="s">
        <v>379</v>
      </c>
    </row>
    <row r="154" spans="1:22" outlineLevel="1">
      <c r="A154" s="199" t="s">
        <v>254</v>
      </c>
      <c r="B154" s="181" t="s">
        <v>747</v>
      </c>
      <c r="C154" s="190">
        <v>43585</v>
      </c>
      <c r="D154" s="181" t="s">
        <v>830</v>
      </c>
      <c r="E154" s="182" t="s">
        <v>471</v>
      </c>
      <c r="F154" s="183">
        <v>75694</v>
      </c>
      <c r="G154" s="184">
        <v>44.33</v>
      </c>
      <c r="H154" s="181">
        <v>57.82</v>
      </c>
      <c r="I154" s="181" t="s">
        <v>292</v>
      </c>
      <c r="J154" s="191">
        <v>57.82</v>
      </c>
      <c r="K154" s="192" t="s">
        <v>391</v>
      </c>
      <c r="L154" s="193" t="s">
        <v>400</v>
      </c>
      <c r="M154" s="193" t="s">
        <v>309</v>
      </c>
      <c r="N154" s="193" t="s">
        <v>466</v>
      </c>
      <c r="O154" s="193"/>
      <c r="P154" s="193" t="s">
        <v>381</v>
      </c>
      <c r="Q154" s="193" t="s">
        <v>295</v>
      </c>
      <c r="R154" s="192" t="s">
        <v>379</v>
      </c>
      <c r="S154" s="181"/>
      <c r="T154" s="181" t="s">
        <v>381</v>
      </c>
      <c r="U154" s="181" t="s">
        <v>295</v>
      </c>
      <c r="V154" s="199" t="s">
        <v>379</v>
      </c>
    </row>
    <row r="155" spans="1:22" outlineLevel="1">
      <c r="A155" s="199" t="s">
        <v>254</v>
      </c>
      <c r="B155" s="181" t="s">
        <v>747</v>
      </c>
      <c r="C155" s="190">
        <v>43580</v>
      </c>
      <c r="D155" s="181" t="s">
        <v>789</v>
      </c>
      <c r="E155" s="182" t="s">
        <v>863</v>
      </c>
      <c r="F155" s="183">
        <v>75701</v>
      </c>
      <c r="G155" s="184">
        <v>22.05</v>
      </c>
      <c r="H155" s="181">
        <v>28.76</v>
      </c>
      <c r="I155" s="181" t="s">
        <v>292</v>
      </c>
      <c r="J155" s="191">
        <v>28.76</v>
      </c>
      <c r="K155" s="192" t="s">
        <v>391</v>
      </c>
      <c r="L155" s="193" t="s">
        <v>396</v>
      </c>
      <c r="M155" s="193" t="s">
        <v>309</v>
      </c>
      <c r="N155" s="193" t="s">
        <v>468</v>
      </c>
      <c r="O155" s="193"/>
      <c r="P155" s="193" t="s">
        <v>381</v>
      </c>
      <c r="Q155" s="193" t="s">
        <v>295</v>
      </c>
      <c r="R155" s="192" t="s">
        <v>379</v>
      </c>
      <c r="S155" s="181"/>
      <c r="T155" s="181" t="s">
        <v>381</v>
      </c>
      <c r="U155" s="181" t="s">
        <v>295</v>
      </c>
      <c r="V155" s="199" t="s">
        <v>379</v>
      </c>
    </row>
    <row r="156" spans="1:22" outlineLevel="1">
      <c r="A156" s="199" t="s">
        <v>254</v>
      </c>
      <c r="B156" s="181" t="s">
        <v>747</v>
      </c>
      <c r="C156" s="190">
        <v>43585</v>
      </c>
      <c r="D156" s="181" t="s">
        <v>831</v>
      </c>
      <c r="E156" s="182" t="s">
        <v>473</v>
      </c>
      <c r="F156" s="183">
        <v>75694</v>
      </c>
      <c r="G156" s="184">
        <v>7.39</v>
      </c>
      <c r="H156" s="181">
        <v>9.64</v>
      </c>
      <c r="I156" s="181" t="s">
        <v>292</v>
      </c>
      <c r="J156" s="191">
        <v>9.64</v>
      </c>
      <c r="K156" s="192" t="s">
        <v>405</v>
      </c>
      <c r="L156" s="193" t="s">
        <v>400</v>
      </c>
      <c r="M156" s="193" t="s">
        <v>309</v>
      </c>
      <c r="N156" s="193" t="s">
        <v>466</v>
      </c>
      <c r="O156" s="193"/>
      <c r="P156" s="193" t="s">
        <v>381</v>
      </c>
      <c r="Q156" s="193" t="s">
        <v>295</v>
      </c>
      <c r="R156" s="192" t="s">
        <v>379</v>
      </c>
      <c r="S156" s="181"/>
      <c r="T156" s="181" t="s">
        <v>381</v>
      </c>
      <c r="U156" s="181" t="s">
        <v>295</v>
      </c>
      <c r="V156" s="199" t="s">
        <v>379</v>
      </c>
    </row>
    <row r="157" spans="1:22" outlineLevel="1">
      <c r="A157" s="199" t="s">
        <v>254</v>
      </c>
      <c r="B157" s="181" t="s">
        <v>747</v>
      </c>
      <c r="C157" s="190">
        <v>43585</v>
      </c>
      <c r="D157" s="181" t="s">
        <v>792</v>
      </c>
      <c r="E157" s="182" t="s">
        <v>864</v>
      </c>
      <c r="F157" s="183">
        <v>75701</v>
      </c>
      <c r="G157" s="184">
        <v>3.67</v>
      </c>
      <c r="H157" s="181">
        <v>4.79</v>
      </c>
      <c r="I157" s="181" t="s">
        <v>292</v>
      </c>
      <c r="J157" s="191">
        <v>4.79</v>
      </c>
      <c r="K157" s="192" t="s">
        <v>405</v>
      </c>
      <c r="L157" s="193" t="s">
        <v>396</v>
      </c>
      <c r="M157" s="193" t="s">
        <v>309</v>
      </c>
      <c r="N157" s="193" t="s">
        <v>468</v>
      </c>
      <c r="O157" s="193"/>
      <c r="P157" s="193" t="s">
        <v>381</v>
      </c>
      <c r="Q157" s="193" t="s">
        <v>295</v>
      </c>
      <c r="R157" s="192" t="s">
        <v>379</v>
      </c>
      <c r="S157" s="181"/>
      <c r="T157" s="181" t="s">
        <v>381</v>
      </c>
      <c r="U157" s="181" t="s">
        <v>295</v>
      </c>
      <c r="V157" s="199" t="s">
        <v>379</v>
      </c>
    </row>
    <row r="158" spans="1:22" outlineLevel="1">
      <c r="A158" s="199" t="s">
        <v>254</v>
      </c>
      <c r="B158" s="181" t="s">
        <v>747</v>
      </c>
      <c r="C158" s="190">
        <v>43584</v>
      </c>
      <c r="D158" s="181" t="s">
        <v>832</v>
      </c>
      <c r="E158" s="182" t="s">
        <v>475</v>
      </c>
      <c r="F158" s="183">
        <v>75694</v>
      </c>
      <c r="G158" s="184">
        <v>0.37</v>
      </c>
      <c r="H158" s="181">
        <v>0.48</v>
      </c>
      <c r="I158" s="181" t="s">
        <v>292</v>
      </c>
      <c r="J158" s="191">
        <v>0.48</v>
      </c>
      <c r="K158" s="192" t="s">
        <v>405</v>
      </c>
      <c r="L158" s="193" t="s">
        <v>400</v>
      </c>
      <c r="M158" s="193" t="s">
        <v>309</v>
      </c>
      <c r="N158" s="193" t="s">
        <v>466</v>
      </c>
      <c r="O158" s="193"/>
      <c r="P158" s="193" t="s">
        <v>381</v>
      </c>
      <c r="Q158" s="193" t="s">
        <v>295</v>
      </c>
      <c r="R158" s="192" t="s">
        <v>379</v>
      </c>
      <c r="S158" s="181"/>
      <c r="T158" s="181" t="s">
        <v>381</v>
      </c>
      <c r="U158" s="181" t="s">
        <v>295</v>
      </c>
      <c r="V158" s="199" t="s">
        <v>379</v>
      </c>
    </row>
    <row r="159" spans="1:22" outlineLevel="1">
      <c r="A159" s="199" t="s">
        <v>254</v>
      </c>
      <c r="B159" s="181" t="s">
        <v>747</v>
      </c>
      <c r="C159" s="190">
        <v>43557</v>
      </c>
      <c r="D159" s="181" t="s">
        <v>790</v>
      </c>
      <c r="E159" s="182" t="s">
        <v>865</v>
      </c>
      <c r="F159" s="183">
        <v>75701</v>
      </c>
      <c r="G159" s="184">
        <v>0.25</v>
      </c>
      <c r="H159" s="181">
        <v>0.32</v>
      </c>
      <c r="I159" s="181" t="s">
        <v>292</v>
      </c>
      <c r="J159" s="191">
        <v>0.33</v>
      </c>
      <c r="K159" s="192" t="s">
        <v>405</v>
      </c>
      <c r="L159" s="193" t="s">
        <v>396</v>
      </c>
      <c r="M159" s="193" t="s">
        <v>309</v>
      </c>
      <c r="N159" s="193" t="s">
        <v>468</v>
      </c>
      <c r="O159" s="193"/>
      <c r="P159" s="193" t="s">
        <v>381</v>
      </c>
      <c r="Q159" s="193" t="s">
        <v>295</v>
      </c>
      <c r="R159" s="192" t="s">
        <v>379</v>
      </c>
      <c r="S159" s="181"/>
      <c r="T159" s="181" t="s">
        <v>381</v>
      </c>
      <c r="U159" s="181" t="s">
        <v>295</v>
      </c>
      <c r="V159" s="199" t="s">
        <v>379</v>
      </c>
    </row>
    <row r="160" spans="1:22" outlineLevel="1">
      <c r="A160" s="199" t="s">
        <v>254</v>
      </c>
      <c r="B160" s="181" t="s">
        <v>777</v>
      </c>
      <c r="C160" s="190">
        <v>43609</v>
      </c>
      <c r="D160" s="181" t="s">
        <v>793</v>
      </c>
      <c r="E160" s="182" t="s">
        <v>866</v>
      </c>
      <c r="F160" s="183">
        <v>75987</v>
      </c>
      <c r="G160" s="184">
        <v>137.08000000000001</v>
      </c>
      <c r="H160" s="181">
        <v>178.61</v>
      </c>
      <c r="I160" s="181" t="s">
        <v>292</v>
      </c>
      <c r="J160" s="191">
        <v>178.61</v>
      </c>
      <c r="K160" s="192" t="s">
        <v>385</v>
      </c>
      <c r="L160" s="193" t="s">
        <v>396</v>
      </c>
      <c r="M160" s="193" t="s">
        <v>309</v>
      </c>
      <c r="N160" s="193" t="s">
        <v>468</v>
      </c>
      <c r="O160" s="193"/>
      <c r="P160" s="193" t="s">
        <v>381</v>
      </c>
      <c r="Q160" s="193" t="s">
        <v>295</v>
      </c>
      <c r="R160" s="192" t="s">
        <v>379</v>
      </c>
      <c r="S160" s="181"/>
      <c r="T160" s="181" t="s">
        <v>381</v>
      </c>
      <c r="U160" s="181" t="s">
        <v>295</v>
      </c>
      <c r="V160" s="199" t="s">
        <v>379</v>
      </c>
    </row>
    <row r="161" spans="1:22" outlineLevel="1">
      <c r="A161" s="199" t="s">
        <v>254</v>
      </c>
      <c r="B161" s="181" t="s">
        <v>777</v>
      </c>
      <c r="C161" s="190">
        <v>43609</v>
      </c>
      <c r="D161" s="181" t="s">
        <v>793</v>
      </c>
      <c r="E161" s="182" t="s">
        <v>867</v>
      </c>
      <c r="F161" s="183">
        <v>75987</v>
      </c>
      <c r="G161" s="184">
        <v>197.78</v>
      </c>
      <c r="H161" s="181">
        <v>257.69</v>
      </c>
      <c r="I161" s="181" t="s">
        <v>292</v>
      </c>
      <c r="J161" s="191">
        <v>257.7</v>
      </c>
      <c r="K161" s="192" t="s">
        <v>385</v>
      </c>
      <c r="L161" s="193" t="s">
        <v>396</v>
      </c>
      <c r="M161" s="193" t="s">
        <v>309</v>
      </c>
      <c r="N161" s="193" t="s">
        <v>626</v>
      </c>
      <c r="O161" s="193"/>
      <c r="P161" s="193" t="s">
        <v>381</v>
      </c>
      <c r="Q161" s="193" t="s">
        <v>295</v>
      </c>
      <c r="R161" s="192" t="s">
        <v>379</v>
      </c>
      <c r="S161" s="181"/>
      <c r="T161" s="181" t="s">
        <v>381</v>
      </c>
      <c r="U161" s="181" t="s">
        <v>295</v>
      </c>
      <c r="V161" s="199" t="s">
        <v>379</v>
      </c>
    </row>
    <row r="162" spans="1:22" outlineLevel="1">
      <c r="A162" s="199" t="s">
        <v>254</v>
      </c>
      <c r="B162" s="181" t="s">
        <v>777</v>
      </c>
      <c r="C162" s="190">
        <v>43609</v>
      </c>
      <c r="D162" s="181" t="s">
        <v>795</v>
      </c>
      <c r="E162" s="182" t="s">
        <v>868</v>
      </c>
      <c r="F162" s="183">
        <v>75987</v>
      </c>
      <c r="G162" s="184">
        <v>31.36</v>
      </c>
      <c r="H162" s="181">
        <v>40.86</v>
      </c>
      <c r="I162" s="181" t="s">
        <v>292</v>
      </c>
      <c r="J162" s="191">
        <v>40.86</v>
      </c>
      <c r="K162" s="192" t="s">
        <v>385</v>
      </c>
      <c r="L162" s="193" t="s">
        <v>396</v>
      </c>
      <c r="M162" s="193" t="s">
        <v>309</v>
      </c>
      <c r="N162" s="193" t="s">
        <v>626</v>
      </c>
      <c r="O162" s="193"/>
      <c r="P162" s="193" t="s">
        <v>381</v>
      </c>
      <c r="Q162" s="193" t="s">
        <v>295</v>
      </c>
      <c r="R162" s="192" t="s">
        <v>379</v>
      </c>
      <c r="S162" s="181"/>
      <c r="T162" s="181" t="s">
        <v>381</v>
      </c>
      <c r="U162" s="181" t="s">
        <v>295</v>
      </c>
      <c r="V162" s="199" t="s">
        <v>379</v>
      </c>
    </row>
    <row r="163" spans="1:22" outlineLevel="1">
      <c r="A163" s="199" t="s">
        <v>254</v>
      </c>
      <c r="B163" s="181" t="s">
        <v>777</v>
      </c>
      <c r="C163" s="190">
        <v>43609</v>
      </c>
      <c r="D163" s="181" t="s">
        <v>795</v>
      </c>
      <c r="E163" s="182" t="s">
        <v>869</v>
      </c>
      <c r="F163" s="183">
        <v>75987</v>
      </c>
      <c r="G163" s="184">
        <v>22.34</v>
      </c>
      <c r="H163" s="181">
        <v>29.11</v>
      </c>
      <c r="I163" s="181" t="s">
        <v>292</v>
      </c>
      <c r="J163" s="191">
        <v>29.11</v>
      </c>
      <c r="K163" s="192" t="s">
        <v>385</v>
      </c>
      <c r="L163" s="193" t="s">
        <v>396</v>
      </c>
      <c r="M163" s="193" t="s">
        <v>309</v>
      </c>
      <c r="N163" s="193" t="s">
        <v>468</v>
      </c>
      <c r="O163" s="193"/>
      <c r="P163" s="193" t="s">
        <v>381</v>
      </c>
      <c r="Q163" s="193" t="s">
        <v>295</v>
      </c>
      <c r="R163" s="192" t="s">
        <v>379</v>
      </c>
      <c r="S163" s="181"/>
      <c r="T163" s="181" t="s">
        <v>381</v>
      </c>
      <c r="U163" s="181" t="s">
        <v>295</v>
      </c>
      <c r="V163" s="199" t="s">
        <v>379</v>
      </c>
    </row>
    <row r="164" spans="1:22" outlineLevel="1">
      <c r="A164" s="199" t="s">
        <v>254</v>
      </c>
      <c r="B164" s="181" t="s">
        <v>777</v>
      </c>
      <c r="C164" s="190">
        <v>43610</v>
      </c>
      <c r="D164" s="181" t="s">
        <v>833</v>
      </c>
      <c r="E164" s="182" t="s">
        <v>465</v>
      </c>
      <c r="F164" s="183">
        <v>75988</v>
      </c>
      <c r="G164" s="184">
        <v>482.63</v>
      </c>
      <c r="H164" s="181">
        <v>628.84</v>
      </c>
      <c r="I164" s="181" t="s">
        <v>292</v>
      </c>
      <c r="J164" s="191">
        <v>628.84</v>
      </c>
      <c r="K164" s="192" t="s">
        <v>385</v>
      </c>
      <c r="L164" s="193" t="s">
        <v>400</v>
      </c>
      <c r="M164" s="193" t="s">
        <v>309</v>
      </c>
      <c r="N164" s="193" t="s">
        <v>466</v>
      </c>
      <c r="O164" s="193"/>
      <c r="P164" s="193" t="s">
        <v>381</v>
      </c>
      <c r="Q164" s="193" t="s">
        <v>295</v>
      </c>
      <c r="R164" s="192" t="s">
        <v>379</v>
      </c>
      <c r="S164" s="181"/>
      <c r="T164" s="181" t="s">
        <v>381</v>
      </c>
      <c r="U164" s="181" t="s">
        <v>295</v>
      </c>
      <c r="V164" s="199" t="s">
        <v>379</v>
      </c>
    </row>
    <row r="165" spans="1:22" outlineLevel="1">
      <c r="A165" s="199" t="s">
        <v>254</v>
      </c>
      <c r="B165" s="181" t="s">
        <v>777</v>
      </c>
      <c r="C165" s="190">
        <v>43616</v>
      </c>
      <c r="D165" s="181" t="s">
        <v>817</v>
      </c>
      <c r="E165" s="182" t="s">
        <v>820</v>
      </c>
      <c r="F165" s="183">
        <v>75984</v>
      </c>
      <c r="G165" s="184">
        <v>2.61</v>
      </c>
      <c r="H165" s="181">
        <v>2.61</v>
      </c>
      <c r="I165" s="181" t="s">
        <v>293</v>
      </c>
      <c r="J165" s="191">
        <v>3.4</v>
      </c>
      <c r="K165" s="192" t="s">
        <v>385</v>
      </c>
      <c r="L165" s="193" t="s">
        <v>374</v>
      </c>
      <c r="M165" s="193" t="s">
        <v>309</v>
      </c>
      <c r="N165" s="193" t="s">
        <v>469</v>
      </c>
      <c r="O165" s="193"/>
      <c r="P165" s="193" t="s">
        <v>390</v>
      </c>
      <c r="Q165" s="193" t="s">
        <v>295</v>
      </c>
      <c r="R165" s="192" t="s">
        <v>379</v>
      </c>
      <c r="S165" s="181"/>
      <c r="T165" s="181" t="s">
        <v>390</v>
      </c>
      <c r="U165" s="181" t="s">
        <v>295</v>
      </c>
      <c r="V165" s="199" t="s">
        <v>379</v>
      </c>
    </row>
    <row r="166" spans="1:22" outlineLevel="1">
      <c r="A166" s="199" t="s">
        <v>254</v>
      </c>
      <c r="B166" s="181" t="s">
        <v>777</v>
      </c>
      <c r="C166" s="190">
        <v>43616</v>
      </c>
      <c r="D166" s="181" t="s">
        <v>817</v>
      </c>
      <c r="E166" s="182" t="s">
        <v>819</v>
      </c>
      <c r="F166" s="183">
        <v>75983</v>
      </c>
      <c r="G166" s="184">
        <v>8.7200000000000006</v>
      </c>
      <c r="H166" s="181">
        <v>8.7200000000000006</v>
      </c>
      <c r="I166" s="181" t="s">
        <v>293</v>
      </c>
      <c r="J166" s="191">
        <v>11.36</v>
      </c>
      <c r="K166" s="192" t="s">
        <v>385</v>
      </c>
      <c r="L166" s="193" t="s">
        <v>374</v>
      </c>
      <c r="M166" s="193" t="s">
        <v>309</v>
      </c>
      <c r="N166" s="193" t="s">
        <v>469</v>
      </c>
      <c r="O166" s="193"/>
      <c r="P166" s="193" t="s">
        <v>388</v>
      </c>
      <c r="Q166" s="193" t="s">
        <v>295</v>
      </c>
      <c r="R166" s="192" t="s">
        <v>254</v>
      </c>
      <c r="S166" s="181"/>
      <c r="T166" s="181" t="s">
        <v>388</v>
      </c>
      <c r="U166" s="181" t="s">
        <v>295</v>
      </c>
      <c r="V166" s="199" t="s">
        <v>254</v>
      </c>
    </row>
    <row r="167" spans="1:22" outlineLevel="1">
      <c r="A167" s="199" t="s">
        <v>254</v>
      </c>
      <c r="B167" s="181" t="s">
        <v>777</v>
      </c>
      <c r="C167" s="190">
        <v>43616</v>
      </c>
      <c r="D167" s="181" t="s">
        <v>817</v>
      </c>
      <c r="E167" s="182" t="s">
        <v>470</v>
      </c>
      <c r="F167" s="183">
        <v>75982</v>
      </c>
      <c r="G167" s="184">
        <v>174.33</v>
      </c>
      <c r="H167" s="181">
        <v>174.33</v>
      </c>
      <c r="I167" s="181" t="s">
        <v>293</v>
      </c>
      <c r="J167" s="191">
        <v>227.14</v>
      </c>
      <c r="K167" s="192" t="s">
        <v>385</v>
      </c>
      <c r="L167" s="193" t="s">
        <v>374</v>
      </c>
      <c r="M167" s="193" t="s">
        <v>309</v>
      </c>
      <c r="N167" s="193" t="s">
        <v>469</v>
      </c>
      <c r="O167" s="193"/>
      <c r="P167" s="193" t="s">
        <v>381</v>
      </c>
      <c r="Q167" s="193" t="s">
        <v>295</v>
      </c>
      <c r="R167" s="192" t="s">
        <v>379</v>
      </c>
      <c r="S167" s="181"/>
      <c r="T167" s="181" t="s">
        <v>381</v>
      </c>
      <c r="U167" s="181" t="s">
        <v>295</v>
      </c>
      <c r="V167" s="199" t="s">
        <v>379</v>
      </c>
    </row>
    <row r="168" spans="1:22" outlineLevel="1">
      <c r="A168" s="199" t="s">
        <v>254</v>
      </c>
      <c r="B168" s="181" t="s">
        <v>777</v>
      </c>
      <c r="C168" s="190">
        <v>43609</v>
      </c>
      <c r="D168" s="181" t="s">
        <v>797</v>
      </c>
      <c r="E168" s="182" t="s">
        <v>870</v>
      </c>
      <c r="F168" s="183">
        <v>75987</v>
      </c>
      <c r="G168" s="184">
        <v>22.07</v>
      </c>
      <c r="H168" s="181">
        <v>28.76</v>
      </c>
      <c r="I168" s="181" t="s">
        <v>292</v>
      </c>
      <c r="J168" s="191">
        <v>28.76</v>
      </c>
      <c r="K168" s="192" t="s">
        <v>391</v>
      </c>
      <c r="L168" s="193" t="s">
        <v>396</v>
      </c>
      <c r="M168" s="193" t="s">
        <v>309</v>
      </c>
      <c r="N168" s="193" t="s">
        <v>468</v>
      </c>
      <c r="O168" s="193"/>
      <c r="P168" s="193" t="s">
        <v>381</v>
      </c>
      <c r="Q168" s="193" t="s">
        <v>295</v>
      </c>
      <c r="R168" s="192" t="s">
        <v>379</v>
      </c>
      <c r="S168" s="181"/>
      <c r="T168" s="181" t="s">
        <v>381</v>
      </c>
      <c r="U168" s="181" t="s">
        <v>295</v>
      </c>
      <c r="V168" s="199" t="s">
        <v>379</v>
      </c>
    </row>
    <row r="169" spans="1:22" outlineLevel="1">
      <c r="A169" s="199" t="s">
        <v>254</v>
      </c>
      <c r="B169" s="181" t="s">
        <v>777</v>
      </c>
      <c r="C169" s="190">
        <v>43609</v>
      </c>
      <c r="D169" s="181" t="s">
        <v>797</v>
      </c>
      <c r="E169" s="182" t="s">
        <v>871</v>
      </c>
      <c r="F169" s="183">
        <v>75987</v>
      </c>
      <c r="G169" s="184">
        <v>31.42</v>
      </c>
      <c r="H169" s="181">
        <v>40.94</v>
      </c>
      <c r="I169" s="181" t="s">
        <v>292</v>
      </c>
      <c r="J169" s="191">
        <v>40.94</v>
      </c>
      <c r="K169" s="192" t="s">
        <v>391</v>
      </c>
      <c r="L169" s="193" t="s">
        <v>396</v>
      </c>
      <c r="M169" s="193" t="s">
        <v>309</v>
      </c>
      <c r="N169" s="193" t="s">
        <v>626</v>
      </c>
      <c r="O169" s="193"/>
      <c r="P169" s="193" t="s">
        <v>381</v>
      </c>
      <c r="Q169" s="193" t="s">
        <v>295</v>
      </c>
      <c r="R169" s="192" t="s">
        <v>379</v>
      </c>
      <c r="S169" s="181"/>
      <c r="T169" s="181" t="s">
        <v>381</v>
      </c>
      <c r="U169" s="181" t="s">
        <v>295</v>
      </c>
      <c r="V169" s="199" t="s">
        <v>379</v>
      </c>
    </row>
    <row r="170" spans="1:22" outlineLevel="1">
      <c r="A170" s="199" t="s">
        <v>254</v>
      </c>
      <c r="B170" s="181" t="s">
        <v>777</v>
      </c>
      <c r="C170" s="190">
        <v>43616</v>
      </c>
      <c r="D170" s="181" t="s">
        <v>817</v>
      </c>
      <c r="E170" s="182" t="s">
        <v>470</v>
      </c>
      <c r="F170" s="183">
        <v>75982</v>
      </c>
      <c r="G170" s="184">
        <v>17.43</v>
      </c>
      <c r="H170" s="181">
        <v>17.43</v>
      </c>
      <c r="I170" s="181" t="s">
        <v>293</v>
      </c>
      <c r="J170" s="191">
        <v>22.71</v>
      </c>
      <c r="K170" s="192" t="s">
        <v>391</v>
      </c>
      <c r="L170" s="193" t="s">
        <v>374</v>
      </c>
      <c r="M170" s="193" t="s">
        <v>309</v>
      </c>
      <c r="N170" s="193" t="s">
        <v>469</v>
      </c>
      <c r="O170" s="193"/>
      <c r="P170" s="193" t="s">
        <v>381</v>
      </c>
      <c r="Q170" s="193" t="s">
        <v>295</v>
      </c>
      <c r="R170" s="192" t="s">
        <v>379</v>
      </c>
      <c r="S170" s="181"/>
      <c r="T170" s="181" t="s">
        <v>381</v>
      </c>
      <c r="U170" s="181" t="s">
        <v>295</v>
      </c>
      <c r="V170" s="199" t="s">
        <v>379</v>
      </c>
    </row>
    <row r="171" spans="1:22" outlineLevel="1">
      <c r="A171" s="199" t="s">
        <v>254</v>
      </c>
      <c r="B171" s="181" t="s">
        <v>777</v>
      </c>
      <c r="C171" s="190">
        <v>43610</v>
      </c>
      <c r="D171" s="181" t="s">
        <v>834</v>
      </c>
      <c r="E171" s="182" t="s">
        <v>872</v>
      </c>
      <c r="F171" s="183">
        <v>75988</v>
      </c>
      <c r="G171" s="184">
        <v>66.56</v>
      </c>
      <c r="H171" s="181">
        <v>86.73</v>
      </c>
      <c r="I171" s="181" t="s">
        <v>292</v>
      </c>
      <c r="J171" s="191">
        <v>86.72</v>
      </c>
      <c r="K171" s="192" t="s">
        <v>391</v>
      </c>
      <c r="L171" s="193" t="s">
        <v>400</v>
      </c>
      <c r="M171" s="193" t="s">
        <v>309</v>
      </c>
      <c r="N171" s="193" t="s">
        <v>466</v>
      </c>
      <c r="O171" s="193"/>
      <c r="P171" s="193" t="s">
        <v>381</v>
      </c>
      <c r="Q171" s="193" t="s">
        <v>295</v>
      </c>
      <c r="R171" s="192" t="s">
        <v>379</v>
      </c>
      <c r="S171" s="181"/>
      <c r="T171" s="181" t="s">
        <v>381</v>
      </c>
      <c r="U171" s="181" t="s">
        <v>295</v>
      </c>
      <c r="V171" s="199" t="s">
        <v>379</v>
      </c>
    </row>
    <row r="172" spans="1:22" outlineLevel="1">
      <c r="A172" s="199" t="s">
        <v>254</v>
      </c>
      <c r="B172" s="181" t="s">
        <v>777</v>
      </c>
      <c r="C172" s="190">
        <v>43609</v>
      </c>
      <c r="D172" s="181" t="s">
        <v>801</v>
      </c>
      <c r="E172" s="182" t="s">
        <v>873</v>
      </c>
      <c r="F172" s="183">
        <v>75987</v>
      </c>
      <c r="G172" s="184">
        <v>5.23</v>
      </c>
      <c r="H172" s="181">
        <v>6.82</v>
      </c>
      <c r="I172" s="181" t="s">
        <v>292</v>
      </c>
      <c r="J172" s="191">
        <v>6.81</v>
      </c>
      <c r="K172" s="192" t="s">
        <v>405</v>
      </c>
      <c r="L172" s="193" t="s">
        <v>396</v>
      </c>
      <c r="M172" s="193" t="s">
        <v>309</v>
      </c>
      <c r="N172" s="193" t="s">
        <v>626</v>
      </c>
      <c r="O172" s="193"/>
      <c r="P172" s="193" t="s">
        <v>381</v>
      </c>
      <c r="Q172" s="193" t="s">
        <v>295</v>
      </c>
      <c r="R172" s="192" t="s">
        <v>379</v>
      </c>
      <c r="S172" s="181"/>
      <c r="T172" s="181" t="s">
        <v>381</v>
      </c>
      <c r="U172" s="181" t="s">
        <v>295</v>
      </c>
      <c r="V172" s="199" t="s">
        <v>379</v>
      </c>
    </row>
    <row r="173" spans="1:22" outlineLevel="1">
      <c r="A173" s="199" t="s">
        <v>254</v>
      </c>
      <c r="B173" s="181" t="s">
        <v>777</v>
      </c>
      <c r="C173" s="190">
        <v>43587</v>
      </c>
      <c r="D173" s="181" t="s">
        <v>799</v>
      </c>
      <c r="E173" s="182" t="s">
        <v>874</v>
      </c>
      <c r="F173" s="183">
        <v>75987</v>
      </c>
      <c r="G173" s="184">
        <v>0.86</v>
      </c>
      <c r="H173" s="181">
        <v>1.1200000000000001</v>
      </c>
      <c r="I173" s="181" t="s">
        <v>292</v>
      </c>
      <c r="J173" s="191">
        <v>1.1200000000000001</v>
      </c>
      <c r="K173" s="192" t="s">
        <v>405</v>
      </c>
      <c r="L173" s="193" t="s">
        <v>396</v>
      </c>
      <c r="M173" s="193" t="s">
        <v>309</v>
      </c>
      <c r="N173" s="193" t="s">
        <v>468</v>
      </c>
      <c r="O173" s="193"/>
      <c r="P173" s="193" t="s">
        <v>381</v>
      </c>
      <c r="Q173" s="193" t="s">
        <v>295</v>
      </c>
      <c r="R173" s="192" t="s">
        <v>379</v>
      </c>
      <c r="S173" s="181"/>
      <c r="T173" s="181" t="s">
        <v>381</v>
      </c>
      <c r="U173" s="181" t="s">
        <v>295</v>
      </c>
      <c r="V173" s="199" t="s">
        <v>379</v>
      </c>
    </row>
    <row r="174" spans="1:22" outlineLevel="1">
      <c r="A174" s="199" t="s">
        <v>254</v>
      </c>
      <c r="B174" s="181" t="s">
        <v>777</v>
      </c>
      <c r="C174" s="190">
        <v>43609</v>
      </c>
      <c r="D174" s="181" t="s">
        <v>801</v>
      </c>
      <c r="E174" s="182" t="s">
        <v>875</v>
      </c>
      <c r="F174" s="183">
        <v>75987</v>
      </c>
      <c r="G174" s="184">
        <v>3.68</v>
      </c>
      <c r="H174" s="181">
        <v>4.79</v>
      </c>
      <c r="I174" s="181" t="s">
        <v>292</v>
      </c>
      <c r="J174" s="191">
        <v>4.79</v>
      </c>
      <c r="K174" s="192" t="s">
        <v>405</v>
      </c>
      <c r="L174" s="193" t="s">
        <v>396</v>
      </c>
      <c r="M174" s="193" t="s">
        <v>309</v>
      </c>
      <c r="N174" s="193" t="s">
        <v>468</v>
      </c>
      <c r="O174" s="193"/>
      <c r="P174" s="193" t="s">
        <v>381</v>
      </c>
      <c r="Q174" s="193" t="s">
        <v>295</v>
      </c>
      <c r="R174" s="192" t="s">
        <v>379</v>
      </c>
      <c r="S174" s="181"/>
      <c r="T174" s="181" t="s">
        <v>381</v>
      </c>
      <c r="U174" s="181" t="s">
        <v>295</v>
      </c>
      <c r="V174" s="199" t="s">
        <v>379</v>
      </c>
    </row>
    <row r="175" spans="1:22" outlineLevel="1">
      <c r="A175" s="199" t="s">
        <v>254</v>
      </c>
      <c r="B175" s="181" t="s">
        <v>777</v>
      </c>
      <c r="C175" s="190">
        <v>43614</v>
      </c>
      <c r="D175" s="181" t="s">
        <v>803</v>
      </c>
      <c r="E175" s="182" t="s">
        <v>876</v>
      </c>
      <c r="F175" s="183">
        <v>75987</v>
      </c>
      <c r="G175" s="184">
        <v>0.25</v>
      </c>
      <c r="H175" s="181">
        <v>0.32</v>
      </c>
      <c r="I175" s="181" t="s">
        <v>292</v>
      </c>
      <c r="J175" s="191">
        <v>0.33</v>
      </c>
      <c r="K175" s="192" t="s">
        <v>405</v>
      </c>
      <c r="L175" s="193" t="s">
        <v>396</v>
      </c>
      <c r="M175" s="193" t="s">
        <v>309</v>
      </c>
      <c r="N175" s="193" t="s">
        <v>468</v>
      </c>
      <c r="O175" s="193"/>
      <c r="P175" s="193" t="s">
        <v>381</v>
      </c>
      <c r="Q175" s="193" t="s">
        <v>295</v>
      </c>
      <c r="R175" s="192" t="s">
        <v>379</v>
      </c>
      <c r="S175" s="181"/>
      <c r="T175" s="181" t="s">
        <v>381</v>
      </c>
      <c r="U175" s="181" t="s">
        <v>295</v>
      </c>
      <c r="V175" s="199" t="s">
        <v>379</v>
      </c>
    </row>
    <row r="176" spans="1:22" outlineLevel="1">
      <c r="A176" s="199" t="s">
        <v>254</v>
      </c>
      <c r="B176" s="181" t="s">
        <v>777</v>
      </c>
      <c r="C176" s="190">
        <v>43610</v>
      </c>
      <c r="D176" s="181" t="s">
        <v>836</v>
      </c>
      <c r="E176" s="182" t="s">
        <v>473</v>
      </c>
      <c r="F176" s="183">
        <v>75988</v>
      </c>
      <c r="G176" s="184">
        <v>11.1</v>
      </c>
      <c r="H176" s="181">
        <v>14.46</v>
      </c>
      <c r="I176" s="181" t="s">
        <v>292</v>
      </c>
      <c r="J176" s="191">
        <v>14.46</v>
      </c>
      <c r="K176" s="192" t="s">
        <v>405</v>
      </c>
      <c r="L176" s="193" t="s">
        <v>400</v>
      </c>
      <c r="M176" s="193" t="s">
        <v>309</v>
      </c>
      <c r="N176" s="193" t="s">
        <v>466</v>
      </c>
      <c r="O176" s="193"/>
      <c r="P176" s="193" t="s">
        <v>381</v>
      </c>
      <c r="Q176" s="193" t="s">
        <v>295</v>
      </c>
      <c r="R176" s="192" t="s">
        <v>379</v>
      </c>
      <c r="S176" s="181"/>
      <c r="T176" s="181" t="s">
        <v>381</v>
      </c>
      <c r="U176" s="181" t="s">
        <v>295</v>
      </c>
      <c r="V176" s="199" t="s">
        <v>379</v>
      </c>
    </row>
    <row r="177" spans="1:22" outlineLevel="1">
      <c r="A177" s="199" t="s">
        <v>254</v>
      </c>
      <c r="B177" s="181" t="s">
        <v>777</v>
      </c>
      <c r="C177" s="190">
        <v>43614</v>
      </c>
      <c r="D177" s="181" t="s">
        <v>803</v>
      </c>
      <c r="E177" s="182" t="s">
        <v>877</v>
      </c>
      <c r="F177" s="183">
        <v>75987</v>
      </c>
      <c r="G177" s="184">
        <v>0.35</v>
      </c>
      <c r="H177" s="181">
        <v>0.45</v>
      </c>
      <c r="I177" s="181" t="s">
        <v>292</v>
      </c>
      <c r="J177" s="191">
        <v>0.46</v>
      </c>
      <c r="K177" s="192" t="s">
        <v>405</v>
      </c>
      <c r="L177" s="193" t="s">
        <v>396</v>
      </c>
      <c r="M177" s="193" t="s">
        <v>309</v>
      </c>
      <c r="N177" s="193" t="s">
        <v>626</v>
      </c>
      <c r="O177" s="193"/>
      <c r="P177" s="193" t="s">
        <v>381</v>
      </c>
      <c r="Q177" s="193" t="s">
        <v>295</v>
      </c>
      <c r="R177" s="192" t="s">
        <v>379</v>
      </c>
      <c r="S177" s="181"/>
      <c r="T177" s="181" t="s">
        <v>381</v>
      </c>
      <c r="U177" s="181" t="s">
        <v>295</v>
      </c>
      <c r="V177" s="199" t="s">
        <v>379</v>
      </c>
    </row>
    <row r="178" spans="1:22" outlineLevel="1">
      <c r="A178" s="199" t="s">
        <v>254</v>
      </c>
      <c r="B178" s="181" t="s">
        <v>777</v>
      </c>
      <c r="C178" s="190">
        <v>43616</v>
      </c>
      <c r="D178" s="181" t="s">
        <v>837</v>
      </c>
      <c r="E178" s="182" t="s">
        <v>475</v>
      </c>
      <c r="F178" s="183">
        <v>75988</v>
      </c>
      <c r="G178" s="184">
        <v>0.74</v>
      </c>
      <c r="H178" s="181">
        <v>0.96</v>
      </c>
      <c r="I178" s="181" t="s">
        <v>292</v>
      </c>
      <c r="J178" s="191">
        <v>0.96</v>
      </c>
      <c r="K178" s="192" t="s">
        <v>405</v>
      </c>
      <c r="L178" s="193" t="s">
        <v>400</v>
      </c>
      <c r="M178" s="193" t="s">
        <v>309</v>
      </c>
      <c r="N178" s="193" t="s">
        <v>466</v>
      </c>
      <c r="O178" s="193"/>
      <c r="P178" s="193" t="s">
        <v>381</v>
      </c>
      <c r="Q178" s="193" t="s">
        <v>295</v>
      </c>
      <c r="R178" s="192" t="s">
        <v>379</v>
      </c>
      <c r="S178" s="181"/>
      <c r="T178" s="181" t="s">
        <v>381</v>
      </c>
      <c r="U178" s="181" t="s">
        <v>295</v>
      </c>
      <c r="V178" s="199" t="s">
        <v>379</v>
      </c>
    </row>
    <row r="179" spans="1:22" outlineLevel="1">
      <c r="A179" s="199" t="s">
        <v>254</v>
      </c>
      <c r="B179" s="181" t="s">
        <v>748</v>
      </c>
      <c r="C179" s="190">
        <v>43646</v>
      </c>
      <c r="D179" s="181" t="s">
        <v>824</v>
      </c>
      <c r="E179" s="182" t="s">
        <v>825</v>
      </c>
      <c r="F179" s="183">
        <v>76202</v>
      </c>
      <c r="G179" s="184">
        <v>5.23</v>
      </c>
      <c r="H179" s="181">
        <v>5.23</v>
      </c>
      <c r="I179" s="181" t="s">
        <v>293</v>
      </c>
      <c r="J179" s="191">
        <v>6.6</v>
      </c>
      <c r="K179" s="192" t="s">
        <v>385</v>
      </c>
      <c r="L179" s="193" t="s">
        <v>374</v>
      </c>
      <c r="M179" s="193" t="s">
        <v>309</v>
      </c>
      <c r="N179" s="193" t="s">
        <v>469</v>
      </c>
      <c r="O179" s="193"/>
      <c r="P179" s="193" t="s">
        <v>390</v>
      </c>
      <c r="Q179" s="193" t="s">
        <v>295</v>
      </c>
      <c r="R179" s="192" t="s">
        <v>379</v>
      </c>
      <c r="S179" s="181"/>
      <c r="T179" s="181" t="s">
        <v>390</v>
      </c>
      <c r="U179" s="181" t="s">
        <v>295</v>
      </c>
      <c r="V179" s="199" t="s">
        <v>379</v>
      </c>
    </row>
    <row r="180" spans="1:22" outlineLevel="1">
      <c r="A180" s="199" t="s">
        <v>254</v>
      </c>
      <c r="B180" s="181" t="s">
        <v>748</v>
      </c>
      <c r="C180" s="190">
        <v>43646</v>
      </c>
      <c r="D180" s="181" t="s">
        <v>824</v>
      </c>
      <c r="E180" s="182" t="s">
        <v>828</v>
      </c>
      <c r="F180" s="183">
        <v>76201</v>
      </c>
      <c r="G180" s="184">
        <v>17.43</v>
      </c>
      <c r="H180" s="181">
        <v>17.43</v>
      </c>
      <c r="I180" s="181" t="s">
        <v>293</v>
      </c>
      <c r="J180" s="191">
        <v>22</v>
      </c>
      <c r="K180" s="192" t="s">
        <v>385</v>
      </c>
      <c r="L180" s="193" t="s">
        <v>374</v>
      </c>
      <c r="M180" s="193" t="s">
        <v>309</v>
      </c>
      <c r="N180" s="193" t="s">
        <v>469</v>
      </c>
      <c r="O180" s="193"/>
      <c r="P180" s="193" t="s">
        <v>388</v>
      </c>
      <c r="Q180" s="193" t="s">
        <v>295</v>
      </c>
      <c r="R180" s="192" t="s">
        <v>254</v>
      </c>
      <c r="S180" s="181"/>
      <c r="T180" s="181" t="s">
        <v>388</v>
      </c>
      <c r="U180" s="181" t="s">
        <v>295</v>
      </c>
      <c r="V180" s="199" t="s">
        <v>254</v>
      </c>
    </row>
    <row r="181" spans="1:22" outlineLevel="1">
      <c r="A181" s="199" t="s">
        <v>254</v>
      </c>
      <c r="B181" s="181" t="s">
        <v>748</v>
      </c>
      <c r="C181" s="190">
        <v>43646</v>
      </c>
      <c r="D181" s="181" t="s">
        <v>824</v>
      </c>
      <c r="E181" s="182" t="s">
        <v>878</v>
      </c>
      <c r="F181" s="183">
        <v>76200</v>
      </c>
      <c r="G181" s="184">
        <v>348.66</v>
      </c>
      <c r="H181" s="181">
        <v>348.66</v>
      </c>
      <c r="I181" s="181" t="s">
        <v>293</v>
      </c>
      <c r="J181" s="191">
        <v>440.09</v>
      </c>
      <c r="K181" s="192" t="s">
        <v>385</v>
      </c>
      <c r="L181" s="193" t="s">
        <v>374</v>
      </c>
      <c r="M181" s="193" t="s">
        <v>309</v>
      </c>
      <c r="N181" s="193" t="s">
        <v>469</v>
      </c>
      <c r="O181" s="193"/>
      <c r="P181" s="193" t="s">
        <v>381</v>
      </c>
      <c r="Q181" s="193" t="s">
        <v>295</v>
      </c>
      <c r="R181" s="192" t="s">
        <v>379</v>
      </c>
      <c r="S181" s="181"/>
      <c r="T181" s="181" t="s">
        <v>381</v>
      </c>
      <c r="U181" s="181" t="s">
        <v>295</v>
      </c>
      <c r="V181" s="199" t="s">
        <v>379</v>
      </c>
    </row>
    <row r="182" spans="1:22" outlineLevel="1">
      <c r="A182" s="199" t="s">
        <v>254</v>
      </c>
      <c r="B182" s="181" t="s">
        <v>748</v>
      </c>
      <c r="C182" s="190">
        <v>43641</v>
      </c>
      <c r="D182" s="181" t="s">
        <v>805</v>
      </c>
      <c r="E182" s="182" t="s">
        <v>879</v>
      </c>
      <c r="F182" s="183">
        <v>76315</v>
      </c>
      <c r="G182" s="184">
        <v>242.09</v>
      </c>
      <c r="H182" s="181">
        <v>305.57</v>
      </c>
      <c r="I182" s="181" t="s">
        <v>292</v>
      </c>
      <c r="J182" s="191">
        <v>305.57</v>
      </c>
      <c r="K182" s="192" t="s">
        <v>385</v>
      </c>
      <c r="L182" s="193" t="s">
        <v>396</v>
      </c>
      <c r="M182" s="193" t="s">
        <v>309</v>
      </c>
      <c r="N182" s="193" t="s">
        <v>626</v>
      </c>
      <c r="O182" s="193"/>
      <c r="P182" s="193" t="s">
        <v>381</v>
      </c>
      <c r="Q182" s="193" t="s">
        <v>295</v>
      </c>
      <c r="R182" s="192" t="s">
        <v>379</v>
      </c>
      <c r="S182" s="181"/>
      <c r="T182" s="181" t="s">
        <v>381</v>
      </c>
      <c r="U182" s="181" t="s">
        <v>295</v>
      </c>
      <c r="V182" s="199" t="s">
        <v>379</v>
      </c>
    </row>
    <row r="183" spans="1:22" outlineLevel="1">
      <c r="A183" s="199" t="s">
        <v>254</v>
      </c>
      <c r="B183" s="181" t="s">
        <v>748</v>
      </c>
      <c r="C183" s="190">
        <v>43641</v>
      </c>
      <c r="D183" s="181" t="s">
        <v>805</v>
      </c>
      <c r="E183" s="182" t="s">
        <v>880</v>
      </c>
      <c r="F183" s="183">
        <v>76315</v>
      </c>
      <c r="G183" s="184">
        <v>425.67</v>
      </c>
      <c r="H183" s="181">
        <v>537.29999999999995</v>
      </c>
      <c r="I183" s="181" t="s">
        <v>292</v>
      </c>
      <c r="J183" s="191">
        <v>537.29999999999995</v>
      </c>
      <c r="K183" s="192" t="s">
        <v>385</v>
      </c>
      <c r="L183" s="193" t="s">
        <v>396</v>
      </c>
      <c r="M183" s="193" t="s">
        <v>309</v>
      </c>
      <c r="N183" s="193" t="s">
        <v>468</v>
      </c>
      <c r="O183" s="193"/>
      <c r="P183" s="193" t="s">
        <v>381</v>
      </c>
      <c r="Q183" s="193" t="s">
        <v>295</v>
      </c>
      <c r="R183" s="192" t="s">
        <v>379</v>
      </c>
      <c r="S183" s="181"/>
      <c r="T183" s="181" t="s">
        <v>381</v>
      </c>
      <c r="U183" s="181" t="s">
        <v>295</v>
      </c>
      <c r="V183" s="199" t="s">
        <v>379</v>
      </c>
    </row>
    <row r="184" spans="1:22" outlineLevel="1">
      <c r="A184" s="199" t="s">
        <v>254</v>
      </c>
      <c r="B184" s="181" t="s">
        <v>748</v>
      </c>
      <c r="C184" s="190">
        <v>43644</v>
      </c>
      <c r="D184" s="181" t="s">
        <v>838</v>
      </c>
      <c r="E184" s="182" t="s">
        <v>881</v>
      </c>
      <c r="F184" s="183">
        <v>76250</v>
      </c>
      <c r="G184" s="184">
        <v>419.21</v>
      </c>
      <c r="H184" s="181">
        <v>529.14</v>
      </c>
      <c r="I184" s="181" t="s">
        <v>292</v>
      </c>
      <c r="J184" s="191">
        <v>529.14</v>
      </c>
      <c r="K184" s="192" t="s">
        <v>385</v>
      </c>
      <c r="L184" s="193" t="s">
        <v>400</v>
      </c>
      <c r="M184" s="193" t="s">
        <v>309</v>
      </c>
      <c r="N184" s="193" t="s">
        <v>466</v>
      </c>
      <c r="O184" s="193"/>
      <c r="P184" s="193" t="s">
        <v>381</v>
      </c>
      <c r="Q184" s="193" t="s">
        <v>295</v>
      </c>
      <c r="R184" s="192" t="s">
        <v>379</v>
      </c>
      <c r="S184" s="181"/>
      <c r="T184" s="181" t="s">
        <v>381</v>
      </c>
      <c r="U184" s="181" t="s">
        <v>295</v>
      </c>
      <c r="V184" s="199" t="s">
        <v>379</v>
      </c>
    </row>
    <row r="185" spans="1:22" outlineLevel="1">
      <c r="A185" s="199" t="s">
        <v>254</v>
      </c>
      <c r="B185" s="181" t="s">
        <v>748</v>
      </c>
      <c r="C185" s="190">
        <v>43641</v>
      </c>
      <c r="D185" s="181" t="s">
        <v>807</v>
      </c>
      <c r="E185" s="182" t="s">
        <v>882</v>
      </c>
      <c r="F185" s="183">
        <v>76315</v>
      </c>
      <c r="G185" s="184">
        <v>37.56</v>
      </c>
      <c r="H185" s="181">
        <v>47.41</v>
      </c>
      <c r="I185" s="181" t="s">
        <v>292</v>
      </c>
      <c r="J185" s="191">
        <v>47.41</v>
      </c>
      <c r="K185" s="192" t="s">
        <v>385</v>
      </c>
      <c r="L185" s="193" t="s">
        <v>396</v>
      </c>
      <c r="M185" s="193" t="s">
        <v>309</v>
      </c>
      <c r="N185" s="193" t="s">
        <v>626</v>
      </c>
      <c r="O185" s="193"/>
      <c r="P185" s="193" t="s">
        <v>381</v>
      </c>
      <c r="Q185" s="193" t="s">
        <v>295</v>
      </c>
      <c r="R185" s="192" t="s">
        <v>379</v>
      </c>
      <c r="S185" s="181"/>
      <c r="T185" s="181" t="s">
        <v>381</v>
      </c>
      <c r="U185" s="181" t="s">
        <v>295</v>
      </c>
      <c r="V185" s="199" t="s">
        <v>379</v>
      </c>
    </row>
    <row r="186" spans="1:22" outlineLevel="1">
      <c r="A186" s="199" t="s">
        <v>254</v>
      </c>
      <c r="B186" s="181" t="s">
        <v>748</v>
      </c>
      <c r="C186" s="190">
        <v>43641</v>
      </c>
      <c r="D186" s="181" t="s">
        <v>807</v>
      </c>
      <c r="E186" s="182" t="s">
        <v>883</v>
      </c>
      <c r="F186" s="183">
        <v>76315</v>
      </c>
      <c r="G186" s="184">
        <v>69.91</v>
      </c>
      <c r="H186" s="181">
        <v>88.24</v>
      </c>
      <c r="I186" s="181" t="s">
        <v>292</v>
      </c>
      <c r="J186" s="191">
        <v>88.24</v>
      </c>
      <c r="K186" s="192" t="s">
        <v>385</v>
      </c>
      <c r="L186" s="193" t="s">
        <v>396</v>
      </c>
      <c r="M186" s="193" t="s">
        <v>309</v>
      </c>
      <c r="N186" s="193" t="s">
        <v>468</v>
      </c>
      <c r="O186" s="193"/>
      <c r="P186" s="193" t="s">
        <v>381</v>
      </c>
      <c r="Q186" s="193" t="s">
        <v>295</v>
      </c>
      <c r="R186" s="192" t="s">
        <v>379</v>
      </c>
      <c r="S186" s="181"/>
      <c r="T186" s="181" t="s">
        <v>381</v>
      </c>
      <c r="U186" s="181" t="s">
        <v>295</v>
      </c>
      <c r="V186" s="199" t="s">
        <v>379</v>
      </c>
    </row>
    <row r="187" spans="1:22" outlineLevel="1">
      <c r="A187" s="199" t="s">
        <v>254</v>
      </c>
      <c r="B187" s="181" t="s">
        <v>748</v>
      </c>
      <c r="C187" s="190">
        <v>43641</v>
      </c>
      <c r="D187" s="181" t="s">
        <v>809</v>
      </c>
      <c r="E187" s="182" t="s">
        <v>884</v>
      </c>
      <c r="F187" s="183">
        <v>76315</v>
      </c>
      <c r="G187" s="184">
        <v>68.349999999999994</v>
      </c>
      <c r="H187" s="181">
        <v>86.28</v>
      </c>
      <c r="I187" s="181" t="s">
        <v>292</v>
      </c>
      <c r="J187" s="191">
        <v>86.27</v>
      </c>
      <c r="K187" s="192" t="s">
        <v>391</v>
      </c>
      <c r="L187" s="193" t="s">
        <v>396</v>
      </c>
      <c r="M187" s="193" t="s">
        <v>309</v>
      </c>
      <c r="N187" s="193" t="s">
        <v>468</v>
      </c>
      <c r="O187" s="193"/>
      <c r="P187" s="193" t="s">
        <v>381</v>
      </c>
      <c r="Q187" s="193" t="s">
        <v>295</v>
      </c>
      <c r="R187" s="192" t="s">
        <v>379</v>
      </c>
      <c r="S187" s="181"/>
      <c r="T187" s="181" t="s">
        <v>381</v>
      </c>
      <c r="U187" s="181" t="s">
        <v>295</v>
      </c>
      <c r="V187" s="199" t="s">
        <v>379</v>
      </c>
    </row>
    <row r="188" spans="1:22" outlineLevel="1">
      <c r="A188" s="199" t="s">
        <v>254</v>
      </c>
      <c r="B188" s="181" t="s">
        <v>748</v>
      </c>
      <c r="C188" s="190">
        <v>43646</v>
      </c>
      <c r="D188" s="181" t="s">
        <v>824</v>
      </c>
      <c r="E188" s="182" t="s">
        <v>878</v>
      </c>
      <c r="F188" s="183">
        <v>76200</v>
      </c>
      <c r="G188" s="184">
        <v>34.869999999999997</v>
      </c>
      <c r="H188" s="181">
        <v>34.869999999999997</v>
      </c>
      <c r="I188" s="181" t="s">
        <v>293</v>
      </c>
      <c r="J188" s="191">
        <v>44.01</v>
      </c>
      <c r="K188" s="192" t="s">
        <v>391</v>
      </c>
      <c r="L188" s="193" t="s">
        <v>374</v>
      </c>
      <c r="M188" s="193" t="s">
        <v>309</v>
      </c>
      <c r="N188" s="193" t="s">
        <v>469</v>
      </c>
      <c r="O188" s="193"/>
      <c r="P188" s="193" t="s">
        <v>381</v>
      </c>
      <c r="Q188" s="193" t="s">
        <v>295</v>
      </c>
      <c r="R188" s="192" t="s">
        <v>379</v>
      </c>
      <c r="S188" s="181"/>
      <c r="T188" s="181" t="s">
        <v>381</v>
      </c>
      <c r="U188" s="181" t="s">
        <v>295</v>
      </c>
      <c r="V188" s="199" t="s">
        <v>379</v>
      </c>
    </row>
    <row r="189" spans="1:22" outlineLevel="1">
      <c r="A189" s="199" t="s">
        <v>254</v>
      </c>
      <c r="B189" s="181" t="s">
        <v>748</v>
      </c>
      <c r="C189" s="190">
        <v>43641</v>
      </c>
      <c r="D189" s="181" t="s">
        <v>809</v>
      </c>
      <c r="E189" s="182" t="s">
        <v>885</v>
      </c>
      <c r="F189" s="183">
        <v>76315</v>
      </c>
      <c r="G189" s="184">
        <v>38.92</v>
      </c>
      <c r="H189" s="181">
        <v>49.13</v>
      </c>
      <c r="I189" s="181" t="s">
        <v>292</v>
      </c>
      <c r="J189" s="191">
        <v>49.13</v>
      </c>
      <c r="K189" s="192" t="s">
        <v>391</v>
      </c>
      <c r="L189" s="193" t="s">
        <v>396</v>
      </c>
      <c r="M189" s="193" t="s">
        <v>309</v>
      </c>
      <c r="N189" s="193" t="s">
        <v>626</v>
      </c>
      <c r="O189" s="193"/>
      <c r="P189" s="193" t="s">
        <v>381</v>
      </c>
      <c r="Q189" s="193" t="s">
        <v>295</v>
      </c>
      <c r="R189" s="192" t="s">
        <v>379</v>
      </c>
      <c r="S189" s="181"/>
      <c r="T189" s="181" t="s">
        <v>381</v>
      </c>
      <c r="U189" s="181" t="s">
        <v>295</v>
      </c>
      <c r="V189" s="199" t="s">
        <v>379</v>
      </c>
    </row>
    <row r="190" spans="1:22" outlineLevel="1">
      <c r="A190" s="199" t="s">
        <v>254</v>
      </c>
      <c r="B190" s="181" t="s">
        <v>748</v>
      </c>
      <c r="C190" s="190">
        <v>43644</v>
      </c>
      <c r="D190" s="181" t="s">
        <v>840</v>
      </c>
      <c r="E190" s="182" t="s">
        <v>886</v>
      </c>
      <c r="F190" s="183">
        <v>76250</v>
      </c>
      <c r="G190" s="184">
        <v>57.24</v>
      </c>
      <c r="H190" s="181">
        <v>72.25</v>
      </c>
      <c r="I190" s="181" t="s">
        <v>292</v>
      </c>
      <c r="J190" s="191">
        <v>72.25</v>
      </c>
      <c r="K190" s="192" t="s">
        <v>391</v>
      </c>
      <c r="L190" s="193" t="s">
        <v>400</v>
      </c>
      <c r="M190" s="193" t="s">
        <v>309</v>
      </c>
      <c r="N190" s="193" t="s">
        <v>466</v>
      </c>
      <c r="O190" s="193"/>
      <c r="P190" s="193" t="s">
        <v>381</v>
      </c>
      <c r="Q190" s="193" t="s">
        <v>295</v>
      </c>
      <c r="R190" s="192" t="s">
        <v>379</v>
      </c>
      <c r="S190" s="181"/>
      <c r="T190" s="181" t="s">
        <v>381</v>
      </c>
      <c r="U190" s="181" t="s">
        <v>295</v>
      </c>
      <c r="V190" s="199" t="s">
        <v>379</v>
      </c>
    </row>
    <row r="191" spans="1:22" outlineLevel="1">
      <c r="A191" s="199" t="s">
        <v>254</v>
      </c>
      <c r="B191" s="181" t="s">
        <v>748</v>
      </c>
      <c r="C191" s="190">
        <v>43622</v>
      </c>
      <c r="D191" s="181" t="s">
        <v>887</v>
      </c>
      <c r="E191" s="182" t="s">
        <v>888</v>
      </c>
      <c r="F191" s="183">
        <v>76250</v>
      </c>
      <c r="G191" s="184">
        <v>0.24</v>
      </c>
      <c r="H191" s="181">
        <v>0.3</v>
      </c>
      <c r="I191" s="181" t="s">
        <v>292</v>
      </c>
      <c r="J191" s="191">
        <v>0.3</v>
      </c>
      <c r="K191" s="192" t="s">
        <v>555</v>
      </c>
      <c r="L191" s="193" t="s">
        <v>400</v>
      </c>
      <c r="M191" s="193" t="s">
        <v>309</v>
      </c>
      <c r="N191" s="193" t="s">
        <v>469</v>
      </c>
      <c r="O191" s="193"/>
      <c r="P191" s="193" t="s">
        <v>381</v>
      </c>
      <c r="Q191" s="193" t="s">
        <v>295</v>
      </c>
      <c r="R191" s="192" t="s">
        <v>379</v>
      </c>
      <c r="S191" s="181"/>
      <c r="T191" s="181" t="s">
        <v>381</v>
      </c>
      <c r="U191" s="181" t="s">
        <v>295</v>
      </c>
      <c r="V191" s="199" t="s">
        <v>379</v>
      </c>
    </row>
    <row r="192" spans="1:22" outlineLevel="1">
      <c r="A192" s="199" t="s">
        <v>254</v>
      </c>
      <c r="B192" s="181" t="s">
        <v>748</v>
      </c>
      <c r="C192" s="190">
        <v>43641</v>
      </c>
      <c r="D192" s="181" t="s">
        <v>811</v>
      </c>
      <c r="E192" s="182" t="s">
        <v>889</v>
      </c>
      <c r="F192" s="183">
        <v>76315</v>
      </c>
      <c r="G192" s="184">
        <v>6.49</v>
      </c>
      <c r="H192" s="181">
        <v>8.19</v>
      </c>
      <c r="I192" s="181" t="s">
        <v>292</v>
      </c>
      <c r="J192" s="191">
        <v>8.19</v>
      </c>
      <c r="K192" s="192" t="s">
        <v>405</v>
      </c>
      <c r="L192" s="193" t="s">
        <v>396</v>
      </c>
      <c r="M192" s="193" t="s">
        <v>309</v>
      </c>
      <c r="N192" s="193" t="s">
        <v>626</v>
      </c>
      <c r="O192" s="193"/>
      <c r="P192" s="193" t="s">
        <v>381</v>
      </c>
      <c r="Q192" s="193" t="s">
        <v>295</v>
      </c>
      <c r="R192" s="192" t="s">
        <v>379</v>
      </c>
      <c r="S192" s="181"/>
      <c r="T192" s="181" t="s">
        <v>381</v>
      </c>
      <c r="U192" s="181" t="s">
        <v>295</v>
      </c>
      <c r="V192" s="199" t="s">
        <v>379</v>
      </c>
    </row>
    <row r="193" spans="1:22" outlineLevel="1">
      <c r="A193" s="199" t="s">
        <v>254</v>
      </c>
      <c r="B193" s="181" t="s">
        <v>748</v>
      </c>
      <c r="C193" s="190">
        <v>43641</v>
      </c>
      <c r="D193" s="181" t="s">
        <v>811</v>
      </c>
      <c r="E193" s="182" t="s">
        <v>890</v>
      </c>
      <c r="F193" s="183">
        <v>76315</v>
      </c>
      <c r="G193" s="184">
        <v>11.39</v>
      </c>
      <c r="H193" s="181">
        <v>14.38</v>
      </c>
      <c r="I193" s="181" t="s">
        <v>292</v>
      </c>
      <c r="J193" s="191">
        <v>14.38</v>
      </c>
      <c r="K193" s="192" t="s">
        <v>405</v>
      </c>
      <c r="L193" s="193" t="s">
        <v>396</v>
      </c>
      <c r="M193" s="193" t="s">
        <v>309</v>
      </c>
      <c r="N193" s="193" t="s">
        <v>468</v>
      </c>
      <c r="O193" s="193"/>
      <c r="P193" s="193" t="s">
        <v>381</v>
      </c>
      <c r="Q193" s="193" t="s">
        <v>295</v>
      </c>
      <c r="R193" s="192" t="s">
        <v>379</v>
      </c>
      <c r="S193" s="181"/>
      <c r="T193" s="181" t="s">
        <v>381</v>
      </c>
      <c r="U193" s="181" t="s">
        <v>295</v>
      </c>
      <c r="V193" s="199" t="s">
        <v>379</v>
      </c>
    </row>
    <row r="194" spans="1:22" outlineLevel="1">
      <c r="A194" s="199" t="s">
        <v>254</v>
      </c>
      <c r="B194" s="181" t="s">
        <v>748</v>
      </c>
      <c r="C194" s="190">
        <v>43644</v>
      </c>
      <c r="D194" s="181" t="s">
        <v>844</v>
      </c>
      <c r="E194" s="182" t="s">
        <v>475</v>
      </c>
      <c r="F194" s="183">
        <v>76250</v>
      </c>
      <c r="G194" s="184">
        <v>0.63</v>
      </c>
      <c r="H194" s="181">
        <v>0.8</v>
      </c>
      <c r="I194" s="181" t="s">
        <v>292</v>
      </c>
      <c r="J194" s="191">
        <v>0.8</v>
      </c>
      <c r="K194" s="192" t="s">
        <v>405</v>
      </c>
      <c r="L194" s="193" t="s">
        <v>400</v>
      </c>
      <c r="M194" s="193" t="s">
        <v>309</v>
      </c>
      <c r="N194" s="193" t="s">
        <v>466</v>
      </c>
      <c r="O194" s="193"/>
      <c r="P194" s="193" t="s">
        <v>381</v>
      </c>
      <c r="Q194" s="193" t="s">
        <v>295</v>
      </c>
      <c r="R194" s="192" t="s">
        <v>379</v>
      </c>
      <c r="S194" s="181"/>
      <c r="T194" s="181" t="s">
        <v>381</v>
      </c>
      <c r="U194" s="181" t="s">
        <v>295</v>
      </c>
      <c r="V194" s="199" t="s">
        <v>379</v>
      </c>
    </row>
    <row r="195" spans="1:22" outlineLevel="1">
      <c r="A195" s="199" t="s">
        <v>254</v>
      </c>
      <c r="B195" s="181" t="s">
        <v>748</v>
      </c>
      <c r="C195" s="190">
        <v>43644</v>
      </c>
      <c r="D195" s="181" t="s">
        <v>842</v>
      </c>
      <c r="E195" s="182" t="s">
        <v>891</v>
      </c>
      <c r="F195" s="183">
        <v>76250</v>
      </c>
      <c r="G195" s="184">
        <v>9.5500000000000007</v>
      </c>
      <c r="H195" s="181">
        <v>12.05</v>
      </c>
      <c r="I195" s="181" t="s">
        <v>292</v>
      </c>
      <c r="J195" s="191">
        <v>12.05</v>
      </c>
      <c r="K195" s="192" t="s">
        <v>405</v>
      </c>
      <c r="L195" s="193" t="s">
        <v>400</v>
      </c>
      <c r="M195" s="193" t="s">
        <v>309</v>
      </c>
      <c r="N195" s="193" t="s">
        <v>466</v>
      </c>
      <c r="O195" s="193"/>
      <c r="P195" s="193" t="s">
        <v>381</v>
      </c>
      <c r="Q195" s="193" t="s">
        <v>295</v>
      </c>
      <c r="R195" s="192" t="s">
        <v>379</v>
      </c>
      <c r="S195" s="181"/>
      <c r="T195" s="181" t="s">
        <v>381</v>
      </c>
      <c r="U195" s="181" t="s">
        <v>295</v>
      </c>
      <c r="V195" s="199" t="s">
        <v>379</v>
      </c>
    </row>
    <row r="196" spans="1:22">
      <c r="A196" s="194" t="s">
        <v>378</v>
      </c>
      <c r="B196" s="194"/>
      <c r="C196" s="194"/>
      <c r="D196" s="194"/>
      <c r="E196" s="195"/>
      <c r="F196" s="196"/>
      <c r="G196" s="197">
        <f>SUM(G147:G195)</f>
        <v>3773.349999999999</v>
      </c>
      <c r="H196" s="198">
        <f>SUM(H147:H195)</f>
        <v>4614.62</v>
      </c>
      <c r="I196" s="194"/>
      <c r="J196" s="198">
        <f>SUM(J147:J195)</f>
        <v>4844.4400000000014</v>
      </c>
      <c r="K196" s="194"/>
      <c r="L196" s="194"/>
      <c r="M196" s="194"/>
      <c r="N196" s="194"/>
      <c r="O196" s="194"/>
      <c r="P196" s="194"/>
      <c r="Q196" s="194"/>
      <c r="R196" s="194"/>
      <c r="S196" s="181"/>
      <c r="T196" s="181"/>
      <c r="U196" s="181"/>
      <c r="V196" s="181"/>
    </row>
    <row r="197" spans="1:22" outlineLevel="1">
      <c r="A197" s="199" t="s">
        <v>255</v>
      </c>
      <c r="B197" s="181" t="s">
        <v>747</v>
      </c>
      <c r="C197" s="190">
        <v>43580</v>
      </c>
      <c r="D197" s="181" t="s">
        <v>785</v>
      </c>
      <c r="E197" s="182" t="s">
        <v>892</v>
      </c>
      <c r="F197" s="183">
        <v>75701</v>
      </c>
      <c r="G197" s="184">
        <v>505.05</v>
      </c>
      <c r="H197" s="181">
        <v>658.71</v>
      </c>
      <c r="I197" s="181" t="s">
        <v>292</v>
      </c>
      <c r="J197" s="191">
        <v>658.71</v>
      </c>
      <c r="K197" s="192" t="s">
        <v>385</v>
      </c>
      <c r="L197" s="193" t="s">
        <v>396</v>
      </c>
      <c r="M197" s="193" t="s">
        <v>309</v>
      </c>
      <c r="N197" s="193" t="s">
        <v>501</v>
      </c>
      <c r="O197" s="193"/>
      <c r="P197" s="193" t="s">
        <v>381</v>
      </c>
      <c r="Q197" s="193" t="s">
        <v>295</v>
      </c>
      <c r="R197" s="192" t="s">
        <v>379</v>
      </c>
      <c r="S197" s="181"/>
      <c r="T197" s="181" t="s">
        <v>381</v>
      </c>
      <c r="U197" s="181" t="s">
        <v>295</v>
      </c>
      <c r="V197" s="199" t="s">
        <v>379</v>
      </c>
    </row>
    <row r="198" spans="1:22" outlineLevel="1">
      <c r="A198" s="199" t="s">
        <v>255</v>
      </c>
      <c r="B198" s="181" t="s">
        <v>747</v>
      </c>
      <c r="C198" s="190">
        <v>43585</v>
      </c>
      <c r="D198" s="181" t="s">
        <v>829</v>
      </c>
      <c r="E198" s="182" t="s">
        <v>490</v>
      </c>
      <c r="F198" s="183">
        <v>75694</v>
      </c>
      <c r="G198" s="184">
        <v>254.67</v>
      </c>
      <c r="H198" s="181">
        <v>332.16</v>
      </c>
      <c r="I198" s="181" t="s">
        <v>292</v>
      </c>
      <c r="J198" s="191">
        <v>332.15</v>
      </c>
      <c r="K198" s="192" t="s">
        <v>385</v>
      </c>
      <c r="L198" s="193" t="s">
        <v>400</v>
      </c>
      <c r="M198" s="193" t="s">
        <v>309</v>
      </c>
      <c r="N198" s="193" t="s">
        <v>491</v>
      </c>
      <c r="O198" s="193"/>
      <c r="P198" s="193" t="s">
        <v>381</v>
      </c>
      <c r="Q198" s="193" t="s">
        <v>295</v>
      </c>
      <c r="R198" s="192" t="s">
        <v>379</v>
      </c>
      <c r="S198" s="181"/>
      <c r="T198" s="181" t="s">
        <v>381</v>
      </c>
      <c r="U198" s="181" t="s">
        <v>295</v>
      </c>
      <c r="V198" s="199" t="s">
        <v>379</v>
      </c>
    </row>
    <row r="199" spans="1:22" outlineLevel="1">
      <c r="A199" s="199" t="s">
        <v>255</v>
      </c>
      <c r="B199" s="181" t="s">
        <v>747</v>
      </c>
      <c r="C199" s="190">
        <v>43585</v>
      </c>
      <c r="D199" s="181" t="s">
        <v>829</v>
      </c>
      <c r="E199" s="182" t="s">
        <v>494</v>
      </c>
      <c r="F199" s="183">
        <v>75694</v>
      </c>
      <c r="G199" s="184">
        <v>133.97999999999999</v>
      </c>
      <c r="H199" s="181">
        <v>174.75</v>
      </c>
      <c r="I199" s="181" t="s">
        <v>292</v>
      </c>
      <c r="J199" s="191">
        <v>174.74</v>
      </c>
      <c r="K199" s="192" t="s">
        <v>385</v>
      </c>
      <c r="L199" s="193" t="s">
        <v>400</v>
      </c>
      <c r="M199" s="193" t="s">
        <v>309</v>
      </c>
      <c r="N199" s="193" t="s">
        <v>495</v>
      </c>
      <c r="O199" s="193"/>
      <c r="P199" s="193" t="s">
        <v>381</v>
      </c>
      <c r="Q199" s="193" t="s">
        <v>295</v>
      </c>
      <c r="R199" s="192" t="s">
        <v>379</v>
      </c>
      <c r="S199" s="181"/>
      <c r="T199" s="181" t="s">
        <v>381</v>
      </c>
      <c r="U199" s="181" t="s">
        <v>295</v>
      </c>
      <c r="V199" s="199" t="s">
        <v>379</v>
      </c>
    </row>
    <row r="200" spans="1:22" outlineLevel="1">
      <c r="A200" s="199" t="s">
        <v>255</v>
      </c>
      <c r="B200" s="181" t="s">
        <v>747</v>
      </c>
      <c r="C200" s="190">
        <v>43585</v>
      </c>
      <c r="D200" s="181" t="s">
        <v>829</v>
      </c>
      <c r="E200" s="182" t="s">
        <v>496</v>
      </c>
      <c r="F200" s="183">
        <v>75694</v>
      </c>
      <c r="G200" s="184">
        <v>345.82</v>
      </c>
      <c r="H200" s="181">
        <v>451.03</v>
      </c>
      <c r="I200" s="181" t="s">
        <v>292</v>
      </c>
      <c r="J200" s="191">
        <v>451.04</v>
      </c>
      <c r="K200" s="192" t="s">
        <v>385</v>
      </c>
      <c r="L200" s="193" t="s">
        <v>400</v>
      </c>
      <c r="M200" s="193" t="s">
        <v>309</v>
      </c>
      <c r="N200" s="193" t="s">
        <v>497</v>
      </c>
      <c r="O200" s="193"/>
      <c r="P200" s="193" t="s">
        <v>381</v>
      </c>
      <c r="Q200" s="193" t="s">
        <v>295</v>
      </c>
      <c r="R200" s="192" t="s">
        <v>379</v>
      </c>
      <c r="S200" s="181"/>
      <c r="T200" s="181" t="s">
        <v>381</v>
      </c>
      <c r="U200" s="181" t="s">
        <v>295</v>
      </c>
      <c r="V200" s="199" t="s">
        <v>379</v>
      </c>
    </row>
    <row r="201" spans="1:22" outlineLevel="1">
      <c r="A201" s="199" t="s">
        <v>255</v>
      </c>
      <c r="B201" s="181" t="s">
        <v>747</v>
      </c>
      <c r="C201" s="190">
        <v>43585</v>
      </c>
      <c r="D201" s="181" t="s">
        <v>829</v>
      </c>
      <c r="E201" s="182" t="s">
        <v>498</v>
      </c>
      <c r="F201" s="183">
        <v>75694</v>
      </c>
      <c r="G201" s="184">
        <v>358.43</v>
      </c>
      <c r="H201" s="181">
        <v>467.48</v>
      </c>
      <c r="I201" s="181" t="s">
        <v>292</v>
      </c>
      <c r="J201" s="191">
        <v>467.48</v>
      </c>
      <c r="K201" s="192" t="s">
        <v>385</v>
      </c>
      <c r="L201" s="193" t="s">
        <v>400</v>
      </c>
      <c r="M201" s="193" t="s">
        <v>309</v>
      </c>
      <c r="N201" s="193" t="s">
        <v>499</v>
      </c>
      <c r="O201" s="193"/>
      <c r="P201" s="193" t="s">
        <v>381</v>
      </c>
      <c r="Q201" s="193" t="s">
        <v>295</v>
      </c>
      <c r="R201" s="192" t="s">
        <v>379</v>
      </c>
      <c r="S201" s="181"/>
      <c r="T201" s="181" t="s">
        <v>381</v>
      </c>
      <c r="U201" s="181" t="s">
        <v>295</v>
      </c>
      <c r="V201" s="199" t="s">
        <v>379</v>
      </c>
    </row>
    <row r="202" spans="1:22" outlineLevel="1">
      <c r="A202" s="199" t="s">
        <v>255</v>
      </c>
      <c r="B202" s="181" t="s">
        <v>747</v>
      </c>
      <c r="C202" s="190">
        <v>43580</v>
      </c>
      <c r="D202" s="181" t="s">
        <v>787</v>
      </c>
      <c r="E202" s="182" t="s">
        <v>893</v>
      </c>
      <c r="F202" s="183">
        <v>75701</v>
      </c>
      <c r="G202" s="184">
        <v>34.15</v>
      </c>
      <c r="H202" s="181">
        <v>44.54</v>
      </c>
      <c r="I202" s="181" t="s">
        <v>292</v>
      </c>
      <c r="J202" s="191">
        <v>44.54</v>
      </c>
      <c r="K202" s="192" t="s">
        <v>385</v>
      </c>
      <c r="L202" s="193" t="s">
        <v>396</v>
      </c>
      <c r="M202" s="193" t="s">
        <v>309</v>
      </c>
      <c r="N202" s="193" t="s">
        <v>489</v>
      </c>
      <c r="O202" s="193"/>
      <c r="P202" s="193" t="s">
        <v>381</v>
      </c>
      <c r="Q202" s="193" t="s">
        <v>295</v>
      </c>
      <c r="R202" s="192" t="s">
        <v>379</v>
      </c>
      <c r="S202" s="181"/>
      <c r="T202" s="181" t="s">
        <v>381</v>
      </c>
      <c r="U202" s="181" t="s">
        <v>295</v>
      </c>
      <c r="V202" s="199" t="s">
        <v>379</v>
      </c>
    </row>
    <row r="203" spans="1:22" outlineLevel="1">
      <c r="A203" s="199" t="s">
        <v>255</v>
      </c>
      <c r="B203" s="181" t="s">
        <v>747</v>
      </c>
      <c r="C203" s="190">
        <v>43580</v>
      </c>
      <c r="D203" s="181" t="s">
        <v>785</v>
      </c>
      <c r="E203" s="182" t="s">
        <v>894</v>
      </c>
      <c r="F203" s="183">
        <v>75701</v>
      </c>
      <c r="G203" s="184">
        <v>45.76</v>
      </c>
      <c r="H203" s="181">
        <v>59.68</v>
      </c>
      <c r="I203" s="181" t="s">
        <v>292</v>
      </c>
      <c r="J203" s="191">
        <v>59.68</v>
      </c>
      <c r="K203" s="192" t="s">
        <v>385</v>
      </c>
      <c r="L203" s="193" t="s">
        <v>396</v>
      </c>
      <c r="M203" s="193" t="s">
        <v>309</v>
      </c>
      <c r="N203" s="193" t="s">
        <v>487</v>
      </c>
      <c r="O203" s="193"/>
      <c r="P203" s="193" t="s">
        <v>381</v>
      </c>
      <c r="Q203" s="193" t="s">
        <v>295</v>
      </c>
      <c r="R203" s="192" t="s">
        <v>379</v>
      </c>
      <c r="S203" s="181"/>
      <c r="T203" s="181" t="s">
        <v>381</v>
      </c>
      <c r="U203" s="181" t="s">
        <v>295</v>
      </c>
      <c r="V203" s="199" t="s">
        <v>379</v>
      </c>
    </row>
    <row r="204" spans="1:22" outlineLevel="1">
      <c r="A204" s="199" t="s">
        <v>255</v>
      </c>
      <c r="B204" s="181" t="s">
        <v>747</v>
      </c>
      <c r="C204" s="190">
        <v>43580</v>
      </c>
      <c r="D204" s="181" t="s">
        <v>785</v>
      </c>
      <c r="E204" s="182" t="s">
        <v>895</v>
      </c>
      <c r="F204" s="183">
        <v>75701</v>
      </c>
      <c r="G204" s="184">
        <v>321.95</v>
      </c>
      <c r="H204" s="181">
        <v>419.9</v>
      </c>
      <c r="I204" s="181" t="s">
        <v>292</v>
      </c>
      <c r="J204" s="191">
        <v>419.9</v>
      </c>
      <c r="K204" s="192" t="s">
        <v>385</v>
      </c>
      <c r="L204" s="193" t="s">
        <v>396</v>
      </c>
      <c r="M204" s="193" t="s">
        <v>309</v>
      </c>
      <c r="N204" s="193" t="s">
        <v>489</v>
      </c>
      <c r="O204" s="193"/>
      <c r="P204" s="193" t="s">
        <v>381</v>
      </c>
      <c r="Q204" s="193" t="s">
        <v>295</v>
      </c>
      <c r="R204" s="192" t="s">
        <v>379</v>
      </c>
      <c r="S204" s="181"/>
      <c r="T204" s="181" t="s">
        <v>381</v>
      </c>
      <c r="U204" s="181" t="s">
        <v>295</v>
      </c>
      <c r="V204" s="199" t="s">
        <v>379</v>
      </c>
    </row>
    <row r="205" spans="1:22" outlineLevel="1">
      <c r="A205" s="199" t="s">
        <v>255</v>
      </c>
      <c r="B205" s="181" t="s">
        <v>747</v>
      </c>
      <c r="C205" s="190">
        <v>43580</v>
      </c>
      <c r="D205" s="181" t="s">
        <v>787</v>
      </c>
      <c r="E205" s="182" t="s">
        <v>896</v>
      </c>
      <c r="F205" s="183">
        <v>75701</v>
      </c>
      <c r="G205" s="184">
        <v>3.6</v>
      </c>
      <c r="H205" s="181">
        <v>4.7</v>
      </c>
      <c r="I205" s="181" t="s">
        <v>292</v>
      </c>
      <c r="J205" s="191">
        <v>4.7</v>
      </c>
      <c r="K205" s="192" t="s">
        <v>385</v>
      </c>
      <c r="L205" s="193" t="s">
        <v>396</v>
      </c>
      <c r="M205" s="193" t="s">
        <v>309</v>
      </c>
      <c r="N205" s="193" t="s">
        <v>487</v>
      </c>
      <c r="O205" s="193"/>
      <c r="P205" s="193" t="s">
        <v>381</v>
      </c>
      <c r="Q205" s="193" t="s">
        <v>295</v>
      </c>
      <c r="R205" s="192" t="s">
        <v>379</v>
      </c>
      <c r="S205" s="181"/>
      <c r="T205" s="181" t="s">
        <v>381</v>
      </c>
      <c r="U205" s="181" t="s">
        <v>295</v>
      </c>
      <c r="V205" s="199" t="s">
        <v>379</v>
      </c>
    </row>
    <row r="206" spans="1:22" outlineLevel="1">
      <c r="A206" s="199" t="s">
        <v>255</v>
      </c>
      <c r="B206" s="181" t="s">
        <v>747</v>
      </c>
      <c r="C206" s="190">
        <v>43580</v>
      </c>
      <c r="D206" s="181" t="s">
        <v>787</v>
      </c>
      <c r="E206" s="182" t="s">
        <v>897</v>
      </c>
      <c r="F206" s="183">
        <v>75701</v>
      </c>
      <c r="G206" s="184">
        <v>61.81</v>
      </c>
      <c r="H206" s="181">
        <v>80.62</v>
      </c>
      <c r="I206" s="181" t="s">
        <v>292</v>
      </c>
      <c r="J206" s="191">
        <v>80.62</v>
      </c>
      <c r="K206" s="192" t="s">
        <v>385</v>
      </c>
      <c r="L206" s="193" t="s">
        <v>396</v>
      </c>
      <c r="M206" s="193" t="s">
        <v>309</v>
      </c>
      <c r="N206" s="193" t="s">
        <v>501</v>
      </c>
      <c r="O206" s="193"/>
      <c r="P206" s="193" t="s">
        <v>381</v>
      </c>
      <c r="Q206" s="193" t="s">
        <v>295</v>
      </c>
      <c r="R206" s="192" t="s">
        <v>379</v>
      </c>
      <c r="S206" s="181"/>
      <c r="T206" s="181" t="s">
        <v>381</v>
      </c>
      <c r="U206" s="181" t="s">
        <v>295</v>
      </c>
      <c r="V206" s="199" t="s">
        <v>379</v>
      </c>
    </row>
    <row r="207" spans="1:22" outlineLevel="1">
      <c r="A207" s="199" t="s">
        <v>255</v>
      </c>
      <c r="B207" s="181" t="s">
        <v>747</v>
      </c>
      <c r="C207" s="190">
        <v>43580</v>
      </c>
      <c r="D207" s="181" t="s">
        <v>789</v>
      </c>
      <c r="E207" s="182" t="s">
        <v>898</v>
      </c>
      <c r="F207" s="183">
        <v>75701</v>
      </c>
      <c r="G207" s="184">
        <v>77.180000000000007</v>
      </c>
      <c r="H207" s="181">
        <v>100.66</v>
      </c>
      <c r="I207" s="181" t="s">
        <v>292</v>
      </c>
      <c r="J207" s="191">
        <v>100.66</v>
      </c>
      <c r="K207" s="192" t="s">
        <v>391</v>
      </c>
      <c r="L207" s="193" t="s">
        <v>396</v>
      </c>
      <c r="M207" s="193" t="s">
        <v>309</v>
      </c>
      <c r="N207" s="193" t="s">
        <v>501</v>
      </c>
      <c r="O207" s="193"/>
      <c r="P207" s="193" t="s">
        <v>381</v>
      </c>
      <c r="Q207" s="193" t="s">
        <v>295</v>
      </c>
      <c r="R207" s="192" t="s">
        <v>379</v>
      </c>
      <c r="S207" s="181"/>
      <c r="T207" s="181" t="s">
        <v>381</v>
      </c>
      <c r="U207" s="181" t="s">
        <v>295</v>
      </c>
      <c r="V207" s="199" t="s">
        <v>379</v>
      </c>
    </row>
    <row r="208" spans="1:22" outlineLevel="1">
      <c r="A208" s="199" t="s">
        <v>255</v>
      </c>
      <c r="B208" s="181" t="s">
        <v>747</v>
      </c>
      <c r="C208" s="190">
        <v>43580</v>
      </c>
      <c r="D208" s="181" t="s">
        <v>789</v>
      </c>
      <c r="E208" s="182" t="s">
        <v>899</v>
      </c>
      <c r="F208" s="183">
        <v>75701</v>
      </c>
      <c r="G208" s="184">
        <v>5.75</v>
      </c>
      <c r="H208" s="181">
        <v>7.5</v>
      </c>
      <c r="I208" s="181" t="s">
        <v>292</v>
      </c>
      <c r="J208" s="191">
        <v>7.5</v>
      </c>
      <c r="K208" s="192" t="s">
        <v>391</v>
      </c>
      <c r="L208" s="193" t="s">
        <v>396</v>
      </c>
      <c r="M208" s="193" t="s">
        <v>309</v>
      </c>
      <c r="N208" s="193" t="s">
        <v>487</v>
      </c>
      <c r="O208" s="193"/>
      <c r="P208" s="193" t="s">
        <v>381</v>
      </c>
      <c r="Q208" s="193" t="s">
        <v>295</v>
      </c>
      <c r="R208" s="192" t="s">
        <v>379</v>
      </c>
      <c r="S208" s="181"/>
      <c r="T208" s="181" t="s">
        <v>381</v>
      </c>
      <c r="U208" s="181" t="s">
        <v>295</v>
      </c>
      <c r="V208" s="199" t="s">
        <v>379</v>
      </c>
    </row>
    <row r="209" spans="1:22" outlineLevel="1">
      <c r="A209" s="199" t="s">
        <v>255</v>
      </c>
      <c r="B209" s="181" t="s">
        <v>747</v>
      </c>
      <c r="C209" s="190">
        <v>43580</v>
      </c>
      <c r="D209" s="181" t="s">
        <v>789</v>
      </c>
      <c r="E209" s="182" t="s">
        <v>900</v>
      </c>
      <c r="F209" s="183">
        <v>75701</v>
      </c>
      <c r="G209" s="184">
        <v>48.23</v>
      </c>
      <c r="H209" s="181">
        <v>62.91</v>
      </c>
      <c r="I209" s="181" t="s">
        <v>292</v>
      </c>
      <c r="J209" s="191">
        <v>62.9</v>
      </c>
      <c r="K209" s="192" t="s">
        <v>391</v>
      </c>
      <c r="L209" s="193" t="s">
        <v>396</v>
      </c>
      <c r="M209" s="193" t="s">
        <v>309</v>
      </c>
      <c r="N209" s="193" t="s">
        <v>489</v>
      </c>
      <c r="O209" s="193"/>
      <c r="P209" s="193" t="s">
        <v>381</v>
      </c>
      <c r="Q209" s="193" t="s">
        <v>295</v>
      </c>
      <c r="R209" s="192" t="s">
        <v>379</v>
      </c>
      <c r="S209" s="181"/>
      <c r="T209" s="181" t="s">
        <v>381</v>
      </c>
      <c r="U209" s="181" t="s">
        <v>295</v>
      </c>
      <c r="V209" s="199" t="s">
        <v>379</v>
      </c>
    </row>
    <row r="210" spans="1:22" outlineLevel="1">
      <c r="A210" s="199" t="s">
        <v>255</v>
      </c>
      <c r="B210" s="181" t="s">
        <v>747</v>
      </c>
      <c r="C210" s="190">
        <v>43585</v>
      </c>
      <c r="D210" s="181" t="s">
        <v>830</v>
      </c>
      <c r="E210" s="182" t="s">
        <v>506</v>
      </c>
      <c r="F210" s="183">
        <v>75694</v>
      </c>
      <c r="G210" s="184">
        <v>16.899999999999999</v>
      </c>
      <c r="H210" s="181">
        <v>22.04</v>
      </c>
      <c r="I210" s="181" t="s">
        <v>292</v>
      </c>
      <c r="J210" s="191">
        <v>22.04</v>
      </c>
      <c r="K210" s="192" t="s">
        <v>391</v>
      </c>
      <c r="L210" s="193" t="s">
        <v>400</v>
      </c>
      <c r="M210" s="193" t="s">
        <v>309</v>
      </c>
      <c r="N210" s="193" t="s">
        <v>495</v>
      </c>
      <c r="O210" s="193"/>
      <c r="P210" s="193" t="s">
        <v>381</v>
      </c>
      <c r="Q210" s="193" t="s">
        <v>295</v>
      </c>
      <c r="R210" s="192" t="s">
        <v>379</v>
      </c>
      <c r="S210" s="181"/>
      <c r="T210" s="181" t="s">
        <v>381</v>
      </c>
      <c r="U210" s="181" t="s">
        <v>295</v>
      </c>
      <c r="V210" s="199" t="s">
        <v>379</v>
      </c>
    </row>
    <row r="211" spans="1:22" outlineLevel="1">
      <c r="A211" s="199" t="s">
        <v>255</v>
      </c>
      <c r="B211" s="181" t="s">
        <v>747</v>
      </c>
      <c r="C211" s="190">
        <v>43585</v>
      </c>
      <c r="D211" s="181" t="s">
        <v>830</v>
      </c>
      <c r="E211" s="182" t="s">
        <v>507</v>
      </c>
      <c r="F211" s="183">
        <v>75694</v>
      </c>
      <c r="G211" s="184">
        <v>46.56</v>
      </c>
      <c r="H211" s="181">
        <v>60.73</v>
      </c>
      <c r="I211" s="181" t="s">
        <v>292</v>
      </c>
      <c r="J211" s="191">
        <v>60.73</v>
      </c>
      <c r="K211" s="192" t="s">
        <v>391</v>
      </c>
      <c r="L211" s="193" t="s">
        <v>400</v>
      </c>
      <c r="M211" s="193" t="s">
        <v>309</v>
      </c>
      <c r="N211" s="193" t="s">
        <v>497</v>
      </c>
      <c r="O211" s="193"/>
      <c r="P211" s="193" t="s">
        <v>381</v>
      </c>
      <c r="Q211" s="193" t="s">
        <v>295</v>
      </c>
      <c r="R211" s="192" t="s">
        <v>379</v>
      </c>
      <c r="S211" s="181"/>
      <c r="T211" s="181" t="s">
        <v>381</v>
      </c>
      <c r="U211" s="181" t="s">
        <v>295</v>
      </c>
      <c r="V211" s="199" t="s">
        <v>379</v>
      </c>
    </row>
    <row r="212" spans="1:22" outlineLevel="1">
      <c r="A212" s="199" t="s">
        <v>255</v>
      </c>
      <c r="B212" s="181" t="s">
        <v>747</v>
      </c>
      <c r="C212" s="190">
        <v>43585</v>
      </c>
      <c r="D212" s="181" t="s">
        <v>830</v>
      </c>
      <c r="E212" s="182" t="s">
        <v>508</v>
      </c>
      <c r="F212" s="183">
        <v>75694</v>
      </c>
      <c r="G212" s="184">
        <v>50.76</v>
      </c>
      <c r="H212" s="181">
        <v>66.209999999999994</v>
      </c>
      <c r="I212" s="181" t="s">
        <v>292</v>
      </c>
      <c r="J212" s="191">
        <v>66.2</v>
      </c>
      <c r="K212" s="192" t="s">
        <v>391</v>
      </c>
      <c r="L212" s="193" t="s">
        <v>400</v>
      </c>
      <c r="M212" s="193" t="s">
        <v>309</v>
      </c>
      <c r="N212" s="193" t="s">
        <v>499</v>
      </c>
      <c r="O212" s="193"/>
      <c r="P212" s="193" t="s">
        <v>381</v>
      </c>
      <c r="Q212" s="193" t="s">
        <v>295</v>
      </c>
      <c r="R212" s="192" t="s">
        <v>379</v>
      </c>
      <c r="S212" s="181"/>
      <c r="T212" s="181" t="s">
        <v>381</v>
      </c>
      <c r="U212" s="181" t="s">
        <v>295</v>
      </c>
      <c r="V212" s="199" t="s">
        <v>379</v>
      </c>
    </row>
    <row r="213" spans="1:22" outlineLevel="1">
      <c r="A213" s="199" t="s">
        <v>255</v>
      </c>
      <c r="B213" s="181" t="s">
        <v>747</v>
      </c>
      <c r="C213" s="190">
        <v>43585</v>
      </c>
      <c r="D213" s="181" t="s">
        <v>830</v>
      </c>
      <c r="E213" s="182" t="s">
        <v>544</v>
      </c>
      <c r="F213" s="183">
        <v>75694</v>
      </c>
      <c r="G213" s="184">
        <v>34.36</v>
      </c>
      <c r="H213" s="181">
        <v>44.81</v>
      </c>
      <c r="I213" s="181" t="s">
        <v>292</v>
      </c>
      <c r="J213" s="191">
        <v>44.81</v>
      </c>
      <c r="K213" s="192" t="s">
        <v>391</v>
      </c>
      <c r="L213" s="193" t="s">
        <v>400</v>
      </c>
      <c r="M213" s="193" t="s">
        <v>309</v>
      </c>
      <c r="N213" s="193" t="s">
        <v>491</v>
      </c>
      <c r="O213" s="193"/>
      <c r="P213" s="193" t="s">
        <v>381</v>
      </c>
      <c r="Q213" s="193" t="s">
        <v>295</v>
      </c>
      <c r="R213" s="192" t="s">
        <v>379</v>
      </c>
      <c r="S213" s="181"/>
      <c r="T213" s="181" t="s">
        <v>381</v>
      </c>
      <c r="U213" s="181" t="s">
        <v>295</v>
      </c>
      <c r="V213" s="199" t="s">
        <v>379</v>
      </c>
    </row>
    <row r="214" spans="1:22" outlineLevel="1">
      <c r="A214" s="199" t="s">
        <v>255</v>
      </c>
      <c r="B214" s="181" t="s">
        <v>747</v>
      </c>
      <c r="C214" s="190">
        <v>43557</v>
      </c>
      <c r="D214" s="181" t="s">
        <v>790</v>
      </c>
      <c r="E214" s="182" t="s">
        <v>901</v>
      </c>
      <c r="F214" s="183">
        <v>75701</v>
      </c>
      <c r="G214" s="184">
        <v>0.15</v>
      </c>
      <c r="H214" s="181">
        <v>0.2</v>
      </c>
      <c r="I214" s="181" t="s">
        <v>292</v>
      </c>
      <c r="J214" s="191">
        <v>0.2</v>
      </c>
      <c r="K214" s="192" t="s">
        <v>405</v>
      </c>
      <c r="L214" s="193" t="s">
        <v>396</v>
      </c>
      <c r="M214" s="193" t="s">
        <v>309</v>
      </c>
      <c r="N214" s="193" t="s">
        <v>487</v>
      </c>
      <c r="O214" s="193"/>
      <c r="P214" s="193" t="s">
        <v>381</v>
      </c>
      <c r="Q214" s="193" t="s">
        <v>295</v>
      </c>
      <c r="R214" s="192" t="s">
        <v>379</v>
      </c>
      <c r="S214" s="181"/>
      <c r="T214" s="181" t="s">
        <v>381</v>
      </c>
      <c r="U214" s="181" t="s">
        <v>295</v>
      </c>
      <c r="V214" s="199" t="s">
        <v>379</v>
      </c>
    </row>
    <row r="215" spans="1:22" outlineLevel="1">
      <c r="A215" s="199" t="s">
        <v>255</v>
      </c>
      <c r="B215" s="181" t="s">
        <v>747</v>
      </c>
      <c r="C215" s="190">
        <v>43557</v>
      </c>
      <c r="D215" s="181" t="s">
        <v>790</v>
      </c>
      <c r="E215" s="182" t="s">
        <v>902</v>
      </c>
      <c r="F215" s="183">
        <v>75701</v>
      </c>
      <c r="G215" s="184">
        <v>0.74</v>
      </c>
      <c r="H215" s="181">
        <v>0.96</v>
      </c>
      <c r="I215" s="181" t="s">
        <v>292</v>
      </c>
      <c r="J215" s="191">
        <v>0.97</v>
      </c>
      <c r="K215" s="192" t="s">
        <v>405</v>
      </c>
      <c r="L215" s="193" t="s">
        <v>396</v>
      </c>
      <c r="M215" s="193" t="s">
        <v>309</v>
      </c>
      <c r="N215" s="193" t="s">
        <v>501</v>
      </c>
      <c r="O215" s="193"/>
      <c r="P215" s="193" t="s">
        <v>381</v>
      </c>
      <c r="Q215" s="193" t="s">
        <v>295</v>
      </c>
      <c r="R215" s="192" t="s">
        <v>379</v>
      </c>
      <c r="S215" s="181"/>
      <c r="T215" s="181" t="s">
        <v>381</v>
      </c>
      <c r="U215" s="181" t="s">
        <v>295</v>
      </c>
      <c r="V215" s="199" t="s">
        <v>379</v>
      </c>
    </row>
    <row r="216" spans="1:22" outlineLevel="1">
      <c r="A216" s="199" t="s">
        <v>255</v>
      </c>
      <c r="B216" s="181" t="s">
        <v>747</v>
      </c>
      <c r="C216" s="190">
        <v>43584</v>
      </c>
      <c r="D216" s="181" t="s">
        <v>832</v>
      </c>
      <c r="E216" s="182" t="s">
        <v>509</v>
      </c>
      <c r="F216" s="183">
        <v>75694</v>
      </c>
      <c r="G216" s="184">
        <v>0.18</v>
      </c>
      <c r="H216" s="181">
        <v>0.24</v>
      </c>
      <c r="I216" s="181" t="s">
        <v>292</v>
      </c>
      <c r="J216" s="191">
        <v>0.23</v>
      </c>
      <c r="K216" s="192" t="s">
        <v>405</v>
      </c>
      <c r="L216" s="193" t="s">
        <v>400</v>
      </c>
      <c r="M216" s="193" t="s">
        <v>309</v>
      </c>
      <c r="N216" s="193" t="s">
        <v>495</v>
      </c>
      <c r="O216" s="193"/>
      <c r="P216" s="193" t="s">
        <v>381</v>
      </c>
      <c r="Q216" s="193" t="s">
        <v>295</v>
      </c>
      <c r="R216" s="192" t="s">
        <v>379</v>
      </c>
      <c r="S216" s="181"/>
      <c r="T216" s="181" t="s">
        <v>381</v>
      </c>
      <c r="U216" s="181" t="s">
        <v>295</v>
      </c>
      <c r="V216" s="199" t="s">
        <v>379</v>
      </c>
    </row>
    <row r="217" spans="1:22" outlineLevel="1">
      <c r="A217" s="199" t="s">
        <v>255</v>
      </c>
      <c r="B217" s="181" t="s">
        <v>747</v>
      </c>
      <c r="C217" s="190">
        <v>43584</v>
      </c>
      <c r="D217" s="181" t="s">
        <v>832</v>
      </c>
      <c r="E217" s="182" t="s">
        <v>510</v>
      </c>
      <c r="F217" s="183">
        <v>75694</v>
      </c>
      <c r="G217" s="184">
        <v>0.51</v>
      </c>
      <c r="H217" s="181">
        <v>0.67</v>
      </c>
      <c r="I217" s="181" t="s">
        <v>292</v>
      </c>
      <c r="J217" s="191">
        <v>0.67</v>
      </c>
      <c r="K217" s="192" t="s">
        <v>405</v>
      </c>
      <c r="L217" s="193" t="s">
        <v>400</v>
      </c>
      <c r="M217" s="193" t="s">
        <v>309</v>
      </c>
      <c r="N217" s="193" t="s">
        <v>497</v>
      </c>
      <c r="O217" s="193"/>
      <c r="P217" s="193" t="s">
        <v>381</v>
      </c>
      <c r="Q217" s="193" t="s">
        <v>295</v>
      </c>
      <c r="R217" s="192" t="s">
        <v>379</v>
      </c>
      <c r="S217" s="181"/>
      <c r="T217" s="181" t="s">
        <v>381</v>
      </c>
      <c r="U217" s="181" t="s">
        <v>295</v>
      </c>
      <c r="V217" s="199" t="s">
        <v>379</v>
      </c>
    </row>
    <row r="218" spans="1:22" outlineLevel="1">
      <c r="A218" s="199" t="s">
        <v>255</v>
      </c>
      <c r="B218" s="181" t="s">
        <v>747</v>
      </c>
      <c r="C218" s="190">
        <v>43584</v>
      </c>
      <c r="D218" s="181" t="s">
        <v>832</v>
      </c>
      <c r="E218" s="182" t="s">
        <v>511</v>
      </c>
      <c r="F218" s="183">
        <v>75694</v>
      </c>
      <c r="G218" s="184">
        <v>0.56999999999999995</v>
      </c>
      <c r="H218" s="181">
        <v>0.74</v>
      </c>
      <c r="I218" s="181" t="s">
        <v>292</v>
      </c>
      <c r="J218" s="191">
        <v>0.74</v>
      </c>
      <c r="K218" s="192" t="s">
        <v>405</v>
      </c>
      <c r="L218" s="193" t="s">
        <v>400</v>
      </c>
      <c r="M218" s="193" t="s">
        <v>309</v>
      </c>
      <c r="N218" s="193" t="s">
        <v>499</v>
      </c>
      <c r="O218" s="193"/>
      <c r="P218" s="193" t="s">
        <v>381</v>
      </c>
      <c r="Q218" s="193" t="s">
        <v>295</v>
      </c>
      <c r="R218" s="192" t="s">
        <v>379</v>
      </c>
      <c r="S218" s="181"/>
      <c r="T218" s="181" t="s">
        <v>381</v>
      </c>
      <c r="U218" s="181" t="s">
        <v>295</v>
      </c>
      <c r="V218" s="199" t="s">
        <v>379</v>
      </c>
    </row>
    <row r="219" spans="1:22" outlineLevel="1">
      <c r="A219" s="199" t="s">
        <v>255</v>
      </c>
      <c r="B219" s="181" t="s">
        <v>747</v>
      </c>
      <c r="C219" s="190">
        <v>43557</v>
      </c>
      <c r="D219" s="181" t="s">
        <v>790</v>
      </c>
      <c r="E219" s="182" t="s">
        <v>903</v>
      </c>
      <c r="F219" s="183">
        <v>75701</v>
      </c>
      <c r="G219" s="184">
        <v>0.54</v>
      </c>
      <c r="H219" s="181">
        <v>0.7</v>
      </c>
      <c r="I219" s="181" t="s">
        <v>292</v>
      </c>
      <c r="J219" s="191">
        <v>0.7</v>
      </c>
      <c r="K219" s="192" t="s">
        <v>405</v>
      </c>
      <c r="L219" s="193" t="s">
        <v>396</v>
      </c>
      <c r="M219" s="193" t="s">
        <v>309</v>
      </c>
      <c r="N219" s="193" t="s">
        <v>489</v>
      </c>
      <c r="O219" s="193"/>
      <c r="P219" s="193" t="s">
        <v>381</v>
      </c>
      <c r="Q219" s="193" t="s">
        <v>295</v>
      </c>
      <c r="R219" s="192" t="s">
        <v>379</v>
      </c>
      <c r="S219" s="181"/>
      <c r="T219" s="181" t="s">
        <v>381</v>
      </c>
      <c r="U219" s="181" t="s">
        <v>295</v>
      </c>
      <c r="V219" s="199" t="s">
        <v>379</v>
      </c>
    </row>
    <row r="220" spans="1:22" outlineLevel="1">
      <c r="A220" s="199" t="s">
        <v>255</v>
      </c>
      <c r="B220" s="181" t="s">
        <v>747</v>
      </c>
      <c r="C220" s="190">
        <v>43585</v>
      </c>
      <c r="D220" s="181" t="s">
        <v>831</v>
      </c>
      <c r="E220" s="182" t="s">
        <v>513</v>
      </c>
      <c r="F220" s="183">
        <v>75694</v>
      </c>
      <c r="G220" s="184">
        <v>2.81</v>
      </c>
      <c r="H220" s="181">
        <v>3.67</v>
      </c>
      <c r="I220" s="181" t="s">
        <v>292</v>
      </c>
      <c r="J220" s="191">
        <v>3.66</v>
      </c>
      <c r="K220" s="192" t="s">
        <v>405</v>
      </c>
      <c r="L220" s="193" t="s">
        <v>400</v>
      </c>
      <c r="M220" s="193" t="s">
        <v>309</v>
      </c>
      <c r="N220" s="193" t="s">
        <v>495</v>
      </c>
      <c r="O220" s="193"/>
      <c r="P220" s="193" t="s">
        <v>381</v>
      </c>
      <c r="Q220" s="193" t="s">
        <v>295</v>
      </c>
      <c r="R220" s="192" t="s">
        <v>379</v>
      </c>
      <c r="S220" s="181"/>
      <c r="T220" s="181" t="s">
        <v>381</v>
      </c>
      <c r="U220" s="181" t="s">
        <v>295</v>
      </c>
      <c r="V220" s="199" t="s">
        <v>379</v>
      </c>
    </row>
    <row r="221" spans="1:22" outlineLevel="1">
      <c r="A221" s="199" t="s">
        <v>255</v>
      </c>
      <c r="B221" s="181" t="s">
        <v>747</v>
      </c>
      <c r="C221" s="190">
        <v>43585</v>
      </c>
      <c r="D221" s="181" t="s">
        <v>831</v>
      </c>
      <c r="E221" s="182" t="s">
        <v>514</v>
      </c>
      <c r="F221" s="183">
        <v>75694</v>
      </c>
      <c r="G221" s="184">
        <v>7.76</v>
      </c>
      <c r="H221" s="181">
        <v>10.119999999999999</v>
      </c>
      <c r="I221" s="181" t="s">
        <v>292</v>
      </c>
      <c r="J221" s="191">
        <v>10.119999999999999</v>
      </c>
      <c r="K221" s="192" t="s">
        <v>405</v>
      </c>
      <c r="L221" s="193" t="s">
        <v>400</v>
      </c>
      <c r="M221" s="193" t="s">
        <v>309</v>
      </c>
      <c r="N221" s="193" t="s">
        <v>497</v>
      </c>
      <c r="O221" s="193"/>
      <c r="P221" s="193" t="s">
        <v>381</v>
      </c>
      <c r="Q221" s="193" t="s">
        <v>295</v>
      </c>
      <c r="R221" s="192" t="s">
        <v>379</v>
      </c>
      <c r="S221" s="181"/>
      <c r="T221" s="181" t="s">
        <v>381</v>
      </c>
      <c r="U221" s="181" t="s">
        <v>295</v>
      </c>
      <c r="V221" s="199" t="s">
        <v>379</v>
      </c>
    </row>
    <row r="222" spans="1:22" outlineLevel="1">
      <c r="A222" s="199" t="s">
        <v>255</v>
      </c>
      <c r="B222" s="181" t="s">
        <v>747</v>
      </c>
      <c r="C222" s="190">
        <v>43585</v>
      </c>
      <c r="D222" s="181" t="s">
        <v>831</v>
      </c>
      <c r="E222" s="182" t="s">
        <v>515</v>
      </c>
      <c r="F222" s="183">
        <v>75694</v>
      </c>
      <c r="G222" s="184">
        <v>8.4600000000000009</v>
      </c>
      <c r="H222" s="181">
        <v>11.04</v>
      </c>
      <c r="I222" s="181" t="s">
        <v>292</v>
      </c>
      <c r="J222" s="191">
        <v>11.03</v>
      </c>
      <c r="K222" s="192" t="s">
        <v>405</v>
      </c>
      <c r="L222" s="193" t="s">
        <v>400</v>
      </c>
      <c r="M222" s="193" t="s">
        <v>309</v>
      </c>
      <c r="N222" s="193" t="s">
        <v>499</v>
      </c>
      <c r="O222" s="193"/>
      <c r="P222" s="193" t="s">
        <v>381</v>
      </c>
      <c r="Q222" s="193" t="s">
        <v>295</v>
      </c>
      <c r="R222" s="192" t="s">
        <v>379</v>
      </c>
      <c r="S222" s="181"/>
      <c r="T222" s="181" t="s">
        <v>381</v>
      </c>
      <c r="U222" s="181" t="s">
        <v>295</v>
      </c>
      <c r="V222" s="199" t="s">
        <v>379</v>
      </c>
    </row>
    <row r="223" spans="1:22" outlineLevel="1">
      <c r="A223" s="199" t="s">
        <v>255</v>
      </c>
      <c r="B223" s="181" t="s">
        <v>747</v>
      </c>
      <c r="C223" s="190">
        <v>43584</v>
      </c>
      <c r="D223" s="181" t="s">
        <v>832</v>
      </c>
      <c r="E223" s="182" t="s">
        <v>520</v>
      </c>
      <c r="F223" s="183">
        <v>75694</v>
      </c>
      <c r="G223" s="184">
        <v>0.38</v>
      </c>
      <c r="H223" s="181">
        <v>0.5</v>
      </c>
      <c r="I223" s="181" t="s">
        <v>292</v>
      </c>
      <c r="J223" s="191">
        <v>0.5</v>
      </c>
      <c r="K223" s="192" t="s">
        <v>405</v>
      </c>
      <c r="L223" s="193" t="s">
        <v>400</v>
      </c>
      <c r="M223" s="193" t="s">
        <v>309</v>
      </c>
      <c r="N223" s="193" t="s">
        <v>491</v>
      </c>
      <c r="O223" s="193"/>
      <c r="P223" s="193" t="s">
        <v>381</v>
      </c>
      <c r="Q223" s="193" t="s">
        <v>295</v>
      </c>
      <c r="R223" s="192" t="s">
        <v>379</v>
      </c>
      <c r="S223" s="181"/>
      <c r="T223" s="181" t="s">
        <v>381</v>
      </c>
      <c r="U223" s="181" t="s">
        <v>295</v>
      </c>
      <c r="V223" s="199" t="s">
        <v>379</v>
      </c>
    </row>
    <row r="224" spans="1:22" outlineLevel="1">
      <c r="A224" s="199" t="s">
        <v>255</v>
      </c>
      <c r="B224" s="181" t="s">
        <v>747</v>
      </c>
      <c r="C224" s="190">
        <v>43585</v>
      </c>
      <c r="D224" s="181" t="s">
        <v>831</v>
      </c>
      <c r="E224" s="182" t="s">
        <v>518</v>
      </c>
      <c r="F224" s="183">
        <v>75694</v>
      </c>
      <c r="G224" s="184">
        <v>5.73</v>
      </c>
      <c r="H224" s="181">
        <v>7.47</v>
      </c>
      <c r="I224" s="181" t="s">
        <v>292</v>
      </c>
      <c r="J224" s="191">
        <v>7.47</v>
      </c>
      <c r="K224" s="192" t="s">
        <v>405</v>
      </c>
      <c r="L224" s="193" t="s">
        <v>400</v>
      </c>
      <c r="M224" s="193" t="s">
        <v>309</v>
      </c>
      <c r="N224" s="193" t="s">
        <v>491</v>
      </c>
      <c r="O224" s="193"/>
      <c r="P224" s="193" t="s">
        <v>381</v>
      </c>
      <c r="Q224" s="193" t="s">
        <v>295</v>
      </c>
      <c r="R224" s="192" t="s">
        <v>379</v>
      </c>
      <c r="S224" s="181"/>
      <c r="T224" s="181" t="s">
        <v>381</v>
      </c>
      <c r="U224" s="181" t="s">
        <v>295</v>
      </c>
      <c r="V224" s="199" t="s">
        <v>379</v>
      </c>
    </row>
    <row r="225" spans="1:22" outlineLevel="1">
      <c r="A225" s="199" t="s">
        <v>255</v>
      </c>
      <c r="B225" s="181" t="s">
        <v>747</v>
      </c>
      <c r="C225" s="190">
        <v>43585</v>
      </c>
      <c r="D225" s="181" t="s">
        <v>792</v>
      </c>
      <c r="E225" s="182" t="s">
        <v>904</v>
      </c>
      <c r="F225" s="183">
        <v>75701</v>
      </c>
      <c r="G225" s="184">
        <v>0.96</v>
      </c>
      <c r="H225" s="181">
        <v>1.25</v>
      </c>
      <c r="I225" s="181" t="s">
        <v>292</v>
      </c>
      <c r="J225" s="191">
        <v>1.25</v>
      </c>
      <c r="K225" s="192" t="s">
        <v>405</v>
      </c>
      <c r="L225" s="193" t="s">
        <v>396</v>
      </c>
      <c r="M225" s="193" t="s">
        <v>309</v>
      </c>
      <c r="N225" s="193" t="s">
        <v>487</v>
      </c>
      <c r="O225" s="193"/>
      <c r="P225" s="193" t="s">
        <v>381</v>
      </c>
      <c r="Q225" s="193" t="s">
        <v>295</v>
      </c>
      <c r="R225" s="192" t="s">
        <v>379</v>
      </c>
      <c r="S225" s="181"/>
      <c r="T225" s="181" t="s">
        <v>381</v>
      </c>
      <c r="U225" s="181" t="s">
        <v>295</v>
      </c>
      <c r="V225" s="199" t="s">
        <v>379</v>
      </c>
    </row>
    <row r="226" spans="1:22" outlineLevel="1">
      <c r="A226" s="199" t="s">
        <v>255</v>
      </c>
      <c r="B226" s="181" t="s">
        <v>747</v>
      </c>
      <c r="C226" s="190">
        <v>43585</v>
      </c>
      <c r="D226" s="181" t="s">
        <v>792</v>
      </c>
      <c r="E226" s="182" t="s">
        <v>905</v>
      </c>
      <c r="F226" s="183">
        <v>75701</v>
      </c>
      <c r="G226" s="184">
        <v>12.87</v>
      </c>
      <c r="H226" s="181">
        <v>16.78</v>
      </c>
      <c r="I226" s="181" t="s">
        <v>292</v>
      </c>
      <c r="J226" s="191">
        <v>16.79</v>
      </c>
      <c r="K226" s="192" t="s">
        <v>405</v>
      </c>
      <c r="L226" s="193" t="s">
        <v>396</v>
      </c>
      <c r="M226" s="193" t="s">
        <v>309</v>
      </c>
      <c r="N226" s="193" t="s">
        <v>501</v>
      </c>
      <c r="O226" s="193"/>
      <c r="P226" s="193" t="s">
        <v>381</v>
      </c>
      <c r="Q226" s="193" t="s">
        <v>295</v>
      </c>
      <c r="R226" s="192" t="s">
        <v>379</v>
      </c>
      <c r="S226" s="181"/>
      <c r="T226" s="181" t="s">
        <v>381</v>
      </c>
      <c r="U226" s="181" t="s">
        <v>295</v>
      </c>
      <c r="V226" s="199" t="s">
        <v>379</v>
      </c>
    </row>
    <row r="227" spans="1:22" outlineLevel="1">
      <c r="A227" s="199" t="s">
        <v>255</v>
      </c>
      <c r="B227" s="181" t="s">
        <v>747</v>
      </c>
      <c r="C227" s="190">
        <v>43585</v>
      </c>
      <c r="D227" s="181" t="s">
        <v>792</v>
      </c>
      <c r="E227" s="182" t="s">
        <v>906</v>
      </c>
      <c r="F227" s="183">
        <v>75701</v>
      </c>
      <c r="G227" s="184">
        <v>8.0399999999999991</v>
      </c>
      <c r="H227" s="181">
        <v>10.49</v>
      </c>
      <c r="I227" s="181" t="s">
        <v>292</v>
      </c>
      <c r="J227" s="191">
        <v>10.49</v>
      </c>
      <c r="K227" s="192" t="s">
        <v>405</v>
      </c>
      <c r="L227" s="193" t="s">
        <v>396</v>
      </c>
      <c r="M227" s="193" t="s">
        <v>309</v>
      </c>
      <c r="N227" s="193" t="s">
        <v>489</v>
      </c>
      <c r="O227" s="193"/>
      <c r="P227" s="193" t="s">
        <v>381</v>
      </c>
      <c r="Q227" s="193" t="s">
        <v>295</v>
      </c>
      <c r="R227" s="192" t="s">
        <v>379</v>
      </c>
      <c r="S227" s="181"/>
      <c r="T227" s="181" t="s">
        <v>381</v>
      </c>
      <c r="U227" s="181" t="s">
        <v>295</v>
      </c>
      <c r="V227" s="199" t="s">
        <v>379</v>
      </c>
    </row>
    <row r="228" spans="1:22" outlineLevel="1">
      <c r="A228" s="199" t="s">
        <v>255</v>
      </c>
      <c r="B228" s="181" t="s">
        <v>777</v>
      </c>
      <c r="C228" s="190">
        <v>43609</v>
      </c>
      <c r="D228" s="181" t="s">
        <v>793</v>
      </c>
      <c r="E228" s="182" t="s">
        <v>907</v>
      </c>
      <c r="F228" s="183">
        <v>75987</v>
      </c>
      <c r="G228" s="184">
        <v>19.11</v>
      </c>
      <c r="H228" s="181">
        <v>24.9</v>
      </c>
      <c r="I228" s="181" t="s">
        <v>292</v>
      </c>
      <c r="J228" s="191">
        <v>24.9</v>
      </c>
      <c r="K228" s="192" t="s">
        <v>385</v>
      </c>
      <c r="L228" s="193" t="s">
        <v>396</v>
      </c>
      <c r="M228" s="193" t="s">
        <v>309</v>
      </c>
      <c r="N228" s="193" t="s">
        <v>908</v>
      </c>
      <c r="O228" s="193"/>
      <c r="P228" s="193" t="s">
        <v>381</v>
      </c>
      <c r="Q228" s="193" t="s">
        <v>295</v>
      </c>
      <c r="R228" s="192" t="s">
        <v>379</v>
      </c>
      <c r="S228" s="181"/>
      <c r="T228" s="181" t="s">
        <v>381</v>
      </c>
      <c r="U228" s="181" t="s">
        <v>295</v>
      </c>
      <c r="V228" s="199" t="s">
        <v>379</v>
      </c>
    </row>
    <row r="229" spans="1:22" outlineLevel="1">
      <c r="A229" s="199" t="s">
        <v>255</v>
      </c>
      <c r="B229" s="181" t="s">
        <v>777</v>
      </c>
      <c r="C229" s="190">
        <v>43609</v>
      </c>
      <c r="D229" s="181" t="s">
        <v>793</v>
      </c>
      <c r="E229" s="182" t="s">
        <v>909</v>
      </c>
      <c r="F229" s="183">
        <v>75987</v>
      </c>
      <c r="G229" s="184">
        <v>224.11</v>
      </c>
      <c r="H229" s="181">
        <v>292</v>
      </c>
      <c r="I229" s="181" t="s">
        <v>292</v>
      </c>
      <c r="J229" s="191">
        <v>292</v>
      </c>
      <c r="K229" s="192" t="s">
        <v>385</v>
      </c>
      <c r="L229" s="193" t="s">
        <v>396</v>
      </c>
      <c r="M229" s="193" t="s">
        <v>309</v>
      </c>
      <c r="N229" s="193" t="s">
        <v>487</v>
      </c>
      <c r="O229" s="193"/>
      <c r="P229" s="193" t="s">
        <v>381</v>
      </c>
      <c r="Q229" s="193" t="s">
        <v>295</v>
      </c>
      <c r="R229" s="192" t="s">
        <v>379</v>
      </c>
      <c r="S229" s="181"/>
      <c r="T229" s="181" t="s">
        <v>381</v>
      </c>
      <c r="U229" s="181" t="s">
        <v>295</v>
      </c>
      <c r="V229" s="199" t="s">
        <v>379</v>
      </c>
    </row>
    <row r="230" spans="1:22" outlineLevel="1">
      <c r="A230" s="199" t="s">
        <v>255</v>
      </c>
      <c r="B230" s="181" t="s">
        <v>777</v>
      </c>
      <c r="C230" s="190">
        <v>43609</v>
      </c>
      <c r="D230" s="181" t="s">
        <v>793</v>
      </c>
      <c r="E230" s="182" t="s">
        <v>910</v>
      </c>
      <c r="F230" s="183">
        <v>75987</v>
      </c>
      <c r="G230" s="184">
        <v>18.27</v>
      </c>
      <c r="H230" s="181">
        <v>23.81</v>
      </c>
      <c r="I230" s="181" t="s">
        <v>292</v>
      </c>
      <c r="J230" s="191">
        <v>23.8</v>
      </c>
      <c r="K230" s="192" t="s">
        <v>385</v>
      </c>
      <c r="L230" s="193" t="s">
        <v>396</v>
      </c>
      <c r="M230" s="193" t="s">
        <v>309</v>
      </c>
      <c r="N230" s="193" t="s">
        <v>628</v>
      </c>
      <c r="O230" s="193"/>
      <c r="P230" s="193" t="s">
        <v>381</v>
      </c>
      <c r="Q230" s="193" t="s">
        <v>295</v>
      </c>
      <c r="R230" s="192" t="s">
        <v>379</v>
      </c>
      <c r="S230" s="181"/>
      <c r="T230" s="181" t="s">
        <v>381</v>
      </c>
      <c r="U230" s="181" t="s">
        <v>295</v>
      </c>
      <c r="V230" s="199" t="s">
        <v>379</v>
      </c>
    </row>
    <row r="231" spans="1:22" outlineLevel="1">
      <c r="A231" s="199" t="s">
        <v>255</v>
      </c>
      <c r="B231" s="181" t="s">
        <v>777</v>
      </c>
      <c r="C231" s="190">
        <v>43610</v>
      </c>
      <c r="D231" s="181" t="s">
        <v>833</v>
      </c>
      <c r="E231" s="182" t="s">
        <v>490</v>
      </c>
      <c r="F231" s="183">
        <v>75988</v>
      </c>
      <c r="G231" s="184">
        <v>250.33</v>
      </c>
      <c r="H231" s="181">
        <v>326.16000000000003</v>
      </c>
      <c r="I231" s="181" t="s">
        <v>292</v>
      </c>
      <c r="J231" s="191">
        <v>326.17</v>
      </c>
      <c r="K231" s="192" t="s">
        <v>385</v>
      </c>
      <c r="L231" s="193" t="s">
        <v>400</v>
      </c>
      <c r="M231" s="193" t="s">
        <v>309</v>
      </c>
      <c r="N231" s="193" t="s">
        <v>491</v>
      </c>
      <c r="O231" s="193"/>
      <c r="P231" s="193" t="s">
        <v>381</v>
      </c>
      <c r="Q231" s="193" t="s">
        <v>295</v>
      </c>
      <c r="R231" s="192" t="s">
        <v>379</v>
      </c>
      <c r="S231" s="181"/>
      <c r="T231" s="181" t="s">
        <v>381</v>
      </c>
      <c r="U231" s="181" t="s">
        <v>295</v>
      </c>
      <c r="V231" s="199" t="s">
        <v>379</v>
      </c>
    </row>
    <row r="232" spans="1:22" outlineLevel="1">
      <c r="A232" s="199" t="s">
        <v>255</v>
      </c>
      <c r="B232" s="181" t="s">
        <v>777</v>
      </c>
      <c r="C232" s="190">
        <v>43610</v>
      </c>
      <c r="D232" s="181" t="s">
        <v>833</v>
      </c>
      <c r="E232" s="182" t="s">
        <v>492</v>
      </c>
      <c r="F232" s="183">
        <v>75988</v>
      </c>
      <c r="G232" s="184">
        <v>101.49</v>
      </c>
      <c r="H232" s="181">
        <v>132.22999999999999</v>
      </c>
      <c r="I232" s="181" t="s">
        <v>292</v>
      </c>
      <c r="J232" s="191">
        <v>132.24</v>
      </c>
      <c r="K232" s="192" t="s">
        <v>385</v>
      </c>
      <c r="L232" s="193" t="s">
        <v>400</v>
      </c>
      <c r="M232" s="193" t="s">
        <v>309</v>
      </c>
      <c r="N232" s="193" t="s">
        <v>493</v>
      </c>
      <c r="O232" s="193"/>
      <c r="P232" s="193" t="s">
        <v>381</v>
      </c>
      <c r="Q232" s="193" t="s">
        <v>295</v>
      </c>
      <c r="R232" s="192" t="s">
        <v>379</v>
      </c>
      <c r="S232" s="181"/>
      <c r="T232" s="181" t="s">
        <v>381</v>
      </c>
      <c r="U232" s="181" t="s">
        <v>295</v>
      </c>
      <c r="V232" s="199" t="s">
        <v>379</v>
      </c>
    </row>
    <row r="233" spans="1:22" outlineLevel="1">
      <c r="A233" s="199" t="s">
        <v>255</v>
      </c>
      <c r="B233" s="181" t="s">
        <v>777</v>
      </c>
      <c r="C233" s="190">
        <v>43610</v>
      </c>
      <c r="D233" s="181" t="s">
        <v>833</v>
      </c>
      <c r="E233" s="182" t="s">
        <v>494</v>
      </c>
      <c r="F233" s="183">
        <v>75988</v>
      </c>
      <c r="G233" s="184">
        <v>137.80000000000001</v>
      </c>
      <c r="H233" s="181">
        <v>179.55</v>
      </c>
      <c r="I233" s="181" t="s">
        <v>292</v>
      </c>
      <c r="J233" s="191">
        <v>179.55</v>
      </c>
      <c r="K233" s="192" t="s">
        <v>385</v>
      </c>
      <c r="L233" s="193" t="s">
        <v>400</v>
      </c>
      <c r="M233" s="193" t="s">
        <v>309</v>
      </c>
      <c r="N233" s="193" t="s">
        <v>495</v>
      </c>
      <c r="O233" s="193"/>
      <c r="P233" s="193" t="s">
        <v>381</v>
      </c>
      <c r="Q233" s="193" t="s">
        <v>295</v>
      </c>
      <c r="R233" s="192" t="s">
        <v>379</v>
      </c>
      <c r="S233" s="181"/>
      <c r="T233" s="181" t="s">
        <v>381</v>
      </c>
      <c r="U233" s="181" t="s">
        <v>295</v>
      </c>
      <c r="V233" s="199" t="s">
        <v>379</v>
      </c>
    </row>
    <row r="234" spans="1:22" outlineLevel="1">
      <c r="A234" s="199" t="s">
        <v>255</v>
      </c>
      <c r="B234" s="181" t="s">
        <v>777</v>
      </c>
      <c r="C234" s="190">
        <v>43610</v>
      </c>
      <c r="D234" s="181" t="s">
        <v>833</v>
      </c>
      <c r="E234" s="182" t="s">
        <v>496</v>
      </c>
      <c r="F234" s="183">
        <v>75988</v>
      </c>
      <c r="G234" s="184">
        <v>410.79</v>
      </c>
      <c r="H234" s="181">
        <v>535.24</v>
      </c>
      <c r="I234" s="181" t="s">
        <v>292</v>
      </c>
      <c r="J234" s="191">
        <v>535.24</v>
      </c>
      <c r="K234" s="192" t="s">
        <v>385</v>
      </c>
      <c r="L234" s="193" t="s">
        <v>400</v>
      </c>
      <c r="M234" s="193" t="s">
        <v>309</v>
      </c>
      <c r="N234" s="193" t="s">
        <v>497</v>
      </c>
      <c r="O234" s="193"/>
      <c r="P234" s="193" t="s">
        <v>381</v>
      </c>
      <c r="Q234" s="193" t="s">
        <v>295</v>
      </c>
      <c r="R234" s="192" t="s">
        <v>379</v>
      </c>
      <c r="S234" s="181"/>
      <c r="T234" s="181" t="s">
        <v>381</v>
      </c>
      <c r="U234" s="181" t="s">
        <v>295</v>
      </c>
      <c r="V234" s="199" t="s">
        <v>379</v>
      </c>
    </row>
    <row r="235" spans="1:22" outlineLevel="1">
      <c r="A235" s="199" t="s">
        <v>255</v>
      </c>
      <c r="B235" s="181" t="s">
        <v>777</v>
      </c>
      <c r="C235" s="190">
        <v>43610</v>
      </c>
      <c r="D235" s="181" t="s">
        <v>833</v>
      </c>
      <c r="E235" s="182" t="s">
        <v>498</v>
      </c>
      <c r="F235" s="183">
        <v>75988</v>
      </c>
      <c r="G235" s="184">
        <v>360.32</v>
      </c>
      <c r="H235" s="181">
        <v>469.48</v>
      </c>
      <c r="I235" s="181" t="s">
        <v>292</v>
      </c>
      <c r="J235" s="191">
        <v>469.48</v>
      </c>
      <c r="K235" s="192" t="s">
        <v>385</v>
      </c>
      <c r="L235" s="193" t="s">
        <v>400</v>
      </c>
      <c r="M235" s="193" t="s">
        <v>309</v>
      </c>
      <c r="N235" s="193" t="s">
        <v>499</v>
      </c>
      <c r="O235" s="193"/>
      <c r="P235" s="193" t="s">
        <v>381</v>
      </c>
      <c r="Q235" s="193" t="s">
        <v>295</v>
      </c>
      <c r="R235" s="192" t="s">
        <v>379</v>
      </c>
      <c r="S235" s="181"/>
      <c r="T235" s="181" t="s">
        <v>381</v>
      </c>
      <c r="U235" s="181" t="s">
        <v>295</v>
      </c>
      <c r="V235" s="199" t="s">
        <v>379</v>
      </c>
    </row>
    <row r="236" spans="1:22" outlineLevel="1">
      <c r="A236" s="199" t="s">
        <v>255</v>
      </c>
      <c r="B236" s="181" t="s">
        <v>777</v>
      </c>
      <c r="C236" s="190">
        <v>43609</v>
      </c>
      <c r="D236" s="181" t="s">
        <v>795</v>
      </c>
      <c r="E236" s="182" t="s">
        <v>911</v>
      </c>
      <c r="F236" s="183">
        <v>75987</v>
      </c>
      <c r="G236" s="184">
        <v>1.6</v>
      </c>
      <c r="H236" s="181">
        <v>2.08</v>
      </c>
      <c r="I236" s="181" t="s">
        <v>292</v>
      </c>
      <c r="J236" s="191">
        <v>2.08</v>
      </c>
      <c r="K236" s="192" t="s">
        <v>385</v>
      </c>
      <c r="L236" s="193" t="s">
        <v>396</v>
      </c>
      <c r="M236" s="193" t="s">
        <v>309</v>
      </c>
      <c r="N236" s="193" t="s">
        <v>908</v>
      </c>
      <c r="O236" s="193"/>
      <c r="P236" s="193" t="s">
        <v>381</v>
      </c>
      <c r="Q236" s="193" t="s">
        <v>295</v>
      </c>
      <c r="R236" s="192" t="s">
        <v>379</v>
      </c>
      <c r="S236" s="181"/>
      <c r="T236" s="181" t="s">
        <v>381</v>
      </c>
      <c r="U236" s="181" t="s">
        <v>295</v>
      </c>
      <c r="V236" s="199" t="s">
        <v>379</v>
      </c>
    </row>
    <row r="237" spans="1:22" outlineLevel="1">
      <c r="A237" s="199" t="s">
        <v>255</v>
      </c>
      <c r="B237" s="181" t="s">
        <v>777</v>
      </c>
      <c r="C237" s="190">
        <v>43609</v>
      </c>
      <c r="D237" s="181" t="s">
        <v>795</v>
      </c>
      <c r="E237" s="182" t="s">
        <v>912</v>
      </c>
      <c r="F237" s="183">
        <v>75987</v>
      </c>
      <c r="G237" s="184">
        <v>18.34</v>
      </c>
      <c r="H237" s="181">
        <v>23.89</v>
      </c>
      <c r="I237" s="181" t="s">
        <v>292</v>
      </c>
      <c r="J237" s="191">
        <v>23.9</v>
      </c>
      <c r="K237" s="192" t="s">
        <v>385</v>
      </c>
      <c r="L237" s="193" t="s">
        <v>396</v>
      </c>
      <c r="M237" s="193" t="s">
        <v>309</v>
      </c>
      <c r="N237" s="193" t="s">
        <v>487</v>
      </c>
      <c r="O237" s="193"/>
      <c r="P237" s="193" t="s">
        <v>381</v>
      </c>
      <c r="Q237" s="193" t="s">
        <v>295</v>
      </c>
      <c r="R237" s="192" t="s">
        <v>379</v>
      </c>
      <c r="S237" s="181"/>
      <c r="T237" s="181" t="s">
        <v>381</v>
      </c>
      <c r="U237" s="181" t="s">
        <v>295</v>
      </c>
      <c r="V237" s="199" t="s">
        <v>379</v>
      </c>
    </row>
    <row r="238" spans="1:22" outlineLevel="1">
      <c r="A238" s="199" t="s">
        <v>255</v>
      </c>
      <c r="B238" s="181" t="s">
        <v>777</v>
      </c>
      <c r="C238" s="190">
        <v>43609</v>
      </c>
      <c r="D238" s="181" t="s">
        <v>795</v>
      </c>
      <c r="E238" s="182" t="s">
        <v>913</v>
      </c>
      <c r="F238" s="183">
        <v>75987</v>
      </c>
      <c r="G238" s="184">
        <v>1.71</v>
      </c>
      <c r="H238" s="181">
        <v>2.23</v>
      </c>
      <c r="I238" s="181" t="s">
        <v>292</v>
      </c>
      <c r="J238" s="191">
        <v>2.23</v>
      </c>
      <c r="K238" s="192" t="s">
        <v>385</v>
      </c>
      <c r="L238" s="193" t="s">
        <v>396</v>
      </c>
      <c r="M238" s="193" t="s">
        <v>309</v>
      </c>
      <c r="N238" s="193" t="s">
        <v>628</v>
      </c>
      <c r="O238" s="193"/>
      <c r="P238" s="193" t="s">
        <v>381</v>
      </c>
      <c r="Q238" s="193" t="s">
        <v>295</v>
      </c>
      <c r="R238" s="192" t="s">
        <v>379</v>
      </c>
      <c r="S238" s="181"/>
      <c r="T238" s="181" t="s">
        <v>381</v>
      </c>
      <c r="U238" s="181" t="s">
        <v>295</v>
      </c>
      <c r="V238" s="199" t="s">
        <v>379</v>
      </c>
    </row>
    <row r="239" spans="1:22" outlineLevel="1">
      <c r="A239" s="199" t="s">
        <v>255</v>
      </c>
      <c r="B239" s="181" t="s">
        <v>777</v>
      </c>
      <c r="C239" s="190">
        <v>43609</v>
      </c>
      <c r="D239" s="181" t="s">
        <v>795</v>
      </c>
      <c r="E239" s="182" t="s">
        <v>914</v>
      </c>
      <c r="F239" s="183">
        <v>75987</v>
      </c>
      <c r="G239" s="184">
        <v>8.24</v>
      </c>
      <c r="H239" s="181">
        <v>10.74</v>
      </c>
      <c r="I239" s="181" t="s">
        <v>292</v>
      </c>
      <c r="J239" s="191">
        <v>10.74</v>
      </c>
      <c r="K239" s="192" t="s">
        <v>385</v>
      </c>
      <c r="L239" s="193" t="s">
        <v>396</v>
      </c>
      <c r="M239" s="193" t="s">
        <v>309</v>
      </c>
      <c r="N239" s="193" t="s">
        <v>915</v>
      </c>
      <c r="O239" s="193"/>
      <c r="P239" s="193" t="s">
        <v>381</v>
      </c>
      <c r="Q239" s="193" t="s">
        <v>295</v>
      </c>
      <c r="R239" s="192" t="s">
        <v>379</v>
      </c>
      <c r="S239" s="181"/>
      <c r="T239" s="181" t="s">
        <v>381</v>
      </c>
      <c r="U239" s="181" t="s">
        <v>295</v>
      </c>
      <c r="V239" s="199" t="s">
        <v>379</v>
      </c>
    </row>
    <row r="240" spans="1:22" outlineLevel="1">
      <c r="A240" s="199" t="s">
        <v>255</v>
      </c>
      <c r="B240" s="181" t="s">
        <v>777</v>
      </c>
      <c r="C240" s="190">
        <v>43609</v>
      </c>
      <c r="D240" s="181" t="s">
        <v>795</v>
      </c>
      <c r="E240" s="182" t="s">
        <v>916</v>
      </c>
      <c r="F240" s="183">
        <v>75987</v>
      </c>
      <c r="G240" s="184">
        <v>63.42</v>
      </c>
      <c r="H240" s="181">
        <v>82.63</v>
      </c>
      <c r="I240" s="181" t="s">
        <v>292</v>
      </c>
      <c r="J240" s="191">
        <v>82.63</v>
      </c>
      <c r="K240" s="192" t="s">
        <v>385</v>
      </c>
      <c r="L240" s="193" t="s">
        <v>396</v>
      </c>
      <c r="M240" s="193" t="s">
        <v>309</v>
      </c>
      <c r="N240" s="193" t="s">
        <v>489</v>
      </c>
      <c r="O240" s="193"/>
      <c r="P240" s="193" t="s">
        <v>381</v>
      </c>
      <c r="Q240" s="193" t="s">
        <v>295</v>
      </c>
      <c r="R240" s="192" t="s">
        <v>379</v>
      </c>
      <c r="S240" s="181"/>
      <c r="T240" s="181" t="s">
        <v>381</v>
      </c>
      <c r="U240" s="181" t="s">
        <v>295</v>
      </c>
      <c r="V240" s="199" t="s">
        <v>379</v>
      </c>
    </row>
    <row r="241" spans="1:22" outlineLevel="1">
      <c r="A241" s="199" t="s">
        <v>255</v>
      </c>
      <c r="B241" s="181" t="s">
        <v>777</v>
      </c>
      <c r="C241" s="190">
        <v>43609</v>
      </c>
      <c r="D241" s="181" t="s">
        <v>793</v>
      </c>
      <c r="E241" s="182" t="s">
        <v>917</v>
      </c>
      <c r="F241" s="183">
        <v>75987</v>
      </c>
      <c r="G241" s="184">
        <v>109.71</v>
      </c>
      <c r="H241" s="181">
        <v>142.94999999999999</v>
      </c>
      <c r="I241" s="181" t="s">
        <v>292</v>
      </c>
      <c r="J241" s="191">
        <v>142.94999999999999</v>
      </c>
      <c r="K241" s="192" t="s">
        <v>385</v>
      </c>
      <c r="L241" s="193" t="s">
        <v>396</v>
      </c>
      <c r="M241" s="193" t="s">
        <v>309</v>
      </c>
      <c r="N241" s="193" t="s">
        <v>915</v>
      </c>
      <c r="O241" s="193"/>
      <c r="P241" s="193" t="s">
        <v>381</v>
      </c>
      <c r="Q241" s="193" t="s">
        <v>295</v>
      </c>
      <c r="R241" s="192" t="s">
        <v>379</v>
      </c>
      <c r="S241" s="181"/>
      <c r="T241" s="181" t="s">
        <v>381</v>
      </c>
      <c r="U241" s="181" t="s">
        <v>295</v>
      </c>
      <c r="V241" s="199" t="s">
        <v>379</v>
      </c>
    </row>
    <row r="242" spans="1:22" outlineLevel="1">
      <c r="A242" s="199" t="s">
        <v>255</v>
      </c>
      <c r="B242" s="181" t="s">
        <v>777</v>
      </c>
      <c r="C242" s="190">
        <v>43609</v>
      </c>
      <c r="D242" s="181" t="s">
        <v>795</v>
      </c>
      <c r="E242" s="182" t="s">
        <v>918</v>
      </c>
      <c r="F242" s="183">
        <v>75987</v>
      </c>
      <c r="G242" s="184">
        <v>80.790000000000006</v>
      </c>
      <c r="H242" s="181">
        <v>105.27</v>
      </c>
      <c r="I242" s="181" t="s">
        <v>292</v>
      </c>
      <c r="J242" s="191">
        <v>105.26</v>
      </c>
      <c r="K242" s="192" t="s">
        <v>385</v>
      </c>
      <c r="L242" s="193" t="s">
        <v>396</v>
      </c>
      <c r="M242" s="193" t="s">
        <v>309</v>
      </c>
      <c r="N242" s="193" t="s">
        <v>501</v>
      </c>
      <c r="O242" s="193"/>
      <c r="P242" s="193" t="s">
        <v>381</v>
      </c>
      <c r="Q242" s="193" t="s">
        <v>295</v>
      </c>
      <c r="R242" s="192" t="s">
        <v>379</v>
      </c>
      <c r="S242" s="181"/>
      <c r="T242" s="181" t="s">
        <v>381</v>
      </c>
      <c r="U242" s="181" t="s">
        <v>295</v>
      </c>
      <c r="V242" s="199" t="s">
        <v>379</v>
      </c>
    </row>
    <row r="243" spans="1:22" outlineLevel="1">
      <c r="A243" s="199" t="s">
        <v>255</v>
      </c>
      <c r="B243" s="181" t="s">
        <v>777</v>
      </c>
      <c r="C243" s="190">
        <v>43609</v>
      </c>
      <c r="D243" s="181" t="s">
        <v>793</v>
      </c>
      <c r="E243" s="182" t="s">
        <v>919</v>
      </c>
      <c r="F243" s="183">
        <v>75987</v>
      </c>
      <c r="G243" s="184">
        <v>557.87</v>
      </c>
      <c r="H243" s="181">
        <v>726.87</v>
      </c>
      <c r="I243" s="181" t="s">
        <v>292</v>
      </c>
      <c r="J243" s="191">
        <v>726.87</v>
      </c>
      <c r="K243" s="192" t="s">
        <v>385</v>
      </c>
      <c r="L243" s="193" t="s">
        <v>396</v>
      </c>
      <c r="M243" s="193" t="s">
        <v>309</v>
      </c>
      <c r="N243" s="193" t="s">
        <v>501</v>
      </c>
      <c r="O243" s="193"/>
      <c r="P243" s="193" t="s">
        <v>381</v>
      </c>
      <c r="Q243" s="193" t="s">
        <v>295</v>
      </c>
      <c r="R243" s="192" t="s">
        <v>379</v>
      </c>
      <c r="S243" s="181"/>
      <c r="T243" s="181" t="s">
        <v>381</v>
      </c>
      <c r="U243" s="181" t="s">
        <v>295</v>
      </c>
      <c r="V243" s="199" t="s">
        <v>379</v>
      </c>
    </row>
    <row r="244" spans="1:22" outlineLevel="1">
      <c r="A244" s="199" t="s">
        <v>255</v>
      </c>
      <c r="B244" s="181" t="s">
        <v>777</v>
      </c>
      <c r="C244" s="190">
        <v>43609</v>
      </c>
      <c r="D244" s="181" t="s">
        <v>793</v>
      </c>
      <c r="E244" s="182" t="s">
        <v>920</v>
      </c>
      <c r="F244" s="183">
        <v>75987</v>
      </c>
      <c r="G244" s="184">
        <v>529.14</v>
      </c>
      <c r="H244" s="181">
        <v>689.44</v>
      </c>
      <c r="I244" s="181" t="s">
        <v>292</v>
      </c>
      <c r="J244" s="191">
        <v>689.44</v>
      </c>
      <c r="K244" s="192" t="s">
        <v>385</v>
      </c>
      <c r="L244" s="193" t="s">
        <v>396</v>
      </c>
      <c r="M244" s="193" t="s">
        <v>309</v>
      </c>
      <c r="N244" s="193" t="s">
        <v>489</v>
      </c>
      <c r="O244" s="193"/>
      <c r="P244" s="193" t="s">
        <v>381</v>
      </c>
      <c r="Q244" s="193" t="s">
        <v>295</v>
      </c>
      <c r="R244" s="192" t="s">
        <v>379</v>
      </c>
      <c r="S244" s="181"/>
      <c r="T244" s="181" t="s">
        <v>381</v>
      </c>
      <c r="U244" s="181" t="s">
        <v>295</v>
      </c>
      <c r="V244" s="199" t="s">
        <v>379</v>
      </c>
    </row>
    <row r="245" spans="1:22" outlineLevel="1">
      <c r="A245" s="199" t="s">
        <v>255</v>
      </c>
      <c r="B245" s="181" t="s">
        <v>777</v>
      </c>
      <c r="C245" s="190">
        <v>43609</v>
      </c>
      <c r="D245" s="181" t="s">
        <v>797</v>
      </c>
      <c r="E245" s="182" t="s">
        <v>921</v>
      </c>
      <c r="F245" s="183">
        <v>75987</v>
      </c>
      <c r="G245" s="184">
        <v>2.5099999999999998</v>
      </c>
      <c r="H245" s="181">
        <v>3.27</v>
      </c>
      <c r="I245" s="181" t="s">
        <v>292</v>
      </c>
      <c r="J245" s="191">
        <v>3.27</v>
      </c>
      <c r="K245" s="192" t="s">
        <v>391</v>
      </c>
      <c r="L245" s="193" t="s">
        <v>396</v>
      </c>
      <c r="M245" s="193" t="s">
        <v>309</v>
      </c>
      <c r="N245" s="193" t="s">
        <v>908</v>
      </c>
      <c r="O245" s="193"/>
      <c r="P245" s="193" t="s">
        <v>381</v>
      </c>
      <c r="Q245" s="193" t="s">
        <v>295</v>
      </c>
      <c r="R245" s="192" t="s">
        <v>379</v>
      </c>
      <c r="S245" s="181"/>
      <c r="T245" s="181" t="s">
        <v>381</v>
      </c>
      <c r="U245" s="181" t="s">
        <v>295</v>
      </c>
      <c r="V245" s="199" t="s">
        <v>379</v>
      </c>
    </row>
    <row r="246" spans="1:22" outlineLevel="1">
      <c r="A246" s="199" t="s">
        <v>255</v>
      </c>
      <c r="B246" s="181" t="s">
        <v>777</v>
      </c>
      <c r="C246" s="190">
        <v>43609</v>
      </c>
      <c r="D246" s="181" t="s">
        <v>797</v>
      </c>
      <c r="E246" s="182" t="s">
        <v>922</v>
      </c>
      <c r="F246" s="183">
        <v>75987</v>
      </c>
      <c r="G246" s="184">
        <v>28.78</v>
      </c>
      <c r="H246" s="181">
        <v>37.5</v>
      </c>
      <c r="I246" s="181" t="s">
        <v>292</v>
      </c>
      <c r="J246" s="191">
        <v>37.5</v>
      </c>
      <c r="K246" s="192" t="s">
        <v>391</v>
      </c>
      <c r="L246" s="193" t="s">
        <v>396</v>
      </c>
      <c r="M246" s="193" t="s">
        <v>309</v>
      </c>
      <c r="N246" s="193" t="s">
        <v>487</v>
      </c>
      <c r="O246" s="193"/>
      <c r="P246" s="193" t="s">
        <v>381</v>
      </c>
      <c r="Q246" s="193" t="s">
        <v>295</v>
      </c>
      <c r="R246" s="192" t="s">
        <v>379</v>
      </c>
      <c r="S246" s="181"/>
      <c r="T246" s="181" t="s">
        <v>381</v>
      </c>
      <c r="U246" s="181" t="s">
        <v>295</v>
      </c>
      <c r="V246" s="199" t="s">
        <v>379</v>
      </c>
    </row>
    <row r="247" spans="1:22" outlineLevel="1">
      <c r="A247" s="199" t="s">
        <v>255</v>
      </c>
      <c r="B247" s="181" t="s">
        <v>777</v>
      </c>
      <c r="C247" s="190">
        <v>43609</v>
      </c>
      <c r="D247" s="181" t="s">
        <v>797</v>
      </c>
      <c r="E247" s="182" t="s">
        <v>923</v>
      </c>
      <c r="F247" s="183">
        <v>75987</v>
      </c>
      <c r="G247" s="184">
        <v>2.5099999999999998</v>
      </c>
      <c r="H247" s="181">
        <v>3.27</v>
      </c>
      <c r="I247" s="181" t="s">
        <v>292</v>
      </c>
      <c r="J247" s="191">
        <v>3.27</v>
      </c>
      <c r="K247" s="192" t="s">
        <v>391</v>
      </c>
      <c r="L247" s="193" t="s">
        <v>396</v>
      </c>
      <c r="M247" s="193" t="s">
        <v>309</v>
      </c>
      <c r="N247" s="193" t="s">
        <v>628</v>
      </c>
      <c r="O247" s="193"/>
      <c r="P247" s="193" t="s">
        <v>381</v>
      </c>
      <c r="Q247" s="193" t="s">
        <v>295</v>
      </c>
      <c r="R247" s="192" t="s">
        <v>379</v>
      </c>
      <c r="S247" s="181"/>
      <c r="T247" s="181" t="s">
        <v>381</v>
      </c>
      <c r="U247" s="181" t="s">
        <v>295</v>
      </c>
      <c r="V247" s="199" t="s">
        <v>379</v>
      </c>
    </row>
    <row r="248" spans="1:22" outlineLevel="1">
      <c r="A248" s="199" t="s">
        <v>255</v>
      </c>
      <c r="B248" s="181" t="s">
        <v>777</v>
      </c>
      <c r="C248" s="190">
        <v>43609</v>
      </c>
      <c r="D248" s="181" t="s">
        <v>797</v>
      </c>
      <c r="E248" s="182" t="s">
        <v>924</v>
      </c>
      <c r="F248" s="183">
        <v>75987</v>
      </c>
      <c r="G248" s="184">
        <v>88.29</v>
      </c>
      <c r="H248" s="181">
        <v>115.04</v>
      </c>
      <c r="I248" s="181" t="s">
        <v>292</v>
      </c>
      <c r="J248" s="191">
        <v>115.04</v>
      </c>
      <c r="K248" s="192" t="s">
        <v>391</v>
      </c>
      <c r="L248" s="193" t="s">
        <v>396</v>
      </c>
      <c r="M248" s="193" t="s">
        <v>309</v>
      </c>
      <c r="N248" s="193" t="s">
        <v>501</v>
      </c>
      <c r="O248" s="193"/>
      <c r="P248" s="193" t="s">
        <v>381</v>
      </c>
      <c r="Q248" s="193" t="s">
        <v>295</v>
      </c>
      <c r="R248" s="192" t="s">
        <v>379</v>
      </c>
      <c r="S248" s="181"/>
      <c r="T248" s="181" t="s">
        <v>381</v>
      </c>
      <c r="U248" s="181" t="s">
        <v>295</v>
      </c>
      <c r="V248" s="199" t="s">
        <v>379</v>
      </c>
    </row>
    <row r="249" spans="1:22" outlineLevel="1">
      <c r="A249" s="199" t="s">
        <v>255</v>
      </c>
      <c r="B249" s="181" t="s">
        <v>777</v>
      </c>
      <c r="C249" s="190">
        <v>43609</v>
      </c>
      <c r="D249" s="181" t="s">
        <v>797</v>
      </c>
      <c r="E249" s="182" t="s">
        <v>925</v>
      </c>
      <c r="F249" s="183">
        <v>75987</v>
      </c>
      <c r="G249" s="184">
        <v>80.48</v>
      </c>
      <c r="H249" s="181">
        <v>104.86</v>
      </c>
      <c r="I249" s="181" t="s">
        <v>292</v>
      </c>
      <c r="J249" s="191">
        <v>104.86</v>
      </c>
      <c r="K249" s="192" t="s">
        <v>391</v>
      </c>
      <c r="L249" s="193" t="s">
        <v>396</v>
      </c>
      <c r="M249" s="193" t="s">
        <v>309</v>
      </c>
      <c r="N249" s="193" t="s">
        <v>489</v>
      </c>
      <c r="O249" s="193"/>
      <c r="P249" s="193" t="s">
        <v>381</v>
      </c>
      <c r="Q249" s="193" t="s">
        <v>295</v>
      </c>
      <c r="R249" s="192" t="s">
        <v>379</v>
      </c>
      <c r="S249" s="181"/>
      <c r="T249" s="181" t="s">
        <v>381</v>
      </c>
      <c r="U249" s="181" t="s">
        <v>295</v>
      </c>
      <c r="V249" s="199" t="s">
        <v>379</v>
      </c>
    </row>
    <row r="250" spans="1:22" outlineLevel="1">
      <c r="A250" s="199" t="s">
        <v>255</v>
      </c>
      <c r="B250" s="181" t="s">
        <v>777</v>
      </c>
      <c r="C250" s="190">
        <v>43609</v>
      </c>
      <c r="D250" s="181" t="s">
        <v>797</v>
      </c>
      <c r="E250" s="182" t="s">
        <v>926</v>
      </c>
      <c r="F250" s="183">
        <v>75987</v>
      </c>
      <c r="G250" s="184">
        <v>13.04</v>
      </c>
      <c r="H250" s="181">
        <v>16.989999999999998</v>
      </c>
      <c r="I250" s="181" t="s">
        <v>292</v>
      </c>
      <c r="J250" s="191">
        <v>16.989999999999998</v>
      </c>
      <c r="K250" s="192" t="s">
        <v>391</v>
      </c>
      <c r="L250" s="193" t="s">
        <v>396</v>
      </c>
      <c r="M250" s="193" t="s">
        <v>309</v>
      </c>
      <c r="N250" s="193" t="s">
        <v>915</v>
      </c>
      <c r="O250" s="193"/>
      <c r="P250" s="193" t="s">
        <v>381</v>
      </c>
      <c r="Q250" s="193" t="s">
        <v>295</v>
      </c>
      <c r="R250" s="192" t="s">
        <v>379</v>
      </c>
      <c r="S250" s="181"/>
      <c r="T250" s="181" t="s">
        <v>381</v>
      </c>
      <c r="U250" s="181" t="s">
        <v>295</v>
      </c>
      <c r="V250" s="199" t="s">
        <v>379</v>
      </c>
    </row>
    <row r="251" spans="1:22" outlineLevel="1">
      <c r="A251" s="199" t="s">
        <v>255</v>
      </c>
      <c r="B251" s="181" t="s">
        <v>777</v>
      </c>
      <c r="C251" s="190">
        <v>43610</v>
      </c>
      <c r="D251" s="181" t="s">
        <v>834</v>
      </c>
      <c r="E251" s="182" t="s">
        <v>927</v>
      </c>
      <c r="F251" s="183">
        <v>75988</v>
      </c>
      <c r="G251" s="184">
        <v>16.920000000000002</v>
      </c>
      <c r="H251" s="181">
        <v>22.04</v>
      </c>
      <c r="I251" s="181" t="s">
        <v>292</v>
      </c>
      <c r="J251" s="191">
        <v>22.05</v>
      </c>
      <c r="K251" s="192" t="s">
        <v>391</v>
      </c>
      <c r="L251" s="193" t="s">
        <v>400</v>
      </c>
      <c r="M251" s="193" t="s">
        <v>309</v>
      </c>
      <c r="N251" s="193" t="s">
        <v>495</v>
      </c>
      <c r="O251" s="193"/>
      <c r="P251" s="193" t="s">
        <v>381</v>
      </c>
      <c r="Q251" s="193" t="s">
        <v>295</v>
      </c>
      <c r="R251" s="192" t="s">
        <v>379</v>
      </c>
      <c r="S251" s="181"/>
      <c r="T251" s="181" t="s">
        <v>381</v>
      </c>
      <c r="U251" s="181" t="s">
        <v>295</v>
      </c>
      <c r="V251" s="199" t="s">
        <v>379</v>
      </c>
    </row>
    <row r="252" spans="1:22" outlineLevel="1">
      <c r="A252" s="199" t="s">
        <v>255</v>
      </c>
      <c r="B252" s="181" t="s">
        <v>777</v>
      </c>
      <c r="C252" s="190">
        <v>43610</v>
      </c>
      <c r="D252" s="181" t="s">
        <v>834</v>
      </c>
      <c r="E252" s="182" t="s">
        <v>928</v>
      </c>
      <c r="F252" s="183">
        <v>75988</v>
      </c>
      <c r="G252" s="184">
        <v>55.93</v>
      </c>
      <c r="H252" s="181">
        <v>72.87</v>
      </c>
      <c r="I252" s="181" t="s">
        <v>292</v>
      </c>
      <c r="J252" s="191">
        <v>72.87</v>
      </c>
      <c r="K252" s="192" t="s">
        <v>391</v>
      </c>
      <c r="L252" s="193" t="s">
        <v>400</v>
      </c>
      <c r="M252" s="193" t="s">
        <v>309</v>
      </c>
      <c r="N252" s="193" t="s">
        <v>497</v>
      </c>
      <c r="O252" s="193"/>
      <c r="P252" s="193" t="s">
        <v>381</v>
      </c>
      <c r="Q252" s="193" t="s">
        <v>295</v>
      </c>
      <c r="R252" s="192" t="s">
        <v>379</v>
      </c>
      <c r="S252" s="181"/>
      <c r="T252" s="181" t="s">
        <v>381</v>
      </c>
      <c r="U252" s="181" t="s">
        <v>295</v>
      </c>
      <c r="V252" s="199" t="s">
        <v>379</v>
      </c>
    </row>
    <row r="253" spans="1:22" outlineLevel="1">
      <c r="A253" s="199" t="s">
        <v>255</v>
      </c>
      <c r="B253" s="181" t="s">
        <v>777</v>
      </c>
      <c r="C253" s="190">
        <v>43610</v>
      </c>
      <c r="D253" s="181" t="s">
        <v>834</v>
      </c>
      <c r="E253" s="182" t="s">
        <v>929</v>
      </c>
      <c r="F253" s="183">
        <v>75988</v>
      </c>
      <c r="G253" s="184">
        <v>50.82</v>
      </c>
      <c r="H253" s="181">
        <v>66.209999999999994</v>
      </c>
      <c r="I253" s="181" t="s">
        <v>292</v>
      </c>
      <c r="J253" s="191">
        <v>66.22</v>
      </c>
      <c r="K253" s="192" t="s">
        <v>391</v>
      </c>
      <c r="L253" s="193" t="s">
        <v>400</v>
      </c>
      <c r="M253" s="193" t="s">
        <v>309</v>
      </c>
      <c r="N253" s="193" t="s">
        <v>499</v>
      </c>
      <c r="O253" s="193"/>
      <c r="P253" s="193" t="s">
        <v>381</v>
      </c>
      <c r="Q253" s="193" t="s">
        <v>295</v>
      </c>
      <c r="R253" s="192" t="s">
        <v>379</v>
      </c>
      <c r="S253" s="181"/>
      <c r="T253" s="181" t="s">
        <v>381</v>
      </c>
      <c r="U253" s="181" t="s">
        <v>295</v>
      </c>
      <c r="V253" s="199" t="s">
        <v>379</v>
      </c>
    </row>
    <row r="254" spans="1:22" outlineLevel="1">
      <c r="A254" s="199" t="s">
        <v>255</v>
      </c>
      <c r="B254" s="181" t="s">
        <v>777</v>
      </c>
      <c r="C254" s="190">
        <v>43610</v>
      </c>
      <c r="D254" s="181" t="s">
        <v>834</v>
      </c>
      <c r="E254" s="182" t="s">
        <v>930</v>
      </c>
      <c r="F254" s="183">
        <v>75988</v>
      </c>
      <c r="G254" s="184">
        <v>34.39</v>
      </c>
      <c r="H254" s="181">
        <v>44.81</v>
      </c>
      <c r="I254" s="181" t="s">
        <v>292</v>
      </c>
      <c r="J254" s="191">
        <v>44.81</v>
      </c>
      <c r="K254" s="192" t="s">
        <v>391</v>
      </c>
      <c r="L254" s="193" t="s">
        <v>400</v>
      </c>
      <c r="M254" s="193" t="s">
        <v>309</v>
      </c>
      <c r="N254" s="193" t="s">
        <v>491</v>
      </c>
      <c r="O254" s="193"/>
      <c r="P254" s="193" t="s">
        <v>381</v>
      </c>
      <c r="Q254" s="193" t="s">
        <v>295</v>
      </c>
      <c r="R254" s="192" t="s">
        <v>379</v>
      </c>
      <c r="S254" s="181"/>
      <c r="T254" s="181" t="s">
        <v>381</v>
      </c>
      <c r="U254" s="181" t="s">
        <v>295</v>
      </c>
      <c r="V254" s="199" t="s">
        <v>379</v>
      </c>
    </row>
    <row r="255" spans="1:22" outlineLevel="1">
      <c r="A255" s="199" t="s">
        <v>255</v>
      </c>
      <c r="B255" s="181" t="s">
        <v>777</v>
      </c>
      <c r="C255" s="190">
        <v>43610</v>
      </c>
      <c r="D255" s="181" t="s">
        <v>834</v>
      </c>
      <c r="E255" s="182" t="s">
        <v>931</v>
      </c>
      <c r="F255" s="183">
        <v>75988</v>
      </c>
      <c r="G255" s="184">
        <v>12.03</v>
      </c>
      <c r="H255" s="181">
        <v>15.68</v>
      </c>
      <c r="I255" s="181" t="s">
        <v>292</v>
      </c>
      <c r="J255" s="191">
        <v>15.67</v>
      </c>
      <c r="K255" s="192" t="s">
        <v>391</v>
      </c>
      <c r="L255" s="193" t="s">
        <v>400</v>
      </c>
      <c r="M255" s="193" t="s">
        <v>309</v>
      </c>
      <c r="N255" s="193" t="s">
        <v>493</v>
      </c>
      <c r="O255" s="193"/>
      <c r="P255" s="193" t="s">
        <v>381</v>
      </c>
      <c r="Q255" s="193" t="s">
        <v>295</v>
      </c>
      <c r="R255" s="192" t="s">
        <v>379</v>
      </c>
      <c r="S255" s="181"/>
      <c r="T255" s="181" t="s">
        <v>381</v>
      </c>
      <c r="U255" s="181" t="s">
        <v>295</v>
      </c>
      <c r="V255" s="199" t="s">
        <v>379</v>
      </c>
    </row>
    <row r="256" spans="1:22" outlineLevel="1">
      <c r="A256" s="199" t="s">
        <v>255</v>
      </c>
      <c r="B256" s="181" t="s">
        <v>777</v>
      </c>
      <c r="C256" s="190">
        <v>43587</v>
      </c>
      <c r="D256" s="181" t="s">
        <v>799</v>
      </c>
      <c r="E256" s="182" t="s">
        <v>932</v>
      </c>
      <c r="F256" s="183">
        <v>75987</v>
      </c>
      <c r="G256" s="184">
        <v>1.23</v>
      </c>
      <c r="H256" s="181">
        <v>1.6</v>
      </c>
      <c r="I256" s="181" t="s">
        <v>292</v>
      </c>
      <c r="J256" s="191">
        <v>1.6</v>
      </c>
      <c r="K256" s="192" t="s">
        <v>405</v>
      </c>
      <c r="L256" s="193" t="s">
        <v>396</v>
      </c>
      <c r="M256" s="193" t="s">
        <v>309</v>
      </c>
      <c r="N256" s="193" t="s">
        <v>501</v>
      </c>
      <c r="O256" s="193"/>
      <c r="P256" s="193" t="s">
        <v>381</v>
      </c>
      <c r="Q256" s="193" t="s">
        <v>295</v>
      </c>
      <c r="R256" s="192" t="s">
        <v>379</v>
      </c>
      <c r="S256" s="181"/>
      <c r="T256" s="181" t="s">
        <v>381</v>
      </c>
      <c r="U256" s="181" t="s">
        <v>295</v>
      </c>
      <c r="V256" s="199" t="s">
        <v>379</v>
      </c>
    </row>
    <row r="257" spans="1:22" outlineLevel="1">
      <c r="A257" s="199" t="s">
        <v>255</v>
      </c>
      <c r="B257" s="181" t="s">
        <v>777</v>
      </c>
      <c r="C257" s="190">
        <v>43614</v>
      </c>
      <c r="D257" s="181" t="s">
        <v>803</v>
      </c>
      <c r="E257" s="182" t="s">
        <v>933</v>
      </c>
      <c r="F257" s="183">
        <v>75987</v>
      </c>
      <c r="G257" s="184">
        <v>0.15</v>
      </c>
      <c r="H257" s="181">
        <v>0.19</v>
      </c>
      <c r="I257" s="181" t="s">
        <v>292</v>
      </c>
      <c r="J257" s="191">
        <v>0.2</v>
      </c>
      <c r="K257" s="192" t="s">
        <v>405</v>
      </c>
      <c r="L257" s="193" t="s">
        <v>396</v>
      </c>
      <c r="M257" s="193" t="s">
        <v>309</v>
      </c>
      <c r="N257" s="193" t="s">
        <v>915</v>
      </c>
      <c r="O257" s="193"/>
      <c r="P257" s="193" t="s">
        <v>381</v>
      </c>
      <c r="Q257" s="193" t="s">
        <v>295</v>
      </c>
      <c r="R257" s="192" t="s">
        <v>379</v>
      </c>
      <c r="S257" s="181"/>
      <c r="T257" s="181" t="s">
        <v>381</v>
      </c>
      <c r="U257" s="181" t="s">
        <v>295</v>
      </c>
      <c r="V257" s="199" t="s">
        <v>379</v>
      </c>
    </row>
    <row r="258" spans="1:22" outlineLevel="1">
      <c r="A258" s="199" t="s">
        <v>255</v>
      </c>
      <c r="B258" s="181" t="s">
        <v>777</v>
      </c>
      <c r="C258" s="190">
        <v>43616</v>
      </c>
      <c r="D258" s="181" t="s">
        <v>837</v>
      </c>
      <c r="E258" s="182" t="s">
        <v>509</v>
      </c>
      <c r="F258" s="183">
        <v>75988</v>
      </c>
      <c r="G258" s="184">
        <v>0.18</v>
      </c>
      <c r="H258" s="181">
        <v>0.24</v>
      </c>
      <c r="I258" s="181" t="s">
        <v>292</v>
      </c>
      <c r="J258" s="191">
        <v>0.23</v>
      </c>
      <c r="K258" s="192" t="s">
        <v>405</v>
      </c>
      <c r="L258" s="193" t="s">
        <v>400</v>
      </c>
      <c r="M258" s="193" t="s">
        <v>309</v>
      </c>
      <c r="N258" s="193" t="s">
        <v>495</v>
      </c>
      <c r="O258" s="193"/>
      <c r="P258" s="193" t="s">
        <v>381</v>
      </c>
      <c r="Q258" s="193" t="s">
        <v>295</v>
      </c>
      <c r="R258" s="192" t="s">
        <v>379</v>
      </c>
      <c r="S258" s="181"/>
      <c r="T258" s="181" t="s">
        <v>381</v>
      </c>
      <c r="U258" s="181" t="s">
        <v>295</v>
      </c>
      <c r="V258" s="199" t="s">
        <v>379</v>
      </c>
    </row>
    <row r="259" spans="1:22" outlineLevel="1">
      <c r="A259" s="199" t="s">
        <v>255</v>
      </c>
      <c r="B259" s="181" t="s">
        <v>777</v>
      </c>
      <c r="C259" s="190">
        <v>43616</v>
      </c>
      <c r="D259" s="181" t="s">
        <v>837</v>
      </c>
      <c r="E259" s="182" t="s">
        <v>510</v>
      </c>
      <c r="F259" s="183">
        <v>75988</v>
      </c>
      <c r="G259" s="184">
        <v>0.62</v>
      </c>
      <c r="H259" s="181">
        <v>0.81</v>
      </c>
      <c r="I259" s="181" t="s">
        <v>292</v>
      </c>
      <c r="J259" s="191">
        <v>0.81</v>
      </c>
      <c r="K259" s="192" t="s">
        <v>405</v>
      </c>
      <c r="L259" s="193" t="s">
        <v>400</v>
      </c>
      <c r="M259" s="193" t="s">
        <v>309</v>
      </c>
      <c r="N259" s="193" t="s">
        <v>497</v>
      </c>
      <c r="O259" s="193"/>
      <c r="P259" s="193" t="s">
        <v>381</v>
      </c>
      <c r="Q259" s="193" t="s">
        <v>295</v>
      </c>
      <c r="R259" s="192" t="s">
        <v>379</v>
      </c>
      <c r="S259" s="181"/>
      <c r="T259" s="181" t="s">
        <v>381</v>
      </c>
      <c r="U259" s="181" t="s">
        <v>295</v>
      </c>
      <c r="V259" s="199" t="s">
        <v>379</v>
      </c>
    </row>
    <row r="260" spans="1:22" outlineLevel="1">
      <c r="A260" s="199" t="s">
        <v>255</v>
      </c>
      <c r="B260" s="181" t="s">
        <v>777</v>
      </c>
      <c r="C260" s="190">
        <v>43616</v>
      </c>
      <c r="D260" s="181" t="s">
        <v>837</v>
      </c>
      <c r="E260" s="182" t="s">
        <v>511</v>
      </c>
      <c r="F260" s="183">
        <v>75988</v>
      </c>
      <c r="G260" s="184">
        <v>0.56999999999999995</v>
      </c>
      <c r="H260" s="181">
        <v>0.74</v>
      </c>
      <c r="I260" s="181" t="s">
        <v>292</v>
      </c>
      <c r="J260" s="191">
        <v>0.74</v>
      </c>
      <c r="K260" s="192" t="s">
        <v>405</v>
      </c>
      <c r="L260" s="193" t="s">
        <v>400</v>
      </c>
      <c r="M260" s="193" t="s">
        <v>309</v>
      </c>
      <c r="N260" s="193" t="s">
        <v>499</v>
      </c>
      <c r="O260" s="193"/>
      <c r="P260" s="193" t="s">
        <v>381</v>
      </c>
      <c r="Q260" s="193" t="s">
        <v>295</v>
      </c>
      <c r="R260" s="192" t="s">
        <v>379</v>
      </c>
      <c r="S260" s="181"/>
      <c r="T260" s="181" t="s">
        <v>381</v>
      </c>
      <c r="U260" s="181" t="s">
        <v>295</v>
      </c>
      <c r="V260" s="199" t="s">
        <v>379</v>
      </c>
    </row>
    <row r="261" spans="1:22" outlineLevel="1">
      <c r="A261" s="199" t="s">
        <v>255</v>
      </c>
      <c r="B261" s="181" t="s">
        <v>777</v>
      </c>
      <c r="C261" s="190">
        <v>43614</v>
      </c>
      <c r="D261" s="181" t="s">
        <v>803</v>
      </c>
      <c r="E261" s="182" t="s">
        <v>934</v>
      </c>
      <c r="F261" s="183">
        <v>75987</v>
      </c>
      <c r="G261" s="184">
        <v>0.98</v>
      </c>
      <c r="H261" s="181">
        <v>1.28</v>
      </c>
      <c r="I261" s="181" t="s">
        <v>292</v>
      </c>
      <c r="J261" s="191">
        <v>1.28</v>
      </c>
      <c r="K261" s="192" t="s">
        <v>405</v>
      </c>
      <c r="L261" s="193" t="s">
        <v>396</v>
      </c>
      <c r="M261" s="193" t="s">
        <v>309</v>
      </c>
      <c r="N261" s="193" t="s">
        <v>501</v>
      </c>
      <c r="O261" s="193"/>
      <c r="P261" s="193" t="s">
        <v>381</v>
      </c>
      <c r="Q261" s="193" t="s">
        <v>295</v>
      </c>
      <c r="R261" s="192" t="s">
        <v>379</v>
      </c>
      <c r="S261" s="181"/>
      <c r="T261" s="181" t="s">
        <v>381</v>
      </c>
      <c r="U261" s="181" t="s">
        <v>295</v>
      </c>
      <c r="V261" s="199" t="s">
        <v>379</v>
      </c>
    </row>
    <row r="262" spans="1:22" outlineLevel="1">
      <c r="A262" s="199" t="s">
        <v>255</v>
      </c>
      <c r="B262" s="181" t="s">
        <v>777</v>
      </c>
      <c r="C262" s="190">
        <v>43614</v>
      </c>
      <c r="D262" s="181" t="s">
        <v>803</v>
      </c>
      <c r="E262" s="182" t="s">
        <v>935</v>
      </c>
      <c r="F262" s="183">
        <v>75987</v>
      </c>
      <c r="G262" s="184">
        <v>0.9</v>
      </c>
      <c r="H262" s="181">
        <v>1.17</v>
      </c>
      <c r="I262" s="181" t="s">
        <v>292</v>
      </c>
      <c r="J262" s="191">
        <v>1.17</v>
      </c>
      <c r="K262" s="192" t="s">
        <v>405</v>
      </c>
      <c r="L262" s="193" t="s">
        <v>396</v>
      </c>
      <c r="M262" s="193" t="s">
        <v>309</v>
      </c>
      <c r="N262" s="193" t="s">
        <v>489</v>
      </c>
      <c r="O262" s="193"/>
      <c r="P262" s="193" t="s">
        <v>381</v>
      </c>
      <c r="Q262" s="193" t="s">
        <v>295</v>
      </c>
      <c r="R262" s="192" t="s">
        <v>379</v>
      </c>
      <c r="S262" s="181"/>
      <c r="T262" s="181" t="s">
        <v>381</v>
      </c>
      <c r="U262" s="181" t="s">
        <v>295</v>
      </c>
      <c r="V262" s="199" t="s">
        <v>379</v>
      </c>
    </row>
    <row r="263" spans="1:22" outlineLevel="1">
      <c r="A263" s="199" t="s">
        <v>255</v>
      </c>
      <c r="B263" s="181" t="s">
        <v>777</v>
      </c>
      <c r="C263" s="190">
        <v>43614</v>
      </c>
      <c r="D263" s="181" t="s">
        <v>803</v>
      </c>
      <c r="E263" s="182" t="s">
        <v>936</v>
      </c>
      <c r="F263" s="183">
        <v>75987</v>
      </c>
      <c r="G263" s="184">
        <v>0.03</v>
      </c>
      <c r="H263" s="181">
        <v>0.04</v>
      </c>
      <c r="I263" s="181" t="s">
        <v>292</v>
      </c>
      <c r="J263" s="191">
        <v>0.04</v>
      </c>
      <c r="K263" s="192" t="s">
        <v>405</v>
      </c>
      <c r="L263" s="193" t="s">
        <v>396</v>
      </c>
      <c r="M263" s="193" t="s">
        <v>309</v>
      </c>
      <c r="N263" s="193" t="s">
        <v>908</v>
      </c>
      <c r="O263" s="193"/>
      <c r="P263" s="193" t="s">
        <v>381</v>
      </c>
      <c r="Q263" s="193" t="s">
        <v>295</v>
      </c>
      <c r="R263" s="192" t="s">
        <v>379</v>
      </c>
      <c r="S263" s="181"/>
      <c r="T263" s="181" t="s">
        <v>381</v>
      </c>
      <c r="U263" s="181" t="s">
        <v>295</v>
      </c>
      <c r="V263" s="199" t="s">
        <v>379</v>
      </c>
    </row>
    <row r="264" spans="1:22" outlineLevel="1">
      <c r="A264" s="199" t="s">
        <v>255</v>
      </c>
      <c r="B264" s="181" t="s">
        <v>777</v>
      </c>
      <c r="C264" s="190">
        <v>43614</v>
      </c>
      <c r="D264" s="181" t="s">
        <v>803</v>
      </c>
      <c r="E264" s="182" t="s">
        <v>937</v>
      </c>
      <c r="F264" s="183">
        <v>75987</v>
      </c>
      <c r="G264" s="184">
        <v>0.32</v>
      </c>
      <c r="H264" s="181">
        <v>0.42</v>
      </c>
      <c r="I264" s="181" t="s">
        <v>292</v>
      </c>
      <c r="J264" s="191">
        <v>0.42</v>
      </c>
      <c r="K264" s="192" t="s">
        <v>405</v>
      </c>
      <c r="L264" s="193" t="s">
        <v>396</v>
      </c>
      <c r="M264" s="193" t="s">
        <v>309</v>
      </c>
      <c r="N264" s="193" t="s">
        <v>487</v>
      </c>
      <c r="O264" s="193"/>
      <c r="P264" s="193" t="s">
        <v>381</v>
      </c>
      <c r="Q264" s="193" t="s">
        <v>295</v>
      </c>
      <c r="R264" s="192" t="s">
        <v>379</v>
      </c>
      <c r="S264" s="181"/>
      <c r="T264" s="181" t="s">
        <v>381</v>
      </c>
      <c r="U264" s="181" t="s">
        <v>295</v>
      </c>
      <c r="V264" s="199" t="s">
        <v>379</v>
      </c>
    </row>
    <row r="265" spans="1:22" outlineLevel="1">
      <c r="A265" s="199" t="s">
        <v>255</v>
      </c>
      <c r="B265" s="181" t="s">
        <v>777</v>
      </c>
      <c r="C265" s="190">
        <v>43614</v>
      </c>
      <c r="D265" s="181" t="s">
        <v>803</v>
      </c>
      <c r="E265" s="182" t="s">
        <v>938</v>
      </c>
      <c r="F265" s="183">
        <v>75987</v>
      </c>
      <c r="G265" s="184">
        <v>0.03</v>
      </c>
      <c r="H265" s="181">
        <v>0.04</v>
      </c>
      <c r="I265" s="181" t="s">
        <v>292</v>
      </c>
      <c r="J265" s="191">
        <v>0.04</v>
      </c>
      <c r="K265" s="192" t="s">
        <v>405</v>
      </c>
      <c r="L265" s="193" t="s">
        <v>396</v>
      </c>
      <c r="M265" s="193" t="s">
        <v>309</v>
      </c>
      <c r="N265" s="193" t="s">
        <v>628</v>
      </c>
      <c r="O265" s="193"/>
      <c r="P265" s="193" t="s">
        <v>381</v>
      </c>
      <c r="Q265" s="193" t="s">
        <v>295</v>
      </c>
      <c r="R265" s="192" t="s">
        <v>379</v>
      </c>
      <c r="S265" s="181"/>
      <c r="T265" s="181" t="s">
        <v>381</v>
      </c>
      <c r="U265" s="181" t="s">
        <v>295</v>
      </c>
      <c r="V265" s="199" t="s">
        <v>379</v>
      </c>
    </row>
    <row r="266" spans="1:22" outlineLevel="1">
      <c r="A266" s="199" t="s">
        <v>255</v>
      </c>
      <c r="B266" s="181" t="s">
        <v>777</v>
      </c>
      <c r="C266" s="190">
        <v>43610</v>
      </c>
      <c r="D266" s="181" t="s">
        <v>836</v>
      </c>
      <c r="E266" s="182" t="s">
        <v>518</v>
      </c>
      <c r="F266" s="183">
        <v>75988</v>
      </c>
      <c r="G266" s="184">
        <v>5.73</v>
      </c>
      <c r="H266" s="181">
        <v>7.47</v>
      </c>
      <c r="I266" s="181" t="s">
        <v>292</v>
      </c>
      <c r="J266" s="191">
        <v>7.47</v>
      </c>
      <c r="K266" s="192" t="s">
        <v>405</v>
      </c>
      <c r="L266" s="193" t="s">
        <v>400</v>
      </c>
      <c r="M266" s="193" t="s">
        <v>309</v>
      </c>
      <c r="N266" s="193" t="s">
        <v>491</v>
      </c>
      <c r="O266" s="193"/>
      <c r="P266" s="193" t="s">
        <v>381</v>
      </c>
      <c r="Q266" s="193" t="s">
        <v>295</v>
      </c>
      <c r="R266" s="192" t="s">
        <v>379</v>
      </c>
      <c r="S266" s="181"/>
      <c r="T266" s="181" t="s">
        <v>381</v>
      </c>
      <c r="U266" s="181" t="s">
        <v>295</v>
      </c>
      <c r="V266" s="199" t="s">
        <v>379</v>
      </c>
    </row>
    <row r="267" spans="1:22" outlineLevel="1">
      <c r="A267" s="199" t="s">
        <v>255</v>
      </c>
      <c r="B267" s="181" t="s">
        <v>777</v>
      </c>
      <c r="C267" s="190">
        <v>43610</v>
      </c>
      <c r="D267" s="181" t="s">
        <v>836</v>
      </c>
      <c r="E267" s="182" t="s">
        <v>519</v>
      </c>
      <c r="F267" s="183">
        <v>75988</v>
      </c>
      <c r="G267" s="184">
        <v>2</v>
      </c>
      <c r="H267" s="181">
        <v>2.61</v>
      </c>
      <c r="I267" s="181" t="s">
        <v>292</v>
      </c>
      <c r="J267" s="191">
        <v>2.61</v>
      </c>
      <c r="K267" s="192" t="s">
        <v>405</v>
      </c>
      <c r="L267" s="193" t="s">
        <v>400</v>
      </c>
      <c r="M267" s="193" t="s">
        <v>309</v>
      </c>
      <c r="N267" s="193" t="s">
        <v>493</v>
      </c>
      <c r="O267" s="193"/>
      <c r="P267" s="193" t="s">
        <v>381</v>
      </c>
      <c r="Q267" s="193" t="s">
        <v>295</v>
      </c>
      <c r="R267" s="192" t="s">
        <v>379</v>
      </c>
      <c r="S267" s="181"/>
      <c r="T267" s="181" t="s">
        <v>381</v>
      </c>
      <c r="U267" s="181" t="s">
        <v>295</v>
      </c>
      <c r="V267" s="199" t="s">
        <v>379</v>
      </c>
    </row>
    <row r="268" spans="1:22" outlineLevel="1">
      <c r="A268" s="199" t="s">
        <v>255</v>
      </c>
      <c r="B268" s="181" t="s">
        <v>777</v>
      </c>
      <c r="C268" s="190">
        <v>43609</v>
      </c>
      <c r="D268" s="181" t="s">
        <v>801</v>
      </c>
      <c r="E268" s="182" t="s">
        <v>939</v>
      </c>
      <c r="F268" s="183">
        <v>75987</v>
      </c>
      <c r="G268" s="184">
        <v>0.41</v>
      </c>
      <c r="H268" s="181">
        <v>0.54</v>
      </c>
      <c r="I268" s="181" t="s">
        <v>292</v>
      </c>
      <c r="J268" s="191">
        <v>0.53</v>
      </c>
      <c r="K268" s="192" t="s">
        <v>405</v>
      </c>
      <c r="L268" s="193" t="s">
        <v>396</v>
      </c>
      <c r="M268" s="193" t="s">
        <v>309</v>
      </c>
      <c r="N268" s="193" t="s">
        <v>908</v>
      </c>
      <c r="O268" s="193"/>
      <c r="P268" s="193" t="s">
        <v>381</v>
      </c>
      <c r="Q268" s="193" t="s">
        <v>295</v>
      </c>
      <c r="R268" s="192" t="s">
        <v>379</v>
      </c>
      <c r="S268" s="181"/>
      <c r="T268" s="181" t="s">
        <v>381</v>
      </c>
      <c r="U268" s="181" t="s">
        <v>295</v>
      </c>
      <c r="V268" s="199" t="s">
        <v>379</v>
      </c>
    </row>
    <row r="269" spans="1:22" outlineLevel="1">
      <c r="A269" s="199" t="s">
        <v>255</v>
      </c>
      <c r="B269" s="181" t="s">
        <v>777</v>
      </c>
      <c r="C269" s="190">
        <v>43609</v>
      </c>
      <c r="D269" s="181" t="s">
        <v>801</v>
      </c>
      <c r="E269" s="182" t="s">
        <v>940</v>
      </c>
      <c r="F269" s="183">
        <v>75987</v>
      </c>
      <c r="G269" s="184">
        <v>4.8</v>
      </c>
      <c r="H269" s="181">
        <v>6.25</v>
      </c>
      <c r="I269" s="181" t="s">
        <v>292</v>
      </c>
      <c r="J269" s="191">
        <v>6.25</v>
      </c>
      <c r="K269" s="192" t="s">
        <v>405</v>
      </c>
      <c r="L269" s="193" t="s">
        <v>396</v>
      </c>
      <c r="M269" s="193" t="s">
        <v>309</v>
      </c>
      <c r="N269" s="193" t="s">
        <v>487</v>
      </c>
      <c r="O269" s="193"/>
      <c r="P269" s="193" t="s">
        <v>381</v>
      </c>
      <c r="Q269" s="193" t="s">
        <v>295</v>
      </c>
      <c r="R269" s="192" t="s">
        <v>379</v>
      </c>
      <c r="S269" s="181"/>
      <c r="T269" s="181" t="s">
        <v>381</v>
      </c>
      <c r="U269" s="181" t="s">
        <v>295</v>
      </c>
      <c r="V269" s="199" t="s">
        <v>379</v>
      </c>
    </row>
    <row r="270" spans="1:22" outlineLevel="1">
      <c r="A270" s="199" t="s">
        <v>255</v>
      </c>
      <c r="B270" s="181" t="s">
        <v>777</v>
      </c>
      <c r="C270" s="190">
        <v>43609</v>
      </c>
      <c r="D270" s="181" t="s">
        <v>801</v>
      </c>
      <c r="E270" s="182" t="s">
        <v>941</v>
      </c>
      <c r="F270" s="183">
        <v>75987</v>
      </c>
      <c r="G270" s="184">
        <v>0.41</v>
      </c>
      <c r="H270" s="181">
        <v>0.54</v>
      </c>
      <c r="I270" s="181" t="s">
        <v>292</v>
      </c>
      <c r="J270" s="191">
        <v>0.53</v>
      </c>
      <c r="K270" s="192" t="s">
        <v>405</v>
      </c>
      <c r="L270" s="193" t="s">
        <v>396</v>
      </c>
      <c r="M270" s="193" t="s">
        <v>309</v>
      </c>
      <c r="N270" s="193" t="s">
        <v>628</v>
      </c>
      <c r="O270" s="193"/>
      <c r="P270" s="193" t="s">
        <v>381</v>
      </c>
      <c r="Q270" s="193" t="s">
        <v>295</v>
      </c>
      <c r="R270" s="192" t="s">
        <v>379</v>
      </c>
      <c r="S270" s="181"/>
      <c r="T270" s="181" t="s">
        <v>381</v>
      </c>
      <c r="U270" s="181" t="s">
        <v>295</v>
      </c>
      <c r="V270" s="199" t="s">
        <v>379</v>
      </c>
    </row>
    <row r="271" spans="1:22" outlineLevel="1">
      <c r="A271" s="199" t="s">
        <v>255</v>
      </c>
      <c r="B271" s="181" t="s">
        <v>777</v>
      </c>
      <c r="C271" s="190">
        <v>43587</v>
      </c>
      <c r="D271" s="181" t="s">
        <v>799</v>
      </c>
      <c r="E271" s="182" t="s">
        <v>942</v>
      </c>
      <c r="F271" s="183">
        <v>75987</v>
      </c>
      <c r="G271" s="184">
        <v>0.15</v>
      </c>
      <c r="H271" s="181">
        <v>0.2</v>
      </c>
      <c r="I271" s="181" t="s">
        <v>292</v>
      </c>
      <c r="J271" s="191">
        <v>0.2</v>
      </c>
      <c r="K271" s="192" t="s">
        <v>405</v>
      </c>
      <c r="L271" s="193" t="s">
        <v>396</v>
      </c>
      <c r="M271" s="193" t="s">
        <v>309</v>
      </c>
      <c r="N271" s="193" t="s">
        <v>487</v>
      </c>
      <c r="O271" s="193"/>
      <c r="P271" s="193" t="s">
        <v>381</v>
      </c>
      <c r="Q271" s="193" t="s">
        <v>295</v>
      </c>
      <c r="R271" s="192" t="s">
        <v>379</v>
      </c>
      <c r="S271" s="181"/>
      <c r="T271" s="181" t="s">
        <v>381</v>
      </c>
      <c r="U271" s="181" t="s">
        <v>295</v>
      </c>
      <c r="V271" s="199" t="s">
        <v>379</v>
      </c>
    </row>
    <row r="272" spans="1:22" outlineLevel="1">
      <c r="A272" s="199" t="s">
        <v>255</v>
      </c>
      <c r="B272" s="181" t="s">
        <v>777</v>
      </c>
      <c r="C272" s="190">
        <v>43587</v>
      </c>
      <c r="D272" s="181" t="s">
        <v>799</v>
      </c>
      <c r="E272" s="182" t="s">
        <v>943</v>
      </c>
      <c r="F272" s="183">
        <v>75987</v>
      </c>
      <c r="G272" s="184">
        <v>0.81</v>
      </c>
      <c r="H272" s="181">
        <v>1.05</v>
      </c>
      <c r="I272" s="181" t="s">
        <v>292</v>
      </c>
      <c r="J272" s="191">
        <v>1.06</v>
      </c>
      <c r="K272" s="192" t="s">
        <v>405</v>
      </c>
      <c r="L272" s="193" t="s">
        <v>396</v>
      </c>
      <c r="M272" s="193" t="s">
        <v>309</v>
      </c>
      <c r="N272" s="193" t="s">
        <v>489</v>
      </c>
      <c r="O272" s="193"/>
      <c r="P272" s="193" t="s">
        <v>381</v>
      </c>
      <c r="Q272" s="193" t="s">
        <v>295</v>
      </c>
      <c r="R272" s="192" t="s">
        <v>379</v>
      </c>
      <c r="S272" s="181"/>
      <c r="T272" s="181" t="s">
        <v>381</v>
      </c>
      <c r="U272" s="181" t="s">
        <v>295</v>
      </c>
      <c r="V272" s="199" t="s">
        <v>379</v>
      </c>
    </row>
    <row r="273" spans="1:22" outlineLevel="1">
      <c r="A273" s="199" t="s">
        <v>255</v>
      </c>
      <c r="B273" s="181" t="s">
        <v>777</v>
      </c>
      <c r="C273" s="190">
        <v>43609</v>
      </c>
      <c r="D273" s="181" t="s">
        <v>801</v>
      </c>
      <c r="E273" s="182" t="s">
        <v>944</v>
      </c>
      <c r="F273" s="183">
        <v>75987</v>
      </c>
      <c r="G273" s="184">
        <v>2.17</v>
      </c>
      <c r="H273" s="181">
        <v>2.83</v>
      </c>
      <c r="I273" s="181" t="s">
        <v>292</v>
      </c>
      <c r="J273" s="191">
        <v>2.83</v>
      </c>
      <c r="K273" s="192" t="s">
        <v>405</v>
      </c>
      <c r="L273" s="193" t="s">
        <v>396</v>
      </c>
      <c r="M273" s="193" t="s">
        <v>309</v>
      </c>
      <c r="N273" s="193" t="s">
        <v>915</v>
      </c>
      <c r="O273" s="193"/>
      <c r="P273" s="193" t="s">
        <v>381</v>
      </c>
      <c r="Q273" s="193" t="s">
        <v>295</v>
      </c>
      <c r="R273" s="192" t="s">
        <v>379</v>
      </c>
      <c r="S273" s="181"/>
      <c r="T273" s="181" t="s">
        <v>381</v>
      </c>
      <c r="U273" s="181" t="s">
        <v>295</v>
      </c>
      <c r="V273" s="199" t="s">
        <v>379</v>
      </c>
    </row>
    <row r="274" spans="1:22" outlineLevel="1">
      <c r="A274" s="199" t="s">
        <v>255</v>
      </c>
      <c r="B274" s="181" t="s">
        <v>777</v>
      </c>
      <c r="C274" s="190">
        <v>43610</v>
      </c>
      <c r="D274" s="181" t="s">
        <v>836</v>
      </c>
      <c r="E274" s="182" t="s">
        <v>513</v>
      </c>
      <c r="F274" s="183">
        <v>75988</v>
      </c>
      <c r="G274" s="184">
        <v>2.82</v>
      </c>
      <c r="H274" s="181">
        <v>3.67</v>
      </c>
      <c r="I274" s="181" t="s">
        <v>292</v>
      </c>
      <c r="J274" s="191">
        <v>3.67</v>
      </c>
      <c r="K274" s="192" t="s">
        <v>405</v>
      </c>
      <c r="L274" s="193" t="s">
        <v>400</v>
      </c>
      <c r="M274" s="193" t="s">
        <v>309</v>
      </c>
      <c r="N274" s="193" t="s">
        <v>495</v>
      </c>
      <c r="O274" s="193"/>
      <c r="P274" s="193" t="s">
        <v>381</v>
      </c>
      <c r="Q274" s="193" t="s">
        <v>295</v>
      </c>
      <c r="R274" s="192" t="s">
        <v>379</v>
      </c>
      <c r="S274" s="181"/>
      <c r="T274" s="181" t="s">
        <v>381</v>
      </c>
      <c r="U274" s="181" t="s">
        <v>295</v>
      </c>
      <c r="V274" s="199" t="s">
        <v>379</v>
      </c>
    </row>
    <row r="275" spans="1:22" outlineLevel="1">
      <c r="A275" s="199" t="s">
        <v>255</v>
      </c>
      <c r="B275" s="181" t="s">
        <v>777</v>
      </c>
      <c r="C275" s="190">
        <v>43610</v>
      </c>
      <c r="D275" s="181" t="s">
        <v>836</v>
      </c>
      <c r="E275" s="182" t="s">
        <v>514</v>
      </c>
      <c r="F275" s="183">
        <v>75988</v>
      </c>
      <c r="G275" s="184">
        <v>9.33</v>
      </c>
      <c r="H275" s="181">
        <v>12.15</v>
      </c>
      <c r="I275" s="181" t="s">
        <v>292</v>
      </c>
      <c r="J275" s="191">
        <v>12.16</v>
      </c>
      <c r="K275" s="192" t="s">
        <v>405</v>
      </c>
      <c r="L275" s="193" t="s">
        <v>400</v>
      </c>
      <c r="M275" s="193" t="s">
        <v>309</v>
      </c>
      <c r="N275" s="193" t="s">
        <v>497</v>
      </c>
      <c r="O275" s="193"/>
      <c r="P275" s="193" t="s">
        <v>381</v>
      </c>
      <c r="Q275" s="193" t="s">
        <v>295</v>
      </c>
      <c r="R275" s="192" t="s">
        <v>379</v>
      </c>
      <c r="S275" s="181"/>
      <c r="T275" s="181" t="s">
        <v>381</v>
      </c>
      <c r="U275" s="181" t="s">
        <v>295</v>
      </c>
      <c r="V275" s="199" t="s">
        <v>379</v>
      </c>
    </row>
    <row r="276" spans="1:22" outlineLevel="1">
      <c r="A276" s="199" t="s">
        <v>255</v>
      </c>
      <c r="B276" s="181" t="s">
        <v>777</v>
      </c>
      <c r="C276" s="190">
        <v>43610</v>
      </c>
      <c r="D276" s="181" t="s">
        <v>836</v>
      </c>
      <c r="E276" s="182" t="s">
        <v>515</v>
      </c>
      <c r="F276" s="183">
        <v>75988</v>
      </c>
      <c r="G276" s="184">
        <v>8.4700000000000006</v>
      </c>
      <c r="H276" s="181">
        <v>11.04</v>
      </c>
      <c r="I276" s="181" t="s">
        <v>292</v>
      </c>
      <c r="J276" s="191">
        <v>11.04</v>
      </c>
      <c r="K276" s="192" t="s">
        <v>405</v>
      </c>
      <c r="L276" s="193" t="s">
        <v>400</v>
      </c>
      <c r="M276" s="193" t="s">
        <v>309</v>
      </c>
      <c r="N276" s="193" t="s">
        <v>499</v>
      </c>
      <c r="O276" s="193"/>
      <c r="P276" s="193" t="s">
        <v>381</v>
      </c>
      <c r="Q276" s="193" t="s">
        <v>295</v>
      </c>
      <c r="R276" s="192" t="s">
        <v>379</v>
      </c>
      <c r="S276" s="181"/>
      <c r="T276" s="181" t="s">
        <v>381</v>
      </c>
      <c r="U276" s="181" t="s">
        <v>295</v>
      </c>
      <c r="V276" s="199" t="s">
        <v>379</v>
      </c>
    </row>
    <row r="277" spans="1:22" outlineLevel="1">
      <c r="A277" s="199" t="s">
        <v>255</v>
      </c>
      <c r="B277" s="181" t="s">
        <v>777</v>
      </c>
      <c r="C277" s="190">
        <v>43609</v>
      </c>
      <c r="D277" s="181" t="s">
        <v>801</v>
      </c>
      <c r="E277" s="182" t="s">
        <v>945</v>
      </c>
      <c r="F277" s="183">
        <v>75987</v>
      </c>
      <c r="G277" s="184">
        <v>14.71</v>
      </c>
      <c r="H277" s="181">
        <v>19.170000000000002</v>
      </c>
      <c r="I277" s="181" t="s">
        <v>292</v>
      </c>
      <c r="J277" s="191">
        <v>19.170000000000002</v>
      </c>
      <c r="K277" s="192" t="s">
        <v>405</v>
      </c>
      <c r="L277" s="193" t="s">
        <v>396</v>
      </c>
      <c r="M277" s="193" t="s">
        <v>309</v>
      </c>
      <c r="N277" s="193" t="s">
        <v>501</v>
      </c>
      <c r="O277" s="193"/>
      <c r="P277" s="193" t="s">
        <v>381</v>
      </c>
      <c r="Q277" s="193" t="s">
        <v>295</v>
      </c>
      <c r="R277" s="192" t="s">
        <v>379</v>
      </c>
      <c r="S277" s="181"/>
      <c r="T277" s="181" t="s">
        <v>381</v>
      </c>
      <c r="U277" s="181" t="s">
        <v>295</v>
      </c>
      <c r="V277" s="199" t="s">
        <v>379</v>
      </c>
    </row>
    <row r="278" spans="1:22" outlineLevel="1">
      <c r="A278" s="199" t="s">
        <v>255</v>
      </c>
      <c r="B278" s="181" t="s">
        <v>777</v>
      </c>
      <c r="C278" s="190">
        <v>43609</v>
      </c>
      <c r="D278" s="181" t="s">
        <v>801</v>
      </c>
      <c r="E278" s="182" t="s">
        <v>946</v>
      </c>
      <c r="F278" s="183">
        <v>75987</v>
      </c>
      <c r="G278" s="184">
        <v>13.42</v>
      </c>
      <c r="H278" s="181">
        <v>17.48</v>
      </c>
      <c r="I278" s="181" t="s">
        <v>292</v>
      </c>
      <c r="J278" s="191">
        <v>17.489999999999998</v>
      </c>
      <c r="K278" s="192" t="s">
        <v>405</v>
      </c>
      <c r="L278" s="193" t="s">
        <v>396</v>
      </c>
      <c r="M278" s="193" t="s">
        <v>309</v>
      </c>
      <c r="N278" s="193" t="s">
        <v>489</v>
      </c>
      <c r="O278" s="193"/>
      <c r="P278" s="193" t="s">
        <v>381</v>
      </c>
      <c r="Q278" s="193" t="s">
        <v>295</v>
      </c>
      <c r="R278" s="192" t="s">
        <v>379</v>
      </c>
      <c r="S278" s="181"/>
      <c r="T278" s="181" t="s">
        <v>381</v>
      </c>
      <c r="U278" s="181" t="s">
        <v>295</v>
      </c>
      <c r="V278" s="199" t="s">
        <v>379</v>
      </c>
    </row>
    <row r="279" spans="1:22" outlineLevel="1">
      <c r="A279" s="199" t="s">
        <v>255</v>
      </c>
      <c r="B279" s="181" t="s">
        <v>777</v>
      </c>
      <c r="C279" s="190">
        <v>43616</v>
      </c>
      <c r="D279" s="181" t="s">
        <v>837</v>
      </c>
      <c r="E279" s="182" t="s">
        <v>520</v>
      </c>
      <c r="F279" s="183">
        <v>75988</v>
      </c>
      <c r="G279" s="184">
        <v>0.38</v>
      </c>
      <c r="H279" s="181">
        <v>0.5</v>
      </c>
      <c r="I279" s="181" t="s">
        <v>292</v>
      </c>
      <c r="J279" s="191">
        <v>0.5</v>
      </c>
      <c r="K279" s="192" t="s">
        <v>405</v>
      </c>
      <c r="L279" s="193" t="s">
        <v>400</v>
      </c>
      <c r="M279" s="193" t="s">
        <v>309</v>
      </c>
      <c r="N279" s="193" t="s">
        <v>491</v>
      </c>
      <c r="O279" s="193"/>
      <c r="P279" s="193" t="s">
        <v>381</v>
      </c>
      <c r="Q279" s="193" t="s">
        <v>295</v>
      </c>
      <c r="R279" s="192" t="s">
        <v>379</v>
      </c>
      <c r="S279" s="181"/>
      <c r="T279" s="181" t="s">
        <v>381</v>
      </c>
      <c r="U279" s="181" t="s">
        <v>295</v>
      </c>
      <c r="V279" s="199" t="s">
        <v>379</v>
      </c>
    </row>
    <row r="280" spans="1:22" outlineLevel="1">
      <c r="A280" s="199" t="s">
        <v>255</v>
      </c>
      <c r="B280" s="181" t="s">
        <v>777</v>
      </c>
      <c r="C280" s="190">
        <v>43616</v>
      </c>
      <c r="D280" s="181" t="s">
        <v>837</v>
      </c>
      <c r="E280" s="182" t="s">
        <v>521</v>
      </c>
      <c r="F280" s="183">
        <v>75988</v>
      </c>
      <c r="G280" s="184">
        <v>0.13</v>
      </c>
      <c r="H280" s="181">
        <v>0.17</v>
      </c>
      <c r="I280" s="181" t="s">
        <v>292</v>
      </c>
      <c r="J280" s="191">
        <v>0.17</v>
      </c>
      <c r="K280" s="192" t="s">
        <v>405</v>
      </c>
      <c r="L280" s="193" t="s">
        <v>400</v>
      </c>
      <c r="M280" s="193" t="s">
        <v>309</v>
      </c>
      <c r="N280" s="193" t="s">
        <v>493</v>
      </c>
      <c r="O280" s="193"/>
      <c r="P280" s="193" t="s">
        <v>381</v>
      </c>
      <c r="Q280" s="193" t="s">
        <v>295</v>
      </c>
      <c r="R280" s="192" t="s">
        <v>379</v>
      </c>
      <c r="S280" s="181"/>
      <c r="T280" s="181" t="s">
        <v>381</v>
      </c>
      <c r="U280" s="181" t="s">
        <v>295</v>
      </c>
      <c r="V280" s="199" t="s">
        <v>379</v>
      </c>
    </row>
    <row r="281" spans="1:22" outlineLevel="1">
      <c r="A281" s="199" t="s">
        <v>255</v>
      </c>
      <c r="B281" s="181" t="s">
        <v>777</v>
      </c>
      <c r="C281" s="190">
        <v>43523</v>
      </c>
      <c r="D281" s="199" t="s">
        <v>947</v>
      </c>
      <c r="E281" s="182" t="s">
        <v>948</v>
      </c>
      <c r="F281" s="183">
        <v>75778</v>
      </c>
      <c r="G281" s="184">
        <v>20.5</v>
      </c>
      <c r="H281" s="181">
        <v>20.5</v>
      </c>
      <c r="I281" s="181" t="s">
        <v>293</v>
      </c>
      <c r="J281" s="191">
        <v>27.22</v>
      </c>
      <c r="K281" s="192" t="s">
        <v>380</v>
      </c>
      <c r="L281" s="193" t="s">
        <v>374</v>
      </c>
      <c r="M281" s="193" t="s">
        <v>309</v>
      </c>
      <c r="N281" s="193"/>
      <c r="O281" s="193"/>
      <c r="P281" s="193" t="s">
        <v>381</v>
      </c>
      <c r="Q281" s="193" t="s">
        <v>295</v>
      </c>
      <c r="R281" s="192" t="s">
        <v>379</v>
      </c>
      <c r="S281" s="181"/>
      <c r="T281" s="181" t="s">
        <v>381</v>
      </c>
      <c r="U281" s="181" t="s">
        <v>295</v>
      </c>
      <c r="V281" s="199" t="s">
        <v>379</v>
      </c>
    </row>
    <row r="282" spans="1:22" outlineLevel="1">
      <c r="A282" s="199" t="s">
        <v>255</v>
      </c>
      <c r="B282" s="181" t="s">
        <v>777</v>
      </c>
      <c r="C282" s="190">
        <v>43523</v>
      </c>
      <c r="D282" s="199" t="s">
        <v>947</v>
      </c>
      <c r="E282" s="182" t="s">
        <v>949</v>
      </c>
      <c r="F282" s="183">
        <v>75778</v>
      </c>
      <c r="G282" s="184">
        <v>5</v>
      </c>
      <c r="H282" s="181">
        <v>5</v>
      </c>
      <c r="I282" s="181" t="s">
        <v>293</v>
      </c>
      <c r="J282" s="191">
        <v>6.64</v>
      </c>
      <c r="K282" s="192" t="s">
        <v>380</v>
      </c>
      <c r="L282" s="193" t="s">
        <v>374</v>
      </c>
      <c r="M282" s="193" t="s">
        <v>309</v>
      </c>
      <c r="N282" s="193"/>
      <c r="O282" s="193"/>
      <c r="P282" s="193" t="s">
        <v>381</v>
      </c>
      <c r="Q282" s="193" t="s">
        <v>295</v>
      </c>
      <c r="R282" s="192" t="s">
        <v>379</v>
      </c>
      <c r="S282" s="181"/>
      <c r="T282" s="181" t="s">
        <v>381</v>
      </c>
      <c r="U282" s="181" t="s">
        <v>295</v>
      </c>
      <c r="V282" s="199" t="s">
        <v>379</v>
      </c>
    </row>
    <row r="283" spans="1:22" outlineLevel="1">
      <c r="A283" s="199" t="s">
        <v>255</v>
      </c>
      <c r="B283" s="181" t="s">
        <v>777</v>
      </c>
      <c r="C283" s="190">
        <v>43523</v>
      </c>
      <c r="D283" s="199" t="s">
        <v>947</v>
      </c>
      <c r="E283" s="182" t="s">
        <v>950</v>
      </c>
      <c r="F283" s="183">
        <v>75778</v>
      </c>
      <c r="G283" s="184">
        <v>10.25</v>
      </c>
      <c r="H283" s="181">
        <v>10.25</v>
      </c>
      <c r="I283" s="181" t="s">
        <v>293</v>
      </c>
      <c r="J283" s="191">
        <v>13.61</v>
      </c>
      <c r="K283" s="192" t="s">
        <v>380</v>
      </c>
      <c r="L283" s="193" t="s">
        <v>374</v>
      </c>
      <c r="M283" s="193" t="s">
        <v>309</v>
      </c>
      <c r="N283" s="193"/>
      <c r="O283" s="193"/>
      <c r="P283" s="193" t="s">
        <v>381</v>
      </c>
      <c r="Q283" s="193" t="s">
        <v>295</v>
      </c>
      <c r="R283" s="192" t="s">
        <v>379</v>
      </c>
      <c r="S283" s="181"/>
      <c r="T283" s="181" t="s">
        <v>381</v>
      </c>
      <c r="U283" s="181" t="s">
        <v>295</v>
      </c>
      <c r="V283" s="199" t="s">
        <v>379</v>
      </c>
    </row>
    <row r="284" spans="1:22" outlineLevel="1">
      <c r="A284" s="199" t="s">
        <v>255</v>
      </c>
      <c r="B284" s="181" t="s">
        <v>748</v>
      </c>
      <c r="C284" s="190">
        <v>43641</v>
      </c>
      <c r="D284" s="199" t="s">
        <v>807</v>
      </c>
      <c r="E284" s="182" t="s">
        <v>951</v>
      </c>
      <c r="F284" s="183">
        <v>76315</v>
      </c>
      <c r="G284" s="184">
        <v>2.75</v>
      </c>
      <c r="H284" s="181">
        <v>3.47</v>
      </c>
      <c r="I284" s="181" t="s">
        <v>292</v>
      </c>
      <c r="J284" s="191">
        <v>3.47</v>
      </c>
      <c r="K284" s="192" t="s">
        <v>385</v>
      </c>
      <c r="L284" s="193" t="s">
        <v>396</v>
      </c>
      <c r="M284" s="193" t="s">
        <v>309</v>
      </c>
      <c r="N284" s="193" t="s">
        <v>908</v>
      </c>
      <c r="O284" s="193"/>
      <c r="P284" s="193" t="s">
        <v>381</v>
      </c>
      <c r="Q284" s="193" t="s">
        <v>295</v>
      </c>
      <c r="R284" s="192" t="s">
        <v>379</v>
      </c>
      <c r="S284" s="181"/>
      <c r="T284" s="181" t="s">
        <v>381</v>
      </c>
      <c r="U284" s="181" t="s">
        <v>295</v>
      </c>
      <c r="V284" s="199" t="s">
        <v>379</v>
      </c>
    </row>
    <row r="285" spans="1:22" outlineLevel="1">
      <c r="A285" s="199" t="s">
        <v>255</v>
      </c>
      <c r="B285" s="181" t="s">
        <v>748</v>
      </c>
      <c r="C285" s="190">
        <v>43641</v>
      </c>
      <c r="D285" s="199" t="s">
        <v>807</v>
      </c>
      <c r="E285" s="182" t="s">
        <v>952</v>
      </c>
      <c r="F285" s="183">
        <v>76315</v>
      </c>
      <c r="G285" s="184">
        <v>19.809999999999999</v>
      </c>
      <c r="H285" s="181">
        <v>25</v>
      </c>
      <c r="I285" s="181" t="s">
        <v>292</v>
      </c>
      <c r="J285" s="191">
        <v>25</v>
      </c>
      <c r="K285" s="192" t="s">
        <v>385</v>
      </c>
      <c r="L285" s="193" t="s">
        <v>396</v>
      </c>
      <c r="M285" s="193" t="s">
        <v>309</v>
      </c>
      <c r="N285" s="193" t="s">
        <v>487</v>
      </c>
      <c r="O285" s="193"/>
      <c r="P285" s="193" t="s">
        <v>381</v>
      </c>
      <c r="Q285" s="193" t="s">
        <v>295</v>
      </c>
      <c r="R285" s="192" t="s">
        <v>379</v>
      </c>
      <c r="S285" s="181"/>
      <c r="T285" s="181" t="s">
        <v>381</v>
      </c>
      <c r="U285" s="181" t="s">
        <v>295</v>
      </c>
      <c r="V285" s="199" t="s">
        <v>379</v>
      </c>
    </row>
    <row r="286" spans="1:22" outlineLevel="1">
      <c r="A286" s="199" t="s">
        <v>255</v>
      </c>
      <c r="B286" s="181" t="s">
        <v>748</v>
      </c>
      <c r="C286" s="190">
        <v>43641</v>
      </c>
      <c r="D286" s="199" t="s">
        <v>807</v>
      </c>
      <c r="E286" s="182" t="s">
        <v>953</v>
      </c>
      <c r="F286" s="183">
        <v>76315</v>
      </c>
      <c r="G286" s="184">
        <v>1.79</v>
      </c>
      <c r="H286" s="181">
        <v>2.2599999999999998</v>
      </c>
      <c r="I286" s="181" t="s">
        <v>292</v>
      </c>
      <c r="J286" s="191">
        <v>2.2599999999999998</v>
      </c>
      <c r="K286" s="192" t="s">
        <v>385</v>
      </c>
      <c r="L286" s="193" t="s">
        <v>396</v>
      </c>
      <c r="M286" s="193" t="s">
        <v>309</v>
      </c>
      <c r="N286" s="193" t="s">
        <v>628</v>
      </c>
      <c r="O286" s="193"/>
      <c r="P286" s="193" t="s">
        <v>381</v>
      </c>
      <c r="Q286" s="193" t="s">
        <v>295</v>
      </c>
      <c r="R286" s="192" t="s">
        <v>379</v>
      </c>
      <c r="S286" s="181"/>
      <c r="T286" s="181" t="s">
        <v>381</v>
      </c>
      <c r="U286" s="181" t="s">
        <v>295</v>
      </c>
      <c r="V286" s="199" t="s">
        <v>379</v>
      </c>
    </row>
    <row r="287" spans="1:22" outlineLevel="1">
      <c r="A287" s="199" t="s">
        <v>255</v>
      </c>
      <c r="B287" s="181" t="s">
        <v>748</v>
      </c>
      <c r="C287" s="190">
        <v>43641</v>
      </c>
      <c r="D287" s="199" t="s">
        <v>807</v>
      </c>
      <c r="E287" s="182" t="s">
        <v>954</v>
      </c>
      <c r="F287" s="183">
        <v>76315</v>
      </c>
      <c r="G287" s="184">
        <v>2.34</v>
      </c>
      <c r="H287" s="181">
        <v>2.95</v>
      </c>
      <c r="I287" s="181" t="s">
        <v>292</v>
      </c>
      <c r="J287" s="191">
        <v>2.95</v>
      </c>
      <c r="K287" s="192" t="s">
        <v>385</v>
      </c>
      <c r="L287" s="193" t="s">
        <v>396</v>
      </c>
      <c r="M287" s="193" t="s">
        <v>309</v>
      </c>
      <c r="N287" s="193" t="s">
        <v>915</v>
      </c>
      <c r="O287" s="193"/>
      <c r="P287" s="193" t="s">
        <v>381</v>
      </c>
      <c r="Q287" s="193" t="s">
        <v>295</v>
      </c>
      <c r="R287" s="192" t="s">
        <v>379</v>
      </c>
      <c r="S287" s="181"/>
      <c r="T287" s="181" t="s">
        <v>381</v>
      </c>
      <c r="U287" s="181" t="s">
        <v>295</v>
      </c>
      <c r="V287" s="199" t="s">
        <v>379</v>
      </c>
    </row>
    <row r="288" spans="1:22" outlineLevel="1">
      <c r="A288" s="199" t="s">
        <v>255</v>
      </c>
      <c r="B288" s="181" t="s">
        <v>748</v>
      </c>
      <c r="C288" s="190">
        <v>43641</v>
      </c>
      <c r="D288" s="199" t="s">
        <v>807</v>
      </c>
      <c r="E288" s="182" t="s">
        <v>955</v>
      </c>
      <c r="F288" s="183">
        <v>76315</v>
      </c>
      <c r="G288" s="184">
        <v>39.979999999999997</v>
      </c>
      <c r="H288" s="181">
        <v>50.47</v>
      </c>
      <c r="I288" s="181" t="s">
        <v>292</v>
      </c>
      <c r="J288" s="191">
        <v>50.46</v>
      </c>
      <c r="K288" s="192" t="s">
        <v>385</v>
      </c>
      <c r="L288" s="193" t="s">
        <v>396</v>
      </c>
      <c r="M288" s="193" t="s">
        <v>309</v>
      </c>
      <c r="N288" s="193" t="s">
        <v>489</v>
      </c>
      <c r="O288" s="193"/>
      <c r="P288" s="193" t="s">
        <v>381</v>
      </c>
      <c r="Q288" s="193" t="s">
        <v>295</v>
      </c>
      <c r="R288" s="192" t="s">
        <v>379</v>
      </c>
      <c r="S288" s="181"/>
      <c r="T288" s="181" t="s">
        <v>381</v>
      </c>
      <c r="U288" s="181" t="s">
        <v>295</v>
      </c>
      <c r="V288" s="199" t="s">
        <v>379</v>
      </c>
    </row>
    <row r="289" spans="1:22" outlineLevel="1">
      <c r="A289" s="199" t="s">
        <v>255</v>
      </c>
      <c r="B289" s="181" t="s">
        <v>748</v>
      </c>
      <c r="C289" s="190">
        <v>43641</v>
      </c>
      <c r="D289" s="199" t="s">
        <v>807</v>
      </c>
      <c r="E289" s="182" t="s">
        <v>956</v>
      </c>
      <c r="F289" s="183">
        <v>76315</v>
      </c>
      <c r="G289" s="184">
        <v>65.05</v>
      </c>
      <c r="H289" s="181">
        <v>82.11</v>
      </c>
      <c r="I289" s="181" t="s">
        <v>292</v>
      </c>
      <c r="J289" s="191">
        <v>82.11</v>
      </c>
      <c r="K289" s="192" t="s">
        <v>385</v>
      </c>
      <c r="L289" s="193" t="s">
        <v>396</v>
      </c>
      <c r="M289" s="193" t="s">
        <v>309</v>
      </c>
      <c r="N289" s="193" t="s">
        <v>501</v>
      </c>
      <c r="O289" s="193"/>
      <c r="P289" s="193" t="s">
        <v>381</v>
      </c>
      <c r="Q289" s="193" t="s">
        <v>295</v>
      </c>
      <c r="R289" s="192" t="s">
        <v>379</v>
      </c>
      <c r="S289" s="181"/>
      <c r="T289" s="181" t="s">
        <v>381</v>
      </c>
      <c r="U289" s="181" t="s">
        <v>295</v>
      </c>
      <c r="V289" s="199" t="s">
        <v>379</v>
      </c>
    </row>
    <row r="290" spans="1:22" outlineLevel="1">
      <c r="A290" s="199" t="s">
        <v>255</v>
      </c>
      <c r="B290" s="181" t="s">
        <v>748</v>
      </c>
      <c r="C290" s="190">
        <v>43644</v>
      </c>
      <c r="D290" s="199" t="s">
        <v>838</v>
      </c>
      <c r="E290" s="182" t="s">
        <v>957</v>
      </c>
      <c r="F290" s="183">
        <v>76250</v>
      </c>
      <c r="G290" s="184">
        <v>315.77999999999997</v>
      </c>
      <c r="H290" s="181">
        <v>398.59</v>
      </c>
      <c r="I290" s="181" t="s">
        <v>292</v>
      </c>
      <c r="J290" s="191">
        <v>398.59</v>
      </c>
      <c r="K290" s="192" t="s">
        <v>385</v>
      </c>
      <c r="L290" s="193" t="s">
        <v>400</v>
      </c>
      <c r="M290" s="193" t="s">
        <v>309</v>
      </c>
      <c r="N290" s="193" t="s">
        <v>491</v>
      </c>
      <c r="O290" s="193"/>
      <c r="P290" s="193" t="s">
        <v>381</v>
      </c>
      <c r="Q290" s="193" t="s">
        <v>295</v>
      </c>
      <c r="R290" s="192" t="s">
        <v>379</v>
      </c>
      <c r="S290" s="181"/>
      <c r="T290" s="181" t="s">
        <v>381</v>
      </c>
      <c r="U290" s="181" t="s">
        <v>295</v>
      </c>
      <c r="V290" s="199" t="s">
        <v>379</v>
      </c>
    </row>
    <row r="291" spans="1:22" outlineLevel="1">
      <c r="A291" s="199" t="s">
        <v>255</v>
      </c>
      <c r="B291" s="181" t="s">
        <v>748</v>
      </c>
      <c r="C291" s="190">
        <v>43644</v>
      </c>
      <c r="D291" s="199" t="s">
        <v>838</v>
      </c>
      <c r="E291" s="182" t="s">
        <v>958</v>
      </c>
      <c r="F291" s="183">
        <v>76250</v>
      </c>
      <c r="G291" s="184">
        <v>137.68</v>
      </c>
      <c r="H291" s="181">
        <v>173.79</v>
      </c>
      <c r="I291" s="181" t="s">
        <v>292</v>
      </c>
      <c r="J291" s="191">
        <v>173.78</v>
      </c>
      <c r="K291" s="192" t="s">
        <v>385</v>
      </c>
      <c r="L291" s="193" t="s">
        <v>400</v>
      </c>
      <c r="M291" s="193" t="s">
        <v>309</v>
      </c>
      <c r="N291" s="193" t="s">
        <v>493</v>
      </c>
      <c r="O291" s="193"/>
      <c r="P291" s="193" t="s">
        <v>381</v>
      </c>
      <c r="Q291" s="193" t="s">
        <v>295</v>
      </c>
      <c r="R291" s="192" t="s">
        <v>379</v>
      </c>
      <c r="S291" s="181"/>
      <c r="T291" s="181" t="s">
        <v>381</v>
      </c>
      <c r="U291" s="181" t="s">
        <v>295</v>
      </c>
      <c r="V291" s="199" t="s">
        <v>379</v>
      </c>
    </row>
    <row r="292" spans="1:22" outlineLevel="1">
      <c r="A292" s="199" t="s">
        <v>255</v>
      </c>
      <c r="B292" s="181" t="s">
        <v>748</v>
      </c>
      <c r="C292" s="190">
        <v>43644</v>
      </c>
      <c r="D292" s="199" t="s">
        <v>838</v>
      </c>
      <c r="E292" s="182" t="s">
        <v>959</v>
      </c>
      <c r="F292" s="183">
        <v>76250</v>
      </c>
      <c r="G292" s="184">
        <v>169.72</v>
      </c>
      <c r="H292" s="181">
        <v>214.23</v>
      </c>
      <c r="I292" s="181" t="s">
        <v>292</v>
      </c>
      <c r="J292" s="191">
        <v>214.23</v>
      </c>
      <c r="K292" s="192" t="s">
        <v>385</v>
      </c>
      <c r="L292" s="193" t="s">
        <v>400</v>
      </c>
      <c r="M292" s="193" t="s">
        <v>309</v>
      </c>
      <c r="N292" s="193" t="s">
        <v>495</v>
      </c>
      <c r="O292" s="193"/>
      <c r="P292" s="193" t="s">
        <v>381</v>
      </c>
      <c r="Q292" s="193" t="s">
        <v>295</v>
      </c>
      <c r="R292" s="192" t="s">
        <v>379</v>
      </c>
      <c r="S292" s="181"/>
      <c r="T292" s="181" t="s">
        <v>381</v>
      </c>
      <c r="U292" s="181" t="s">
        <v>295</v>
      </c>
      <c r="V292" s="199" t="s">
        <v>379</v>
      </c>
    </row>
    <row r="293" spans="1:22" outlineLevel="1">
      <c r="A293" s="199" t="s">
        <v>255</v>
      </c>
      <c r="B293" s="181" t="s">
        <v>748</v>
      </c>
      <c r="C293" s="190">
        <v>43644</v>
      </c>
      <c r="D293" s="199" t="s">
        <v>838</v>
      </c>
      <c r="E293" s="182" t="s">
        <v>960</v>
      </c>
      <c r="F293" s="183">
        <v>76250</v>
      </c>
      <c r="G293" s="184">
        <v>507.58</v>
      </c>
      <c r="H293" s="181">
        <v>640.67999999999995</v>
      </c>
      <c r="I293" s="181" t="s">
        <v>292</v>
      </c>
      <c r="J293" s="191">
        <v>640.69000000000005</v>
      </c>
      <c r="K293" s="192" t="s">
        <v>385</v>
      </c>
      <c r="L293" s="193" t="s">
        <v>400</v>
      </c>
      <c r="M293" s="193" t="s">
        <v>309</v>
      </c>
      <c r="N293" s="193" t="s">
        <v>497</v>
      </c>
      <c r="O293" s="193"/>
      <c r="P293" s="193" t="s">
        <v>381</v>
      </c>
      <c r="Q293" s="193" t="s">
        <v>295</v>
      </c>
      <c r="R293" s="192" t="s">
        <v>379</v>
      </c>
      <c r="S293" s="181"/>
      <c r="T293" s="181" t="s">
        <v>381</v>
      </c>
      <c r="U293" s="181" t="s">
        <v>295</v>
      </c>
      <c r="V293" s="199" t="s">
        <v>379</v>
      </c>
    </row>
    <row r="294" spans="1:22" outlineLevel="1">
      <c r="A294" s="199" t="s">
        <v>255</v>
      </c>
      <c r="B294" s="181" t="s">
        <v>748</v>
      </c>
      <c r="C294" s="190">
        <v>43644</v>
      </c>
      <c r="D294" s="199" t="s">
        <v>838</v>
      </c>
      <c r="E294" s="182" t="s">
        <v>961</v>
      </c>
      <c r="F294" s="183">
        <v>76250</v>
      </c>
      <c r="G294" s="184">
        <v>672.24</v>
      </c>
      <c r="H294" s="181">
        <v>848.52</v>
      </c>
      <c r="I294" s="181" t="s">
        <v>292</v>
      </c>
      <c r="J294" s="191">
        <v>848.53</v>
      </c>
      <c r="K294" s="192" t="s">
        <v>385</v>
      </c>
      <c r="L294" s="193" t="s">
        <v>400</v>
      </c>
      <c r="M294" s="193" t="s">
        <v>309</v>
      </c>
      <c r="N294" s="193" t="s">
        <v>499</v>
      </c>
      <c r="O294" s="193"/>
      <c r="P294" s="193" t="s">
        <v>381</v>
      </c>
      <c r="Q294" s="193" t="s">
        <v>295</v>
      </c>
      <c r="R294" s="192" t="s">
        <v>379</v>
      </c>
      <c r="S294" s="181"/>
      <c r="T294" s="181" t="s">
        <v>381</v>
      </c>
      <c r="U294" s="181" t="s">
        <v>295</v>
      </c>
      <c r="V294" s="199" t="s">
        <v>379</v>
      </c>
    </row>
    <row r="295" spans="1:22" outlineLevel="1">
      <c r="A295" s="199" t="s">
        <v>255</v>
      </c>
      <c r="B295" s="181" t="s">
        <v>748</v>
      </c>
      <c r="C295" s="190">
        <v>43641</v>
      </c>
      <c r="D295" s="199" t="s">
        <v>805</v>
      </c>
      <c r="E295" s="182" t="s">
        <v>962</v>
      </c>
      <c r="F295" s="183">
        <v>76315</v>
      </c>
      <c r="G295" s="184">
        <v>32.869999999999997</v>
      </c>
      <c r="H295" s="181">
        <v>41.49</v>
      </c>
      <c r="I295" s="181" t="s">
        <v>292</v>
      </c>
      <c r="J295" s="191">
        <v>41.49</v>
      </c>
      <c r="K295" s="192" t="s">
        <v>385</v>
      </c>
      <c r="L295" s="193" t="s">
        <v>396</v>
      </c>
      <c r="M295" s="193" t="s">
        <v>309</v>
      </c>
      <c r="N295" s="193" t="s">
        <v>908</v>
      </c>
      <c r="O295" s="193"/>
      <c r="P295" s="193" t="s">
        <v>381</v>
      </c>
      <c r="Q295" s="193" t="s">
        <v>295</v>
      </c>
      <c r="R295" s="192" t="s">
        <v>379</v>
      </c>
      <c r="S295" s="181"/>
      <c r="T295" s="181" t="s">
        <v>381</v>
      </c>
      <c r="U295" s="181" t="s">
        <v>295</v>
      </c>
      <c r="V295" s="199" t="s">
        <v>379</v>
      </c>
    </row>
    <row r="296" spans="1:22" outlineLevel="1">
      <c r="A296" s="199" t="s">
        <v>255</v>
      </c>
      <c r="B296" s="181" t="s">
        <v>748</v>
      </c>
      <c r="C296" s="190">
        <v>43641</v>
      </c>
      <c r="D296" s="199" t="s">
        <v>805</v>
      </c>
      <c r="E296" s="182" t="s">
        <v>963</v>
      </c>
      <c r="F296" s="183">
        <v>76315</v>
      </c>
      <c r="G296" s="184">
        <v>236.8</v>
      </c>
      <c r="H296" s="181">
        <v>298.89999999999998</v>
      </c>
      <c r="I296" s="181" t="s">
        <v>292</v>
      </c>
      <c r="J296" s="191">
        <v>298.89999999999998</v>
      </c>
      <c r="K296" s="192" t="s">
        <v>385</v>
      </c>
      <c r="L296" s="193" t="s">
        <v>396</v>
      </c>
      <c r="M296" s="193" t="s">
        <v>309</v>
      </c>
      <c r="N296" s="193" t="s">
        <v>487</v>
      </c>
      <c r="O296" s="193"/>
      <c r="P296" s="193" t="s">
        <v>381</v>
      </c>
      <c r="Q296" s="193" t="s">
        <v>295</v>
      </c>
      <c r="R296" s="192" t="s">
        <v>379</v>
      </c>
      <c r="S296" s="181"/>
      <c r="T296" s="181" t="s">
        <v>381</v>
      </c>
      <c r="U296" s="181" t="s">
        <v>295</v>
      </c>
      <c r="V296" s="199" t="s">
        <v>379</v>
      </c>
    </row>
    <row r="297" spans="1:22" outlineLevel="1">
      <c r="A297" s="199" t="s">
        <v>255</v>
      </c>
      <c r="B297" s="181" t="s">
        <v>748</v>
      </c>
      <c r="C297" s="190">
        <v>43641</v>
      </c>
      <c r="D297" s="199" t="s">
        <v>805</v>
      </c>
      <c r="E297" s="182" t="s">
        <v>964</v>
      </c>
      <c r="F297" s="183">
        <v>76315</v>
      </c>
      <c r="G297" s="184">
        <v>19.03</v>
      </c>
      <c r="H297" s="181">
        <v>24.02</v>
      </c>
      <c r="I297" s="181" t="s">
        <v>292</v>
      </c>
      <c r="J297" s="191">
        <v>24.02</v>
      </c>
      <c r="K297" s="192" t="s">
        <v>385</v>
      </c>
      <c r="L297" s="193" t="s">
        <v>396</v>
      </c>
      <c r="M297" s="193" t="s">
        <v>309</v>
      </c>
      <c r="N297" s="193" t="s">
        <v>628</v>
      </c>
      <c r="O297" s="193"/>
      <c r="P297" s="193" t="s">
        <v>381</v>
      </c>
      <c r="Q297" s="193" t="s">
        <v>295</v>
      </c>
      <c r="R297" s="192" t="s">
        <v>379</v>
      </c>
      <c r="S297" s="181"/>
      <c r="T297" s="181" t="s">
        <v>381</v>
      </c>
      <c r="U297" s="181" t="s">
        <v>295</v>
      </c>
      <c r="V297" s="199" t="s">
        <v>379</v>
      </c>
    </row>
    <row r="298" spans="1:22" outlineLevel="1">
      <c r="A298" s="199" t="s">
        <v>255</v>
      </c>
      <c r="B298" s="181" t="s">
        <v>748</v>
      </c>
      <c r="C298" s="190">
        <v>43641</v>
      </c>
      <c r="D298" s="199" t="s">
        <v>805</v>
      </c>
      <c r="E298" s="182" t="s">
        <v>965</v>
      </c>
      <c r="F298" s="183">
        <v>76315</v>
      </c>
      <c r="G298" s="184">
        <v>30.64</v>
      </c>
      <c r="H298" s="181">
        <v>38.67</v>
      </c>
      <c r="I298" s="181" t="s">
        <v>292</v>
      </c>
      <c r="J298" s="191">
        <v>38.67</v>
      </c>
      <c r="K298" s="192" t="s">
        <v>385</v>
      </c>
      <c r="L298" s="193" t="s">
        <v>396</v>
      </c>
      <c r="M298" s="193" t="s">
        <v>309</v>
      </c>
      <c r="N298" s="193" t="s">
        <v>915</v>
      </c>
      <c r="O298" s="193"/>
      <c r="P298" s="193" t="s">
        <v>381</v>
      </c>
      <c r="Q298" s="193" t="s">
        <v>295</v>
      </c>
      <c r="R298" s="192" t="s">
        <v>379</v>
      </c>
      <c r="S298" s="181"/>
      <c r="T298" s="181" t="s">
        <v>381</v>
      </c>
      <c r="U298" s="181" t="s">
        <v>295</v>
      </c>
      <c r="V298" s="199" t="s">
        <v>379</v>
      </c>
    </row>
    <row r="299" spans="1:22" outlineLevel="1">
      <c r="A299" s="199" t="s">
        <v>255</v>
      </c>
      <c r="B299" s="181" t="s">
        <v>748</v>
      </c>
      <c r="C299" s="190">
        <v>43641</v>
      </c>
      <c r="D299" s="199" t="s">
        <v>805</v>
      </c>
      <c r="E299" s="182" t="s">
        <v>966</v>
      </c>
      <c r="F299" s="183">
        <v>76315</v>
      </c>
      <c r="G299" s="184">
        <v>328.92</v>
      </c>
      <c r="H299" s="181">
        <v>415.17</v>
      </c>
      <c r="I299" s="181" t="s">
        <v>292</v>
      </c>
      <c r="J299" s="191">
        <v>415.17</v>
      </c>
      <c r="K299" s="192" t="s">
        <v>385</v>
      </c>
      <c r="L299" s="193" t="s">
        <v>396</v>
      </c>
      <c r="M299" s="193" t="s">
        <v>309</v>
      </c>
      <c r="N299" s="193" t="s">
        <v>489</v>
      </c>
      <c r="O299" s="193"/>
      <c r="P299" s="193" t="s">
        <v>381</v>
      </c>
      <c r="Q299" s="193" t="s">
        <v>295</v>
      </c>
      <c r="R299" s="192" t="s">
        <v>379</v>
      </c>
      <c r="S299" s="181"/>
      <c r="T299" s="181" t="s">
        <v>381</v>
      </c>
      <c r="U299" s="181" t="s">
        <v>295</v>
      </c>
      <c r="V299" s="199" t="s">
        <v>379</v>
      </c>
    </row>
    <row r="300" spans="1:22" outlineLevel="1">
      <c r="A300" s="199" t="s">
        <v>255</v>
      </c>
      <c r="B300" s="181" t="s">
        <v>748</v>
      </c>
      <c r="C300" s="190">
        <v>43641</v>
      </c>
      <c r="D300" s="199" t="s">
        <v>805</v>
      </c>
      <c r="E300" s="182" t="s">
        <v>967</v>
      </c>
      <c r="F300" s="183">
        <v>76315</v>
      </c>
      <c r="G300" s="184">
        <v>437.95</v>
      </c>
      <c r="H300" s="181">
        <v>552.79999999999995</v>
      </c>
      <c r="I300" s="181" t="s">
        <v>292</v>
      </c>
      <c r="J300" s="191">
        <v>552.79999999999995</v>
      </c>
      <c r="K300" s="192" t="s">
        <v>385</v>
      </c>
      <c r="L300" s="193" t="s">
        <v>396</v>
      </c>
      <c r="M300" s="193" t="s">
        <v>309</v>
      </c>
      <c r="N300" s="193" t="s">
        <v>501</v>
      </c>
      <c r="O300" s="193"/>
      <c r="P300" s="193" t="s">
        <v>381</v>
      </c>
      <c r="Q300" s="193" t="s">
        <v>295</v>
      </c>
      <c r="R300" s="192" t="s">
        <v>379</v>
      </c>
      <c r="S300" s="181"/>
      <c r="T300" s="181" t="s">
        <v>381</v>
      </c>
      <c r="U300" s="181" t="s">
        <v>295</v>
      </c>
      <c r="V300" s="199" t="s">
        <v>379</v>
      </c>
    </row>
    <row r="301" spans="1:22" outlineLevel="1">
      <c r="A301" s="199" t="s">
        <v>255</v>
      </c>
      <c r="B301" s="181" t="s">
        <v>748</v>
      </c>
      <c r="C301" s="190">
        <v>43641</v>
      </c>
      <c r="D301" s="199" t="s">
        <v>809</v>
      </c>
      <c r="E301" s="182" t="s">
        <v>968</v>
      </c>
      <c r="F301" s="183">
        <v>76315</v>
      </c>
      <c r="G301" s="184">
        <v>4.32</v>
      </c>
      <c r="H301" s="181">
        <v>5.45</v>
      </c>
      <c r="I301" s="181" t="s">
        <v>292</v>
      </c>
      <c r="J301" s="191">
        <v>5.45</v>
      </c>
      <c r="K301" s="192" t="s">
        <v>391</v>
      </c>
      <c r="L301" s="193" t="s">
        <v>396</v>
      </c>
      <c r="M301" s="193" t="s">
        <v>309</v>
      </c>
      <c r="N301" s="193" t="s">
        <v>908</v>
      </c>
      <c r="O301" s="193"/>
      <c r="P301" s="193" t="s">
        <v>381</v>
      </c>
      <c r="Q301" s="193" t="s">
        <v>295</v>
      </c>
      <c r="R301" s="192" t="s">
        <v>379</v>
      </c>
      <c r="S301" s="181"/>
      <c r="T301" s="181" t="s">
        <v>381</v>
      </c>
      <c r="U301" s="181" t="s">
        <v>295</v>
      </c>
      <c r="V301" s="199" t="s">
        <v>379</v>
      </c>
    </row>
    <row r="302" spans="1:22" outlineLevel="1">
      <c r="A302" s="199" t="s">
        <v>255</v>
      </c>
      <c r="B302" s="181" t="s">
        <v>748</v>
      </c>
      <c r="C302" s="190">
        <v>43641</v>
      </c>
      <c r="D302" s="199" t="s">
        <v>809</v>
      </c>
      <c r="E302" s="182" t="s">
        <v>969</v>
      </c>
      <c r="F302" s="183">
        <v>76315</v>
      </c>
      <c r="G302" s="184">
        <v>29.71</v>
      </c>
      <c r="H302" s="181">
        <v>37.5</v>
      </c>
      <c r="I302" s="181" t="s">
        <v>292</v>
      </c>
      <c r="J302" s="191">
        <v>37.5</v>
      </c>
      <c r="K302" s="192" t="s">
        <v>391</v>
      </c>
      <c r="L302" s="193" t="s">
        <v>396</v>
      </c>
      <c r="M302" s="193" t="s">
        <v>309</v>
      </c>
      <c r="N302" s="193" t="s">
        <v>487</v>
      </c>
      <c r="O302" s="193"/>
      <c r="P302" s="193" t="s">
        <v>381</v>
      </c>
      <c r="Q302" s="193" t="s">
        <v>295</v>
      </c>
      <c r="R302" s="192" t="s">
        <v>379</v>
      </c>
      <c r="S302" s="181"/>
      <c r="T302" s="181" t="s">
        <v>381</v>
      </c>
      <c r="U302" s="181" t="s">
        <v>295</v>
      </c>
      <c r="V302" s="199" t="s">
        <v>379</v>
      </c>
    </row>
    <row r="303" spans="1:22" outlineLevel="1">
      <c r="A303" s="199" t="s">
        <v>255</v>
      </c>
      <c r="B303" s="181" t="s">
        <v>748</v>
      </c>
      <c r="C303" s="190">
        <v>43641</v>
      </c>
      <c r="D303" s="199" t="s">
        <v>809</v>
      </c>
      <c r="E303" s="182" t="s">
        <v>970</v>
      </c>
      <c r="F303" s="183">
        <v>76315</v>
      </c>
      <c r="G303" s="184">
        <v>2.59</v>
      </c>
      <c r="H303" s="181">
        <v>3.27</v>
      </c>
      <c r="I303" s="181" t="s">
        <v>292</v>
      </c>
      <c r="J303" s="191">
        <v>3.27</v>
      </c>
      <c r="K303" s="192" t="s">
        <v>391</v>
      </c>
      <c r="L303" s="193" t="s">
        <v>396</v>
      </c>
      <c r="M303" s="193" t="s">
        <v>309</v>
      </c>
      <c r="N303" s="193" t="s">
        <v>628</v>
      </c>
      <c r="O303" s="193"/>
      <c r="P303" s="193" t="s">
        <v>381</v>
      </c>
      <c r="Q303" s="193" t="s">
        <v>295</v>
      </c>
      <c r="R303" s="192" t="s">
        <v>379</v>
      </c>
      <c r="S303" s="181"/>
      <c r="T303" s="181" t="s">
        <v>381</v>
      </c>
      <c r="U303" s="181" t="s">
        <v>295</v>
      </c>
      <c r="V303" s="199" t="s">
        <v>379</v>
      </c>
    </row>
    <row r="304" spans="1:22" outlineLevel="1">
      <c r="A304" s="199" t="s">
        <v>255</v>
      </c>
      <c r="B304" s="181" t="s">
        <v>748</v>
      </c>
      <c r="C304" s="190">
        <v>43641</v>
      </c>
      <c r="D304" s="199" t="s">
        <v>809</v>
      </c>
      <c r="E304" s="182" t="s">
        <v>971</v>
      </c>
      <c r="F304" s="183">
        <v>76315</v>
      </c>
      <c r="G304" s="184">
        <v>3.59</v>
      </c>
      <c r="H304" s="181">
        <v>4.53</v>
      </c>
      <c r="I304" s="181" t="s">
        <v>292</v>
      </c>
      <c r="J304" s="191">
        <v>4.53</v>
      </c>
      <c r="K304" s="192" t="s">
        <v>391</v>
      </c>
      <c r="L304" s="193" t="s">
        <v>396</v>
      </c>
      <c r="M304" s="193" t="s">
        <v>309</v>
      </c>
      <c r="N304" s="193" t="s">
        <v>915</v>
      </c>
      <c r="O304" s="193"/>
      <c r="P304" s="193" t="s">
        <v>381</v>
      </c>
      <c r="Q304" s="193" t="s">
        <v>295</v>
      </c>
      <c r="R304" s="192" t="s">
        <v>379</v>
      </c>
      <c r="S304" s="181"/>
      <c r="T304" s="181" t="s">
        <v>381</v>
      </c>
      <c r="U304" s="181" t="s">
        <v>295</v>
      </c>
      <c r="V304" s="199" t="s">
        <v>379</v>
      </c>
    </row>
    <row r="305" spans="1:22" outlineLevel="1">
      <c r="A305" s="199" t="s">
        <v>255</v>
      </c>
      <c r="B305" s="181" t="s">
        <v>748</v>
      </c>
      <c r="C305" s="190">
        <v>43644</v>
      </c>
      <c r="D305" s="199" t="s">
        <v>840</v>
      </c>
      <c r="E305" s="182" t="s">
        <v>972</v>
      </c>
      <c r="F305" s="183">
        <v>76250</v>
      </c>
      <c r="G305" s="184">
        <v>20.37</v>
      </c>
      <c r="H305" s="181">
        <v>25.71</v>
      </c>
      <c r="I305" s="181" t="s">
        <v>292</v>
      </c>
      <c r="J305" s="191">
        <v>25.71</v>
      </c>
      <c r="K305" s="192" t="s">
        <v>391</v>
      </c>
      <c r="L305" s="193" t="s">
        <v>400</v>
      </c>
      <c r="M305" s="193" t="s">
        <v>309</v>
      </c>
      <c r="N305" s="193" t="s">
        <v>495</v>
      </c>
      <c r="O305" s="193"/>
      <c r="P305" s="193" t="s">
        <v>381</v>
      </c>
      <c r="Q305" s="193" t="s">
        <v>295</v>
      </c>
      <c r="R305" s="192" t="s">
        <v>379</v>
      </c>
      <c r="S305" s="181"/>
      <c r="T305" s="181" t="s">
        <v>381</v>
      </c>
      <c r="U305" s="181" t="s">
        <v>295</v>
      </c>
      <c r="V305" s="199" t="s">
        <v>379</v>
      </c>
    </row>
    <row r="306" spans="1:22" outlineLevel="1">
      <c r="A306" s="199" t="s">
        <v>255</v>
      </c>
      <c r="B306" s="181" t="s">
        <v>748</v>
      </c>
      <c r="C306" s="190">
        <v>43644</v>
      </c>
      <c r="D306" s="199" t="s">
        <v>840</v>
      </c>
      <c r="E306" s="182" t="s">
        <v>973</v>
      </c>
      <c r="F306" s="183">
        <v>76250</v>
      </c>
      <c r="G306" s="184">
        <v>67.36</v>
      </c>
      <c r="H306" s="181">
        <v>85.02</v>
      </c>
      <c r="I306" s="181" t="s">
        <v>292</v>
      </c>
      <c r="J306" s="191">
        <v>85.02</v>
      </c>
      <c r="K306" s="192" t="s">
        <v>391</v>
      </c>
      <c r="L306" s="193" t="s">
        <v>400</v>
      </c>
      <c r="M306" s="193" t="s">
        <v>309</v>
      </c>
      <c r="N306" s="193" t="s">
        <v>497</v>
      </c>
      <c r="O306" s="193"/>
      <c r="P306" s="193" t="s">
        <v>381</v>
      </c>
      <c r="Q306" s="193" t="s">
        <v>295</v>
      </c>
      <c r="R306" s="192" t="s">
        <v>379</v>
      </c>
      <c r="S306" s="181"/>
      <c r="T306" s="181" t="s">
        <v>381</v>
      </c>
      <c r="U306" s="181" t="s">
        <v>295</v>
      </c>
      <c r="V306" s="199" t="s">
        <v>379</v>
      </c>
    </row>
    <row r="307" spans="1:22" outlineLevel="1">
      <c r="A307" s="199" t="s">
        <v>255</v>
      </c>
      <c r="B307" s="181" t="s">
        <v>748</v>
      </c>
      <c r="C307" s="190">
        <v>43644</v>
      </c>
      <c r="D307" s="199" t="s">
        <v>840</v>
      </c>
      <c r="E307" s="182" t="s">
        <v>974</v>
      </c>
      <c r="F307" s="183">
        <v>76250</v>
      </c>
      <c r="G307" s="184">
        <v>94.42</v>
      </c>
      <c r="H307" s="181">
        <v>119.18</v>
      </c>
      <c r="I307" s="181" t="s">
        <v>292</v>
      </c>
      <c r="J307" s="191">
        <v>119.18</v>
      </c>
      <c r="K307" s="192" t="s">
        <v>391</v>
      </c>
      <c r="L307" s="193" t="s">
        <v>400</v>
      </c>
      <c r="M307" s="193" t="s">
        <v>309</v>
      </c>
      <c r="N307" s="193" t="s">
        <v>499</v>
      </c>
      <c r="O307" s="193"/>
      <c r="P307" s="193" t="s">
        <v>381</v>
      </c>
      <c r="Q307" s="193" t="s">
        <v>295</v>
      </c>
      <c r="R307" s="192" t="s">
        <v>379</v>
      </c>
      <c r="S307" s="181"/>
      <c r="T307" s="181" t="s">
        <v>381</v>
      </c>
      <c r="U307" s="181" t="s">
        <v>295</v>
      </c>
      <c r="V307" s="199" t="s">
        <v>379</v>
      </c>
    </row>
    <row r="308" spans="1:22" outlineLevel="1">
      <c r="A308" s="199" t="s">
        <v>255</v>
      </c>
      <c r="B308" s="181" t="s">
        <v>748</v>
      </c>
      <c r="C308" s="190">
        <v>43641</v>
      </c>
      <c r="D308" s="199" t="s">
        <v>809</v>
      </c>
      <c r="E308" s="182" t="s">
        <v>975</v>
      </c>
      <c r="F308" s="183">
        <v>76315</v>
      </c>
      <c r="G308" s="184">
        <v>68.349999999999994</v>
      </c>
      <c r="H308" s="181">
        <v>86.28</v>
      </c>
      <c r="I308" s="181" t="s">
        <v>292</v>
      </c>
      <c r="J308" s="191">
        <v>86.27</v>
      </c>
      <c r="K308" s="192" t="s">
        <v>391</v>
      </c>
      <c r="L308" s="193" t="s">
        <v>396</v>
      </c>
      <c r="M308" s="193" t="s">
        <v>309</v>
      </c>
      <c r="N308" s="193" t="s">
        <v>501</v>
      </c>
      <c r="O308" s="193"/>
      <c r="P308" s="193" t="s">
        <v>381</v>
      </c>
      <c r="Q308" s="193" t="s">
        <v>295</v>
      </c>
      <c r="R308" s="192" t="s">
        <v>379</v>
      </c>
      <c r="S308" s="181"/>
      <c r="T308" s="181" t="s">
        <v>381</v>
      </c>
      <c r="U308" s="181" t="s">
        <v>295</v>
      </c>
      <c r="V308" s="199" t="s">
        <v>379</v>
      </c>
    </row>
    <row r="309" spans="1:22" outlineLevel="1">
      <c r="A309" s="199" t="s">
        <v>255</v>
      </c>
      <c r="B309" s="181" t="s">
        <v>748</v>
      </c>
      <c r="C309" s="190">
        <v>43641</v>
      </c>
      <c r="D309" s="199" t="s">
        <v>809</v>
      </c>
      <c r="E309" s="182" t="s">
        <v>976</v>
      </c>
      <c r="F309" s="183">
        <v>76315</v>
      </c>
      <c r="G309" s="184">
        <v>49.84</v>
      </c>
      <c r="H309" s="181">
        <v>62.91</v>
      </c>
      <c r="I309" s="181" t="s">
        <v>292</v>
      </c>
      <c r="J309" s="191">
        <v>62.91</v>
      </c>
      <c r="K309" s="192" t="s">
        <v>391</v>
      </c>
      <c r="L309" s="193" t="s">
        <v>396</v>
      </c>
      <c r="M309" s="193" t="s">
        <v>309</v>
      </c>
      <c r="N309" s="193" t="s">
        <v>489</v>
      </c>
      <c r="O309" s="193"/>
      <c r="P309" s="193" t="s">
        <v>381</v>
      </c>
      <c r="Q309" s="193" t="s">
        <v>295</v>
      </c>
      <c r="R309" s="192" t="s">
        <v>379</v>
      </c>
      <c r="S309" s="181"/>
      <c r="T309" s="181" t="s">
        <v>381</v>
      </c>
      <c r="U309" s="181" t="s">
        <v>295</v>
      </c>
      <c r="V309" s="199" t="s">
        <v>379</v>
      </c>
    </row>
    <row r="310" spans="1:22" outlineLevel="1">
      <c r="A310" s="199" t="s">
        <v>255</v>
      </c>
      <c r="B310" s="181" t="s">
        <v>748</v>
      </c>
      <c r="C310" s="190">
        <v>43644</v>
      </c>
      <c r="D310" s="199" t="s">
        <v>840</v>
      </c>
      <c r="E310" s="182" t="s">
        <v>977</v>
      </c>
      <c r="F310" s="183">
        <v>76250</v>
      </c>
      <c r="G310" s="184">
        <v>42.6</v>
      </c>
      <c r="H310" s="181">
        <v>53.77</v>
      </c>
      <c r="I310" s="181" t="s">
        <v>292</v>
      </c>
      <c r="J310" s="191">
        <v>53.77</v>
      </c>
      <c r="K310" s="192" t="s">
        <v>391</v>
      </c>
      <c r="L310" s="193" t="s">
        <v>400</v>
      </c>
      <c r="M310" s="193" t="s">
        <v>309</v>
      </c>
      <c r="N310" s="193" t="s">
        <v>491</v>
      </c>
      <c r="O310" s="193"/>
      <c r="P310" s="193" t="s">
        <v>381</v>
      </c>
      <c r="Q310" s="193" t="s">
        <v>295</v>
      </c>
      <c r="R310" s="192" t="s">
        <v>379</v>
      </c>
      <c r="S310" s="181"/>
      <c r="T310" s="181" t="s">
        <v>381</v>
      </c>
      <c r="U310" s="181" t="s">
        <v>295</v>
      </c>
      <c r="V310" s="199" t="s">
        <v>379</v>
      </c>
    </row>
    <row r="311" spans="1:22" outlineLevel="1">
      <c r="A311" s="199" t="s">
        <v>255</v>
      </c>
      <c r="B311" s="181" t="s">
        <v>748</v>
      </c>
      <c r="C311" s="190">
        <v>43644</v>
      </c>
      <c r="D311" s="199" t="s">
        <v>840</v>
      </c>
      <c r="E311" s="182" t="s">
        <v>978</v>
      </c>
      <c r="F311" s="183">
        <v>76250</v>
      </c>
      <c r="G311" s="184">
        <v>14.91</v>
      </c>
      <c r="H311" s="181">
        <v>18.82</v>
      </c>
      <c r="I311" s="181" t="s">
        <v>292</v>
      </c>
      <c r="J311" s="191">
        <v>18.82</v>
      </c>
      <c r="K311" s="192" t="s">
        <v>391</v>
      </c>
      <c r="L311" s="193" t="s">
        <v>400</v>
      </c>
      <c r="M311" s="193" t="s">
        <v>309</v>
      </c>
      <c r="N311" s="193" t="s">
        <v>493</v>
      </c>
      <c r="O311" s="193"/>
      <c r="P311" s="193" t="s">
        <v>381</v>
      </c>
      <c r="Q311" s="193" t="s">
        <v>295</v>
      </c>
      <c r="R311" s="192" t="s">
        <v>379</v>
      </c>
      <c r="S311" s="181"/>
      <c r="T311" s="181" t="s">
        <v>381</v>
      </c>
      <c r="U311" s="181" t="s">
        <v>295</v>
      </c>
      <c r="V311" s="199" t="s">
        <v>379</v>
      </c>
    </row>
    <row r="312" spans="1:22" outlineLevel="1">
      <c r="A312" s="199" t="s">
        <v>255</v>
      </c>
      <c r="B312" s="181" t="s">
        <v>748</v>
      </c>
      <c r="C312" s="190">
        <v>43641</v>
      </c>
      <c r="D312" s="199" t="s">
        <v>811</v>
      </c>
      <c r="E312" s="182" t="s">
        <v>979</v>
      </c>
      <c r="F312" s="183">
        <v>76315</v>
      </c>
      <c r="G312" s="184">
        <v>0.72</v>
      </c>
      <c r="H312" s="181">
        <v>0.91</v>
      </c>
      <c r="I312" s="181" t="s">
        <v>292</v>
      </c>
      <c r="J312" s="191">
        <v>0.91</v>
      </c>
      <c r="K312" s="192" t="s">
        <v>405</v>
      </c>
      <c r="L312" s="193" t="s">
        <v>396</v>
      </c>
      <c r="M312" s="193" t="s">
        <v>309</v>
      </c>
      <c r="N312" s="193" t="s">
        <v>908</v>
      </c>
      <c r="O312" s="193"/>
      <c r="P312" s="193" t="s">
        <v>381</v>
      </c>
      <c r="Q312" s="193" t="s">
        <v>295</v>
      </c>
      <c r="R312" s="192" t="s">
        <v>379</v>
      </c>
      <c r="S312" s="181"/>
      <c r="T312" s="181" t="s">
        <v>381</v>
      </c>
      <c r="U312" s="181" t="s">
        <v>295</v>
      </c>
      <c r="V312" s="199" t="s">
        <v>379</v>
      </c>
    </row>
    <row r="313" spans="1:22" outlineLevel="1">
      <c r="A313" s="199" t="s">
        <v>255</v>
      </c>
      <c r="B313" s="181" t="s">
        <v>748</v>
      </c>
      <c r="C313" s="190">
        <v>43641</v>
      </c>
      <c r="D313" s="199" t="s">
        <v>811</v>
      </c>
      <c r="E313" s="182" t="s">
        <v>980</v>
      </c>
      <c r="F313" s="183">
        <v>76315</v>
      </c>
      <c r="G313" s="184">
        <v>4.95</v>
      </c>
      <c r="H313" s="181">
        <v>6.25</v>
      </c>
      <c r="I313" s="181" t="s">
        <v>292</v>
      </c>
      <c r="J313" s="191">
        <v>6.25</v>
      </c>
      <c r="K313" s="192" t="s">
        <v>405</v>
      </c>
      <c r="L313" s="193" t="s">
        <v>396</v>
      </c>
      <c r="M313" s="193" t="s">
        <v>309</v>
      </c>
      <c r="N313" s="193" t="s">
        <v>487</v>
      </c>
      <c r="O313" s="193"/>
      <c r="P313" s="193" t="s">
        <v>381</v>
      </c>
      <c r="Q313" s="193" t="s">
        <v>295</v>
      </c>
      <c r="R313" s="192" t="s">
        <v>379</v>
      </c>
      <c r="S313" s="181"/>
      <c r="T313" s="181" t="s">
        <v>381</v>
      </c>
      <c r="U313" s="181" t="s">
        <v>295</v>
      </c>
      <c r="V313" s="199" t="s">
        <v>379</v>
      </c>
    </row>
    <row r="314" spans="1:22" outlineLevel="1">
      <c r="A314" s="199" t="s">
        <v>255</v>
      </c>
      <c r="B314" s="181" t="s">
        <v>748</v>
      </c>
      <c r="C314" s="190">
        <v>43641</v>
      </c>
      <c r="D314" s="199" t="s">
        <v>811</v>
      </c>
      <c r="E314" s="182" t="s">
        <v>981</v>
      </c>
      <c r="F314" s="183">
        <v>76315</v>
      </c>
      <c r="G314" s="184">
        <v>0.43</v>
      </c>
      <c r="H314" s="181">
        <v>0.54</v>
      </c>
      <c r="I314" s="181" t="s">
        <v>292</v>
      </c>
      <c r="J314" s="191">
        <v>0.54</v>
      </c>
      <c r="K314" s="192" t="s">
        <v>405</v>
      </c>
      <c r="L314" s="193" t="s">
        <v>396</v>
      </c>
      <c r="M314" s="193" t="s">
        <v>309</v>
      </c>
      <c r="N314" s="193" t="s">
        <v>628</v>
      </c>
      <c r="O314" s="193"/>
      <c r="P314" s="193" t="s">
        <v>381</v>
      </c>
      <c r="Q314" s="193" t="s">
        <v>295</v>
      </c>
      <c r="R314" s="192" t="s">
        <v>379</v>
      </c>
      <c r="S314" s="181"/>
      <c r="T314" s="181" t="s">
        <v>381</v>
      </c>
      <c r="U314" s="181" t="s">
        <v>295</v>
      </c>
      <c r="V314" s="199" t="s">
        <v>379</v>
      </c>
    </row>
    <row r="315" spans="1:22" outlineLevel="1">
      <c r="A315" s="199" t="s">
        <v>255</v>
      </c>
      <c r="B315" s="181" t="s">
        <v>748</v>
      </c>
      <c r="C315" s="190">
        <v>43641</v>
      </c>
      <c r="D315" s="199" t="s">
        <v>811</v>
      </c>
      <c r="E315" s="182" t="s">
        <v>982</v>
      </c>
      <c r="F315" s="183">
        <v>76315</v>
      </c>
      <c r="G315" s="184">
        <v>0.6</v>
      </c>
      <c r="H315" s="181">
        <v>0.76</v>
      </c>
      <c r="I315" s="181" t="s">
        <v>292</v>
      </c>
      <c r="J315" s="191">
        <v>0.76</v>
      </c>
      <c r="K315" s="192" t="s">
        <v>405</v>
      </c>
      <c r="L315" s="193" t="s">
        <v>396</v>
      </c>
      <c r="M315" s="193" t="s">
        <v>309</v>
      </c>
      <c r="N315" s="193" t="s">
        <v>915</v>
      </c>
      <c r="O315" s="193"/>
      <c r="P315" s="193" t="s">
        <v>381</v>
      </c>
      <c r="Q315" s="193" t="s">
        <v>295</v>
      </c>
      <c r="R315" s="192" t="s">
        <v>379</v>
      </c>
      <c r="S315" s="181"/>
      <c r="T315" s="181" t="s">
        <v>381</v>
      </c>
      <c r="U315" s="181" t="s">
        <v>295</v>
      </c>
      <c r="V315" s="199" t="s">
        <v>379</v>
      </c>
    </row>
    <row r="316" spans="1:22" outlineLevel="1">
      <c r="A316" s="199" t="s">
        <v>255</v>
      </c>
      <c r="B316" s="181" t="s">
        <v>748</v>
      </c>
      <c r="C316" s="190">
        <v>43644</v>
      </c>
      <c r="D316" s="199" t="s">
        <v>842</v>
      </c>
      <c r="E316" s="182" t="s">
        <v>983</v>
      </c>
      <c r="F316" s="183">
        <v>76250</v>
      </c>
      <c r="G316" s="184">
        <v>3.4</v>
      </c>
      <c r="H316" s="181">
        <v>4.29</v>
      </c>
      <c r="I316" s="181" t="s">
        <v>292</v>
      </c>
      <c r="J316" s="191">
        <v>4.29</v>
      </c>
      <c r="K316" s="192" t="s">
        <v>405</v>
      </c>
      <c r="L316" s="193" t="s">
        <v>400</v>
      </c>
      <c r="M316" s="193" t="s">
        <v>309</v>
      </c>
      <c r="N316" s="193" t="s">
        <v>495</v>
      </c>
      <c r="O316" s="193"/>
      <c r="P316" s="193" t="s">
        <v>381</v>
      </c>
      <c r="Q316" s="193" t="s">
        <v>295</v>
      </c>
      <c r="R316" s="192" t="s">
        <v>379</v>
      </c>
      <c r="S316" s="181"/>
      <c r="T316" s="181" t="s">
        <v>381</v>
      </c>
      <c r="U316" s="181" t="s">
        <v>295</v>
      </c>
      <c r="V316" s="199" t="s">
        <v>379</v>
      </c>
    </row>
    <row r="317" spans="1:22" outlineLevel="1">
      <c r="A317" s="199" t="s">
        <v>255</v>
      </c>
      <c r="B317" s="181" t="s">
        <v>748</v>
      </c>
      <c r="C317" s="190">
        <v>43644</v>
      </c>
      <c r="D317" s="199" t="s">
        <v>842</v>
      </c>
      <c r="E317" s="182" t="s">
        <v>984</v>
      </c>
      <c r="F317" s="183">
        <v>76250</v>
      </c>
      <c r="G317" s="184">
        <v>11.23</v>
      </c>
      <c r="H317" s="181">
        <v>14.17</v>
      </c>
      <c r="I317" s="181" t="s">
        <v>292</v>
      </c>
      <c r="J317" s="191">
        <v>14.17</v>
      </c>
      <c r="K317" s="192" t="s">
        <v>405</v>
      </c>
      <c r="L317" s="193" t="s">
        <v>400</v>
      </c>
      <c r="M317" s="193" t="s">
        <v>309</v>
      </c>
      <c r="N317" s="193" t="s">
        <v>497</v>
      </c>
      <c r="O317" s="193"/>
      <c r="P317" s="193" t="s">
        <v>381</v>
      </c>
      <c r="Q317" s="193" t="s">
        <v>295</v>
      </c>
      <c r="R317" s="192" t="s">
        <v>379</v>
      </c>
      <c r="S317" s="181"/>
      <c r="T317" s="181" t="s">
        <v>381</v>
      </c>
      <c r="U317" s="181" t="s">
        <v>295</v>
      </c>
      <c r="V317" s="199" t="s">
        <v>379</v>
      </c>
    </row>
    <row r="318" spans="1:22" outlineLevel="1">
      <c r="A318" s="199" t="s">
        <v>255</v>
      </c>
      <c r="B318" s="181" t="s">
        <v>748</v>
      </c>
      <c r="C318" s="190">
        <v>43644</v>
      </c>
      <c r="D318" s="199" t="s">
        <v>842</v>
      </c>
      <c r="E318" s="182" t="s">
        <v>985</v>
      </c>
      <c r="F318" s="183">
        <v>76250</v>
      </c>
      <c r="G318" s="184">
        <v>15.73</v>
      </c>
      <c r="H318" s="181">
        <v>19.86</v>
      </c>
      <c r="I318" s="181" t="s">
        <v>292</v>
      </c>
      <c r="J318" s="191">
        <v>19.850000000000001</v>
      </c>
      <c r="K318" s="192" t="s">
        <v>405</v>
      </c>
      <c r="L318" s="193" t="s">
        <v>400</v>
      </c>
      <c r="M318" s="193" t="s">
        <v>309</v>
      </c>
      <c r="N318" s="193" t="s">
        <v>499</v>
      </c>
      <c r="O318" s="193"/>
      <c r="P318" s="193" t="s">
        <v>381</v>
      </c>
      <c r="Q318" s="193" t="s">
        <v>295</v>
      </c>
      <c r="R318" s="192" t="s">
        <v>379</v>
      </c>
      <c r="S318" s="181"/>
      <c r="T318" s="181" t="s">
        <v>381</v>
      </c>
      <c r="U318" s="181" t="s">
        <v>295</v>
      </c>
      <c r="V318" s="199" t="s">
        <v>379</v>
      </c>
    </row>
    <row r="319" spans="1:22" outlineLevel="1">
      <c r="A319" s="199" t="s">
        <v>255</v>
      </c>
      <c r="B319" s="181" t="s">
        <v>748</v>
      </c>
      <c r="C319" s="190">
        <v>43641</v>
      </c>
      <c r="D319" s="199" t="s">
        <v>811</v>
      </c>
      <c r="E319" s="182" t="s">
        <v>986</v>
      </c>
      <c r="F319" s="183">
        <v>76315</v>
      </c>
      <c r="G319" s="184">
        <v>11.39</v>
      </c>
      <c r="H319" s="181">
        <v>14.38</v>
      </c>
      <c r="I319" s="181" t="s">
        <v>292</v>
      </c>
      <c r="J319" s="191">
        <v>14.38</v>
      </c>
      <c r="K319" s="192" t="s">
        <v>405</v>
      </c>
      <c r="L319" s="193" t="s">
        <v>396</v>
      </c>
      <c r="M319" s="193" t="s">
        <v>309</v>
      </c>
      <c r="N319" s="193" t="s">
        <v>501</v>
      </c>
      <c r="O319" s="193"/>
      <c r="P319" s="193" t="s">
        <v>381</v>
      </c>
      <c r="Q319" s="193" t="s">
        <v>295</v>
      </c>
      <c r="R319" s="192" t="s">
        <v>379</v>
      </c>
      <c r="S319" s="181"/>
      <c r="T319" s="181" t="s">
        <v>381</v>
      </c>
      <c r="U319" s="181" t="s">
        <v>295</v>
      </c>
      <c r="V319" s="199" t="s">
        <v>379</v>
      </c>
    </row>
    <row r="320" spans="1:22" outlineLevel="1">
      <c r="A320" s="199" t="s">
        <v>255</v>
      </c>
      <c r="B320" s="181" t="s">
        <v>748</v>
      </c>
      <c r="C320" s="190">
        <v>43641</v>
      </c>
      <c r="D320" s="199" t="s">
        <v>811</v>
      </c>
      <c r="E320" s="182" t="s">
        <v>987</v>
      </c>
      <c r="F320" s="183">
        <v>76315</v>
      </c>
      <c r="G320" s="184">
        <v>8.31</v>
      </c>
      <c r="H320" s="181">
        <v>10.49</v>
      </c>
      <c r="I320" s="181" t="s">
        <v>292</v>
      </c>
      <c r="J320" s="191">
        <v>10.49</v>
      </c>
      <c r="K320" s="192" t="s">
        <v>405</v>
      </c>
      <c r="L320" s="193" t="s">
        <v>396</v>
      </c>
      <c r="M320" s="193" t="s">
        <v>309</v>
      </c>
      <c r="N320" s="193" t="s">
        <v>489</v>
      </c>
      <c r="O320" s="193"/>
      <c r="P320" s="193" t="s">
        <v>381</v>
      </c>
      <c r="Q320" s="193" t="s">
        <v>295</v>
      </c>
      <c r="R320" s="192" t="s">
        <v>379</v>
      </c>
      <c r="S320" s="181"/>
      <c r="T320" s="181" t="s">
        <v>381</v>
      </c>
      <c r="U320" s="181" t="s">
        <v>295</v>
      </c>
      <c r="V320" s="199" t="s">
        <v>379</v>
      </c>
    </row>
    <row r="321" spans="1:22" outlineLevel="1">
      <c r="A321" s="199" t="s">
        <v>255</v>
      </c>
      <c r="B321" s="181" t="s">
        <v>748</v>
      </c>
      <c r="C321" s="190">
        <v>43644</v>
      </c>
      <c r="D321" s="199" t="s">
        <v>844</v>
      </c>
      <c r="E321" s="182" t="s">
        <v>509</v>
      </c>
      <c r="F321" s="183">
        <v>76250</v>
      </c>
      <c r="G321" s="184">
        <v>0.23</v>
      </c>
      <c r="H321" s="181">
        <v>0.28999999999999998</v>
      </c>
      <c r="I321" s="181" t="s">
        <v>292</v>
      </c>
      <c r="J321" s="191">
        <v>0.28999999999999998</v>
      </c>
      <c r="K321" s="192" t="s">
        <v>405</v>
      </c>
      <c r="L321" s="193" t="s">
        <v>400</v>
      </c>
      <c r="M321" s="193" t="s">
        <v>309</v>
      </c>
      <c r="N321" s="193" t="s">
        <v>495</v>
      </c>
      <c r="O321" s="193"/>
      <c r="P321" s="193" t="s">
        <v>381</v>
      </c>
      <c r="Q321" s="193" t="s">
        <v>295</v>
      </c>
      <c r="R321" s="192" t="s">
        <v>379</v>
      </c>
      <c r="S321" s="181"/>
      <c r="T321" s="181" t="s">
        <v>381</v>
      </c>
      <c r="U321" s="181" t="s">
        <v>295</v>
      </c>
      <c r="V321" s="199" t="s">
        <v>379</v>
      </c>
    </row>
    <row r="322" spans="1:22" outlineLevel="1">
      <c r="A322" s="199" t="s">
        <v>255</v>
      </c>
      <c r="B322" s="181" t="s">
        <v>748</v>
      </c>
      <c r="C322" s="190">
        <v>43644</v>
      </c>
      <c r="D322" s="199" t="s">
        <v>844</v>
      </c>
      <c r="E322" s="182" t="s">
        <v>510</v>
      </c>
      <c r="F322" s="183">
        <v>76250</v>
      </c>
      <c r="G322" s="184">
        <v>0.74</v>
      </c>
      <c r="H322" s="181">
        <v>0.94</v>
      </c>
      <c r="I322" s="181" t="s">
        <v>292</v>
      </c>
      <c r="J322" s="191">
        <v>0.93</v>
      </c>
      <c r="K322" s="192" t="s">
        <v>405</v>
      </c>
      <c r="L322" s="193" t="s">
        <v>400</v>
      </c>
      <c r="M322" s="193" t="s">
        <v>309</v>
      </c>
      <c r="N322" s="193" t="s">
        <v>497</v>
      </c>
      <c r="O322" s="193"/>
      <c r="P322" s="193" t="s">
        <v>381</v>
      </c>
      <c r="Q322" s="193" t="s">
        <v>295</v>
      </c>
      <c r="R322" s="192" t="s">
        <v>379</v>
      </c>
      <c r="S322" s="181"/>
      <c r="T322" s="181" t="s">
        <v>381</v>
      </c>
      <c r="U322" s="181" t="s">
        <v>295</v>
      </c>
      <c r="V322" s="199" t="s">
        <v>379</v>
      </c>
    </row>
    <row r="323" spans="1:22" outlineLevel="1">
      <c r="A323" s="199" t="s">
        <v>255</v>
      </c>
      <c r="B323" s="181" t="s">
        <v>748</v>
      </c>
      <c r="C323" s="190">
        <v>43644</v>
      </c>
      <c r="D323" s="199" t="s">
        <v>844</v>
      </c>
      <c r="E323" s="182" t="s">
        <v>511</v>
      </c>
      <c r="F323" s="183">
        <v>76250</v>
      </c>
      <c r="G323" s="184">
        <v>1.05</v>
      </c>
      <c r="H323" s="181">
        <v>1.32</v>
      </c>
      <c r="I323" s="181" t="s">
        <v>292</v>
      </c>
      <c r="J323" s="191">
        <v>1.33</v>
      </c>
      <c r="K323" s="192" t="s">
        <v>405</v>
      </c>
      <c r="L323" s="193" t="s">
        <v>400</v>
      </c>
      <c r="M323" s="193" t="s">
        <v>309</v>
      </c>
      <c r="N323" s="193" t="s">
        <v>499</v>
      </c>
      <c r="O323" s="193"/>
      <c r="P323" s="193" t="s">
        <v>381</v>
      </c>
      <c r="Q323" s="193" t="s">
        <v>295</v>
      </c>
      <c r="R323" s="192" t="s">
        <v>379</v>
      </c>
      <c r="S323" s="181"/>
      <c r="T323" s="181" t="s">
        <v>381</v>
      </c>
      <c r="U323" s="181" t="s">
        <v>295</v>
      </c>
      <c r="V323" s="199" t="s">
        <v>379</v>
      </c>
    </row>
    <row r="324" spans="1:22" outlineLevel="1">
      <c r="A324" s="199" t="s">
        <v>255</v>
      </c>
      <c r="B324" s="181" t="s">
        <v>748</v>
      </c>
      <c r="C324" s="190">
        <v>43644</v>
      </c>
      <c r="D324" s="199" t="s">
        <v>842</v>
      </c>
      <c r="E324" s="182" t="s">
        <v>988</v>
      </c>
      <c r="F324" s="183">
        <v>76250</v>
      </c>
      <c r="G324" s="184">
        <v>7.1</v>
      </c>
      <c r="H324" s="181">
        <v>8.9600000000000009</v>
      </c>
      <c r="I324" s="181" t="s">
        <v>292</v>
      </c>
      <c r="J324" s="191">
        <v>8.9600000000000009</v>
      </c>
      <c r="K324" s="192" t="s">
        <v>405</v>
      </c>
      <c r="L324" s="193" t="s">
        <v>400</v>
      </c>
      <c r="M324" s="193" t="s">
        <v>309</v>
      </c>
      <c r="N324" s="193" t="s">
        <v>491</v>
      </c>
      <c r="O324" s="193"/>
      <c r="P324" s="193" t="s">
        <v>381</v>
      </c>
      <c r="Q324" s="193" t="s">
        <v>295</v>
      </c>
      <c r="R324" s="192" t="s">
        <v>379</v>
      </c>
      <c r="S324" s="181"/>
      <c r="T324" s="181" t="s">
        <v>381</v>
      </c>
      <c r="U324" s="181" t="s">
        <v>295</v>
      </c>
      <c r="V324" s="199" t="s">
        <v>379</v>
      </c>
    </row>
    <row r="325" spans="1:22" outlineLevel="1">
      <c r="A325" s="199" t="s">
        <v>255</v>
      </c>
      <c r="B325" s="181" t="s">
        <v>748</v>
      </c>
      <c r="C325" s="190">
        <v>43644</v>
      </c>
      <c r="D325" s="199" t="s">
        <v>842</v>
      </c>
      <c r="E325" s="182" t="s">
        <v>989</v>
      </c>
      <c r="F325" s="183">
        <v>76250</v>
      </c>
      <c r="G325" s="184">
        <v>2.4900000000000002</v>
      </c>
      <c r="H325" s="181">
        <v>3.14</v>
      </c>
      <c r="I325" s="181" t="s">
        <v>292</v>
      </c>
      <c r="J325" s="191">
        <v>3.14</v>
      </c>
      <c r="K325" s="192" t="s">
        <v>405</v>
      </c>
      <c r="L325" s="193" t="s">
        <v>400</v>
      </c>
      <c r="M325" s="193" t="s">
        <v>309</v>
      </c>
      <c r="N325" s="193" t="s">
        <v>493</v>
      </c>
      <c r="O325" s="193"/>
      <c r="P325" s="193" t="s">
        <v>381</v>
      </c>
      <c r="Q325" s="193" t="s">
        <v>295</v>
      </c>
      <c r="R325" s="192" t="s">
        <v>379</v>
      </c>
      <c r="S325" s="181"/>
      <c r="T325" s="181" t="s">
        <v>381</v>
      </c>
      <c r="U325" s="181" t="s">
        <v>295</v>
      </c>
      <c r="V325" s="199" t="s">
        <v>379</v>
      </c>
    </row>
    <row r="326" spans="1:22" outlineLevel="1">
      <c r="A326" s="199" t="s">
        <v>255</v>
      </c>
      <c r="B326" s="181" t="s">
        <v>748</v>
      </c>
      <c r="C326" s="190">
        <v>43644</v>
      </c>
      <c r="D326" s="199" t="s">
        <v>844</v>
      </c>
      <c r="E326" s="182" t="s">
        <v>520</v>
      </c>
      <c r="F326" s="183">
        <v>76250</v>
      </c>
      <c r="G326" s="184">
        <v>0.48</v>
      </c>
      <c r="H326" s="181">
        <v>0.6</v>
      </c>
      <c r="I326" s="181" t="s">
        <v>292</v>
      </c>
      <c r="J326" s="191">
        <v>0.61</v>
      </c>
      <c r="K326" s="192" t="s">
        <v>405</v>
      </c>
      <c r="L326" s="193" t="s">
        <v>400</v>
      </c>
      <c r="M326" s="193" t="s">
        <v>309</v>
      </c>
      <c r="N326" s="193" t="s">
        <v>491</v>
      </c>
      <c r="O326" s="193"/>
      <c r="P326" s="193" t="s">
        <v>381</v>
      </c>
      <c r="Q326" s="193" t="s">
        <v>295</v>
      </c>
      <c r="R326" s="192" t="s">
        <v>379</v>
      </c>
      <c r="S326" s="181"/>
      <c r="T326" s="181" t="s">
        <v>381</v>
      </c>
      <c r="U326" s="181" t="s">
        <v>295</v>
      </c>
      <c r="V326" s="199" t="s">
        <v>379</v>
      </c>
    </row>
    <row r="327" spans="1:22" outlineLevel="1">
      <c r="A327" s="199" t="s">
        <v>255</v>
      </c>
      <c r="B327" s="181" t="s">
        <v>748</v>
      </c>
      <c r="C327" s="190">
        <v>43644</v>
      </c>
      <c r="D327" s="199" t="s">
        <v>844</v>
      </c>
      <c r="E327" s="182" t="s">
        <v>521</v>
      </c>
      <c r="F327" s="183">
        <v>76250</v>
      </c>
      <c r="G327" s="184">
        <v>0.17</v>
      </c>
      <c r="H327" s="181">
        <v>0.21</v>
      </c>
      <c r="I327" s="181" t="s">
        <v>292</v>
      </c>
      <c r="J327" s="191">
        <v>0.21</v>
      </c>
      <c r="K327" s="192" t="s">
        <v>405</v>
      </c>
      <c r="L327" s="193" t="s">
        <v>400</v>
      </c>
      <c r="M327" s="193" t="s">
        <v>309</v>
      </c>
      <c r="N327" s="193" t="s">
        <v>493</v>
      </c>
      <c r="O327" s="193"/>
      <c r="P327" s="193" t="s">
        <v>381</v>
      </c>
      <c r="Q327" s="193" t="s">
        <v>295</v>
      </c>
      <c r="R327" s="192" t="s">
        <v>379</v>
      </c>
      <c r="S327" s="181"/>
      <c r="T327" s="181" t="s">
        <v>381</v>
      </c>
      <c r="U327" s="181" t="s">
        <v>295</v>
      </c>
      <c r="V327" s="199" t="s">
        <v>379</v>
      </c>
    </row>
    <row r="328" spans="1:22">
      <c r="A328" s="194" t="s">
        <v>378</v>
      </c>
      <c r="B328" s="194"/>
      <c r="C328" s="194"/>
      <c r="D328" s="194"/>
      <c r="E328" s="195"/>
      <c r="F328" s="196"/>
      <c r="G328" s="197">
        <f>SUM(G197:G327)</f>
        <v>9267.9099999999962</v>
      </c>
      <c r="H328" s="198">
        <f>SUM(H197:H327)</f>
        <v>11925.890000000001</v>
      </c>
      <c r="I328" s="194"/>
      <c r="J328" s="198">
        <f>SUM(J197:J327)</f>
        <v>11937.59</v>
      </c>
      <c r="K328" s="194"/>
      <c r="L328" s="194"/>
      <c r="M328" s="194"/>
      <c r="N328" s="194"/>
      <c r="O328" s="194"/>
      <c r="P328" s="194"/>
      <c r="Q328" s="194"/>
      <c r="R328" s="194"/>
      <c r="S328" s="181"/>
      <c r="T328" s="181"/>
      <c r="U328" s="181"/>
      <c r="V328" s="181"/>
    </row>
    <row r="329" spans="1:22" outlineLevel="1">
      <c r="A329" s="199" t="s">
        <v>256</v>
      </c>
      <c r="B329" s="181" t="s">
        <v>747</v>
      </c>
      <c r="C329" s="190">
        <v>43559</v>
      </c>
      <c r="D329" s="199" t="s">
        <v>990</v>
      </c>
      <c r="E329" s="182" t="s">
        <v>991</v>
      </c>
      <c r="F329" s="183">
        <v>75694</v>
      </c>
      <c r="G329" s="184">
        <v>3.45</v>
      </c>
      <c r="H329" s="181">
        <v>4.5</v>
      </c>
      <c r="I329" s="181" t="s">
        <v>292</v>
      </c>
      <c r="J329" s="191">
        <v>4.5</v>
      </c>
      <c r="K329" s="192" t="s">
        <v>555</v>
      </c>
      <c r="L329" s="193" t="s">
        <v>400</v>
      </c>
      <c r="M329" s="193" t="s">
        <v>309</v>
      </c>
      <c r="N329" s="193" t="s">
        <v>556</v>
      </c>
      <c r="O329" s="193"/>
      <c r="P329" s="193" t="s">
        <v>381</v>
      </c>
      <c r="Q329" s="193" t="s">
        <v>295</v>
      </c>
      <c r="R329" s="192" t="s">
        <v>379</v>
      </c>
      <c r="S329" s="181"/>
      <c r="T329" s="181" t="s">
        <v>381</v>
      </c>
      <c r="U329" s="181" t="s">
        <v>295</v>
      </c>
      <c r="V329" s="199" t="s">
        <v>379</v>
      </c>
    </row>
    <row r="330" spans="1:22" outlineLevel="1">
      <c r="A330" s="199" t="s">
        <v>256</v>
      </c>
      <c r="B330" s="181" t="s">
        <v>747</v>
      </c>
      <c r="C330" s="190">
        <v>43578</v>
      </c>
      <c r="D330" s="199" t="s">
        <v>992</v>
      </c>
      <c r="E330" s="182" t="s">
        <v>993</v>
      </c>
      <c r="F330" s="183">
        <v>75701</v>
      </c>
      <c r="G330" s="184">
        <v>14.52</v>
      </c>
      <c r="H330" s="181">
        <v>18.940000000000001</v>
      </c>
      <c r="I330" s="181" t="s">
        <v>292</v>
      </c>
      <c r="J330" s="191">
        <v>18.940000000000001</v>
      </c>
      <c r="K330" s="192" t="s">
        <v>555</v>
      </c>
      <c r="L330" s="193" t="s">
        <v>396</v>
      </c>
      <c r="M330" s="193" t="s">
        <v>309</v>
      </c>
      <c r="N330" s="193" t="s">
        <v>449</v>
      </c>
      <c r="O330" s="193"/>
      <c r="P330" s="193" t="s">
        <v>381</v>
      </c>
      <c r="Q330" s="193" t="s">
        <v>295</v>
      </c>
      <c r="R330" s="192" t="s">
        <v>379</v>
      </c>
      <c r="S330" s="181"/>
      <c r="T330" s="181" t="s">
        <v>381</v>
      </c>
      <c r="U330" s="181" t="s">
        <v>295</v>
      </c>
      <c r="V330" s="199" t="s">
        <v>379</v>
      </c>
    </row>
    <row r="331" spans="1:22" outlineLevel="1">
      <c r="A331" s="199" t="s">
        <v>256</v>
      </c>
      <c r="B331" s="181" t="s">
        <v>747</v>
      </c>
      <c r="C331" s="190">
        <v>43578</v>
      </c>
      <c r="D331" s="199" t="s">
        <v>992</v>
      </c>
      <c r="E331" s="182" t="s">
        <v>994</v>
      </c>
      <c r="F331" s="183">
        <v>75701</v>
      </c>
      <c r="G331" s="184">
        <v>2.2000000000000002</v>
      </c>
      <c r="H331" s="181">
        <v>2.87</v>
      </c>
      <c r="I331" s="181" t="s">
        <v>292</v>
      </c>
      <c r="J331" s="191">
        <v>2.87</v>
      </c>
      <c r="K331" s="192" t="s">
        <v>555</v>
      </c>
      <c r="L331" s="193" t="s">
        <v>396</v>
      </c>
      <c r="M331" s="193" t="s">
        <v>309</v>
      </c>
      <c r="N331" s="193" t="s">
        <v>468</v>
      </c>
      <c r="O331" s="193"/>
      <c r="P331" s="193" t="s">
        <v>381</v>
      </c>
      <c r="Q331" s="193" t="s">
        <v>295</v>
      </c>
      <c r="R331" s="192" t="s">
        <v>379</v>
      </c>
      <c r="S331" s="181"/>
      <c r="T331" s="181" t="s">
        <v>381</v>
      </c>
      <c r="U331" s="181" t="s">
        <v>295</v>
      </c>
      <c r="V331" s="199" t="s">
        <v>379</v>
      </c>
    </row>
    <row r="332" spans="1:22" outlineLevel="1">
      <c r="A332" s="199" t="s">
        <v>256</v>
      </c>
      <c r="B332" s="181" t="s">
        <v>747</v>
      </c>
      <c r="C332" s="190">
        <v>43578</v>
      </c>
      <c r="D332" s="199" t="s">
        <v>992</v>
      </c>
      <c r="E332" s="182" t="s">
        <v>995</v>
      </c>
      <c r="F332" s="183">
        <v>75701</v>
      </c>
      <c r="G332" s="184">
        <v>45.6</v>
      </c>
      <c r="H332" s="181">
        <v>59.48</v>
      </c>
      <c r="I332" s="181" t="s">
        <v>292</v>
      </c>
      <c r="J332" s="191">
        <v>59.47</v>
      </c>
      <c r="K332" s="192" t="s">
        <v>555</v>
      </c>
      <c r="L332" s="193" t="s">
        <v>396</v>
      </c>
      <c r="M332" s="193" t="s">
        <v>309</v>
      </c>
      <c r="N332" s="193" t="s">
        <v>487</v>
      </c>
      <c r="O332" s="193"/>
      <c r="P332" s="193" t="s">
        <v>381</v>
      </c>
      <c r="Q332" s="193" t="s">
        <v>295</v>
      </c>
      <c r="R332" s="192" t="s">
        <v>379</v>
      </c>
      <c r="S332" s="181"/>
      <c r="T332" s="181" t="s">
        <v>381</v>
      </c>
      <c r="U332" s="181" t="s">
        <v>295</v>
      </c>
      <c r="V332" s="199" t="s">
        <v>379</v>
      </c>
    </row>
    <row r="333" spans="1:22" outlineLevel="1">
      <c r="A333" s="199" t="s">
        <v>256</v>
      </c>
      <c r="B333" s="181" t="s">
        <v>747</v>
      </c>
      <c r="C333" s="190">
        <v>43579</v>
      </c>
      <c r="D333" s="199" t="s">
        <v>996</v>
      </c>
      <c r="E333" s="182" t="s">
        <v>997</v>
      </c>
      <c r="F333" s="183">
        <v>75701</v>
      </c>
      <c r="G333" s="184">
        <v>3.89</v>
      </c>
      <c r="H333" s="181">
        <v>5.08</v>
      </c>
      <c r="I333" s="181" t="s">
        <v>292</v>
      </c>
      <c r="J333" s="191">
        <v>5.07</v>
      </c>
      <c r="K333" s="192" t="s">
        <v>555</v>
      </c>
      <c r="L333" s="193" t="s">
        <v>396</v>
      </c>
      <c r="M333" s="193" t="s">
        <v>309</v>
      </c>
      <c r="N333" s="193" t="s">
        <v>499</v>
      </c>
      <c r="O333" s="193"/>
      <c r="P333" s="193" t="s">
        <v>381</v>
      </c>
      <c r="Q333" s="193" t="s">
        <v>295</v>
      </c>
      <c r="R333" s="192" t="s">
        <v>379</v>
      </c>
      <c r="S333" s="181"/>
      <c r="T333" s="181" t="s">
        <v>381</v>
      </c>
      <c r="U333" s="181" t="s">
        <v>295</v>
      </c>
      <c r="V333" s="199" t="s">
        <v>379</v>
      </c>
    </row>
    <row r="334" spans="1:22" outlineLevel="1">
      <c r="A334" s="199" t="s">
        <v>256</v>
      </c>
      <c r="B334" s="181" t="s">
        <v>747</v>
      </c>
      <c r="C334" s="190">
        <v>43579</v>
      </c>
      <c r="D334" s="199" t="s">
        <v>996</v>
      </c>
      <c r="E334" s="182" t="s">
        <v>998</v>
      </c>
      <c r="F334" s="183">
        <v>75701</v>
      </c>
      <c r="G334" s="184">
        <v>30.62</v>
      </c>
      <c r="H334" s="181">
        <v>39.94</v>
      </c>
      <c r="I334" s="181" t="s">
        <v>292</v>
      </c>
      <c r="J334" s="191">
        <v>39.94</v>
      </c>
      <c r="K334" s="192" t="s">
        <v>555</v>
      </c>
      <c r="L334" s="193" t="s">
        <v>396</v>
      </c>
      <c r="M334" s="193" t="s">
        <v>309</v>
      </c>
      <c r="N334" s="193" t="s">
        <v>499</v>
      </c>
      <c r="O334" s="193"/>
      <c r="P334" s="193" t="s">
        <v>381</v>
      </c>
      <c r="Q334" s="193" t="s">
        <v>295</v>
      </c>
      <c r="R334" s="192" t="s">
        <v>379</v>
      </c>
      <c r="S334" s="181"/>
      <c r="T334" s="181" t="s">
        <v>381</v>
      </c>
      <c r="U334" s="181" t="s">
        <v>295</v>
      </c>
      <c r="V334" s="199" t="s">
        <v>379</v>
      </c>
    </row>
    <row r="335" spans="1:22" outlineLevel="1">
      <c r="A335" s="199" t="s">
        <v>256</v>
      </c>
      <c r="B335" s="181" t="s">
        <v>777</v>
      </c>
      <c r="C335" s="190">
        <v>43601</v>
      </c>
      <c r="D335" s="199" t="s">
        <v>999</v>
      </c>
      <c r="E335" s="182" t="s">
        <v>1000</v>
      </c>
      <c r="F335" s="183">
        <v>75987</v>
      </c>
      <c r="G335" s="184">
        <v>91.3</v>
      </c>
      <c r="H335" s="181">
        <v>118.96</v>
      </c>
      <c r="I335" s="181" t="s">
        <v>292</v>
      </c>
      <c r="J335" s="191">
        <v>118.96</v>
      </c>
      <c r="K335" s="192" t="s">
        <v>555</v>
      </c>
      <c r="L335" s="193" t="s">
        <v>396</v>
      </c>
      <c r="M335" s="193" t="s">
        <v>309</v>
      </c>
      <c r="N335" s="193" t="s">
        <v>626</v>
      </c>
      <c r="O335" s="193"/>
      <c r="P335" s="193" t="s">
        <v>381</v>
      </c>
      <c r="Q335" s="193" t="s">
        <v>295</v>
      </c>
      <c r="R335" s="192" t="s">
        <v>379</v>
      </c>
      <c r="S335" s="181"/>
      <c r="T335" s="181" t="s">
        <v>381</v>
      </c>
      <c r="U335" s="181" t="s">
        <v>295</v>
      </c>
      <c r="V335" s="199" t="s">
        <v>379</v>
      </c>
    </row>
    <row r="336" spans="1:22" outlineLevel="1">
      <c r="A336" s="199" t="s">
        <v>256</v>
      </c>
      <c r="B336" s="181" t="s">
        <v>777</v>
      </c>
      <c r="C336" s="190">
        <v>43601</v>
      </c>
      <c r="D336" s="199" t="s">
        <v>999</v>
      </c>
      <c r="E336" s="182" t="s">
        <v>1001</v>
      </c>
      <c r="F336" s="183">
        <v>75987</v>
      </c>
      <c r="G336" s="184">
        <v>401.88</v>
      </c>
      <c r="H336" s="181">
        <v>523.63</v>
      </c>
      <c r="I336" s="181" t="s">
        <v>292</v>
      </c>
      <c r="J336" s="191">
        <v>523.63</v>
      </c>
      <c r="K336" s="192" t="s">
        <v>555</v>
      </c>
      <c r="L336" s="193" t="s">
        <v>396</v>
      </c>
      <c r="M336" s="193" t="s">
        <v>309</v>
      </c>
      <c r="N336" s="193" t="s">
        <v>397</v>
      </c>
      <c r="O336" s="193"/>
      <c r="P336" s="193" t="s">
        <v>381</v>
      </c>
      <c r="Q336" s="193" t="s">
        <v>295</v>
      </c>
      <c r="R336" s="192" t="s">
        <v>379</v>
      </c>
      <c r="S336" s="181"/>
      <c r="T336" s="181" t="s">
        <v>381</v>
      </c>
      <c r="U336" s="181" t="s">
        <v>295</v>
      </c>
      <c r="V336" s="199" t="s">
        <v>379</v>
      </c>
    </row>
    <row r="337" spans="1:22" outlineLevel="1">
      <c r="A337" s="199" t="s">
        <v>256</v>
      </c>
      <c r="B337" s="181" t="s">
        <v>777</v>
      </c>
      <c r="C337" s="190">
        <v>43601</v>
      </c>
      <c r="D337" s="199" t="s">
        <v>999</v>
      </c>
      <c r="E337" s="182" t="s">
        <v>1002</v>
      </c>
      <c r="F337" s="183">
        <v>75987</v>
      </c>
      <c r="G337" s="184">
        <v>11.37</v>
      </c>
      <c r="H337" s="181">
        <v>14.81</v>
      </c>
      <c r="I337" s="181" t="s">
        <v>292</v>
      </c>
      <c r="J337" s="191">
        <v>14.81</v>
      </c>
      <c r="K337" s="192" t="s">
        <v>555</v>
      </c>
      <c r="L337" s="193" t="s">
        <v>396</v>
      </c>
      <c r="M337" s="193" t="s">
        <v>309</v>
      </c>
      <c r="N337" s="193" t="s">
        <v>449</v>
      </c>
      <c r="O337" s="193"/>
      <c r="P337" s="193" t="s">
        <v>381</v>
      </c>
      <c r="Q337" s="193" t="s">
        <v>295</v>
      </c>
      <c r="R337" s="192" t="s">
        <v>379</v>
      </c>
      <c r="S337" s="181"/>
      <c r="T337" s="181" t="s">
        <v>381</v>
      </c>
      <c r="U337" s="181" t="s">
        <v>295</v>
      </c>
      <c r="V337" s="199" t="s">
        <v>379</v>
      </c>
    </row>
    <row r="338" spans="1:22" outlineLevel="1">
      <c r="A338" s="199" t="s">
        <v>256</v>
      </c>
      <c r="B338" s="181" t="s">
        <v>777</v>
      </c>
      <c r="C338" s="190">
        <v>43601</v>
      </c>
      <c r="D338" s="199" t="s">
        <v>999</v>
      </c>
      <c r="E338" s="182" t="s">
        <v>1003</v>
      </c>
      <c r="F338" s="183">
        <v>75987</v>
      </c>
      <c r="G338" s="184">
        <v>46.87</v>
      </c>
      <c r="H338" s="181">
        <v>61.07</v>
      </c>
      <c r="I338" s="181" t="s">
        <v>292</v>
      </c>
      <c r="J338" s="191">
        <v>61.07</v>
      </c>
      <c r="K338" s="192" t="s">
        <v>555</v>
      </c>
      <c r="L338" s="193" t="s">
        <v>396</v>
      </c>
      <c r="M338" s="193" t="s">
        <v>309</v>
      </c>
      <c r="N338" s="193" t="s">
        <v>501</v>
      </c>
      <c r="O338" s="193"/>
      <c r="P338" s="193" t="s">
        <v>381</v>
      </c>
      <c r="Q338" s="193" t="s">
        <v>295</v>
      </c>
      <c r="R338" s="192" t="s">
        <v>379</v>
      </c>
      <c r="S338" s="181"/>
      <c r="T338" s="181" t="s">
        <v>381</v>
      </c>
      <c r="U338" s="181" t="s">
        <v>295</v>
      </c>
      <c r="V338" s="199" t="s">
        <v>379</v>
      </c>
    </row>
    <row r="339" spans="1:22" outlineLevel="1">
      <c r="A339" s="199" t="s">
        <v>256</v>
      </c>
      <c r="B339" s="181" t="s">
        <v>777</v>
      </c>
      <c r="C339" s="190">
        <v>43601</v>
      </c>
      <c r="D339" s="199" t="s">
        <v>999</v>
      </c>
      <c r="E339" s="182" t="s">
        <v>1004</v>
      </c>
      <c r="F339" s="183">
        <v>75987</v>
      </c>
      <c r="G339" s="184">
        <v>8.1</v>
      </c>
      <c r="H339" s="181">
        <v>10.56</v>
      </c>
      <c r="I339" s="181" t="s">
        <v>292</v>
      </c>
      <c r="J339" s="191">
        <v>10.55</v>
      </c>
      <c r="K339" s="192" t="s">
        <v>555</v>
      </c>
      <c r="L339" s="193" t="s">
        <v>396</v>
      </c>
      <c r="M339" s="193" t="s">
        <v>309</v>
      </c>
      <c r="N339" s="193" t="s">
        <v>489</v>
      </c>
      <c r="O339" s="193"/>
      <c r="P339" s="193" t="s">
        <v>381</v>
      </c>
      <c r="Q339" s="193" t="s">
        <v>295</v>
      </c>
      <c r="R339" s="192" t="s">
        <v>379</v>
      </c>
      <c r="S339" s="181"/>
      <c r="T339" s="181" t="s">
        <v>381</v>
      </c>
      <c r="U339" s="181" t="s">
        <v>295</v>
      </c>
      <c r="V339" s="199" t="s">
        <v>379</v>
      </c>
    </row>
    <row r="340" spans="1:22" outlineLevel="1">
      <c r="A340" s="199" t="s">
        <v>256</v>
      </c>
      <c r="B340" s="181" t="s">
        <v>777</v>
      </c>
      <c r="C340" s="190">
        <v>43605</v>
      </c>
      <c r="D340" s="199" t="s">
        <v>1005</v>
      </c>
      <c r="E340" s="182" t="s">
        <v>1006</v>
      </c>
      <c r="F340" s="183">
        <v>75988</v>
      </c>
      <c r="G340" s="184">
        <v>7.51</v>
      </c>
      <c r="H340" s="181">
        <v>9.7799999999999994</v>
      </c>
      <c r="I340" s="181" t="s">
        <v>292</v>
      </c>
      <c r="J340" s="191">
        <v>9.7899999999999991</v>
      </c>
      <c r="K340" s="192" t="s">
        <v>555</v>
      </c>
      <c r="L340" s="193" t="s">
        <v>400</v>
      </c>
      <c r="M340" s="193" t="s">
        <v>309</v>
      </c>
      <c r="N340" s="193" t="s">
        <v>556</v>
      </c>
      <c r="O340" s="193"/>
      <c r="P340" s="193" t="s">
        <v>381</v>
      </c>
      <c r="Q340" s="193" t="s">
        <v>295</v>
      </c>
      <c r="R340" s="192" t="s">
        <v>379</v>
      </c>
      <c r="S340" s="181"/>
      <c r="T340" s="181" t="s">
        <v>381</v>
      </c>
      <c r="U340" s="181" t="s">
        <v>295</v>
      </c>
      <c r="V340" s="199" t="s">
        <v>379</v>
      </c>
    </row>
    <row r="341" spans="1:22" outlineLevel="1">
      <c r="A341" s="199" t="s">
        <v>256</v>
      </c>
      <c r="B341" s="181" t="s">
        <v>777</v>
      </c>
      <c r="C341" s="190">
        <v>43605</v>
      </c>
      <c r="D341" s="199" t="s">
        <v>1005</v>
      </c>
      <c r="E341" s="182" t="s">
        <v>1007</v>
      </c>
      <c r="F341" s="183">
        <v>75988</v>
      </c>
      <c r="G341" s="184">
        <v>80.36</v>
      </c>
      <c r="H341" s="181">
        <v>104.71</v>
      </c>
      <c r="I341" s="181" t="s">
        <v>292</v>
      </c>
      <c r="J341" s="191">
        <v>104.7</v>
      </c>
      <c r="K341" s="192" t="s">
        <v>555</v>
      </c>
      <c r="L341" s="193" t="s">
        <v>400</v>
      </c>
      <c r="M341" s="193" t="s">
        <v>309</v>
      </c>
      <c r="N341" s="193" t="s">
        <v>466</v>
      </c>
      <c r="O341" s="193"/>
      <c r="P341" s="193" t="s">
        <v>381</v>
      </c>
      <c r="Q341" s="193" t="s">
        <v>295</v>
      </c>
      <c r="R341" s="192" t="s">
        <v>379</v>
      </c>
      <c r="S341" s="181"/>
      <c r="T341" s="181" t="s">
        <v>381</v>
      </c>
      <c r="U341" s="181" t="s">
        <v>295</v>
      </c>
      <c r="V341" s="199" t="s">
        <v>379</v>
      </c>
    </row>
    <row r="342" spans="1:22" outlineLevel="1">
      <c r="A342" s="199" t="s">
        <v>256</v>
      </c>
      <c r="B342" s="181" t="s">
        <v>777</v>
      </c>
      <c r="C342" s="190">
        <v>43605</v>
      </c>
      <c r="D342" s="199" t="s">
        <v>1005</v>
      </c>
      <c r="E342" s="182" t="s">
        <v>1008</v>
      </c>
      <c r="F342" s="183">
        <v>75988</v>
      </c>
      <c r="G342" s="184">
        <v>21.68</v>
      </c>
      <c r="H342" s="181">
        <v>28.25</v>
      </c>
      <c r="I342" s="181" t="s">
        <v>292</v>
      </c>
      <c r="J342" s="191">
        <v>28.25</v>
      </c>
      <c r="K342" s="192" t="s">
        <v>555</v>
      </c>
      <c r="L342" s="193" t="s">
        <v>400</v>
      </c>
      <c r="M342" s="193" t="s">
        <v>309</v>
      </c>
      <c r="N342" s="193" t="s">
        <v>497</v>
      </c>
      <c r="O342" s="193"/>
      <c r="P342" s="193" t="s">
        <v>381</v>
      </c>
      <c r="Q342" s="193" t="s">
        <v>295</v>
      </c>
      <c r="R342" s="192" t="s">
        <v>379</v>
      </c>
      <c r="S342" s="181"/>
      <c r="T342" s="181" t="s">
        <v>381</v>
      </c>
      <c r="U342" s="181" t="s">
        <v>295</v>
      </c>
      <c r="V342" s="199" t="s">
        <v>379</v>
      </c>
    </row>
    <row r="343" spans="1:22" outlineLevel="1">
      <c r="A343" s="199" t="s">
        <v>256</v>
      </c>
      <c r="B343" s="181" t="s">
        <v>777</v>
      </c>
      <c r="C343" s="190">
        <v>43605</v>
      </c>
      <c r="D343" s="199" t="s">
        <v>1005</v>
      </c>
      <c r="E343" s="182" t="s">
        <v>1009</v>
      </c>
      <c r="F343" s="183">
        <v>75988</v>
      </c>
      <c r="G343" s="184">
        <v>33.43</v>
      </c>
      <c r="H343" s="181">
        <v>43.56</v>
      </c>
      <c r="I343" s="181" t="s">
        <v>292</v>
      </c>
      <c r="J343" s="191">
        <v>43.56</v>
      </c>
      <c r="K343" s="192" t="s">
        <v>555</v>
      </c>
      <c r="L343" s="193" t="s">
        <v>400</v>
      </c>
      <c r="M343" s="193" t="s">
        <v>309</v>
      </c>
      <c r="N343" s="193" t="s">
        <v>495</v>
      </c>
      <c r="O343" s="193"/>
      <c r="P343" s="193" t="s">
        <v>381</v>
      </c>
      <c r="Q343" s="193" t="s">
        <v>295</v>
      </c>
      <c r="R343" s="192" t="s">
        <v>379</v>
      </c>
      <c r="S343" s="181"/>
      <c r="T343" s="181" t="s">
        <v>381</v>
      </c>
      <c r="U343" s="181" t="s">
        <v>295</v>
      </c>
      <c r="V343" s="199" t="s">
        <v>379</v>
      </c>
    </row>
    <row r="344" spans="1:22" outlineLevel="1">
      <c r="A344" s="199" t="s">
        <v>256</v>
      </c>
      <c r="B344" s="181" t="s">
        <v>777</v>
      </c>
      <c r="C344" s="190">
        <v>43605</v>
      </c>
      <c r="D344" s="199" t="s">
        <v>1010</v>
      </c>
      <c r="E344" s="182" t="s">
        <v>1006</v>
      </c>
      <c r="F344" s="183">
        <v>75988</v>
      </c>
      <c r="G344" s="184">
        <v>21.77</v>
      </c>
      <c r="H344" s="181">
        <v>28.37</v>
      </c>
      <c r="I344" s="181" t="s">
        <v>292</v>
      </c>
      <c r="J344" s="191">
        <v>28.37</v>
      </c>
      <c r="K344" s="192" t="s">
        <v>555</v>
      </c>
      <c r="L344" s="193" t="s">
        <v>400</v>
      </c>
      <c r="M344" s="193" t="s">
        <v>309</v>
      </c>
      <c r="N344" s="193" t="s">
        <v>556</v>
      </c>
      <c r="O344" s="193"/>
      <c r="P344" s="193" t="s">
        <v>381</v>
      </c>
      <c r="Q344" s="193" t="s">
        <v>295</v>
      </c>
      <c r="R344" s="192" t="s">
        <v>379</v>
      </c>
      <c r="S344" s="181"/>
      <c r="T344" s="181" t="s">
        <v>381</v>
      </c>
      <c r="U344" s="181" t="s">
        <v>295</v>
      </c>
      <c r="V344" s="199" t="s">
        <v>379</v>
      </c>
    </row>
    <row r="345" spans="1:22" outlineLevel="1">
      <c r="A345" s="199" t="s">
        <v>256</v>
      </c>
      <c r="B345" s="181" t="s">
        <v>777</v>
      </c>
      <c r="C345" s="190">
        <v>43605</v>
      </c>
      <c r="D345" s="199" t="s">
        <v>1010</v>
      </c>
      <c r="E345" s="182" t="s">
        <v>1011</v>
      </c>
      <c r="F345" s="183">
        <v>75988</v>
      </c>
      <c r="G345" s="184">
        <v>3.78</v>
      </c>
      <c r="H345" s="181">
        <v>4.93</v>
      </c>
      <c r="I345" s="181" t="s">
        <v>292</v>
      </c>
      <c r="J345" s="191">
        <v>4.93</v>
      </c>
      <c r="K345" s="192" t="s">
        <v>555</v>
      </c>
      <c r="L345" s="193" t="s">
        <v>400</v>
      </c>
      <c r="M345" s="193" t="s">
        <v>309</v>
      </c>
      <c r="N345" s="193" t="s">
        <v>497</v>
      </c>
      <c r="O345" s="193"/>
      <c r="P345" s="193" t="s">
        <v>381</v>
      </c>
      <c r="Q345" s="193" t="s">
        <v>295</v>
      </c>
      <c r="R345" s="192" t="s">
        <v>379</v>
      </c>
      <c r="S345" s="181"/>
      <c r="T345" s="181" t="s">
        <v>381</v>
      </c>
      <c r="U345" s="181" t="s">
        <v>295</v>
      </c>
      <c r="V345" s="199" t="s">
        <v>379</v>
      </c>
    </row>
    <row r="346" spans="1:22" outlineLevel="1">
      <c r="A346" s="199" t="s">
        <v>256</v>
      </c>
      <c r="B346" s="181" t="s">
        <v>777</v>
      </c>
      <c r="C346" s="190">
        <v>43609</v>
      </c>
      <c r="D346" s="199" t="s">
        <v>1012</v>
      </c>
      <c r="E346" s="182" t="s">
        <v>1013</v>
      </c>
      <c r="F346" s="183">
        <v>75987</v>
      </c>
      <c r="G346" s="184">
        <v>26.32</v>
      </c>
      <c r="H346" s="181">
        <v>34.299999999999997</v>
      </c>
      <c r="I346" s="181" t="s">
        <v>292</v>
      </c>
      <c r="J346" s="191">
        <v>34.29</v>
      </c>
      <c r="K346" s="192" t="s">
        <v>555</v>
      </c>
      <c r="L346" s="193" t="s">
        <v>396</v>
      </c>
      <c r="M346" s="193" t="s">
        <v>309</v>
      </c>
      <c r="N346" s="193" t="s">
        <v>501</v>
      </c>
      <c r="O346" s="193"/>
      <c r="P346" s="193" t="s">
        <v>381</v>
      </c>
      <c r="Q346" s="193" t="s">
        <v>295</v>
      </c>
      <c r="R346" s="192" t="s">
        <v>379</v>
      </c>
      <c r="S346" s="181"/>
      <c r="T346" s="181" t="s">
        <v>381</v>
      </c>
      <c r="U346" s="181" t="s">
        <v>295</v>
      </c>
      <c r="V346" s="199" t="s">
        <v>379</v>
      </c>
    </row>
    <row r="347" spans="1:22" outlineLevel="1">
      <c r="A347" s="199" t="s">
        <v>256</v>
      </c>
      <c r="B347" s="181" t="s">
        <v>748</v>
      </c>
      <c r="C347" s="190">
        <v>43622</v>
      </c>
      <c r="D347" s="199" t="s">
        <v>887</v>
      </c>
      <c r="E347" s="182" t="s">
        <v>1014</v>
      </c>
      <c r="F347" s="183">
        <v>76250</v>
      </c>
      <c r="G347" s="184">
        <v>50.61</v>
      </c>
      <c r="H347" s="181">
        <v>63.88</v>
      </c>
      <c r="I347" s="181" t="s">
        <v>292</v>
      </c>
      <c r="J347" s="191">
        <v>63.88</v>
      </c>
      <c r="K347" s="192" t="s">
        <v>555</v>
      </c>
      <c r="L347" s="193" t="s">
        <v>400</v>
      </c>
      <c r="M347" s="193" t="s">
        <v>309</v>
      </c>
      <c r="N347" s="193" t="s">
        <v>556</v>
      </c>
      <c r="O347" s="193"/>
      <c r="P347" s="193" t="s">
        <v>381</v>
      </c>
      <c r="Q347" s="193" t="s">
        <v>295</v>
      </c>
      <c r="R347" s="192" t="s">
        <v>379</v>
      </c>
      <c r="S347" s="181"/>
      <c r="T347" s="181" t="s">
        <v>381</v>
      </c>
      <c r="U347" s="181" t="s">
        <v>295</v>
      </c>
      <c r="V347" s="199" t="s">
        <v>379</v>
      </c>
    </row>
    <row r="348" spans="1:22" outlineLevel="1">
      <c r="A348" s="199" t="s">
        <v>256</v>
      </c>
      <c r="B348" s="181" t="s">
        <v>748</v>
      </c>
      <c r="C348" s="190">
        <v>43622</v>
      </c>
      <c r="D348" s="199" t="s">
        <v>887</v>
      </c>
      <c r="E348" s="182" t="s">
        <v>1015</v>
      </c>
      <c r="F348" s="183">
        <v>76250</v>
      </c>
      <c r="G348" s="184">
        <v>6.22</v>
      </c>
      <c r="H348" s="181">
        <v>7.85</v>
      </c>
      <c r="I348" s="181" t="s">
        <v>292</v>
      </c>
      <c r="J348" s="191">
        <v>7.85</v>
      </c>
      <c r="K348" s="192" t="s">
        <v>555</v>
      </c>
      <c r="L348" s="193" t="s">
        <v>400</v>
      </c>
      <c r="M348" s="193" t="s">
        <v>309</v>
      </c>
      <c r="N348" s="193" t="s">
        <v>499</v>
      </c>
      <c r="O348" s="193"/>
      <c r="P348" s="193" t="s">
        <v>381</v>
      </c>
      <c r="Q348" s="193" t="s">
        <v>295</v>
      </c>
      <c r="R348" s="192" t="s">
        <v>379</v>
      </c>
      <c r="S348" s="181"/>
      <c r="T348" s="181" t="s">
        <v>381</v>
      </c>
      <c r="U348" s="181" t="s">
        <v>295</v>
      </c>
      <c r="V348" s="199" t="s">
        <v>379</v>
      </c>
    </row>
    <row r="349" spans="1:22" outlineLevel="1">
      <c r="A349" s="199" t="s">
        <v>256</v>
      </c>
      <c r="B349" s="181" t="s">
        <v>748</v>
      </c>
      <c r="C349" s="190">
        <v>43622</v>
      </c>
      <c r="D349" s="199" t="s">
        <v>887</v>
      </c>
      <c r="E349" s="182" t="s">
        <v>1016</v>
      </c>
      <c r="F349" s="183">
        <v>76250</v>
      </c>
      <c r="G349" s="184">
        <v>71.75</v>
      </c>
      <c r="H349" s="181">
        <v>90.57</v>
      </c>
      <c r="I349" s="181" t="s">
        <v>292</v>
      </c>
      <c r="J349" s="191">
        <v>90.57</v>
      </c>
      <c r="K349" s="192" t="s">
        <v>555</v>
      </c>
      <c r="L349" s="193" t="s">
        <v>400</v>
      </c>
      <c r="M349" s="193" t="s">
        <v>309</v>
      </c>
      <c r="N349" s="193" t="s">
        <v>466</v>
      </c>
      <c r="O349" s="193"/>
      <c r="P349" s="193" t="s">
        <v>381</v>
      </c>
      <c r="Q349" s="193" t="s">
        <v>295</v>
      </c>
      <c r="R349" s="192" t="s">
        <v>379</v>
      </c>
      <c r="S349" s="181"/>
      <c r="T349" s="181" t="s">
        <v>381</v>
      </c>
      <c r="U349" s="181" t="s">
        <v>295</v>
      </c>
      <c r="V349" s="199" t="s">
        <v>379</v>
      </c>
    </row>
    <row r="350" spans="1:22" outlineLevel="1">
      <c r="A350" s="199" t="s">
        <v>256</v>
      </c>
      <c r="B350" s="181" t="s">
        <v>748</v>
      </c>
      <c r="C350" s="190">
        <v>43622</v>
      </c>
      <c r="D350" s="199" t="s">
        <v>887</v>
      </c>
      <c r="E350" s="182" t="s">
        <v>1017</v>
      </c>
      <c r="F350" s="183">
        <v>76250</v>
      </c>
      <c r="G350" s="184">
        <v>73.56</v>
      </c>
      <c r="H350" s="181">
        <v>92.85</v>
      </c>
      <c r="I350" s="181" t="s">
        <v>292</v>
      </c>
      <c r="J350" s="191">
        <v>92.85</v>
      </c>
      <c r="K350" s="192" t="s">
        <v>555</v>
      </c>
      <c r="L350" s="193" t="s">
        <v>400</v>
      </c>
      <c r="M350" s="193" t="s">
        <v>309</v>
      </c>
      <c r="N350" s="193" t="s">
        <v>497</v>
      </c>
      <c r="O350" s="193"/>
      <c r="P350" s="193" t="s">
        <v>381</v>
      </c>
      <c r="Q350" s="193" t="s">
        <v>295</v>
      </c>
      <c r="R350" s="192" t="s">
        <v>379</v>
      </c>
      <c r="S350" s="181"/>
      <c r="T350" s="181" t="s">
        <v>381</v>
      </c>
      <c r="U350" s="181" t="s">
        <v>295</v>
      </c>
      <c r="V350" s="199" t="s">
        <v>379</v>
      </c>
    </row>
    <row r="351" spans="1:22" outlineLevel="1">
      <c r="A351" s="199" t="s">
        <v>256</v>
      </c>
      <c r="B351" s="181" t="s">
        <v>748</v>
      </c>
      <c r="C351" s="190">
        <v>43622</v>
      </c>
      <c r="D351" s="199" t="s">
        <v>887</v>
      </c>
      <c r="E351" s="182" t="s">
        <v>1018</v>
      </c>
      <c r="F351" s="183">
        <v>76250</v>
      </c>
      <c r="G351" s="184">
        <v>13.57</v>
      </c>
      <c r="H351" s="181">
        <v>17.13</v>
      </c>
      <c r="I351" s="181" t="s">
        <v>292</v>
      </c>
      <c r="J351" s="191">
        <v>17.13</v>
      </c>
      <c r="K351" s="192" t="s">
        <v>555</v>
      </c>
      <c r="L351" s="193" t="s">
        <v>400</v>
      </c>
      <c r="M351" s="193" t="s">
        <v>309</v>
      </c>
      <c r="N351" s="193" t="s">
        <v>491</v>
      </c>
      <c r="O351" s="193"/>
      <c r="P351" s="193" t="s">
        <v>381</v>
      </c>
      <c r="Q351" s="193" t="s">
        <v>295</v>
      </c>
      <c r="R351" s="192" t="s">
        <v>379</v>
      </c>
      <c r="S351" s="181"/>
      <c r="T351" s="181" t="s">
        <v>381</v>
      </c>
      <c r="U351" s="181" t="s">
        <v>295</v>
      </c>
      <c r="V351" s="199" t="s">
        <v>379</v>
      </c>
    </row>
    <row r="352" spans="1:22" outlineLevel="1">
      <c r="A352" s="199" t="s">
        <v>256</v>
      </c>
      <c r="B352" s="181" t="s">
        <v>748</v>
      </c>
      <c r="C352" s="190">
        <v>43622</v>
      </c>
      <c r="D352" s="199" t="s">
        <v>887</v>
      </c>
      <c r="E352" s="182" t="s">
        <v>1019</v>
      </c>
      <c r="F352" s="183">
        <v>76250</v>
      </c>
      <c r="G352" s="184">
        <v>62.39</v>
      </c>
      <c r="H352" s="181">
        <v>78.75</v>
      </c>
      <c r="I352" s="181" t="s">
        <v>292</v>
      </c>
      <c r="J352" s="191">
        <v>78.75</v>
      </c>
      <c r="K352" s="192" t="s">
        <v>555</v>
      </c>
      <c r="L352" s="193" t="s">
        <v>400</v>
      </c>
      <c r="M352" s="193" t="s">
        <v>309</v>
      </c>
      <c r="N352" s="193" t="s">
        <v>495</v>
      </c>
      <c r="O352" s="193"/>
      <c r="P352" s="193" t="s">
        <v>381</v>
      </c>
      <c r="Q352" s="193" t="s">
        <v>295</v>
      </c>
      <c r="R352" s="192" t="s">
        <v>379</v>
      </c>
      <c r="S352" s="181"/>
      <c r="T352" s="181" t="s">
        <v>381</v>
      </c>
      <c r="U352" s="181" t="s">
        <v>295</v>
      </c>
      <c r="V352" s="199" t="s">
        <v>379</v>
      </c>
    </row>
    <row r="353" spans="1:22" outlineLevel="1">
      <c r="A353" s="199" t="s">
        <v>256</v>
      </c>
      <c r="B353" s="181" t="s">
        <v>748</v>
      </c>
      <c r="C353" s="190">
        <v>43622</v>
      </c>
      <c r="D353" s="199" t="s">
        <v>887</v>
      </c>
      <c r="E353" s="182" t="s">
        <v>1020</v>
      </c>
      <c r="F353" s="183">
        <v>76250</v>
      </c>
      <c r="G353" s="184">
        <v>12.98</v>
      </c>
      <c r="H353" s="181">
        <v>16.38</v>
      </c>
      <c r="I353" s="181" t="s">
        <v>292</v>
      </c>
      <c r="J353" s="191">
        <v>16.38</v>
      </c>
      <c r="K353" s="192" t="s">
        <v>555</v>
      </c>
      <c r="L353" s="193" t="s">
        <v>400</v>
      </c>
      <c r="M353" s="193" t="s">
        <v>309</v>
      </c>
      <c r="N353" s="193" t="s">
        <v>493</v>
      </c>
      <c r="O353" s="193"/>
      <c r="P353" s="193" t="s">
        <v>381</v>
      </c>
      <c r="Q353" s="193" t="s">
        <v>295</v>
      </c>
      <c r="R353" s="192" t="s">
        <v>379</v>
      </c>
      <c r="S353" s="181"/>
      <c r="T353" s="181" t="s">
        <v>381</v>
      </c>
      <c r="U353" s="181" t="s">
        <v>295</v>
      </c>
      <c r="V353" s="199" t="s">
        <v>379</v>
      </c>
    </row>
    <row r="354" spans="1:22" outlineLevel="1">
      <c r="A354" s="199" t="s">
        <v>256</v>
      </c>
      <c r="B354" s="181" t="s">
        <v>748</v>
      </c>
      <c r="C354" s="190">
        <v>43630</v>
      </c>
      <c r="D354" s="199" t="s">
        <v>1021</v>
      </c>
      <c r="E354" s="182" t="s">
        <v>1022</v>
      </c>
      <c r="F354" s="183">
        <v>76315</v>
      </c>
      <c r="G354" s="184">
        <v>109.2</v>
      </c>
      <c r="H354" s="181">
        <v>137.84</v>
      </c>
      <c r="I354" s="181" t="s">
        <v>292</v>
      </c>
      <c r="J354" s="191">
        <v>137.84</v>
      </c>
      <c r="K354" s="192" t="s">
        <v>555</v>
      </c>
      <c r="L354" s="193" t="s">
        <v>396</v>
      </c>
      <c r="M354" s="193" t="s">
        <v>309</v>
      </c>
      <c r="N354" s="193" t="s">
        <v>397</v>
      </c>
      <c r="O354" s="193"/>
      <c r="P354" s="193" t="s">
        <v>381</v>
      </c>
      <c r="Q354" s="193" t="s">
        <v>295</v>
      </c>
      <c r="R354" s="192" t="s">
        <v>379</v>
      </c>
      <c r="S354" s="181"/>
      <c r="T354" s="181" t="s">
        <v>381</v>
      </c>
      <c r="U354" s="181" t="s">
        <v>295</v>
      </c>
      <c r="V354" s="199" t="s">
        <v>379</v>
      </c>
    </row>
    <row r="355" spans="1:22" outlineLevel="1">
      <c r="A355" s="199" t="s">
        <v>256</v>
      </c>
      <c r="B355" s="181" t="s">
        <v>748</v>
      </c>
      <c r="C355" s="190">
        <v>43630</v>
      </c>
      <c r="D355" s="199" t="s">
        <v>1021</v>
      </c>
      <c r="E355" s="182" t="s">
        <v>1023</v>
      </c>
      <c r="F355" s="183">
        <v>76315</v>
      </c>
      <c r="G355" s="184">
        <v>12.62</v>
      </c>
      <c r="H355" s="181">
        <v>15.93</v>
      </c>
      <c r="I355" s="181" t="s">
        <v>292</v>
      </c>
      <c r="J355" s="191">
        <v>15.93</v>
      </c>
      <c r="K355" s="192" t="s">
        <v>555</v>
      </c>
      <c r="L355" s="193" t="s">
        <v>396</v>
      </c>
      <c r="M355" s="193" t="s">
        <v>309</v>
      </c>
      <c r="N355" s="193" t="s">
        <v>908</v>
      </c>
      <c r="O355" s="193"/>
      <c r="P355" s="193" t="s">
        <v>381</v>
      </c>
      <c r="Q355" s="193" t="s">
        <v>295</v>
      </c>
      <c r="R355" s="192" t="s">
        <v>379</v>
      </c>
      <c r="S355" s="181"/>
      <c r="T355" s="181" t="s">
        <v>381</v>
      </c>
      <c r="U355" s="181" t="s">
        <v>295</v>
      </c>
      <c r="V355" s="199" t="s">
        <v>379</v>
      </c>
    </row>
    <row r="356" spans="1:22" outlineLevel="1">
      <c r="A356" s="199" t="s">
        <v>256</v>
      </c>
      <c r="B356" s="181" t="s">
        <v>748</v>
      </c>
      <c r="C356" s="190">
        <v>43630</v>
      </c>
      <c r="D356" s="199" t="s">
        <v>1021</v>
      </c>
      <c r="E356" s="182" t="s">
        <v>1024</v>
      </c>
      <c r="F356" s="183">
        <v>76315</v>
      </c>
      <c r="G356" s="184">
        <v>40.78</v>
      </c>
      <c r="H356" s="181">
        <v>51.47</v>
      </c>
      <c r="I356" s="181" t="s">
        <v>292</v>
      </c>
      <c r="J356" s="191">
        <v>51.47</v>
      </c>
      <c r="K356" s="192" t="s">
        <v>555</v>
      </c>
      <c r="L356" s="193" t="s">
        <v>396</v>
      </c>
      <c r="M356" s="193" t="s">
        <v>309</v>
      </c>
      <c r="N356" s="193" t="s">
        <v>501</v>
      </c>
      <c r="O356" s="193"/>
      <c r="P356" s="193" t="s">
        <v>381</v>
      </c>
      <c r="Q356" s="193" t="s">
        <v>295</v>
      </c>
      <c r="R356" s="192" t="s">
        <v>379</v>
      </c>
      <c r="S356" s="181"/>
      <c r="T356" s="181" t="s">
        <v>381</v>
      </c>
      <c r="U356" s="181" t="s">
        <v>295</v>
      </c>
      <c r="V356" s="199" t="s">
        <v>379</v>
      </c>
    </row>
    <row r="357" spans="1:22" outlineLevel="1">
      <c r="A357" s="199" t="s">
        <v>256</v>
      </c>
      <c r="B357" s="181" t="s">
        <v>748</v>
      </c>
      <c r="C357" s="190">
        <v>43634</v>
      </c>
      <c r="D357" s="199" t="s">
        <v>1025</v>
      </c>
      <c r="E357" s="182" t="s">
        <v>1026</v>
      </c>
      <c r="F357" s="183">
        <v>76250</v>
      </c>
      <c r="G357" s="184">
        <v>4.58</v>
      </c>
      <c r="H357" s="181">
        <v>5.78</v>
      </c>
      <c r="I357" s="181" t="s">
        <v>292</v>
      </c>
      <c r="J357" s="191">
        <v>5.78</v>
      </c>
      <c r="K357" s="192" t="s">
        <v>555</v>
      </c>
      <c r="L357" s="193" t="s">
        <v>400</v>
      </c>
      <c r="M357" s="193" t="s">
        <v>309</v>
      </c>
      <c r="N357" s="193" t="s">
        <v>499</v>
      </c>
      <c r="O357" s="193"/>
      <c r="P357" s="193" t="s">
        <v>381</v>
      </c>
      <c r="Q357" s="193" t="s">
        <v>295</v>
      </c>
      <c r="R357" s="192" t="s">
        <v>379</v>
      </c>
      <c r="S357" s="181"/>
      <c r="T357" s="181" t="s">
        <v>381</v>
      </c>
      <c r="U357" s="181" t="s">
        <v>295</v>
      </c>
      <c r="V357" s="199" t="s">
        <v>379</v>
      </c>
    </row>
    <row r="358" spans="1:22" outlineLevel="1">
      <c r="A358" s="199" t="s">
        <v>256</v>
      </c>
      <c r="B358" s="181" t="s">
        <v>748</v>
      </c>
      <c r="C358" s="190">
        <v>43634</v>
      </c>
      <c r="D358" s="199" t="s">
        <v>1025</v>
      </c>
      <c r="E358" s="182" t="s">
        <v>1027</v>
      </c>
      <c r="F358" s="183">
        <v>76250</v>
      </c>
      <c r="G358" s="184">
        <v>70.680000000000007</v>
      </c>
      <c r="H358" s="181">
        <v>89.22</v>
      </c>
      <c r="I358" s="181" t="s">
        <v>292</v>
      </c>
      <c r="J358" s="191">
        <v>89.21</v>
      </c>
      <c r="K358" s="192" t="s">
        <v>555</v>
      </c>
      <c r="L358" s="193" t="s">
        <v>400</v>
      </c>
      <c r="M358" s="193" t="s">
        <v>309</v>
      </c>
      <c r="N358" s="193" t="s">
        <v>556</v>
      </c>
      <c r="O358" s="193"/>
      <c r="P358" s="193" t="s">
        <v>381</v>
      </c>
      <c r="Q358" s="193" t="s">
        <v>295</v>
      </c>
      <c r="R358" s="192" t="s">
        <v>379</v>
      </c>
      <c r="S358" s="181"/>
      <c r="T358" s="181" t="s">
        <v>381</v>
      </c>
      <c r="U358" s="181" t="s">
        <v>295</v>
      </c>
      <c r="V358" s="199" t="s">
        <v>379</v>
      </c>
    </row>
    <row r="359" spans="1:22" outlineLevel="1">
      <c r="A359" s="199" t="s">
        <v>256</v>
      </c>
      <c r="B359" s="181" t="s">
        <v>748</v>
      </c>
      <c r="C359" s="190">
        <v>43634</v>
      </c>
      <c r="D359" s="199" t="s">
        <v>1025</v>
      </c>
      <c r="E359" s="182" t="s">
        <v>1028</v>
      </c>
      <c r="F359" s="183">
        <v>76250</v>
      </c>
      <c r="G359" s="184">
        <v>35.17</v>
      </c>
      <c r="H359" s="181">
        <v>44.39</v>
      </c>
      <c r="I359" s="181" t="s">
        <v>292</v>
      </c>
      <c r="J359" s="191">
        <v>44.39</v>
      </c>
      <c r="K359" s="192" t="s">
        <v>555</v>
      </c>
      <c r="L359" s="193" t="s">
        <v>400</v>
      </c>
      <c r="M359" s="193" t="s">
        <v>309</v>
      </c>
      <c r="N359" s="193" t="s">
        <v>466</v>
      </c>
      <c r="O359" s="193"/>
      <c r="P359" s="193" t="s">
        <v>381</v>
      </c>
      <c r="Q359" s="193" t="s">
        <v>295</v>
      </c>
      <c r="R359" s="192" t="s">
        <v>379</v>
      </c>
      <c r="S359" s="181"/>
      <c r="T359" s="181" t="s">
        <v>381</v>
      </c>
      <c r="U359" s="181" t="s">
        <v>295</v>
      </c>
      <c r="V359" s="199" t="s">
        <v>379</v>
      </c>
    </row>
    <row r="360" spans="1:22">
      <c r="A360" s="194" t="s">
        <v>378</v>
      </c>
      <c r="B360" s="194"/>
      <c r="C360" s="194"/>
      <c r="D360" s="194"/>
      <c r="E360" s="195"/>
      <c r="F360" s="196"/>
      <c r="G360" s="197">
        <f>SUM(G329:G359)</f>
        <v>1418.76</v>
      </c>
      <c r="H360" s="198">
        <f>SUM(H329:H359)</f>
        <v>1825.78</v>
      </c>
      <c r="I360" s="194"/>
      <c r="J360" s="198">
        <f>SUM(J329:J359)</f>
        <v>1825.73</v>
      </c>
      <c r="K360" s="194"/>
      <c r="L360" s="194"/>
      <c r="M360" s="194"/>
      <c r="N360" s="194"/>
      <c r="O360" s="194"/>
      <c r="P360" s="194"/>
      <c r="Q360" s="194"/>
      <c r="R360" s="194"/>
      <c r="S360" s="181"/>
      <c r="T360" s="181"/>
      <c r="U360" s="181"/>
      <c r="V360" s="181"/>
    </row>
    <row r="361" spans="1:22" outlineLevel="1">
      <c r="A361" s="199" t="s">
        <v>257</v>
      </c>
      <c r="B361" s="181" t="s">
        <v>747</v>
      </c>
      <c r="C361" s="190">
        <v>43578</v>
      </c>
      <c r="D361" s="199" t="s">
        <v>1029</v>
      </c>
      <c r="E361" s="182" t="s">
        <v>1030</v>
      </c>
      <c r="F361" s="183">
        <v>75694</v>
      </c>
      <c r="G361" s="184">
        <v>207.02</v>
      </c>
      <c r="H361" s="181">
        <v>270</v>
      </c>
      <c r="I361" s="181" t="s">
        <v>292</v>
      </c>
      <c r="J361" s="191">
        <v>270.01</v>
      </c>
      <c r="K361" s="192" t="s">
        <v>1031</v>
      </c>
      <c r="L361" s="193" t="s">
        <v>400</v>
      </c>
      <c r="M361" s="193" t="s">
        <v>309</v>
      </c>
      <c r="N361" s="193" t="s">
        <v>499</v>
      </c>
      <c r="O361" s="193"/>
      <c r="P361" s="193" t="s">
        <v>381</v>
      </c>
      <c r="Q361" s="193" t="s">
        <v>295</v>
      </c>
      <c r="R361" s="192" t="s">
        <v>379</v>
      </c>
      <c r="S361" s="181"/>
      <c r="T361" s="181" t="s">
        <v>381</v>
      </c>
      <c r="U361" s="181" t="s">
        <v>295</v>
      </c>
      <c r="V361" s="199" t="s">
        <v>379</v>
      </c>
    </row>
    <row r="362" spans="1:22">
      <c r="A362" s="194" t="s">
        <v>378</v>
      </c>
      <c r="B362" s="194"/>
      <c r="C362" s="194"/>
      <c r="D362" s="194"/>
      <c r="E362" s="195"/>
      <c r="F362" s="196"/>
      <c r="G362" s="197">
        <f>SUM(G361:G361)</f>
        <v>207.02</v>
      </c>
      <c r="H362" s="198">
        <f>SUM(H361:H361)</f>
        <v>270</v>
      </c>
      <c r="I362" s="194"/>
      <c r="J362" s="198">
        <f>SUM(J361:J361)</f>
        <v>270.01</v>
      </c>
      <c r="K362" s="194"/>
      <c r="L362" s="194"/>
      <c r="M362" s="194"/>
      <c r="N362" s="194"/>
      <c r="O362" s="194"/>
      <c r="P362" s="194"/>
      <c r="Q362" s="194"/>
      <c r="R362" s="194"/>
      <c r="S362" s="181"/>
      <c r="T362" s="181"/>
      <c r="U362" s="181"/>
      <c r="V362" s="181"/>
    </row>
    <row r="363" spans="1:22" outlineLevel="1">
      <c r="A363" s="199" t="s">
        <v>258</v>
      </c>
      <c r="B363" s="181" t="s">
        <v>777</v>
      </c>
      <c r="C363" s="190">
        <v>43595</v>
      </c>
      <c r="D363" s="199" t="s">
        <v>1032</v>
      </c>
      <c r="E363" s="182" t="s">
        <v>1033</v>
      </c>
      <c r="F363" s="183">
        <v>75987</v>
      </c>
      <c r="G363" s="184">
        <v>429.8</v>
      </c>
      <c r="H363" s="181">
        <v>560</v>
      </c>
      <c r="I363" s="181" t="s">
        <v>292</v>
      </c>
      <c r="J363" s="191">
        <v>560.01</v>
      </c>
      <c r="K363" s="192" t="s">
        <v>1034</v>
      </c>
      <c r="L363" s="193" t="s">
        <v>396</v>
      </c>
      <c r="M363" s="193" t="s">
        <v>309</v>
      </c>
      <c r="N363" s="193"/>
      <c r="O363" s="193"/>
      <c r="P363" s="193" t="s">
        <v>381</v>
      </c>
      <c r="Q363" s="193" t="s">
        <v>295</v>
      </c>
      <c r="R363" s="192" t="s">
        <v>379</v>
      </c>
      <c r="S363" s="181"/>
      <c r="T363" s="181" t="s">
        <v>381</v>
      </c>
      <c r="U363" s="181" t="s">
        <v>295</v>
      </c>
      <c r="V363" s="199" t="s">
        <v>379</v>
      </c>
    </row>
    <row r="364" spans="1:22" outlineLevel="1">
      <c r="A364" s="199" t="s">
        <v>258</v>
      </c>
      <c r="B364" s="181" t="s">
        <v>777</v>
      </c>
      <c r="C364" s="190">
        <v>43595</v>
      </c>
      <c r="D364" s="199" t="s">
        <v>1032</v>
      </c>
      <c r="E364" s="182" t="s">
        <v>1035</v>
      </c>
      <c r="F364" s="183">
        <v>75987</v>
      </c>
      <c r="G364" s="184">
        <v>483.52</v>
      </c>
      <c r="H364" s="181">
        <v>630</v>
      </c>
      <c r="I364" s="181" t="s">
        <v>292</v>
      </c>
      <c r="J364" s="191">
        <v>630</v>
      </c>
      <c r="K364" s="192" t="s">
        <v>1034</v>
      </c>
      <c r="L364" s="193" t="s">
        <v>396</v>
      </c>
      <c r="M364" s="193" t="s">
        <v>309</v>
      </c>
      <c r="N364" s="193"/>
      <c r="O364" s="193"/>
      <c r="P364" s="193" t="s">
        <v>381</v>
      </c>
      <c r="Q364" s="193" t="s">
        <v>295</v>
      </c>
      <c r="R364" s="192" t="s">
        <v>379</v>
      </c>
      <c r="S364" s="181"/>
      <c r="T364" s="181" t="s">
        <v>381</v>
      </c>
      <c r="U364" s="181" t="s">
        <v>295</v>
      </c>
      <c r="V364" s="199" t="s">
        <v>379</v>
      </c>
    </row>
    <row r="365" spans="1:22" outlineLevel="1">
      <c r="A365" s="199" t="s">
        <v>258</v>
      </c>
      <c r="B365" s="181" t="s">
        <v>777</v>
      </c>
      <c r="C365" s="190">
        <v>43588</v>
      </c>
      <c r="D365" s="199" t="s">
        <v>799</v>
      </c>
      <c r="E365" s="182" t="s">
        <v>1036</v>
      </c>
      <c r="F365" s="183">
        <v>75987</v>
      </c>
      <c r="G365" s="184">
        <v>9.2100000000000009</v>
      </c>
      <c r="H365" s="181">
        <v>12</v>
      </c>
      <c r="I365" s="181" t="s">
        <v>292</v>
      </c>
      <c r="J365" s="191">
        <v>12</v>
      </c>
      <c r="K365" s="192" t="s">
        <v>714</v>
      </c>
      <c r="L365" s="193" t="s">
        <v>396</v>
      </c>
      <c r="M365" s="193" t="s">
        <v>309</v>
      </c>
      <c r="N365" s="193"/>
      <c r="O365" s="193"/>
      <c r="P365" s="193" t="s">
        <v>381</v>
      </c>
      <c r="Q365" s="193" t="s">
        <v>295</v>
      </c>
      <c r="R365" s="192" t="s">
        <v>379</v>
      </c>
      <c r="S365" s="181"/>
      <c r="T365" s="181" t="s">
        <v>381</v>
      </c>
      <c r="U365" s="181" t="s">
        <v>295</v>
      </c>
      <c r="V365" s="199" t="s">
        <v>379</v>
      </c>
    </row>
    <row r="366" spans="1:22" outlineLevel="1">
      <c r="A366" s="199" t="s">
        <v>258</v>
      </c>
      <c r="B366" s="181" t="s">
        <v>777</v>
      </c>
      <c r="C366" s="190">
        <v>43591</v>
      </c>
      <c r="D366" s="199" t="s">
        <v>799</v>
      </c>
      <c r="E366" s="182" t="s">
        <v>1036</v>
      </c>
      <c r="F366" s="183">
        <v>75987</v>
      </c>
      <c r="G366" s="184">
        <v>15.35</v>
      </c>
      <c r="H366" s="181">
        <v>20</v>
      </c>
      <c r="I366" s="181" t="s">
        <v>292</v>
      </c>
      <c r="J366" s="191">
        <v>20</v>
      </c>
      <c r="K366" s="192" t="s">
        <v>714</v>
      </c>
      <c r="L366" s="193" t="s">
        <v>396</v>
      </c>
      <c r="M366" s="193" t="s">
        <v>309</v>
      </c>
      <c r="N366" s="193"/>
      <c r="O366" s="193"/>
      <c r="P366" s="193" t="s">
        <v>381</v>
      </c>
      <c r="Q366" s="193" t="s">
        <v>295</v>
      </c>
      <c r="R366" s="192" t="s">
        <v>379</v>
      </c>
      <c r="S366" s="181"/>
      <c r="T366" s="181" t="s">
        <v>381</v>
      </c>
      <c r="U366" s="181" t="s">
        <v>295</v>
      </c>
      <c r="V366" s="199" t="s">
        <v>379</v>
      </c>
    </row>
    <row r="367" spans="1:22" outlineLevel="1">
      <c r="A367" s="199" t="s">
        <v>258</v>
      </c>
      <c r="B367" s="181" t="s">
        <v>777</v>
      </c>
      <c r="C367" s="190">
        <v>43588</v>
      </c>
      <c r="D367" s="199" t="s">
        <v>799</v>
      </c>
      <c r="E367" s="182" t="s">
        <v>1037</v>
      </c>
      <c r="F367" s="183">
        <v>75987</v>
      </c>
      <c r="G367" s="184">
        <v>198.78</v>
      </c>
      <c r="H367" s="181">
        <v>259</v>
      </c>
      <c r="I367" s="181" t="s">
        <v>292</v>
      </c>
      <c r="J367" s="191">
        <v>259</v>
      </c>
      <c r="K367" s="192" t="s">
        <v>718</v>
      </c>
      <c r="L367" s="193" t="s">
        <v>396</v>
      </c>
      <c r="M367" s="193" t="s">
        <v>309</v>
      </c>
      <c r="N367" s="193"/>
      <c r="O367" s="193"/>
      <c r="P367" s="193" t="s">
        <v>381</v>
      </c>
      <c r="Q367" s="193" t="s">
        <v>295</v>
      </c>
      <c r="R367" s="192" t="s">
        <v>379</v>
      </c>
      <c r="S367" s="181"/>
      <c r="T367" s="181" t="s">
        <v>381</v>
      </c>
      <c r="U367" s="181" t="s">
        <v>295</v>
      </c>
      <c r="V367" s="199" t="s">
        <v>379</v>
      </c>
    </row>
    <row r="368" spans="1:22" outlineLevel="1">
      <c r="A368" s="199" t="s">
        <v>258</v>
      </c>
      <c r="B368" s="181" t="s">
        <v>777</v>
      </c>
      <c r="C368" s="190">
        <v>43591</v>
      </c>
      <c r="D368" s="199" t="s">
        <v>799</v>
      </c>
      <c r="E368" s="182" t="s">
        <v>1038</v>
      </c>
      <c r="F368" s="183">
        <v>75987</v>
      </c>
      <c r="G368" s="184">
        <v>145.06</v>
      </c>
      <c r="H368" s="181">
        <v>189</v>
      </c>
      <c r="I368" s="181" t="s">
        <v>292</v>
      </c>
      <c r="J368" s="191">
        <v>189.01</v>
      </c>
      <c r="K368" s="192" t="s">
        <v>718</v>
      </c>
      <c r="L368" s="193" t="s">
        <v>396</v>
      </c>
      <c r="M368" s="193" t="s">
        <v>309</v>
      </c>
      <c r="N368" s="193"/>
      <c r="O368" s="193"/>
      <c r="P368" s="193" t="s">
        <v>381</v>
      </c>
      <c r="Q368" s="193" t="s">
        <v>295</v>
      </c>
      <c r="R368" s="192" t="s">
        <v>379</v>
      </c>
      <c r="S368" s="181"/>
      <c r="T368" s="181" t="s">
        <v>381</v>
      </c>
      <c r="U368" s="181" t="s">
        <v>295</v>
      </c>
      <c r="V368" s="199" t="s">
        <v>379</v>
      </c>
    </row>
    <row r="369" spans="1:22" outlineLevel="1">
      <c r="A369" s="199" t="s">
        <v>258</v>
      </c>
      <c r="B369" s="181" t="s">
        <v>777</v>
      </c>
      <c r="C369" s="190">
        <v>43592</v>
      </c>
      <c r="D369" s="199" t="s">
        <v>799</v>
      </c>
      <c r="E369" s="182" t="s">
        <v>1039</v>
      </c>
      <c r="F369" s="183">
        <v>75987</v>
      </c>
      <c r="G369" s="184">
        <v>7.67</v>
      </c>
      <c r="H369" s="181">
        <v>10</v>
      </c>
      <c r="I369" s="181" t="s">
        <v>292</v>
      </c>
      <c r="J369" s="191">
        <v>9.99</v>
      </c>
      <c r="K369" s="192" t="s">
        <v>637</v>
      </c>
      <c r="L369" s="193" t="s">
        <v>396</v>
      </c>
      <c r="M369" s="193" t="s">
        <v>309</v>
      </c>
      <c r="N369" s="193"/>
      <c r="O369" s="193"/>
      <c r="P369" s="193" t="s">
        <v>381</v>
      </c>
      <c r="Q369" s="193" t="s">
        <v>295</v>
      </c>
      <c r="R369" s="192" t="s">
        <v>379</v>
      </c>
      <c r="S369" s="181"/>
      <c r="T369" s="181" t="s">
        <v>381</v>
      </c>
      <c r="U369" s="181" t="s">
        <v>295</v>
      </c>
      <c r="V369" s="199" t="s">
        <v>379</v>
      </c>
    </row>
    <row r="370" spans="1:22">
      <c r="A370" s="194" t="s">
        <v>378</v>
      </c>
      <c r="B370" s="194"/>
      <c r="C370" s="194"/>
      <c r="D370" s="194"/>
      <c r="E370" s="195"/>
      <c r="F370" s="196"/>
      <c r="G370" s="197">
        <f>SUM(G363:G369)</f>
        <v>1289.3900000000001</v>
      </c>
      <c r="H370" s="198">
        <f>SUM(H363:H369)</f>
        <v>1680</v>
      </c>
      <c r="I370" s="194"/>
      <c r="J370" s="198">
        <f>SUM(J363:J369)</f>
        <v>1680.01</v>
      </c>
      <c r="K370" s="194"/>
      <c r="L370" s="194"/>
      <c r="M370" s="194"/>
      <c r="N370" s="194"/>
      <c r="O370" s="194"/>
      <c r="P370" s="194"/>
      <c r="Q370" s="194"/>
      <c r="R370" s="194"/>
      <c r="S370" s="181"/>
      <c r="T370" s="181"/>
      <c r="U370" s="181"/>
      <c r="V370" s="181"/>
    </row>
    <row r="371" spans="1:22" outlineLevel="1">
      <c r="A371" s="199" t="s">
        <v>259</v>
      </c>
      <c r="B371" s="181" t="s">
        <v>747</v>
      </c>
      <c r="C371" s="190">
        <v>43573</v>
      </c>
      <c r="D371" s="199" t="s">
        <v>1040</v>
      </c>
      <c r="E371" s="182" t="s">
        <v>1041</v>
      </c>
      <c r="F371" s="183">
        <v>75701</v>
      </c>
      <c r="G371" s="184">
        <v>103.51</v>
      </c>
      <c r="H371" s="181">
        <v>135</v>
      </c>
      <c r="I371" s="181" t="s">
        <v>292</v>
      </c>
      <c r="J371" s="191">
        <v>135</v>
      </c>
      <c r="K371" s="192" t="s">
        <v>595</v>
      </c>
      <c r="L371" s="193" t="s">
        <v>396</v>
      </c>
      <c r="M371" s="193" t="s">
        <v>309</v>
      </c>
      <c r="N371" s="193" t="s">
        <v>445</v>
      </c>
      <c r="O371" s="193"/>
      <c r="P371" s="193" t="s">
        <v>381</v>
      </c>
      <c r="Q371" s="193" t="s">
        <v>295</v>
      </c>
      <c r="R371" s="192" t="s">
        <v>379</v>
      </c>
      <c r="S371" s="181"/>
      <c r="T371" s="181" t="s">
        <v>381</v>
      </c>
      <c r="U371" s="181" t="s">
        <v>295</v>
      </c>
      <c r="V371" s="199" t="s">
        <v>379</v>
      </c>
    </row>
    <row r="372" spans="1:22" outlineLevel="1">
      <c r="A372" s="199" t="s">
        <v>259</v>
      </c>
      <c r="B372" s="181" t="s">
        <v>747</v>
      </c>
      <c r="C372" s="190">
        <v>43579</v>
      </c>
      <c r="D372" s="199" t="s">
        <v>1042</v>
      </c>
      <c r="E372" s="182" t="s">
        <v>1043</v>
      </c>
      <c r="F372" s="183">
        <v>75694</v>
      </c>
      <c r="G372" s="184">
        <v>345.03</v>
      </c>
      <c r="H372" s="181">
        <v>450</v>
      </c>
      <c r="I372" s="181" t="s">
        <v>292</v>
      </c>
      <c r="J372" s="191">
        <v>450.01</v>
      </c>
      <c r="K372" s="192" t="s">
        <v>595</v>
      </c>
      <c r="L372" s="193" t="s">
        <v>400</v>
      </c>
      <c r="M372" s="193" t="s">
        <v>309</v>
      </c>
      <c r="N372" s="193" t="s">
        <v>345</v>
      </c>
      <c r="O372" s="193"/>
      <c r="P372" s="193" t="s">
        <v>381</v>
      </c>
      <c r="Q372" s="193" t="s">
        <v>295</v>
      </c>
      <c r="R372" s="192" t="s">
        <v>379</v>
      </c>
      <c r="S372" s="181"/>
      <c r="T372" s="181" t="s">
        <v>381</v>
      </c>
      <c r="U372" s="181" t="s">
        <v>295</v>
      </c>
      <c r="V372" s="199" t="s">
        <v>379</v>
      </c>
    </row>
    <row r="373" spans="1:22" outlineLevel="1">
      <c r="A373" s="199" t="s">
        <v>259</v>
      </c>
      <c r="B373" s="181" t="s">
        <v>747</v>
      </c>
      <c r="C373" s="190">
        <v>43585</v>
      </c>
      <c r="D373" s="199" t="s">
        <v>1044</v>
      </c>
      <c r="E373" s="182" t="s">
        <v>1045</v>
      </c>
      <c r="F373" s="183">
        <v>75694</v>
      </c>
      <c r="G373" s="184">
        <v>60.88</v>
      </c>
      <c r="H373" s="181">
        <v>79.400000000000006</v>
      </c>
      <c r="I373" s="181" t="s">
        <v>292</v>
      </c>
      <c r="J373" s="191">
        <v>79.400000000000006</v>
      </c>
      <c r="K373" s="192" t="s">
        <v>595</v>
      </c>
      <c r="L373" s="193" t="s">
        <v>400</v>
      </c>
      <c r="M373" s="193" t="s">
        <v>309</v>
      </c>
      <c r="N373" s="193" t="s">
        <v>345</v>
      </c>
      <c r="O373" s="193"/>
      <c r="P373" s="193" t="s">
        <v>381</v>
      </c>
      <c r="Q373" s="193" t="s">
        <v>295</v>
      </c>
      <c r="R373" s="192" t="s">
        <v>379</v>
      </c>
      <c r="S373" s="181"/>
      <c r="T373" s="181" t="s">
        <v>381</v>
      </c>
      <c r="U373" s="181" t="s">
        <v>295</v>
      </c>
      <c r="V373" s="199" t="s">
        <v>379</v>
      </c>
    </row>
    <row r="374" spans="1:22" outlineLevel="1">
      <c r="A374" s="199" t="s">
        <v>259</v>
      </c>
      <c r="B374" s="181" t="s">
        <v>777</v>
      </c>
      <c r="C374" s="190">
        <v>43591</v>
      </c>
      <c r="D374" s="199" t="s">
        <v>1046</v>
      </c>
      <c r="E374" s="182" t="s">
        <v>1047</v>
      </c>
      <c r="F374" s="183">
        <v>75988</v>
      </c>
      <c r="G374" s="184">
        <v>0.38</v>
      </c>
      <c r="H374" s="181">
        <v>0.5</v>
      </c>
      <c r="I374" s="181" t="s">
        <v>292</v>
      </c>
      <c r="J374" s="191">
        <v>0.5</v>
      </c>
      <c r="K374" s="192" t="s">
        <v>595</v>
      </c>
      <c r="L374" s="193" t="s">
        <v>400</v>
      </c>
      <c r="M374" s="193" t="s">
        <v>309</v>
      </c>
      <c r="N374" s="193" t="s">
        <v>440</v>
      </c>
      <c r="O374" s="193"/>
      <c r="P374" s="193" t="s">
        <v>381</v>
      </c>
      <c r="Q374" s="193" t="s">
        <v>295</v>
      </c>
      <c r="R374" s="192" t="s">
        <v>379</v>
      </c>
      <c r="S374" s="181"/>
      <c r="T374" s="181" t="s">
        <v>381</v>
      </c>
      <c r="U374" s="181" t="s">
        <v>295</v>
      </c>
      <c r="V374" s="199" t="s">
        <v>379</v>
      </c>
    </row>
    <row r="375" spans="1:22" outlineLevel="1">
      <c r="A375" s="199" t="s">
        <v>259</v>
      </c>
      <c r="B375" s="181" t="s">
        <v>777</v>
      </c>
      <c r="C375" s="190">
        <v>43616</v>
      </c>
      <c r="D375" s="199" t="s">
        <v>1048</v>
      </c>
      <c r="E375" s="182" t="s">
        <v>1049</v>
      </c>
      <c r="F375" s="183">
        <v>75987</v>
      </c>
      <c r="G375" s="184">
        <v>12.66</v>
      </c>
      <c r="H375" s="181">
        <v>16.5</v>
      </c>
      <c r="I375" s="181" t="s">
        <v>292</v>
      </c>
      <c r="J375" s="191">
        <v>16.5</v>
      </c>
      <c r="K375" s="192" t="s">
        <v>1050</v>
      </c>
      <c r="L375" s="193" t="s">
        <v>396</v>
      </c>
      <c r="M375" s="193" t="s">
        <v>309</v>
      </c>
      <c r="N375" s="193" t="s">
        <v>445</v>
      </c>
      <c r="O375" s="193"/>
      <c r="P375" s="193" t="s">
        <v>381</v>
      </c>
      <c r="Q375" s="193" t="s">
        <v>295</v>
      </c>
      <c r="R375" s="192" t="s">
        <v>379</v>
      </c>
      <c r="S375" s="181"/>
      <c r="T375" s="181" t="s">
        <v>381</v>
      </c>
      <c r="U375" s="181" t="s">
        <v>295</v>
      </c>
      <c r="V375" s="199" t="s">
        <v>379</v>
      </c>
    </row>
    <row r="376" spans="1:22" outlineLevel="1">
      <c r="A376" s="199" t="s">
        <v>259</v>
      </c>
      <c r="B376" s="181" t="s">
        <v>777</v>
      </c>
      <c r="C376" s="190">
        <v>43616</v>
      </c>
      <c r="D376" s="199" t="s">
        <v>1048</v>
      </c>
      <c r="E376" s="182" t="s">
        <v>1051</v>
      </c>
      <c r="F376" s="183">
        <v>75987</v>
      </c>
      <c r="G376" s="184">
        <v>57.56</v>
      </c>
      <c r="H376" s="181">
        <v>75</v>
      </c>
      <c r="I376" s="181" t="s">
        <v>292</v>
      </c>
      <c r="J376" s="191">
        <v>75</v>
      </c>
      <c r="K376" s="192" t="s">
        <v>610</v>
      </c>
      <c r="L376" s="193" t="s">
        <v>396</v>
      </c>
      <c r="M376" s="193" t="s">
        <v>309</v>
      </c>
      <c r="N376" s="193" t="s">
        <v>445</v>
      </c>
      <c r="O376" s="193"/>
      <c r="P376" s="193" t="s">
        <v>381</v>
      </c>
      <c r="Q376" s="193" t="s">
        <v>295</v>
      </c>
      <c r="R376" s="192" t="s">
        <v>379</v>
      </c>
      <c r="S376" s="181"/>
      <c r="T376" s="181" t="s">
        <v>381</v>
      </c>
      <c r="U376" s="181" t="s">
        <v>295</v>
      </c>
      <c r="V376" s="199" t="s">
        <v>379</v>
      </c>
    </row>
    <row r="377" spans="1:22" outlineLevel="1">
      <c r="A377" s="199" t="s">
        <v>259</v>
      </c>
      <c r="B377" s="181" t="s">
        <v>777</v>
      </c>
      <c r="C377" s="190">
        <v>43616</v>
      </c>
      <c r="D377" s="199" t="s">
        <v>1048</v>
      </c>
      <c r="E377" s="182" t="s">
        <v>1052</v>
      </c>
      <c r="F377" s="183">
        <v>75987</v>
      </c>
      <c r="G377" s="184">
        <v>20.149999999999999</v>
      </c>
      <c r="H377" s="181">
        <v>26.25</v>
      </c>
      <c r="I377" s="181" t="s">
        <v>292</v>
      </c>
      <c r="J377" s="191">
        <v>26.25</v>
      </c>
      <c r="K377" s="192" t="s">
        <v>615</v>
      </c>
      <c r="L377" s="193" t="s">
        <v>396</v>
      </c>
      <c r="M377" s="193" t="s">
        <v>309</v>
      </c>
      <c r="N377" s="193" t="s">
        <v>445</v>
      </c>
      <c r="O377" s="193"/>
      <c r="P377" s="193" t="s">
        <v>381</v>
      </c>
      <c r="Q377" s="193" t="s">
        <v>295</v>
      </c>
      <c r="R377" s="192" t="s">
        <v>379</v>
      </c>
      <c r="S377" s="181"/>
      <c r="T377" s="181" t="s">
        <v>381</v>
      </c>
      <c r="U377" s="181" t="s">
        <v>295</v>
      </c>
      <c r="V377" s="199" t="s">
        <v>379</v>
      </c>
    </row>
    <row r="378" spans="1:22" outlineLevel="1">
      <c r="A378" s="199" t="s">
        <v>259</v>
      </c>
      <c r="B378" s="181" t="s">
        <v>777</v>
      </c>
      <c r="C378" s="190">
        <v>43592</v>
      </c>
      <c r="D378" s="199" t="s">
        <v>1046</v>
      </c>
      <c r="E378" s="182" t="s">
        <v>1053</v>
      </c>
      <c r="F378" s="183">
        <v>75988</v>
      </c>
      <c r="G378" s="184">
        <v>10.67</v>
      </c>
      <c r="H378" s="181">
        <v>13.9</v>
      </c>
      <c r="I378" s="181" t="s">
        <v>292</v>
      </c>
      <c r="J378" s="191">
        <v>13.9</v>
      </c>
      <c r="K378" s="192" t="s">
        <v>444</v>
      </c>
      <c r="L378" s="193" t="s">
        <v>400</v>
      </c>
      <c r="M378" s="193" t="s">
        <v>309</v>
      </c>
      <c r="N378" s="193"/>
      <c r="O378" s="193"/>
      <c r="P378" s="193" t="s">
        <v>381</v>
      </c>
      <c r="Q378" s="193" t="s">
        <v>295</v>
      </c>
      <c r="R378" s="192" t="s">
        <v>379</v>
      </c>
      <c r="S378" s="181"/>
      <c r="T378" s="181" t="s">
        <v>381</v>
      </c>
      <c r="U378" s="181" t="s">
        <v>295</v>
      </c>
      <c r="V378" s="199" t="s">
        <v>379</v>
      </c>
    </row>
    <row r="379" spans="1:22" outlineLevel="1">
      <c r="A379" s="199" t="s">
        <v>259</v>
      </c>
      <c r="B379" s="181" t="s">
        <v>748</v>
      </c>
      <c r="C379" s="190">
        <v>43606</v>
      </c>
      <c r="D379" s="199" t="s">
        <v>781</v>
      </c>
      <c r="E379" s="182" t="s">
        <v>779</v>
      </c>
      <c r="F379" s="183">
        <v>76193</v>
      </c>
      <c r="G379" s="184">
        <v>1.84</v>
      </c>
      <c r="H379" s="181">
        <v>2.4</v>
      </c>
      <c r="I379" s="181" t="s">
        <v>292</v>
      </c>
      <c r="J379" s="191">
        <v>2.3199999999999998</v>
      </c>
      <c r="K379" s="192" t="s">
        <v>595</v>
      </c>
      <c r="L379" s="193" t="s">
        <v>400</v>
      </c>
      <c r="M379" s="193" t="s">
        <v>309</v>
      </c>
      <c r="N379" s="193" t="s">
        <v>345</v>
      </c>
      <c r="O379" s="193"/>
      <c r="P379" s="193" t="s">
        <v>381</v>
      </c>
      <c r="Q379" s="193" t="s">
        <v>295</v>
      </c>
      <c r="R379" s="192" t="s">
        <v>379</v>
      </c>
      <c r="S379" s="181"/>
      <c r="T379" s="181" t="s">
        <v>381</v>
      </c>
      <c r="U379" s="181" t="s">
        <v>295</v>
      </c>
      <c r="V379" s="199" t="s">
        <v>379</v>
      </c>
    </row>
    <row r="380" spans="1:22" outlineLevel="1">
      <c r="A380" s="199" t="s">
        <v>259</v>
      </c>
      <c r="B380" s="181" t="s">
        <v>748</v>
      </c>
      <c r="C380" s="190">
        <v>43606</v>
      </c>
      <c r="D380" s="199" t="s">
        <v>781</v>
      </c>
      <c r="E380" s="182" t="s">
        <v>780</v>
      </c>
      <c r="F380" s="183">
        <v>76193</v>
      </c>
      <c r="G380" s="184">
        <v>0.77</v>
      </c>
      <c r="H380" s="181">
        <v>1</v>
      </c>
      <c r="I380" s="181" t="s">
        <v>292</v>
      </c>
      <c r="J380" s="191">
        <v>0.97</v>
      </c>
      <c r="K380" s="192" t="s">
        <v>595</v>
      </c>
      <c r="L380" s="193" t="s">
        <v>400</v>
      </c>
      <c r="M380" s="193" t="s">
        <v>309</v>
      </c>
      <c r="N380" s="193" t="s">
        <v>469</v>
      </c>
      <c r="O380" s="193"/>
      <c r="P380" s="193" t="s">
        <v>381</v>
      </c>
      <c r="Q380" s="193" t="s">
        <v>295</v>
      </c>
      <c r="R380" s="192" t="s">
        <v>379</v>
      </c>
      <c r="S380" s="181"/>
      <c r="T380" s="181" t="s">
        <v>381</v>
      </c>
      <c r="U380" s="181" t="s">
        <v>295</v>
      </c>
      <c r="V380" s="199" t="s">
        <v>379</v>
      </c>
    </row>
    <row r="381" spans="1:22" outlineLevel="1">
      <c r="A381" s="199" t="s">
        <v>259</v>
      </c>
      <c r="B381" s="181" t="s">
        <v>748</v>
      </c>
      <c r="C381" s="190">
        <v>43620</v>
      </c>
      <c r="D381" s="199" t="s">
        <v>1054</v>
      </c>
      <c r="E381" s="182" t="s">
        <v>1055</v>
      </c>
      <c r="F381" s="183">
        <v>76250</v>
      </c>
      <c r="G381" s="184">
        <v>266.14999999999998</v>
      </c>
      <c r="H381" s="181">
        <v>335.94</v>
      </c>
      <c r="I381" s="181" t="s">
        <v>292</v>
      </c>
      <c r="J381" s="191">
        <v>335.94</v>
      </c>
      <c r="K381" s="192" t="s">
        <v>595</v>
      </c>
      <c r="L381" s="193" t="s">
        <v>400</v>
      </c>
      <c r="M381" s="193" t="s">
        <v>309</v>
      </c>
      <c r="N381" s="193" t="s">
        <v>469</v>
      </c>
      <c r="O381" s="193"/>
      <c r="P381" s="193" t="s">
        <v>381</v>
      </c>
      <c r="Q381" s="193" t="s">
        <v>295</v>
      </c>
      <c r="R381" s="192" t="s">
        <v>379</v>
      </c>
      <c r="S381" s="181"/>
      <c r="T381" s="181" t="s">
        <v>381</v>
      </c>
      <c r="U381" s="181" t="s">
        <v>295</v>
      </c>
      <c r="V381" s="199" t="s">
        <v>379</v>
      </c>
    </row>
    <row r="382" spans="1:22" outlineLevel="1">
      <c r="A382" s="199" t="s">
        <v>259</v>
      </c>
      <c r="B382" s="181" t="s">
        <v>748</v>
      </c>
      <c r="C382" s="190">
        <v>43643</v>
      </c>
      <c r="D382" s="199" t="s">
        <v>1056</v>
      </c>
      <c r="E382" s="182" t="s">
        <v>1057</v>
      </c>
      <c r="F382" s="183">
        <v>76315</v>
      </c>
      <c r="G382" s="184">
        <v>332.74</v>
      </c>
      <c r="H382" s="181">
        <v>420</v>
      </c>
      <c r="I382" s="181" t="s">
        <v>292</v>
      </c>
      <c r="J382" s="191">
        <v>420</v>
      </c>
      <c r="K382" s="192" t="s">
        <v>595</v>
      </c>
      <c r="L382" s="193" t="s">
        <v>396</v>
      </c>
      <c r="M382" s="193" t="s">
        <v>309</v>
      </c>
      <c r="N382" s="193" t="s">
        <v>445</v>
      </c>
      <c r="O382" s="193"/>
      <c r="P382" s="193" t="s">
        <v>381</v>
      </c>
      <c r="Q382" s="193" t="s">
        <v>295</v>
      </c>
      <c r="R382" s="192" t="s">
        <v>379</v>
      </c>
      <c r="S382" s="181"/>
      <c r="T382" s="181" t="s">
        <v>381</v>
      </c>
      <c r="U382" s="181" t="s">
        <v>295</v>
      </c>
      <c r="V382" s="199" t="s">
        <v>379</v>
      </c>
    </row>
    <row r="383" spans="1:22">
      <c r="A383" s="194" t="s">
        <v>378</v>
      </c>
      <c r="B383" s="194"/>
      <c r="C383" s="194"/>
      <c r="D383" s="194"/>
      <c r="E383" s="195"/>
      <c r="F383" s="196"/>
      <c r="G383" s="197">
        <f>SUM(G371:G382)</f>
        <v>1212.3399999999999</v>
      </c>
      <c r="H383" s="198">
        <f>SUM(H371:H382)</f>
        <v>1555.8899999999999</v>
      </c>
      <c r="I383" s="194"/>
      <c r="J383" s="198">
        <f>SUM(J371:J382)</f>
        <v>1555.79</v>
      </c>
      <c r="K383" s="194"/>
      <c r="L383" s="194"/>
      <c r="M383" s="194"/>
      <c r="N383" s="194"/>
      <c r="O383" s="194"/>
      <c r="P383" s="194"/>
      <c r="Q383" s="194"/>
      <c r="R383" s="194"/>
      <c r="S383" s="181"/>
      <c r="T383" s="181"/>
      <c r="U383" s="181"/>
      <c r="V383" s="181"/>
    </row>
    <row r="384" spans="1:22" outlineLevel="1">
      <c r="A384" s="199" t="s">
        <v>260</v>
      </c>
      <c r="B384" s="181" t="s">
        <v>777</v>
      </c>
      <c r="C384" s="190">
        <v>43600</v>
      </c>
      <c r="D384" s="199" t="s">
        <v>1058</v>
      </c>
      <c r="E384" s="182" t="s">
        <v>1059</v>
      </c>
      <c r="F384" s="183">
        <v>75988</v>
      </c>
      <c r="G384" s="184">
        <v>30.53</v>
      </c>
      <c r="H384" s="181">
        <v>39.78</v>
      </c>
      <c r="I384" s="181" t="s">
        <v>292</v>
      </c>
      <c r="J384" s="191">
        <v>39.78</v>
      </c>
      <c r="K384" s="192" t="s">
        <v>1050</v>
      </c>
      <c r="L384" s="193" t="s">
        <v>400</v>
      </c>
      <c r="M384" s="193" t="s">
        <v>309</v>
      </c>
      <c r="N384" s="193" t="s">
        <v>469</v>
      </c>
      <c r="O384" s="193"/>
      <c r="P384" s="193" t="s">
        <v>381</v>
      </c>
      <c r="Q384" s="193" t="s">
        <v>295</v>
      </c>
      <c r="R384" s="192" t="s">
        <v>379</v>
      </c>
      <c r="S384" s="181"/>
      <c r="T384" s="181" t="s">
        <v>381</v>
      </c>
      <c r="U384" s="181" t="s">
        <v>295</v>
      </c>
      <c r="V384" s="199" t="s">
        <v>379</v>
      </c>
    </row>
    <row r="385" spans="1:22" outlineLevel="1">
      <c r="A385" s="199" t="s">
        <v>260</v>
      </c>
      <c r="B385" s="181" t="s">
        <v>777</v>
      </c>
      <c r="C385" s="190">
        <v>43609</v>
      </c>
      <c r="D385" s="199" t="s">
        <v>1060</v>
      </c>
      <c r="E385" s="182" t="s">
        <v>1061</v>
      </c>
      <c r="F385" s="183">
        <v>75988</v>
      </c>
      <c r="G385" s="184">
        <v>8.06</v>
      </c>
      <c r="H385" s="181">
        <v>10.5</v>
      </c>
      <c r="I385" s="181" t="s">
        <v>292</v>
      </c>
      <c r="J385" s="191">
        <v>10.5</v>
      </c>
      <c r="K385" s="192" t="s">
        <v>1050</v>
      </c>
      <c r="L385" s="193" t="s">
        <v>400</v>
      </c>
      <c r="M385" s="193" t="s">
        <v>309</v>
      </c>
      <c r="N385" s="193" t="s">
        <v>345</v>
      </c>
      <c r="O385" s="193"/>
      <c r="P385" s="193" t="s">
        <v>381</v>
      </c>
      <c r="Q385" s="193" t="s">
        <v>295</v>
      </c>
      <c r="R385" s="192" t="s">
        <v>379</v>
      </c>
      <c r="S385" s="181"/>
      <c r="T385" s="181" t="s">
        <v>381</v>
      </c>
      <c r="U385" s="181" t="s">
        <v>295</v>
      </c>
      <c r="V385" s="199" t="s">
        <v>379</v>
      </c>
    </row>
    <row r="386" spans="1:22" outlineLevel="1">
      <c r="A386" s="199" t="s">
        <v>260</v>
      </c>
      <c r="B386" s="181" t="s">
        <v>777</v>
      </c>
      <c r="C386" s="190">
        <v>43609</v>
      </c>
      <c r="D386" s="199" t="s">
        <v>1060</v>
      </c>
      <c r="E386" s="182" t="s">
        <v>1062</v>
      </c>
      <c r="F386" s="183">
        <v>75988</v>
      </c>
      <c r="G386" s="184">
        <v>23.02</v>
      </c>
      <c r="H386" s="181">
        <v>30</v>
      </c>
      <c r="I386" s="181" t="s">
        <v>292</v>
      </c>
      <c r="J386" s="191">
        <v>29.99</v>
      </c>
      <c r="K386" s="192" t="s">
        <v>1050</v>
      </c>
      <c r="L386" s="193" t="s">
        <v>400</v>
      </c>
      <c r="M386" s="193" t="s">
        <v>309</v>
      </c>
      <c r="N386" s="193" t="s">
        <v>345</v>
      </c>
      <c r="O386" s="193"/>
      <c r="P386" s="193" t="s">
        <v>381</v>
      </c>
      <c r="Q386" s="193" t="s">
        <v>295</v>
      </c>
      <c r="R386" s="192" t="s">
        <v>379</v>
      </c>
      <c r="S386" s="181"/>
      <c r="T386" s="181" t="s">
        <v>381</v>
      </c>
      <c r="U386" s="181" t="s">
        <v>295</v>
      </c>
      <c r="V386" s="199" t="s">
        <v>379</v>
      </c>
    </row>
    <row r="387" spans="1:22" outlineLevel="1">
      <c r="A387" s="199" t="s">
        <v>260</v>
      </c>
      <c r="B387" s="181" t="s">
        <v>777</v>
      </c>
      <c r="C387" s="190">
        <v>43609</v>
      </c>
      <c r="D387" s="199" t="s">
        <v>1060</v>
      </c>
      <c r="E387" s="182" t="s">
        <v>1063</v>
      </c>
      <c r="F387" s="183">
        <v>75988</v>
      </c>
      <c r="G387" s="184">
        <v>8.06</v>
      </c>
      <c r="H387" s="181">
        <v>10.5</v>
      </c>
      <c r="I387" s="181" t="s">
        <v>292</v>
      </c>
      <c r="J387" s="191">
        <v>10.5</v>
      </c>
      <c r="K387" s="192" t="s">
        <v>610</v>
      </c>
      <c r="L387" s="193" t="s">
        <v>400</v>
      </c>
      <c r="M387" s="193" t="s">
        <v>309</v>
      </c>
      <c r="N387" s="193" t="s">
        <v>345</v>
      </c>
      <c r="O387" s="193"/>
      <c r="P387" s="193" t="s">
        <v>381</v>
      </c>
      <c r="Q387" s="193" t="s">
        <v>295</v>
      </c>
      <c r="R387" s="192" t="s">
        <v>379</v>
      </c>
      <c r="S387" s="181"/>
      <c r="T387" s="181" t="s">
        <v>381</v>
      </c>
      <c r="U387" s="181" t="s">
        <v>295</v>
      </c>
      <c r="V387" s="199" t="s">
        <v>379</v>
      </c>
    </row>
    <row r="388" spans="1:22" outlineLevel="1">
      <c r="A388" s="199" t="s">
        <v>260</v>
      </c>
      <c r="B388" s="181" t="s">
        <v>777</v>
      </c>
      <c r="C388" s="190">
        <v>43600</v>
      </c>
      <c r="D388" s="199" t="s">
        <v>1058</v>
      </c>
      <c r="E388" s="182" t="s">
        <v>1064</v>
      </c>
      <c r="F388" s="183">
        <v>75988</v>
      </c>
      <c r="G388" s="184">
        <v>69.069999999999993</v>
      </c>
      <c r="H388" s="181">
        <v>90</v>
      </c>
      <c r="I388" s="181" t="s">
        <v>292</v>
      </c>
      <c r="J388" s="191">
        <v>89.99</v>
      </c>
      <c r="K388" s="192" t="s">
        <v>610</v>
      </c>
      <c r="L388" s="193" t="s">
        <v>400</v>
      </c>
      <c r="M388" s="193" t="s">
        <v>309</v>
      </c>
      <c r="N388" s="193" t="s">
        <v>469</v>
      </c>
      <c r="O388" s="193"/>
      <c r="P388" s="193" t="s">
        <v>381</v>
      </c>
      <c r="Q388" s="193" t="s">
        <v>295</v>
      </c>
      <c r="R388" s="192" t="s">
        <v>379</v>
      </c>
      <c r="S388" s="181"/>
      <c r="T388" s="181" t="s">
        <v>381</v>
      </c>
      <c r="U388" s="181" t="s">
        <v>295</v>
      </c>
      <c r="V388" s="199" t="s">
        <v>379</v>
      </c>
    </row>
    <row r="389" spans="1:22" outlineLevel="1">
      <c r="A389" s="199" t="s">
        <v>260</v>
      </c>
      <c r="B389" s="181" t="s">
        <v>777</v>
      </c>
      <c r="C389" s="190">
        <v>43609</v>
      </c>
      <c r="D389" s="199" t="s">
        <v>1060</v>
      </c>
      <c r="E389" s="182" t="s">
        <v>1065</v>
      </c>
      <c r="F389" s="183">
        <v>75988</v>
      </c>
      <c r="G389" s="184">
        <v>3.45</v>
      </c>
      <c r="H389" s="181">
        <v>4.5</v>
      </c>
      <c r="I389" s="181" t="s">
        <v>292</v>
      </c>
      <c r="J389" s="191">
        <v>4.5</v>
      </c>
      <c r="K389" s="192" t="s">
        <v>1066</v>
      </c>
      <c r="L389" s="193" t="s">
        <v>400</v>
      </c>
      <c r="M389" s="193" t="s">
        <v>309</v>
      </c>
      <c r="N389" s="193" t="s">
        <v>345</v>
      </c>
      <c r="O389" s="193"/>
      <c r="P389" s="193" t="s">
        <v>381</v>
      </c>
      <c r="Q389" s="193" t="s">
        <v>295</v>
      </c>
      <c r="R389" s="192" t="s">
        <v>379</v>
      </c>
      <c r="S389" s="181"/>
      <c r="T389" s="181" t="s">
        <v>381</v>
      </c>
      <c r="U389" s="181" t="s">
        <v>295</v>
      </c>
      <c r="V389" s="199" t="s">
        <v>379</v>
      </c>
    </row>
    <row r="390" spans="1:22" outlineLevel="1">
      <c r="A390" s="199" t="s">
        <v>260</v>
      </c>
      <c r="B390" s="181" t="s">
        <v>777</v>
      </c>
      <c r="C390" s="190">
        <v>43614</v>
      </c>
      <c r="D390" s="199" t="s">
        <v>803</v>
      </c>
      <c r="E390" s="182" t="s">
        <v>1067</v>
      </c>
      <c r="F390" s="183">
        <v>75987</v>
      </c>
      <c r="G390" s="184">
        <v>54.3</v>
      </c>
      <c r="H390" s="181">
        <v>70.75</v>
      </c>
      <c r="I390" s="181" t="s">
        <v>292</v>
      </c>
      <c r="J390" s="191">
        <v>70.75</v>
      </c>
      <c r="K390" s="192" t="s">
        <v>1066</v>
      </c>
      <c r="L390" s="193" t="s">
        <v>396</v>
      </c>
      <c r="M390" s="193" t="s">
        <v>309</v>
      </c>
      <c r="N390" s="193" t="s">
        <v>469</v>
      </c>
      <c r="O390" s="193"/>
      <c r="P390" s="193" t="s">
        <v>381</v>
      </c>
      <c r="Q390" s="193" t="s">
        <v>295</v>
      </c>
      <c r="R390" s="192" t="s">
        <v>379</v>
      </c>
      <c r="S390" s="181"/>
      <c r="T390" s="181" t="s">
        <v>381</v>
      </c>
      <c r="U390" s="181" t="s">
        <v>295</v>
      </c>
      <c r="V390" s="199" t="s">
        <v>379</v>
      </c>
    </row>
    <row r="391" spans="1:22" outlineLevel="1">
      <c r="A391" s="199" t="s">
        <v>260</v>
      </c>
      <c r="B391" s="181" t="s">
        <v>777</v>
      </c>
      <c r="C391" s="190">
        <v>43600</v>
      </c>
      <c r="D391" s="199" t="s">
        <v>1058</v>
      </c>
      <c r="E391" s="182" t="s">
        <v>1068</v>
      </c>
      <c r="F391" s="183">
        <v>75988</v>
      </c>
      <c r="G391" s="184">
        <v>40.29</v>
      </c>
      <c r="H391" s="181">
        <v>52.5</v>
      </c>
      <c r="I391" s="181" t="s">
        <v>292</v>
      </c>
      <c r="J391" s="191">
        <v>52.5</v>
      </c>
      <c r="K391" s="192" t="s">
        <v>615</v>
      </c>
      <c r="L391" s="193" t="s">
        <v>400</v>
      </c>
      <c r="M391" s="193" t="s">
        <v>309</v>
      </c>
      <c r="N391" s="193" t="s">
        <v>469</v>
      </c>
      <c r="O391" s="193"/>
      <c r="P391" s="193" t="s">
        <v>381</v>
      </c>
      <c r="Q391" s="193" t="s">
        <v>295</v>
      </c>
      <c r="R391" s="192" t="s">
        <v>379</v>
      </c>
      <c r="S391" s="181"/>
      <c r="T391" s="181" t="s">
        <v>381</v>
      </c>
      <c r="U391" s="181" t="s">
        <v>295</v>
      </c>
      <c r="V391" s="199" t="s">
        <v>379</v>
      </c>
    </row>
    <row r="392" spans="1:22" outlineLevel="1">
      <c r="A392" s="199" t="s">
        <v>260</v>
      </c>
      <c r="B392" s="181" t="s">
        <v>777</v>
      </c>
      <c r="C392" s="190">
        <v>43609</v>
      </c>
      <c r="D392" s="199" t="s">
        <v>1060</v>
      </c>
      <c r="E392" s="182" t="s">
        <v>1069</v>
      </c>
      <c r="F392" s="183">
        <v>75988</v>
      </c>
      <c r="G392" s="184">
        <v>20.149999999999999</v>
      </c>
      <c r="H392" s="181">
        <v>26.25</v>
      </c>
      <c r="I392" s="181" t="s">
        <v>292</v>
      </c>
      <c r="J392" s="191">
        <v>26.25</v>
      </c>
      <c r="K392" s="192" t="s">
        <v>615</v>
      </c>
      <c r="L392" s="193" t="s">
        <v>400</v>
      </c>
      <c r="M392" s="193" t="s">
        <v>309</v>
      </c>
      <c r="N392" s="193" t="s">
        <v>345</v>
      </c>
      <c r="O392" s="193"/>
      <c r="P392" s="193" t="s">
        <v>381</v>
      </c>
      <c r="Q392" s="193" t="s">
        <v>295</v>
      </c>
      <c r="R392" s="192" t="s">
        <v>379</v>
      </c>
      <c r="S392" s="181"/>
      <c r="T392" s="181" t="s">
        <v>381</v>
      </c>
      <c r="U392" s="181" t="s">
        <v>295</v>
      </c>
      <c r="V392" s="199" t="s">
        <v>379</v>
      </c>
    </row>
    <row r="393" spans="1:22" outlineLevel="1">
      <c r="A393" s="199" t="s">
        <v>260</v>
      </c>
      <c r="B393" s="181" t="s">
        <v>777</v>
      </c>
      <c r="C393" s="190">
        <v>43605</v>
      </c>
      <c r="D393" s="199" t="s">
        <v>1070</v>
      </c>
      <c r="E393" s="182" t="s">
        <v>1071</v>
      </c>
      <c r="F393" s="183">
        <v>75988</v>
      </c>
      <c r="G393" s="184">
        <v>5.76</v>
      </c>
      <c r="H393" s="181">
        <v>7.5</v>
      </c>
      <c r="I393" s="181" t="s">
        <v>292</v>
      </c>
      <c r="J393" s="191">
        <v>7.5</v>
      </c>
      <c r="K393" s="192" t="s">
        <v>1072</v>
      </c>
      <c r="L393" s="193" t="s">
        <v>400</v>
      </c>
      <c r="M393" s="193" t="s">
        <v>309</v>
      </c>
      <c r="N393" s="193"/>
      <c r="O393" s="193"/>
      <c r="P393" s="193" t="s">
        <v>381</v>
      </c>
      <c r="Q393" s="193" t="s">
        <v>295</v>
      </c>
      <c r="R393" s="192" t="s">
        <v>379</v>
      </c>
      <c r="S393" s="181"/>
      <c r="T393" s="181" t="s">
        <v>381</v>
      </c>
      <c r="U393" s="181" t="s">
        <v>295</v>
      </c>
      <c r="V393" s="199" t="s">
        <v>379</v>
      </c>
    </row>
    <row r="394" spans="1:22">
      <c r="A394" s="194" t="s">
        <v>378</v>
      </c>
      <c r="B394" s="194"/>
      <c r="C394" s="194"/>
      <c r="D394" s="194"/>
      <c r="E394" s="195"/>
      <c r="F394" s="196"/>
      <c r="G394" s="197">
        <f>SUM(G384:G393)</f>
        <v>262.69</v>
      </c>
      <c r="H394" s="198">
        <f>SUM(H384:H393)</f>
        <v>342.28</v>
      </c>
      <c r="I394" s="194"/>
      <c r="J394" s="198">
        <f>SUM(J384:J393)</f>
        <v>342.26</v>
      </c>
      <c r="K394" s="194"/>
      <c r="L394" s="194"/>
      <c r="M394" s="194"/>
      <c r="N394" s="194"/>
      <c r="O394" s="194"/>
      <c r="P394" s="194"/>
      <c r="Q394" s="194"/>
      <c r="R394" s="194"/>
      <c r="S394" s="181"/>
      <c r="T394" s="181"/>
      <c r="U394" s="181"/>
      <c r="V394" s="181"/>
    </row>
    <row r="395" spans="1:22" outlineLevel="1">
      <c r="A395" s="199" t="s">
        <v>261</v>
      </c>
      <c r="B395" s="181" t="s">
        <v>747</v>
      </c>
      <c r="C395" s="190">
        <v>43565</v>
      </c>
      <c r="D395" s="199" t="s">
        <v>1073</v>
      </c>
      <c r="E395" s="182" t="s">
        <v>1074</v>
      </c>
      <c r="F395" s="183">
        <v>75701</v>
      </c>
      <c r="G395" s="184">
        <v>69.010000000000005</v>
      </c>
      <c r="H395" s="181">
        <v>90</v>
      </c>
      <c r="I395" s="181" t="s">
        <v>292</v>
      </c>
      <c r="J395" s="191">
        <v>90.01</v>
      </c>
      <c r="K395" s="192" t="s">
        <v>601</v>
      </c>
      <c r="L395" s="193" t="s">
        <v>396</v>
      </c>
      <c r="M395" s="193" t="s">
        <v>309</v>
      </c>
      <c r="N395" s="193"/>
      <c r="O395" s="193"/>
      <c r="P395" s="193" t="s">
        <v>381</v>
      </c>
      <c r="Q395" s="193" t="s">
        <v>295</v>
      </c>
      <c r="R395" s="192" t="s">
        <v>379</v>
      </c>
      <c r="S395" s="181"/>
      <c r="T395" s="181" t="s">
        <v>381</v>
      </c>
      <c r="U395" s="181" t="s">
        <v>295</v>
      </c>
      <c r="V395" s="199" t="s">
        <v>379</v>
      </c>
    </row>
    <row r="396" spans="1:22" outlineLevel="1">
      <c r="A396" s="199" t="s">
        <v>261</v>
      </c>
      <c r="B396" s="181" t="s">
        <v>777</v>
      </c>
      <c r="C396" s="190">
        <v>43601</v>
      </c>
      <c r="D396" s="199" t="s">
        <v>1075</v>
      </c>
      <c r="E396" s="182" t="s">
        <v>1076</v>
      </c>
      <c r="F396" s="183">
        <v>75987</v>
      </c>
      <c r="G396" s="184">
        <v>35.92</v>
      </c>
      <c r="H396" s="181">
        <v>46.8</v>
      </c>
      <c r="I396" s="181" t="s">
        <v>292</v>
      </c>
      <c r="J396" s="191">
        <v>46.8</v>
      </c>
      <c r="K396" s="192" t="s">
        <v>601</v>
      </c>
      <c r="L396" s="193" t="s">
        <v>396</v>
      </c>
      <c r="M396" s="193" t="s">
        <v>309</v>
      </c>
      <c r="N396" s="193"/>
      <c r="O396" s="193"/>
      <c r="P396" s="193" t="s">
        <v>381</v>
      </c>
      <c r="Q396" s="193" t="s">
        <v>295</v>
      </c>
      <c r="R396" s="192" t="s">
        <v>379</v>
      </c>
      <c r="S396" s="181"/>
      <c r="T396" s="181" t="s">
        <v>381</v>
      </c>
      <c r="U396" s="181" t="s">
        <v>295</v>
      </c>
      <c r="V396" s="199" t="s">
        <v>379</v>
      </c>
    </row>
    <row r="397" spans="1:22" outlineLevel="1">
      <c r="A397" s="199" t="s">
        <v>261</v>
      </c>
      <c r="B397" s="181" t="s">
        <v>777</v>
      </c>
      <c r="C397" s="190">
        <v>43601</v>
      </c>
      <c r="D397" s="199" t="s">
        <v>1075</v>
      </c>
      <c r="E397" s="182" t="s">
        <v>1077</v>
      </c>
      <c r="F397" s="183">
        <v>75987</v>
      </c>
      <c r="G397" s="184">
        <v>408.51</v>
      </c>
      <c r="H397" s="181">
        <v>532.27</v>
      </c>
      <c r="I397" s="181" t="s">
        <v>292</v>
      </c>
      <c r="J397" s="191">
        <v>532.27</v>
      </c>
      <c r="K397" s="192" t="s">
        <v>601</v>
      </c>
      <c r="L397" s="193" t="s">
        <v>396</v>
      </c>
      <c r="M397" s="193" t="s">
        <v>309</v>
      </c>
      <c r="N397" s="193"/>
      <c r="O397" s="193"/>
      <c r="P397" s="193" t="s">
        <v>381</v>
      </c>
      <c r="Q397" s="193" t="s">
        <v>295</v>
      </c>
      <c r="R397" s="192" t="s">
        <v>379</v>
      </c>
      <c r="S397" s="181"/>
      <c r="T397" s="181" t="s">
        <v>381</v>
      </c>
      <c r="U397" s="181" t="s">
        <v>295</v>
      </c>
      <c r="V397" s="199" t="s">
        <v>379</v>
      </c>
    </row>
    <row r="398" spans="1:22" outlineLevel="1">
      <c r="A398" s="199" t="s">
        <v>261</v>
      </c>
      <c r="B398" s="181" t="s">
        <v>777</v>
      </c>
      <c r="C398" s="190">
        <v>43601</v>
      </c>
      <c r="D398" s="199" t="s">
        <v>1078</v>
      </c>
      <c r="E398" s="182" t="s">
        <v>1079</v>
      </c>
      <c r="F398" s="183">
        <v>75987</v>
      </c>
      <c r="G398" s="184">
        <v>195.71</v>
      </c>
      <c r="H398" s="181">
        <v>255</v>
      </c>
      <c r="I398" s="181" t="s">
        <v>292</v>
      </c>
      <c r="J398" s="191">
        <v>255</v>
      </c>
      <c r="K398" s="192" t="s">
        <v>444</v>
      </c>
      <c r="L398" s="193" t="s">
        <v>396</v>
      </c>
      <c r="M398" s="193" t="s">
        <v>309</v>
      </c>
      <c r="N398" s="193"/>
      <c r="O398" s="193"/>
      <c r="P398" s="193" t="s">
        <v>381</v>
      </c>
      <c r="Q398" s="193" t="s">
        <v>295</v>
      </c>
      <c r="R398" s="192" t="s">
        <v>379</v>
      </c>
      <c r="S398" s="181"/>
      <c r="T398" s="181" t="s">
        <v>381</v>
      </c>
      <c r="U398" s="181" t="s">
        <v>295</v>
      </c>
      <c r="V398" s="199" t="s">
        <v>379</v>
      </c>
    </row>
    <row r="399" spans="1:22" outlineLevel="1">
      <c r="A399" s="199" t="s">
        <v>261</v>
      </c>
      <c r="B399" s="181" t="s">
        <v>748</v>
      </c>
      <c r="C399" s="190">
        <v>43643</v>
      </c>
      <c r="D399" s="199" t="s">
        <v>1080</v>
      </c>
      <c r="E399" s="182" t="s">
        <v>1081</v>
      </c>
      <c r="F399" s="183">
        <v>76315</v>
      </c>
      <c r="G399" s="184">
        <v>300.11</v>
      </c>
      <c r="H399" s="181">
        <v>378.81</v>
      </c>
      <c r="I399" s="181" t="s">
        <v>292</v>
      </c>
      <c r="J399" s="191">
        <v>378.81</v>
      </c>
      <c r="K399" s="192" t="s">
        <v>601</v>
      </c>
      <c r="L399" s="193" t="s">
        <v>396</v>
      </c>
      <c r="M399" s="193" t="s">
        <v>309</v>
      </c>
      <c r="N399" s="193"/>
      <c r="O399" s="193"/>
      <c r="P399" s="193" t="s">
        <v>381</v>
      </c>
      <c r="Q399" s="193" t="s">
        <v>295</v>
      </c>
      <c r="R399" s="192" t="s">
        <v>379</v>
      </c>
      <c r="S399" s="181"/>
      <c r="T399" s="181" t="s">
        <v>381</v>
      </c>
      <c r="U399" s="181" t="s">
        <v>295</v>
      </c>
      <c r="V399" s="199" t="s">
        <v>379</v>
      </c>
    </row>
    <row r="400" spans="1:22">
      <c r="A400" s="194" t="s">
        <v>378</v>
      </c>
      <c r="B400" s="194"/>
      <c r="C400" s="194"/>
      <c r="D400" s="194"/>
      <c r="E400" s="195"/>
      <c r="F400" s="196"/>
      <c r="G400" s="197">
        <f>SUM(G395:G399)</f>
        <v>1009.2600000000001</v>
      </c>
      <c r="H400" s="198">
        <f>SUM(H395:H399)</f>
        <v>1302.8799999999999</v>
      </c>
      <c r="I400" s="194"/>
      <c r="J400" s="198">
        <f>SUM(J395:J399)</f>
        <v>1302.8899999999999</v>
      </c>
      <c r="K400" s="194"/>
      <c r="L400" s="194"/>
      <c r="M400" s="194"/>
      <c r="N400" s="194"/>
      <c r="O400" s="194"/>
      <c r="P400" s="194"/>
      <c r="Q400" s="194"/>
      <c r="R400" s="194"/>
      <c r="S400" s="181"/>
      <c r="T400" s="181"/>
      <c r="U400" s="181"/>
      <c r="V400" s="181"/>
    </row>
    <row r="401" spans="1:22" outlineLevel="1">
      <c r="A401" s="199" t="s">
        <v>262</v>
      </c>
      <c r="B401" s="181" t="s">
        <v>777</v>
      </c>
      <c r="C401" s="190">
        <v>43616</v>
      </c>
      <c r="D401" s="199" t="s">
        <v>1082</v>
      </c>
      <c r="E401" s="182" t="s">
        <v>1083</v>
      </c>
      <c r="F401" s="183">
        <v>75987</v>
      </c>
      <c r="G401" s="184">
        <v>155.41999999999999</v>
      </c>
      <c r="H401" s="181">
        <v>202.5</v>
      </c>
      <c r="I401" s="181" t="s">
        <v>292</v>
      </c>
      <c r="J401" s="191">
        <v>202.5</v>
      </c>
      <c r="K401" s="192" t="s">
        <v>1084</v>
      </c>
      <c r="L401" s="193" t="s">
        <v>396</v>
      </c>
      <c r="M401" s="193" t="s">
        <v>309</v>
      </c>
      <c r="N401" s="193"/>
      <c r="O401" s="193"/>
      <c r="P401" s="193" t="s">
        <v>381</v>
      </c>
      <c r="Q401" s="193" t="s">
        <v>295</v>
      </c>
      <c r="R401" s="192" t="s">
        <v>379</v>
      </c>
      <c r="S401" s="181"/>
      <c r="T401" s="181" t="s">
        <v>381</v>
      </c>
      <c r="U401" s="181" t="s">
        <v>295</v>
      </c>
      <c r="V401" s="199" t="s">
        <v>379</v>
      </c>
    </row>
    <row r="402" spans="1:22" outlineLevel="1">
      <c r="A402" s="199" t="s">
        <v>262</v>
      </c>
      <c r="B402" s="181" t="s">
        <v>748</v>
      </c>
      <c r="C402" s="190">
        <v>43622</v>
      </c>
      <c r="D402" s="199" t="s">
        <v>1085</v>
      </c>
      <c r="E402" s="182" t="s">
        <v>1086</v>
      </c>
      <c r="F402" s="183">
        <v>76315</v>
      </c>
      <c r="G402" s="184">
        <v>430.98</v>
      </c>
      <c r="H402" s="181">
        <v>544</v>
      </c>
      <c r="I402" s="181" t="s">
        <v>292</v>
      </c>
      <c r="J402" s="191">
        <v>544</v>
      </c>
      <c r="K402" s="192" t="s">
        <v>1084</v>
      </c>
      <c r="L402" s="193" t="s">
        <v>396</v>
      </c>
      <c r="M402" s="193" t="s">
        <v>309</v>
      </c>
      <c r="N402" s="193"/>
      <c r="O402" s="193"/>
      <c r="P402" s="193" t="s">
        <v>381</v>
      </c>
      <c r="Q402" s="193" t="s">
        <v>295</v>
      </c>
      <c r="R402" s="192" t="s">
        <v>379</v>
      </c>
      <c r="S402" s="181"/>
      <c r="T402" s="181" t="s">
        <v>381</v>
      </c>
      <c r="U402" s="181" t="s">
        <v>295</v>
      </c>
      <c r="V402" s="199" t="s">
        <v>379</v>
      </c>
    </row>
    <row r="403" spans="1:22" outlineLevel="1">
      <c r="A403" s="199" t="s">
        <v>262</v>
      </c>
      <c r="B403" s="181" t="s">
        <v>748</v>
      </c>
      <c r="C403" s="190">
        <v>43622</v>
      </c>
      <c r="D403" s="199" t="s">
        <v>1085</v>
      </c>
      <c r="E403" s="182" t="s">
        <v>1087</v>
      </c>
      <c r="F403" s="183">
        <v>76315</v>
      </c>
      <c r="G403" s="184">
        <v>249.56</v>
      </c>
      <c r="H403" s="181">
        <v>315</v>
      </c>
      <c r="I403" s="181" t="s">
        <v>292</v>
      </c>
      <c r="J403" s="191">
        <v>315</v>
      </c>
      <c r="K403" s="192" t="s">
        <v>1084</v>
      </c>
      <c r="L403" s="193" t="s">
        <v>396</v>
      </c>
      <c r="M403" s="193" t="s">
        <v>309</v>
      </c>
      <c r="N403" s="193"/>
      <c r="O403" s="193"/>
      <c r="P403" s="193" t="s">
        <v>381</v>
      </c>
      <c r="Q403" s="193" t="s">
        <v>295</v>
      </c>
      <c r="R403" s="192" t="s">
        <v>379</v>
      </c>
      <c r="S403" s="181"/>
      <c r="T403" s="181" t="s">
        <v>381</v>
      </c>
      <c r="U403" s="181" t="s">
        <v>295</v>
      </c>
      <c r="V403" s="199" t="s">
        <v>379</v>
      </c>
    </row>
    <row r="404" spans="1:22" outlineLevel="1">
      <c r="A404" s="199" t="s">
        <v>262</v>
      </c>
      <c r="B404" s="181" t="s">
        <v>748</v>
      </c>
      <c r="C404" s="190">
        <v>43622</v>
      </c>
      <c r="D404" s="199" t="s">
        <v>1085</v>
      </c>
      <c r="E404" s="182" t="s">
        <v>1088</v>
      </c>
      <c r="F404" s="183">
        <v>76315</v>
      </c>
      <c r="G404" s="184">
        <v>83.19</v>
      </c>
      <c r="H404" s="181">
        <v>105</v>
      </c>
      <c r="I404" s="181" t="s">
        <v>292</v>
      </c>
      <c r="J404" s="191">
        <v>105.01</v>
      </c>
      <c r="K404" s="192" t="s">
        <v>1084</v>
      </c>
      <c r="L404" s="193" t="s">
        <v>396</v>
      </c>
      <c r="M404" s="193" t="s">
        <v>309</v>
      </c>
      <c r="N404" s="193"/>
      <c r="O404" s="193"/>
      <c r="P404" s="193" t="s">
        <v>381</v>
      </c>
      <c r="Q404" s="193" t="s">
        <v>295</v>
      </c>
      <c r="R404" s="192" t="s">
        <v>379</v>
      </c>
      <c r="S404" s="181"/>
      <c r="T404" s="181" t="s">
        <v>381</v>
      </c>
      <c r="U404" s="181" t="s">
        <v>295</v>
      </c>
      <c r="V404" s="199" t="s">
        <v>379</v>
      </c>
    </row>
    <row r="405" spans="1:22" outlineLevel="1">
      <c r="A405" s="199" t="s">
        <v>262</v>
      </c>
      <c r="B405" s="181" t="s">
        <v>748</v>
      </c>
      <c r="C405" s="190">
        <v>43637</v>
      </c>
      <c r="D405" s="199" t="s">
        <v>1089</v>
      </c>
      <c r="E405" s="182" t="s">
        <v>1090</v>
      </c>
      <c r="F405" s="183">
        <v>76315</v>
      </c>
      <c r="G405" s="184">
        <v>41.99</v>
      </c>
      <c r="H405" s="181">
        <v>53</v>
      </c>
      <c r="I405" s="181" t="s">
        <v>292</v>
      </c>
      <c r="J405" s="191">
        <v>53</v>
      </c>
      <c r="K405" s="192" t="s">
        <v>1084</v>
      </c>
      <c r="L405" s="193" t="s">
        <v>396</v>
      </c>
      <c r="M405" s="193" t="s">
        <v>309</v>
      </c>
      <c r="N405" s="193"/>
      <c r="O405" s="193"/>
      <c r="P405" s="193" t="s">
        <v>381</v>
      </c>
      <c r="Q405" s="193" t="s">
        <v>295</v>
      </c>
      <c r="R405" s="192" t="s">
        <v>379</v>
      </c>
      <c r="S405" s="181"/>
      <c r="T405" s="181" t="s">
        <v>381</v>
      </c>
      <c r="U405" s="181" t="s">
        <v>295</v>
      </c>
      <c r="V405" s="199" t="s">
        <v>379</v>
      </c>
    </row>
    <row r="406" spans="1:22">
      <c r="A406" s="194" t="s">
        <v>378</v>
      </c>
      <c r="B406" s="194"/>
      <c r="C406" s="194"/>
      <c r="D406" s="194"/>
      <c r="E406" s="195"/>
      <c r="F406" s="196"/>
      <c r="G406" s="197">
        <f>SUM(G401:G405)</f>
        <v>961.1400000000001</v>
      </c>
      <c r="H406" s="198">
        <f>SUM(H401:H405)</f>
        <v>1219.5</v>
      </c>
      <c r="I406" s="194"/>
      <c r="J406" s="198">
        <f>SUM(J401:J405)</f>
        <v>1219.51</v>
      </c>
      <c r="K406" s="194"/>
      <c r="L406" s="194"/>
      <c r="M406" s="194"/>
      <c r="N406" s="194"/>
      <c r="O406" s="194"/>
      <c r="P406" s="194"/>
      <c r="Q406" s="194"/>
      <c r="R406" s="194"/>
      <c r="S406" s="181"/>
      <c r="T406" s="181"/>
      <c r="U406" s="181"/>
      <c r="V406" s="181"/>
    </row>
    <row r="407" spans="1:22" outlineLevel="1">
      <c r="A407" s="199" t="s">
        <v>264</v>
      </c>
      <c r="B407" s="181" t="s">
        <v>747</v>
      </c>
      <c r="C407" s="190">
        <v>43567</v>
      </c>
      <c r="D407" s="199" t="s">
        <v>1091</v>
      </c>
      <c r="E407" s="182" t="s">
        <v>1092</v>
      </c>
      <c r="F407" s="183">
        <v>75701</v>
      </c>
      <c r="G407" s="184">
        <v>15.33</v>
      </c>
      <c r="H407" s="181">
        <v>20</v>
      </c>
      <c r="I407" s="181" t="s">
        <v>292</v>
      </c>
      <c r="J407" s="191">
        <v>19.989999999999998</v>
      </c>
      <c r="K407" s="192" t="s">
        <v>590</v>
      </c>
      <c r="L407" s="193" t="s">
        <v>396</v>
      </c>
      <c r="M407" s="193" t="s">
        <v>309</v>
      </c>
      <c r="N407" s="193"/>
      <c r="O407" s="193"/>
      <c r="P407" s="193" t="s">
        <v>381</v>
      </c>
      <c r="Q407" s="193" t="s">
        <v>295</v>
      </c>
      <c r="R407" s="192" t="s">
        <v>379</v>
      </c>
      <c r="S407" s="181"/>
      <c r="T407" s="181" t="s">
        <v>381</v>
      </c>
      <c r="U407" s="181" t="s">
        <v>295</v>
      </c>
      <c r="V407" s="199" t="s">
        <v>379</v>
      </c>
    </row>
    <row r="408" spans="1:22" outlineLevel="1">
      <c r="A408" s="199" t="s">
        <v>264</v>
      </c>
      <c r="B408" s="181" t="s">
        <v>747</v>
      </c>
      <c r="C408" s="190">
        <v>43567</v>
      </c>
      <c r="D408" s="199" t="s">
        <v>1091</v>
      </c>
      <c r="E408" s="182" t="s">
        <v>1093</v>
      </c>
      <c r="F408" s="183">
        <v>75701</v>
      </c>
      <c r="G408" s="184">
        <v>9.1999999999999993</v>
      </c>
      <c r="H408" s="181">
        <v>12</v>
      </c>
      <c r="I408" s="181" t="s">
        <v>292</v>
      </c>
      <c r="J408" s="191">
        <v>12</v>
      </c>
      <c r="K408" s="192" t="s">
        <v>590</v>
      </c>
      <c r="L408" s="193" t="s">
        <v>396</v>
      </c>
      <c r="M408" s="193" t="s">
        <v>309</v>
      </c>
      <c r="N408" s="193"/>
      <c r="O408" s="193"/>
      <c r="P408" s="193" t="s">
        <v>381</v>
      </c>
      <c r="Q408" s="193" t="s">
        <v>295</v>
      </c>
      <c r="R408" s="192" t="s">
        <v>379</v>
      </c>
      <c r="S408" s="181"/>
      <c r="T408" s="181" t="s">
        <v>381</v>
      </c>
      <c r="U408" s="181" t="s">
        <v>295</v>
      </c>
      <c r="V408" s="199" t="s">
        <v>379</v>
      </c>
    </row>
    <row r="409" spans="1:22" outlineLevel="1">
      <c r="A409" s="199" t="s">
        <v>264</v>
      </c>
      <c r="B409" s="181" t="s">
        <v>747</v>
      </c>
      <c r="C409" s="190">
        <v>43567</v>
      </c>
      <c r="D409" s="199" t="s">
        <v>1091</v>
      </c>
      <c r="E409" s="182" t="s">
        <v>1094</v>
      </c>
      <c r="F409" s="183">
        <v>75701</v>
      </c>
      <c r="G409" s="184">
        <v>241.52</v>
      </c>
      <c r="H409" s="181">
        <v>315</v>
      </c>
      <c r="I409" s="181" t="s">
        <v>292</v>
      </c>
      <c r="J409" s="191">
        <v>315</v>
      </c>
      <c r="K409" s="192" t="s">
        <v>592</v>
      </c>
      <c r="L409" s="193" t="s">
        <v>396</v>
      </c>
      <c r="M409" s="193" t="s">
        <v>309</v>
      </c>
      <c r="N409" s="193"/>
      <c r="O409" s="193"/>
      <c r="P409" s="193" t="s">
        <v>381</v>
      </c>
      <c r="Q409" s="193" t="s">
        <v>295</v>
      </c>
      <c r="R409" s="192" t="s">
        <v>379</v>
      </c>
      <c r="S409" s="181"/>
      <c r="T409" s="181" t="s">
        <v>381</v>
      </c>
      <c r="U409" s="181" t="s">
        <v>295</v>
      </c>
      <c r="V409" s="199" t="s">
        <v>379</v>
      </c>
    </row>
    <row r="410" spans="1:22" outlineLevel="1">
      <c r="A410" s="199" t="s">
        <v>264</v>
      </c>
      <c r="B410" s="181" t="s">
        <v>747</v>
      </c>
      <c r="C410" s="190">
        <v>43567</v>
      </c>
      <c r="D410" s="199" t="s">
        <v>1091</v>
      </c>
      <c r="E410" s="182" t="s">
        <v>1095</v>
      </c>
      <c r="F410" s="183">
        <v>75701</v>
      </c>
      <c r="G410" s="184">
        <v>241.52</v>
      </c>
      <c r="H410" s="181">
        <v>315</v>
      </c>
      <c r="I410" s="181" t="s">
        <v>292</v>
      </c>
      <c r="J410" s="191">
        <v>315</v>
      </c>
      <c r="K410" s="192" t="s">
        <v>592</v>
      </c>
      <c r="L410" s="193" t="s">
        <v>396</v>
      </c>
      <c r="M410" s="193" t="s">
        <v>309</v>
      </c>
      <c r="N410" s="193"/>
      <c r="O410" s="193"/>
      <c r="P410" s="193" t="s">
        <v>381</v>
      </c>
      <c r="Q410" s="193" t="s">
        <v>295</v>
      </c>
      <c r="R410" s="192" t="s">
        <v>379</v>
      </c>
      <c r="S410" s="181"/>
      <c r="T410" s="181" t="s">
        <v>381</v>
      </c>
      <c r="U410" s="181" t="s">
        <v>295</v>
      </c>
      <c r="V410" s="199" t="s">
        <v>379</v>
      </c>
    </row>
    <row r="411" spans="1:22" outlineLevel="1">
      <c r="A411" s="199" t="s">
        <v>264</v>
      </c>
      <c r="B411" s="181" t="s">
        <v>777</v>
      </c>
      <c r="C411" s="190">
        <v>43595</v>
      </c>
      <c r="D411" s="199" t="s">
        <v>1070</v>
      </c>
      <c r="E411" s="182" t="s">
        <v>1096</v>
      </c>
      <c r="F411" s="183">
        <v>75988</v>
      </c>
      <c r="G411" s="184">
        <v>35.69</v>
      </c>
      <c r="H411" s="181">
        <v>46.5</v>
      </c>
      <c r="I411" s="181" t="s">
        <v>292</v>
      </c>
      <c r="J411" s="191">
        <v>46.5</v>
      </c>
      <c r="K411" s="192" t="s">
        <v>615</v>
      </c>
      <c r="L411" s="193" t="s">
        <v>400</v>
      </c>
      <c r="M411" s="193" t="s">
        <v>309</v>
      </c>
      <c r="N411" s="193" t="s">
        <v>499</v>
      </c>
      <c r="O411" s="193"/>
      <c r="P411" s="193" t="s">
        <v>381</v>
      </c>
      <c r="Q411" s="193" t="s">
        <v>295</v>
      </c>
      <c r="R411" s="192" t="s">
        <v>379</v>
      </c>
      <c r="S411" s="181"/>
      <c r="T411" s="181" t="s">
        <v>381</v>
      </c>
      <c r="U411" s="181" t="s">
        <v>295</v>
      </c>
      <c r="V411" s="199" t="s">
        <v>379</v>
      </c>
    </row>
    <row r="412" spans="1:22" outlineLevel="1">
      <c r="A412" s="199" t="s">
        <v>264</v>
      </c>
      <c r="B412" s="181" t="s">
        <v>777</v>
      </c>
      <c r="C412" s="190">
        <v>43616</v>
      </c>
      <c r="D412" s="199" t="s">
        <v>837</v>
      </c>
      <c r="E412" s="182" t="s">
        <v>1097</v>
      </c>
      <c r="F412" s="183">
        <v>75988</v>
      </c>
      <c r="G412" s="184">
        <v>15.26</v>
      </c>
      <c r="H412" s="181">
        <v>19.88</v>
      </c>
      <c r="I412" s="181" t="s">
        <v>292</v>
      </c>
      <c r="J412" s="191">
        <v>19.88</v>
      </c>
      <c r="K412" s="192" t="s">
        <v>615</v>
      </c>
      <c r="L412" s="193" t="s">
        <v>400</v>
      </c>
      <c r="M412" s="193" t="s">
        <v>309</v>
      </c>
      <c r="N412" s="193" t="s">
        <v>499</v>
      </c>
      <c r="O412" s="193"/>
      <c r="P412" s="193" t="s">
        <v>381</v>
      </c>
      <c r="Q412" s="193" t="s">
        <v>295</v>
      </c>
      <c r="R412" s="192" t="s">
        <v>379</v>
      </c>
      <c r="S412" s="181"/>
      <c r="T412" s="181" t="s">
        <v>381</v>
      </c>
      <c r="U412" s="181" t="s">
        <v>295</v>
      </c>
      <c r="V412" s="199" t="s">
        <v>379</v>
      </c>
    </row>
    <row r="413" spans="1:22" outlineLevel="1">
      <c r="A413" s="199" t="s">
        <v>264</v>
      </c>
      <c r="B413" s="181" t="s">
        <v>777</v>
      </c>
      <c r="C413" s="190">
        <v>43616</v>
      </c>
      <c r="D413" s="199" t="s">
        <v>1098</v>
      </c>
      <c r="E413" s="182" t="s">
        <v>1099</v>
      </c>
      <c r="F413" s="183">
        <v>75988</v>
      </c>
      <c r="G413" s="184">
        <v>32.46</v>
      </c>
      <c r="H413" s="181">
        <v>42.3</v>
      </c>
      <c r="I413" s="181" t="s">
        <v>292</v>
      </c>
      <c r="J413" s="191">
        <v>42.29</v>
      </c>
      <c r="K413" s="192" t="s">
        <v>615</v>
      </c>
      <c r="L413" s="193" t="s">
        <v>400</v>
      </c>
      <c r="M413" s="193" t="s">
        <v>309</v>
      </c>
      <c r="N413" s="193" t="s">
        <v>499</v>
      </c>
      <c r="O413" s="193"/>
      <c r="P413" s="193" t="s">
        <v>381</v>
      </c>
      <c r="Q413" s="193" t="s">
        <v>295</v>
      </c>
      <c r="R413" s="192" t="s">
        <v>379</v>
      </c>
      <c r="S413" s="181"/>
      <c r="T413" s="181" t="s">
        <v>381</v>
      </c>
      <c r="U413" s="181" t="s">
        <v>295</v>
      </c>
      <c r="V413" s="199" t="s">
        <v>379</v>
      </c>
    </row>
    <row r="414" spans="1:22" outlineLevel="1">
      <c r="A414" s="199" t="s">
        <v>264</v>
      </c>
      <c r="B414" s="181" t="s">
        <v>777</v>
      </c>
      <c r="C414" s="190">
        <v>43616</v>
      </c>
      <c r="D414" s="199" t="s">
        <v>1100</v>
      </c>
      <c r="E414" s="182" t="s">
        <v>1101</v>
      </c>
      <c r="F414" s="183">
        <v>75987</v>
      </c>
      <c r="G414" s="184">
        <v>322.35000000000002</v>
      </c>
      <c r="H414" s="181">
        <v>420</v>
      </c>
      <c r="I414" s="181" t="s">
        <v>292</v>
      </c>
      <c r="J414" s="191">
        <v>420</v>
      </c>
      <c r="K414" s="192" t="s">
        <v>1034</v>
      </c>
      <c r="L414" s="193" t="s">
        <v>396</v>
      </c>
      <c r="M414" s="193" t="s">
        <v>309</v>
      </c>
      <c r="N414" s="193"/>
      <c r="O414" s="193"/>
      <c r="P414" s="193" t="s">
        <v>381</v>
      </c>
      <c r="Q414" s="193" t="s">
        <v>295</v>
      </c>
      <c r="R414" s="192" t="s">
        <v>379</v>
      </c>
      <c r="S414" s="181"/>
      <c r="T414" s="181" t="s">
        <v>381</v>
      </c>
      <c r="U414" s="181" t="s">
        <v>295</v>
      </c>
      <c r="V414" s="199" t="s">
        <v>379</v>
      </c>
    </row>
    <row r="415" spans="1:22" outlineLevel="1">
      <c r="A415" s="199" t="s">
        <v>264</v>
      </c>
      <c r="B415" s="181" t="s">
        <v>777</v>
      </c>
      <c r="C415" s="190">
        <v>43616</v>
      </c>
      <c r="D415" s="199" t="s">
        <v>1100</v>
      </c>
      <c r="E415" s="182" t="s">
        <v>1102</v>
      </c>
      <c r="F415" s="183">
        <v>75987</v>
      </c>
      <c r="G415" s="184">
        <v>184.2</v>
      </c>
      <c r="H415" s="181">
        <v>240</v>
      </c>
      <c r="I415" s="181" t="s">
        <v>292</v>
      </c>
      <c r="J415" s="191">
        <v>240</v>
      </c>
      <c r="K415" s="192" t="s">
        <v>1034</v>
      </c>
      <c r="L415" s="193" t="s">
        <v>396</v>
      </c>
      <c r="M415" s="193" t="s">
        <v>309</v>
      </c>
      <c r="N415" s="193"/>
      <c r="O415" s="193"/>
      <c r="P415" s="193" t="s">
        <v>381</v>
      </c>
      <c r="Q415" s="193" t="s">
        <v>295</v>
      </c>
      <c r="R415" s="192" t="s">
        <v>379</v>
      </c>
      <c r="S415" s="181"/>
      <c r="T415" s="181" t="s">
        <v>381</v>
      </c>
      <c r="U415" s="181" t="s">
        <v>295</v>
      </c>
      <c r="V415" s="199" t="s">
        <v>379</v>
      </c>
    </row>
    <row r="416" spans="1:22" outlineLevel="1">
      <c r="A416" s="199" t="s">
        <v>264</v>
      </c>
      <c r="B416" s="181" t="s">
        <v>748</v>
      </c>
      <c r="C416" s="190">
        <v>43628</v>
      </c>
      <c r="D416" s="199" t="s">
        <v>1103</v>
      </c>
      <c r="E416" s="182" t="s">
        <v>1104</v>
      </c>
      <c r="F416" s="183">
        <v>76250</v>
      </c>
      <c r="G416" s="184">
        <v>123.59</v>
      </c>
      <c r="H416" s="181">
        <v>156</v>
      </c>
      <c r="I416" s="181" t="s">
        <v>292</v>
      </c>
      <c r="J416" s="191">
        <v>156</v>
      </c>
      <c r="K416" s="192" t="s">
        <v>1050</v>
      </c>
      <c r="L416" s="193" t="s">
        <v>400</v>
      </c>
      <c r="M416" s="193" t="s">
        <v>309</v>
      </c>
      <c r="N416" s="193" t="s">
        <v>345</v>
      </c>
      <c r="O416" s="193"/>
      <c r="P416" s="193" t="s">
        <v>381</v>
      </c>
      <c r="Q416" s="193" t="s">
        <v>295</v>
      </c>
      <c r="R416" s="192" t="s">
        <v>379</v>
      </c>
      <c r="S416" s="181"/>
      <c r="T416" s="181" t="s">
        <v>381</v>
      </c>
      <c r="U416" s="181" t="s">
        <v>295</v>
      </c>
      <c r="V416" s="199" t="s">
        <v>379</v>
      </c>
    </row>
    <row r="417" spans="1:22" outlineLevel="1">
      <c r="A417" s="199" t="s">
        <v>264</v>
      </c>
      <c r="B417" s="181" t="s">
        <v>748</v>
      </c>
      <c r="C417" s="190">
        <v>43628</v>
      </c>
      <c r="D417" s="199" t="s">
        <v>1105</v>
      </c>
      <c r="E417" s="182" t="s">
        <v>1106</v>
      </c>
      <c r="F417" s="183">
        <v>76250</v>
      </c>
      <c r="G417" s="184">
        <v>47.53</v>
      </c>
      <c r="H417" s="181">
        <v>60</v>
      </c>
      <c r="I417" s="181" t="s">
        <v>292</v>
      </c>
      <c r="J417" s="191">
        <v>59.99</v>
      </c>
      <c r="K417" s="192" t="s">
        <v>604</v>
      </c>
      <c r="L417" s="193" t="s">
        <v>400</v>
      </c>
      <c r="M417" s="193" t="s">
        <v>309</v>
      </c>
      <c r="N417" s="193" t="s">
        <v>469</v>
      </c>
      <c r="O417" s="193"/>
      <c r="P417" s="193" t="s">
        <v>381</v>
      </c>
      <c r="Q417" s="193" t="s">
        <v>295</v>
      </c>
      <c r="R417" s="192" t="s">
        <v>379</v>
      </c>
      <c r="S417" s="181"/>
      <c r="T417" s="181" t="s">
        <v>381</v>
      </c>
      <c r="U417" s="181" t="s">
        <v>295</v>
      </c>
      <c r="V417" s="199" t="s">
        <v>379</v>
      </c>
    </row>
    <row r="418" spans="1:22" outlineLevel="1">
      <c r="A418" s="199" t="s">
        <v>264</v>
      </c>
      <c r="B418" s="181" t="s">
        <v>748</v>
      </c>
      <c r="C418" s="190">
        <v>43628</v>
      </c>
      <c r="D418" s="199" t="s">
        <v>1105</v>
      </c>
      <c r="E418" s="182" t="s">
        <v>1107</v>
      </c>
      <c r="F418" s="183">
        <v>76250</v>
      </c>
      <c r="G418" s="184">
        <v>23.77</v>
      </c>
      <c r="H418" s="181">
        <v>30</v>
      </c>
      <c r="I418" s="181" t="s">
        <v>292</v>
      </c>
      <c r="J418" s="191">
        <v>30</v>
      </c>
      <c r="K418" s="192" t="s">
        <v>604</v>
      </c>
      <c r="L418" s="193" t="s">
        <v>400</v>
      </c>
      <c r="M418" s="193" t="s">
        <v>309</v>
      </c>
      <c r="N418" s="193" t="s">
        <v>556</v>
      </c>
      <c r="O418" s="193"/>
      <c r="P418" s="193" t="s">
        <v>381</v>
      </c>
      <c r="Q418" s="193" t="s">
        <v>295</v>
      </c>
      <c r="R418" s="192" t="s">
        <v>379</v>
      </c>
      <c r="S418" s="181"/>
      <c r="T418" s="181" t="s">
        <v>381</v>
      </c>
      <c r="U418" s="181" t="s">
        <v>295</v>
      </c>
      <c r="V418" s="199" t="s">
        <v>379</v>
      </c>
    </row>
    <row r="419" spans="1:22" outlineLevel="1">
      <c r="A419" s="199" t="s">
        <v>264</v>
      </c>
      <c r="B419" s="181" t="s">
        <v>748</v>
      </c>
      <c r="C419" s="190">
        <v>43644</v>
      </c>
      <c r="D419" s="199" t="s">
        <v>1108</v>
      </c>
      <c r="E419" s="182" t="s">
        <v>1109</v>
      </c>
      <c r="F419" s="183">
        <v>76250</v>
      </c>
      <c r="G419" s="184">
        <v>59.42</v>
      </c>
      <c r="H419" s="181">
        <v>75</v>
      </c>
      <c r="I419" s="181" t="s">
        <v>292</v>
      </c>
      <c r="J419" s="191">
        <v>75</v>
      </c>
      <c r="K419" s="192" t="s">
        <v>610</v>
      </c>
      <c r="L419" s="193" t="s">
        <v>400</v>
      </c>
      <c r="M419" s="193" t="s">
        <v>309</v>
      </c>
      <c r="N419" s="193" t="s">
        <v>1110</v>
      </c>
      <c r="O419" s="193"/>
      <c r="P419" s="193" t="s">
        <v>381</v>
      </c>
      <c r="Q419" s="193" t="s">
        <v>295</v>
      </c>
      <c r="R419" s="192" t="s">
        <v>379</v>
      </c>
      <c r="S419" s="181"/>
      <c r="T419" s="181" t="s">
        <v>381</v>
      </c>
      <c r="U419" s="181" t="s">
        <v>295</v>
      </c>
      <c r="V419" s="199" t="s">
        <v>379</v>
      </c>
    </row>
    <row r="420" spans="1:22" outlineLevel="1">
      <c r="A420" s="199" t="s">
        <v>264</v>
      </c>
      <c r="B420" s="181" t="s">
        <v>748</v>
      </c>
      <c r="C420" s="190">
        <v>43622</v>
      </c>
      <c r="D420" s="199" t="s">
        <v>1111</v>
      </c>
      <c r="E420" s="182" t="s">
        <v>1112</v>
      </c>
      <c r="F420" s="183">
        <v>76250</v>
      </c>
      <c r="G420" s="184">
        <v>171.44</v>
      </c>
      <c r="H420" s="181">
        <v>216.4</v>
      </c>
      <c r="I420" s="181" t="s">
        <v>292</v>
      </c>
      <c r="J420" s="191">
        <v>216.4</v>
      </c>
      <c r="K420" s="192" t="s">
        <v>610</v>
      </c>
      <c r="L420" s="193" t="s">
        <v>400</v>
      </c>
      <c r="M420" s="193" t="s">
        <v>309</v>
      </c>
      <c r="N420" s="193" t="s">
        <v>345</v>
      </c>
      <c r="O420" s="193"/>
      <c r="P420" s="193" t="s">
        <v>381</v>
      </c>
      <c r="Q420" s="193" t="s">
        <v>295</v>
      </c>
      <c r="R420" s="192" t="s">
        <v>379</v>
      </c>
      <c r="S420" s="181"/>
      <c r="T420" s="181" t="s">
        <v>381</v>
      </c>
      <c r="U420" s="181" t="s">
        <v>295</v>
      </c>
      <c r="V420" s="199" t="s">
        <v>379</v>
      </c>
    </row>
    <row r="421" spans="1:22" outlineLevel="1">
      <c r="A421" s="199" t="s">
        <v>264</v>
      </c>
      <c r="B421" s="181" t="s">
        <v>748</v>
      </c>
      <c r="C421" s="190">
        <v>43630</v>
      </c>
      <c r="D421" s="199" t="s">
        <v>1113</v>
      </c>
      <c r="E421" s="182" t="s">
        <v>1114</v>
      </c>
      <c r="F421" s="183">
        <v>76315</v>
      </c>
      <c r="G421" s="184">
        <v>63.38</v>
      </c>
      <c r="H421" s="181">
        <v>80</v>
      </c>
      <c r="I421" s="181" t="s">
        <v>292</v>
      </c>
      <c r="J421" s="191">
        <v>80</v>
      </c>
      <c r="K421" s="192" t="s">
        <v>610</v>
      </c>
      <c r="L421" s="193" t="s">
        <v>396</v>
      </c>
      <c r="M421" s="193" t="s">
        <v>309</v>
      </c>
      <c r="N421" s="193" t="s">
        <v>556</v>
      </c>
      <c r="O421" s="193"/>
      <c r="P421" s="193" t="s">
        <v>381</v>
      </c>
      <c r="Q421" s="193" t="s">
        <v>295</v>
      </c>
      <c r="R421" s="192" t="s">
        <v>379</v>
      </c>
      <c r="S421" s="181"/>
      <c r="T421" s="181" t="s">
        <v>381</v>
      </c>
      <c r="U421" s="181" t="s">
        <v>295</v>
      </c>
      <c r="V421" s="199" t="s">
        <v>379</v>
      </c>
    </row>
    <row r="422" spans="1:22" outlineLevel="1">
      <c r="A422" s="199" t="s">
        <v>264</v>
      </c>
      <c r="B422" s="181" t="s">
        <v>748</v>
      </c>
      <c r="C422" s="190">
        <v>43630</v>
      </c>
      <c r="D422" s="199" t="s">
        <v>1113</v>
      </c>
      <c r="E422" s="182" t="s">
        <v>1115</v>
      </c>
      <c r="F422" s="183">
        <v>76315</v>
      </c>
      <c r="G422" s="184">
        <v>31.69</v>
      </c>
      <c r="H422" s="181">
        <v>40</v>
      </c>
      <c r="I422" s="181" t="s">
        <v>292</v>
      </c>
      <c r="J422" s="191">
        <v>40</v>
      </c>
      <c r="K422" s="192" t="s">
        <v>610</v>
      </c>
      <c r="L422" s="193" t="s">
        <v>396</v>
      </c>
      <c r="M422" s="193" t="s">
        <v>309</v>
      </c>
      <c r="N422" s="193" t="s">
        <v>1116</v>
      </c>
      <c r="O422" s="193"/>
      <c r="P422" s="193" t="s">
        <v>381</v>
      </c>
      <c r="Q422" s="193" t="s">
        <v>295</v>
      </c>
      <c r="R422" s="192" t="s">
        <v>379</v>
      </c>
      <c r="S422" s="181"/>
      <c r="T422" s="181" t="s">
        <v>381</v>
      </c>
      <c r="U422" s="181" t="s">
        <v>295</v>
      </c>
      <c r="V422" s="199" t="s">
        <v>379</v>
      </c>
    </row>
    <row r="423" spans="1:22" outlineLevel="1">
      <c r="A423" s="199" t="s">
        <v>264</v>
      </c>
      <c r="B423" s="181" t="s">
        <v>748</v>
      </c>
      <c r="C423" s="190">
        <v>43643</v>
      </c>
      <c r="D423" s="199" t="s">
        <v>1117</v>
      </c>
      <c r="E423" s="182" t="s">
        <v>1118</v>
      </c>
      <c r="F423" s="183">
        <v>76315</v>
      </c>
      <c r="G423" s="184">
        <v>55.46</v>
      </c>
      <c r="H423" s="181">
        <v>70</v>
      </c>
      <c r="I423" s="181" t="s">
        <v>292</v>
      </c>
      <c r="J423" s="191">
        <v>70</v>
      </c>
      <c r="K423" s="192" t="s">
        <v>610</v>
      </c>
      <c r="L423" s="193" t="s">
        <v>396</v>
      </c>
      <c r="M423" s="193" t="s">
        <v>309</v>
      </c>
      <c r="N423" s="193" t="s">
        <v>469</v>
      </c>
      <c r="O423" s="193"/>
      <c r="P423" s="193" t="s">
        <v>381</v>
      </c>
      <c r="Q423" s="193" t="s">
        <v>295</v>
      </c>
      <c r="R423" s="192" t="s">
        <v>379</v>
      </c>
      <c r="S423" s="181"/>
      <c r="T423" s="181" t="s">
        <v>381</v>
      </c>
      <c r="U423" s="181" t="s">
        <v>295</v>
      </c>
      <c r="V423" s="199" t="s">
        <v>379</v>
      </c>
    </row>
    <row r="424" spans="1:22" outlineLevel="1">
      <c r="A424" s="199" t="s">
        <v>264</v>
      </c>
      <c r="B424" s="181" t="s">
        <v>748</v>
      </c>
      <c r="C424" s="190">
        <v>43644</v>
      </c>
      <c r="D424" s="199" t="s">
        <v>1119</v>
      </c>
      <c r="E424" s="182" t="s">
        <v>1120</v>
      </c>
      <c r="F424" s="183">
        <v>76250</v>
      </c>
      <c r="G424" s="184">
        <v>35.49</v>
      </c>
      <c r="H424" s="181">
        <v>44.8</v>
      </c>
      <c r="I424" s="181" t="s">
        <v>292</v>
      </c>
      <c r="J424" s="191">
        <v>44.8</v>
      </c>
      <c r="K424" s="192" t="s">
        <v>615</v>
      </c>
      <c r="L424" s="193" t="s">
        <v>400</v>
      </c>
      <c r="M424" s="193" t="s">
        <v>309</v>
      </c>
      <c r="N424" s="193" t="s">
        <v>466</v>
      </c>
      <c r="O424" s="193"/>
      <c r="P424" s="193" t="s">
        <v>381</v>
      </c>
      <c r="Q424" s="193" t="s">
        <v>295</v>
      </c>
      <c r="R424" s="192" t="s">
        <v>379</v>
      </c>
      <c r="S424" s="181"/>
      <c r="T424" s="181" t="s">
        <v>381</v>
      </c>
      <c r="U424" s="181" t="s">
        <v>295</v>
      </c>
      <c r="V424" s="199" t="s">
        <v>379</v>
      </c>
    </row>
    <row r="425" spans="1:22" outlineLevel="1">
      <c r="A425" s="199" t="s">
        <v>264</v>
      </c>
      <c r="B425" s="181" t="s">
        <v>748</v>
      </c>
      <c r="C425" s="190">
        <v>43640</v>
      </c>
      <c r="D425" s="199" t="s">
        <v>1121</v>
      </c>
      <c r="E425" s="182" t="s">
        <v>1122</v>
      </c>
      <c r="F425" s="183">
        <v>76315</v>
      </c>
      <c r="G425" s="184">
        <v>44.37</v>
      </c>
      <c r="H425" s="181">
        <v>56</v>
      </c>
      <c r="I425" s="181" t="s">
        <v>292</v>
      </c>
      <c r="J425" s="191">
        <v>56.01</v>
      </c>
      <c r="K425" s="192" t="s">
        <v>615</v>
      </c>
      <c r="L425" s="193" t="s">
        <v>396</v>
      </c>
      <c r="M425" s="193" t="s">
        <v>309</v>
      </c>
      <c r="N425" s="193" t="s">
        <v>1110</v>
      </c>
      <c r="O425" s="193"/>
      <c r="P425" s="193" t="s">
        <v>381</v>
      </c>
      <c r="Q425" s="193" t="s">
        <v>295</v>
      </c>
      <c r="R425" s="192" t="s">
        <v>379</v>
      </c>
      <c r="S425" s="181"/>
      <c r="T425" s="181" t="s">
        <v>381</v>
      </c>
      <c r="U425" s="181" t="s">
        <v>295</v>
      </c>
      <c r="V425" s="199" t="s">
        <v>379</v>
      </c>
    </row>
    <row r="426" spans="1:22" outlineLevel="1">
      <c r="A426" s="199" t="s">
        <v>264</v>
      </c>
      <c r="B426" s="181" t="s">
        <v>748</v>
      </c>
      <c r="C426" s="190">
        <v>43642</v>
      </c>
      <c r="D426" s="199" t="s">
        <v>1089</v>
      </c>
      <c r="E426" s="182" t="s">
        <v>1123</v>
      </c>
      <c r="F426" s="183">
        <v>76315</v>
      </c>
      <c r="G426" s="184">
        <v>126.76</v>
      </c>
      <c r="H426" s="181">
        <v>160</v>
      </c>
      <c r="I426" s="181" t="s">
        <v>292</v>
      </c>
      <c r="J426" s="191">
        <v>160</v>
      </c>
      <c r="K426" s="192" t="s">
        <v>615</v>
      </c>
      <c r="L426" s="193" t="s">
        <v>396</v>
      </c>
      <c r="M426" s="193" t="s">
        <v>309</v>
      </c>
      <c r="N426" s="193" t="s">
        <v>499</v>
      </c>
      <c r="O426" s="193"/>
      <c r="P426" s="193" t="s">
        <v>381</v>
      </c>
      <c r="Q426" s="193" t="s">
        <v>295</v>
      </c>
      <c r="R426" s="192" t="s">
        <v>379</v>
      </c>
      <c r="S426" s="181"/>
      <c r="T426" s="181" t="s">
        <v>381</v>
      </c>
      <c r="U426" s="181" t="s">
        <v>295</v>
      </c>
      <c r="V426" s="199" t="s">
        <v>379</v>
      </c>
    </row>
    <row r="427" spans="1:22" outlineLevel="1">
      <c r="A427" s="199" t="s">
        <v>264</v>
      </c>
      <c r="B427" s="181" t="s">
        <v>748</v>
      </c>
      <c r="C427" s="190">
        <v>43644</v>
      </c>
      <c r="D427" s="199" t="s">
        <v>844</v>
      </c>
      <c r="E427" s="182" t="s">
        <v>1124</v>
      </c>
      <c r="F427" s="183">
        <v>76250</v>
      </c>
      <c r="G427" s="184">
        <v>33.270000000000003</v>
      </c>
      <c r="H427" s="181">
        <v>42</v>
      </c>
      <c r="I427" s="181" t="s">
        <v>292</v>
      </c>
      <c r="J427" s="191">
        <v>41.99</v>
      </c>
      <c r="K427" s="192" t="s">
        <v>615</v>
      </c>
      <c r="L427" s="193" t="s">
        <v>400</v>
      </c>
      <c r="M427" s="193" t="s">
        <v>309</v>
      </c>
      <c r="N427" s="193" t="s">
        <v>445</v>
      </c>
      <c r="O427" s="193"/>
      <c r="P427" s="193" t="s">
        <v>381</v>
      </c>
      <c r="Q427" s="193" t="s">
        <v>295</v>
      </c>
      <c r="R427" s="192" t="s">
        <v>379</v>
      </c>
      <c r="S427" s="181"/>
      <c r="T427" s="181" t="s">
        <v>381</v>
      </c>
      <c r="U427" s="181" t="s">
        <v>295</v>
      </c>
      <c r="V427" s="199" t="s">
        <v>379</v>
      </c>
    </row>
    <row r="428" spans="1:22" outlineLevel="1">
      <c r="A428" s="199" t="s">
        <v>264</v>
      </c>
      <c r="B428" s="181" t="s">
        <v>748</v>
      </c>
      <c r="C428" s="190">
        <v>43644</v>
      </c>
      <c r="D428" s="199" t="s">
        <v>1125</v>
      </c>
      <c r="E428" s="182" t="s">
        <v>1126</v>
      </c>
      <c r="F428" s="183">
        <v>76250</v>
      </c>
      <c r="G428" s="184">
        <v>118.84</v>
      </c>
      <c r="H428" s="181">
        <v>150</v>
      </c>
      <c r="I428" s="181" t="s">
        <v>292</v>
      </c>
      <c r="J428" s="191">
        <v>150</v>
      </c>
      <c r="K428" s="192" t="s">
        <v>615</v>
      </c>
      <c r="L428" s="193" t="s">
        <v>400</v>
      </c>
      <c r="M428" s="193" t="s">
        <v>309</v>
      </c>
      <c r="N428" s="193" t="s">
        <v>345</v>
      </c>
      <c r="O428" s="193"/>
      <c r="P428" s="193" t="s">
        <v>381</v>
      </c>
      <c r="Q428" s="193" t="s">
        <v>295</v>
      </c>
      <c r="R428" s="192" t="s">
        <v>379</v>
      </c>
      <c r="S428" s="181"/>
      <c r="T428" s="181" t="s">
        <v>381</v>
      </c>
      <c r="U428" s="181" t="s">
        <v>295</v>
      </c>
      <c r="V428" s="199" t="s">
        <v>379</v>
      </c>
    </row>
    <row r="429" spans="1:22" outlineLevel="1">
      <c r="A429" s="199" t="s">
        <v>264</v>
      </c>
      <c r="B429" s="181" t="s">
        <v>748</v>
      </c>
      <c r="C429" s="190">
        <v>43643</v>
      </c>
      <c r="D429" s="199" t="s">
        <v>1117</v>
      </c>
      <c r="E429" s="182" t="s">
        <v>1127</v>
      </c>
      <c r="F429" s="183">
        <v>76315</v>
      </c>
      <c r="G429" s="184">
        <v>125.17</v>
      </c>
      <c r="H429" s="181">
        <v>158</v>
      </c>
      <c r="I429" s="181" t="s">
        <v>292</v>
      </c>
      <c r="J429" s="191">
        <v>157.99</v>
      </c>
      <c r="K429" s="192" t="s">
        <v>1128</v>
      </c>
      <c r="L429" s="193" t="s">
        <v>396</v>
      </c>
      <c r="M429" s="193" t="s">
        <v>309</v>
      </c>
      <c r="N429" s="193"/>
      <c r="O429" s="193"/>
      <c r="P429" s="193" t="s">
        <v>381</v>
      </c>
      <c r="Q429" s="193" t="s">
        <v>295</v>
      </c>
      <c r="R429" s="192" t="s">
        <v>379</v>
      </c>
      <c r="S429" s="181"/>
      <c r="T429" s="181" t="s">
        <v>381</v>
      </c>
      <c r="U429" s="181" t="s">
        <v>295</v>
      </c>
      <c r="V429" s="199" t="s">
        <v>379</v>
      </c>
    </row>
    <row r="430" spans="1:22" outlineLevel="1">
      <c r="A430" s="199" t="s">
        <v>264</v>
      </c>
      <c r="B430" s="181" t="s">
        <v>748</v>
      </c>
      <c r="C430" s="190">
        <v>43643</v>
      </c>
      <c r="D430" s="199" t="s">
        <v>1129</v>
      </c>
      <c r="E430" s="182" t="s">
        <v>1130</v>
      </c>
      <c r="F430" s="183">
        <v>76315</v>
      </c>
      <c r="G430" s="184">
        <v>139.09</v>
      </c>
      <c r="H430" s="181">
        <v>175.56</v>
      </c>
      <c r="I430" s="181" t="s">
        <v>292</v>
      </c>
      <c r="J430" s="191">
        <v>175.56</v>
      </c>
      <c r="K430" s="192" t="s">
        <v>1131</v>
      </c>
      <c r="L430" s="193" t="s">
        <v>396</v>
      </c>
      <c r="M430" s="193" t="s">
        <v>309</v>
      </c>
      <c r="N430" s="193"/>
      <c r="O430" s="193"/>
      <c r="P430" s="193" t="s">
        <v>381</v>
      </c>
      <c r="Q430" s="193" t="s">
        <v>295</v>
      </c>
      <c r="R430" s="192" t="s">
        <v>379</v>
      </c>
      <c r="S430" s="181"/>
      <c r="T430" s="181" t="s">
        <v>381</v>
      </c>
      <c r="U430" s="181" t="s">
        <v>295</v>
      </c>
      <c r="V430" s="199" t="s">
        <v>379</v>
      </c>
    </row>
    <row r="431" spans="1:22">
      <c r="A431" s="194" t="s">
        <v>378</v>
      </c>
      <c r="B431" s="194"/>
      <c r="C431" s="194"/>
      <c r="D431" s="194"/>
      <c r="E431" s="195"/>
      <c r="F431" s="196"/>
      <c r="G431" s="197">
        <f>SUM(G407:G430)</f>
        <v>2296.8000000000002</v>
      </c>
      <c r="H431" s="198">
        <f>SUM(H407:H430)</f>
        <v>2944.44</v>
      </c>
      <c r="I431" s="194"/>
      <c r="J431" s="198">
        <f>SUM(J407:J430)</f>
        <v>2944.4</v>
      </c>
      <c r="K431" s="194"/>
      <c r="L431" s="194"/>
      <c r="M431" s="194"/>
      <c r="N431" s="194"/>
      <c r="O431" s="194"/>
      <c r="P431" s="194"/>
      <c r="Q431" s="194"/>
      <c r="R431" s="194"/>
      <c r="S431" s="181"/>
      <c r="T431" s="181"/>
      <c r="U431" s="181"/>
      <c r="V431" s="181"/>
    </row>
    <row r="432" spans="1:22" outlineLevel="1">
      <c r="A432" s="199" t="s">
        <v>265</v>
      </c>
      <c r="B432" s="181" t="s">
        <v>777</v>
      </c>
      <c r="C432" s="190">
        <v>43616</v>
      </c>
      <c r="D432" s="199" t="s">
        <v>837</v>
      </c>
      <c r="E432" s="182" t="s">
        <v>1132</v>
      </c>
      <c r="F432" s="183">
        <v>75988</v>
      </c>
      <c r="G432" s="184">
        <v>23.79</v>
      </c>
      <c r="H432" s="181">
        <v>31</v>
      </c>
      <c r="I432" s="181" t="s">
        <v>292</v>
      </c>
      <c r="J432" s="191">
        <v>31</v>
      </c>
      <c r="K432" s="192" t="s">
        <v>1133</v>
      </c>
      <c r="L432" s="193" t="s">
        <v>400</v>
      </c>
      <c r="M432" s="193" t="s">
        <v>309</v>
      </c>
      <c r="N432" s="193"/>
      <c r="O432" s="193"/>
      <c r="P432" s="193" t="s">
        <v>381</v>
      </c>
      <c r="Q432" s="193" t="s">
        <v>295</v>
      </c>
      <c r="R432" s="192" t="s">
        <v>379</v>
      </c>
      <c r="S432" s="181"/>
      <c r="T432" s="181" t="s">
        <v>381</v>
      </c>
      <c r="U432" s="181" t="s">
        <v>295</v>
      </c>
      <c r="V432" s="199" t="s">
        <v>379</v>
      </c>
    </row>
    <row r="433" spans="1:22">
      <c r="A433" s="194" t="s">
        <v>378</v>
      </c>
      <c r="B433" s="194"/>
      <c r="C433" s="194"/>
      <c r="D433" s="194"/>
      <c r="E433" s="195"/>
      <c r="F433" s="196"/>
      <c r="G433" s="197">
        <f>SUM(G432:G432)</f>
        <v>23.79</v>
      </c>
      <c r="H433" s="198">
        <f>SUM(H432:H432)</f>
        <v>31</v>
      </c>
      <c r="I433" s="194"/>
      <c r="J433" s="198">
        <f>SUM(J432:J432)</f>
        <v>31</v>
      </c>
      <c r="K433" s="194"/>
      <c r="L433" s="194"/>
      <c r="M433" s="194"/>
      <c r="N433" s="194"/>
      <c r="O433" s="194"/>
      <c r="P433" s="194"/>
      <c r="Q433" s="194"/>
      <c r="R433" s="194"/>
      <c r="S433" s="181"/>
      <c r="T433" s="181"/>
      <c r="U433" s="181"/>
      <c r="V433" s="181"/>
    </row>
    <row r="434" spans="1:22" outlineLevel="1">
      <c r="A434" s="199" t="s">
        <v>267</v>
      </c>
      <c r="B434" s="181" t="s">
        <v>747</v>
      </c>
      <c r="C434" s="190">
        <v>43579</v>
      </c>
      <c r="D434" s="199" t="s">
        <v>1134</v>
      </c>
      <c r="E434" s="182" t="s">
        <v>1135</v>
      </c>
      <c r="F434" s="183">
        <v>75694</v>
      </c>
      <c r="G434" s="184">
        <v>78.209999999999994</v>
      </c>
      <c r="H434" s="181">
        <v>102</v>
      </c>
      <c r="I434" s="181" t="s">
        <v>292</v>
      </c>
      <c r="J434" s="191">
        <v>102.01</v>
      </c>
      <c r="K434" s="192" t="s">
        <v>590</v>
      </c>
      <c r="L434" s="193" t="s">
        <v>400</v>
      </c>
      <c r="M434" s="193" t="s">
        <v>309</v>
      </c>
      <c r="N434" s="193"/>
      <c r="O434" s="193"/>
      <c r="P434" s="193" t="s">
        <v>381</v>
      </c>
      <c r="Q434" s="193" t="s">
        <v>295</v>
      </c>
      <c r="R434" s="192" t="s">
        <v>379</v>
      </c>
      <c r="S434" s="181"/>
      <c r="T434" s="181" t="s">
        <v>381</v>
      </c>
      <c r="U434" s="181" t="s">
        <v>295</v>
      </c>
      <c r="V434" s="199" t="s">
        <v>379</v>
      </c>
    </row>
    <row r="435" spans="1:22" outlineLevel="1">
      <c r="A435" s="199" t="s">
        <v>267</v>
      </c>
      <c r="B435" s="181" t="s">
        <v>747</v>
      </c>
      <c r="C435" s="190">
        <v>43566</v>
      </c>
      <c r="D435" s="199" t="s">
        <v>1136</v>
      </c>
      <c r="E435" s="182" t="s">
        <v>1137</v>
      </c>
      <c r="F435" s="183">
        <v>75694</v>
      </c>
      <c r="G435" s="184">
        <v>19.170000000000002</v>
      </c>
      <c r="H435" s="181">
        <v>25</v>
      </c>
      <c r="I435" s="181" t="s">
        <v>292</v>
      </c>
      <c r="J435" s="191">
        <v>25</v>
      </c>
      <c r="K435" s="192" t="s">
        <v>640</v>
      </c>
      <c r="L435" s="193" t="s">
        <v>400</v>
      </c>
      <c r="M435" s="193" t="s">
        <v>309</v>
      </c>
      <c r="N435" s="193"/>
      <c r="O435" s="193"/>
      <c r="P435" s="193" t="s">
        <v>381</v>
      </c>
      <c r="Q435" s="193" t="s">
        <v>295</v>
      </c>
      <c r="R435" s="192" t="s">
        <v>379</v>
      </c>
      <c r="S435" s="181"/>
      <c r="T435" s="181" t="s">
        <v>381</v>
      </c>
      <c r="U435" s="181" t="s">
        <v>295</v>
      </c>
      <c r="V435" s="199" t="s">
        <v>379</v>
      </c>
    </row>
    <row r="436" spans="1:22" outlineLevel="1">
      <c r="A436" s="199" t="s">
        <v>267</v>
      </c>
      <c r="B436" s="181" t="s">
        <v>777</v>
      </c>
      <c r="C436" s="190">
        <v>43605</v>
      </c>
      <c r="D436" s="199" t="s">
        <v>1138</v>
      </c>
      <c r="E436" s="182" t="s">
        <v>1139</v>
      </c>
      <c r="F436" s="183">
        <v>75988</v>
      </c>
      <c r="G436" s="184">
        <v>57.56</v>
      </c>
      <c r="H436" s="181">
        <v>75</v>
      </c>
      <c r="I436" s="181" t="s">
        <v>292</v>
      </c>
      <c r="J436" s="191">
        <v>75</v>
      </c>
      <c r="K436" s="192" t="s">
        <v>640</v>
      </c>
      <c r="L436" s="193" t="s">
        <v>400</v>
      </c>
      <c r="M436" s="193" t="s">
        <v>309</v>
      </c>
      <c r="N436" s="193"/>
      <c r="O436" s="193"/>
      <c r="P436" s="193" t="s">
        <v>381</v>
      </c>
      <c r="Q436" s="193" t="s">
        <v>295</v>
      </c>
      <c r="R436" s="192" t="s">
        <v>379</v>
      </c>
      <c r="S436" s="181"/>
      <c r="T436" s="181" t="s">
        <v>381</v>
      </c>
      <c r="U436" s="181" t="s">
        <v>295</v>
      </c>
      <c r="V436" s="199" t="s">
        <v>379</v>
      </c>
    </row>
    <row r="437" spans="1:22" outlineLevel="1">
      <c r="A437" s="199" t="s">
        <v>267</v>
      </c>
      <c r="B437" s="181" t="s">
        <v>748</v>
      </c>
      <c r="C437" s="190">
        <v>43628</v>
      </c>
      <c r="D437" s="199" t="s">
        <v>1140</v>
      </c>
      <c r="E437" s="182" t="s">
        <v>1141</v>
      </c>
      <c r="F437" s="183">
        <v>76250</v>
      </c>
      <c r="G437" s="184">
        <v>91.11</v>
      </c>
      <c r="H437" s="181">
        <v>115</v>
      </c>
      <c r="I437" s="181" t="s">
        <v>292</v>
      </c>
      <c r="J437" s="191">
        <v>115</v>
      </c>
      <c r="K437" s="192" t="s">
        <v>640</v>
      </c>
      <c r="L437" s="193" t="s">
        <v>400</v>
      </c>
      <c r="M437" s="193" t="s">
        <v>309</v>
      </c>
      <c r="N437" s="193"/>
      <c r="O437" s="193"/>
      <c r="P437" s="193" t="s">
        <v>381</v>
      </c>
      <c r="Q437" s="193" t="s">
        <v>295</v>
      </c>
      <c r="R437" s="192" t="s">
        <v>379</v>
      </c>
      <c r="S437" s="181"/>
      <c r="T437" s="181" t="s">
        <v>381</v>
      </c>
      <c r="U437" s="181" t="s">
        <v>295</v>
      </c>
      <c r="V437" s="199" t="s">
        <v>379</v>
      </c>
    </row>
    <row r="438" spans="1:22">
      <c r="A438" s="194" t="s">
        <v>378</v>
      </c>
      <c r="B438" s="194"/>
      <c r="C438" s="194"/>
      <c r="D438" s="194"/>
      <c r="E438" s="195"/>
      <c r="F438" s="196"/>
      <c r="G438" s="197">
        <f>SUM(G434:G437)</f>
        <v>246.05</v>
      </c>
      <c r="H438" s="198">
        <f>SUM(H434:H437)</f>
        <v>317</v>
      </c>
      <c r="I438" s="194"/>
      <c r="J438" s="198">
        <f>SUM(J434:J437)</f>
        <v>317.01</v>
      </c>
      <c r="K438" s="194"/>
      <c r="L438" s="194"/>
      <c r="M438" s="194"/>
      <c r="N438" s="194"/>
      <c r="O438" s="194"/>
      <c r="P438" s="194"/>
      <c r="Q438" s="194"/>
      <c r="R438" s="194"/>
      <c r="S438" s="181"/>
      <c r="T438" s="181"/>
      <c r="U438" s="181"/>
      <c r="V438" s="181"/>
    </row>
    <row r="439" spans="1:22" outlineLevel="1">
      <c r="A439" s="199" t="s">
        <v>268</v>
      </c>
      <c r="B439" s="181" t="s">
        <v>747</v>
      </c>
      <c r="C439" s="190">
        <v>43573</v>
      </c>
      <c r="D439" s="199" t="s">
        <v>1142</v>
      </c>
      <c r="E439" s="182" t="s">
        <v>1143</v>
      </c>
      <c r="F439" s="183">
        <v>75701</v>
      </c>
      <c r="G439" s="184">
        <v>92.01</v>
      </c>
      <c r="H439" s="181">
        <v>120</v>
      </c>
      <c r="I439" s="181" t="s">
        <v>292</v>
      </c>
      <c r="J439" s="191">
        <v>120</v>
      </c>
      <c r="K439" s="192" t="s">
        <v>649</v>
      </c>
      <c r="L439" s="193" t="s">
        <v>396</v>
      </c>
      <c r="M439" s="193" t="s">
        <v>309</v>
      </c>
      <c r="N439" s="193"/>
      <c r="O439" s="193"/>
      <c r="P439" s="193" t="s">
        <v>381</v>
      </c>
      <c r="Q439" s="193" t="s">
        <v>295</v>
      </c>
      <c r="R439" s="192" t="s">
        <v>379</v>
      </c>
      <c r="S439" s="181"/>
      <c r="T439" s="181" t="s">
        <v>381</v>
      </c>
      <c r="U439" s="181" t="s">
        <v>295</v>
      </c>
      <c r="V439" s="199" t="s">
        <v>379</v>
      </c>
    </row>
    <row r="440" spans="1:22" outlineLevel="1">
      <c r="A440" s="199" t="s">
        <v>268</v>
      </c>
      <c r="B440" s="181" t="s">
        <v>747</v>
      </c>
      <c r="C440" s="190">
        <v>43585</v>
      </c>
      <c r="D440" s="199" t="s">
        <v>1144</v>
      </c>
      <c r="E440" s="182" t="s">
        <v>1145</v>
      </c>
      <c r="F440" s="183">
        <v>75701</v>
      </c>
      <c r="G440" s="184">
        <v>-46</v>
      </c>
      <c r="H440" s="181">
        <v>-60</v>
      </c>
      <c r="I440" s="181" t="s">
        <v>292</v>
      </c>
      <c r="J440" s="191">
        <v>-60</v>
      </c>
      <c r="K440" s="192" t="s">
        <v>649</v>
      </c>
      <c r="L440" s="193" t="s">
        <v>396</v>
      </c>
      <c r="M440" s="193" t="s">
        <v>309</v>
      </c>
      <c r="N440" s="193"/>
      <c r="O440" s="193"/>
      <c r="P440" s="193" t="s">
        <v>381</v>
      </c>
      <c r="Q440" s="193" t="s">
        <v>295</v>
      </c>
      <c r="R440" s="192" t="s">
        <v>379</v>
      </c>
      <c r="S440" s="181"/>
      <c r="T440" s="181" t="s">
        <v>381</v>
      </c>
      <c r="U440" s="181" t="s">
        <v>295</v>
      </c>
      <c r="V440" s="199" t="s">
        <v>379</v>
      </c>
    </row>
    <row r="441" spans="1:22" outlineLevel="1">
      <c r="A441" s="199" t="s">
        <v>268</v>
      </c>
      <c r="B441" s="181" t="s">
        <v>777</v>
      </c>
      <c r="C441" s="190">
        <v>43608</v>
      </c>
      <c r="D441" s="199" t="s">
        <v>1146</v>
      </c>
      <c r="E441" s="182" t="s">
        <v>1147</v>
      </c>
      <c r="F441" s="183">
        <v>75988</v>
      </c>
      <c r="G441" s="184">
        <v>310.83</v>
      </c>
      <c r="H441" s="181">
        <v>405</v>
      </c>
      <c r="I441" s="181" t="s">
        <v>292</v>
      </c>
      <c r="J441" s="191">
        <v>404.99</v>
      </c>
      <c r="K441" s="192" t="s">
        <v>649</v>
      </c>
      <c r="L441" s="193" t="s">
        <v>400</v>
      </c>
      <c r="M441" s="193" t="s">
        <v>309</v>
      </c>
      <c r="N441" s="193"/>
      <c r="O441" s="193"/>
      <c r="P441" s="193" t="s">
        <v>381</v>
      </c>
      <c r="Q441" s="193" t="s">
        <v>295</v>
      </c>
      <c r="R441" s="192" t="s">
        <v>379</v>
      </c>
      <c r="S441" s="181"/>
      <c r="T441" s="181" t="s">
        <v>381</v>
      </c>
      <c r="U441" s="181" t="s">
        <v>295</v>
      </c>
      <c r="V441" s="199" t="s">
        <v>379</v>
      </c>
    </row>
    <row r="442" spans="1:22">
      <c r="A442" s="194" t="s">
        <v>378</v>
      </c>
      <c r="B442" s="194"/>
      <c r="C442" s="194"/>
      <c r="D442" s="194"/>
      <c r="E442" s="195"/>
      <c r="F442" s="196"/>
      <c r="G442" s="197">
        <f>SUM(G439:G441)</f>
        <v>356.84</v>
      </c>
      <c r="H442" s="198">
        <f>SUM(H439:H441)</f>
        <v>465</v>
      </c>
      <c r="I442" s="194"/>
      <c r="J442" s="198">
        <f>SUM(J439:J441)</f>
        <v>464.99</v>
      </c>
      <c r="K442" s="194"/>
      <c r="L442" s="194"/>
      <c r="M442" s="194"/>
      <c r="N442" s="194"/>
      <c r="O442" s="194"/>
      <c r="P442" s="194"/>
      <c r="Q442" s="194"/>
      <c r="R442" s="194"/>
      <c r="S442" s="181"/>
      <c r="T442" s="181"/>
      <c r="U442" s="181"/>
      <c r="V442" s="181"/>
    </row>
    <row r="443" spans="1:22" outlineLevel="1">
      <c r="A443" s="199" t="s">
        <v>269</v>
      </c>
      <c r="B443" s="181" t="s">
        <v>747</v>
      </c>
      <c r="C443" s="190">
        <v>43558</v>
      </c>
      <c r="D443" s="199" t="s">
        <v>1148</v>
      </c>
      <c r="E443" s="182" t="s">
        <v>1149</v>
      </c>
      <c r="F443" s="183">
        <v>75701</v>
      </c>
      <c r="G443" s="184">
        <v>101.21</v>
      </c>
      <c r="H443" s="181">
        <v>132</v>
      </c>
      <c r="I443" s="181" t="s">
        <v>292</v>
      </c>
      <c r="J443" s="191">
        <v>132</v>
      </c>
      <c r="K443" s="192" t="s">
        <v>640</v>
      </c>
      <c r="L443" s="193" t="s">
        <v>396</v>
      </c>
      <c r="M443" s="193" t="s">
        <v>309</v>
      </c>
      <c r="N443" s="193"/>
      <c r="O443" s="193"/>
      <c r="P443" s="193" t="s">
        <v>381</v>
      </c>
      <c r="Q443" s="193" t="s">
        <v>295</v>
      </c>
      <c r="R443" s="192" t="s">
        <v>379</v>
      </c>
      <c r="S443" s="181"/>
      <c r="T443" s="181" t="s">
        <v>381</v>
      </c>
      <c r="U443" s="181" t="s">
        <v>295</v>
      </c>
      <c r="V443" s="199" t="s">
        <v>379</v>
      </c>
    </row>
    <row r="444" spans="1:22" outlineLevel="1">
      <c r="A444" s="199" t="s">
        <v>269</v>
      </c>
      <c r="B444" s="181" t="s">
        <v>747</v>
      </c>
      <c r="C444" s="190">
        <v>43567</v>
      </c>
      <c r="D444" s="199" t="s">
        <v>1150</v>
      </c>
      <c r="E444" s="182" t="s">
        <v>1151</v>
      </c>
      <c r="F444" s="183">
        <v>75701</v>
      </c>
      <c r="G444" s="184">
        <v>9.6</v>
      </c>
      <c r="H444" s="181">
        <v>12.52</v>
      </c>
      <c r="I444" s="181" t="s">
        <v>292</v>
      </c>
      <c r="J444" s="191">
        <v>12.52</v>
      </c>
      <c r="K444" s="192" t="s">
        <v>640</v>
      </c>
      <c r="L444" s="193" t="s">
        <v>396</v>
      </c>
      <c r="M444" s="193" t="s">
        <v>309</v>
      </c>
      <c r="N444" s="193"/>
      <c r="O444" s="193"/>
      <c r="P444" s="193" t="s">
        <v>381</v>
      </c>
      <c r="Q444" s="193" t="s">
        <v>295</v>
      </c>
      <c r="R444" s="192" t="s">
        <v>379</v>
      </c>
      <c r="S444" s="181"/>
      <c r="T444" s="181" t="s">
        <v>381</v>
      </c>
      <c r="U444" s="181" t="s">
        <v>295</v>
      </c>
      <c r="V444" s="199" t="s">
        <v>379</v>
      </c>
    </row>
    <row r="445" spans="1:22" outlineLevel="1">
      <c r="A445" s="199" t="s">
        <v>269</v>
      </c>
      <c r="B445" s="181" t="s">
        <v>747</v>
      </c>
      <c r="C445" s="190">
        <v>43567</v>
      </c>
      <c r="D445" s="199" t="s">
        <v>1152</v>
      </c>
      <c r="E445" s="182" t="s">
        <v>1153</v>
      </c>
      <c r="F445" s="183">
        <v>75701</v>
      </c>
      <c r="G445" s="184">
        <v>12.11</v>
      </c>
      <c r="H445" s="181">
        <v>15.8</v>
      </c>
      <c r="I445" s="181" t="s">
        <v>292</v>
      </c>
      <c r="J445" s="191">
        <v>15.79</v>
      </c>
      <c r="K445" s="192" t="s">
        <v>640</v>
      </c>
      <c r="L445" s="193" t="s">
        <v>396</v>
      </c>
      <c r="M445" s="193" t="s">
        <v>309</v>
      </c>
      <c r="N445" s="193"/>
      <c r="O445" s="193"/>
      <c r="P445" s="193" t="s">
        <v>381</v>
      </c>
      <c r="Q445" s="193" t="s">
        <v>295</v>
      </c>
      <c r="R445" s="192" t="s">
        <v>379</v>
      </c>
      <c r="S445" s="181"/>
      <c r="T445" s="181" t="s">
        <v>381</v>
      </c>
      <c r="U445" s="181" t="s">
        <v>295</v>
      </c>
      <c r="V445" s="199" t="s">
        <v>379</v>
      </c>
    </row>
    <row r="446" spans="1:22" outlineLevel="1">
      <c r="A446" s="199" t="s">
        <v>269</v>
      </c>
      <c r="B446" s="181" t="s">
        <v>747</v>
      </c>
      <c r="C446" s="190">
        <v>43585</v>
      </c>
      <c r="D446" s="199" t="s">
        <v>1154</v>
      </c>
      <c r="E446" s="182" t="s">
        <v>1155</v>
      </c>
      <c r="F446" s="183">
        <v>75701</v>
      </c>
      <c r="G446" s="184">
        <v>55.2</v>
      </c>
      <c r="H446" s="181">
        <v>72</v>
      </c>
      <c r="I446" s="181" t="s">
        <v>292</v>
      </c>
      <c r="J446" s="191">
        <v>71.989999999999995</v>
      </c>
      <c r="K446" s="192" t="s">
        <v>640</v>
      </c>
      <c r="L446" s="193" t="s">
        <v>396</v>
      </c>
      <c r="M446" s="193" t="s">
        <v>309</v>
      </c>
      <c r="N446" s="193"/>
      <c r="O446" s="193"/>
      <c r="P446" s="193" t="s">
        <v>381</v>
      </c>
      <c r="Q446" s="193" t="s">
        <v>295</v>
      </c>
      <c r="R446" s="192" t="s">
        <v>379</v>
      </c>
      <c r="S446" s="181"/>
      <c r="T446" s="181" t="s">
        <v>381</v>
      </c>
      <c r="U446" s="181" t="s">
        <v>295</v>
      </c>
      <c r="V446" s="199" t="s">
        <v>379</v>
      </c>
    </row>
    <row r="447" spans="1:22" outlineLevel="1">
      <c r="A447" s="199" t="s">
        <v>269</v>
      </c>
      <c r="B447" s="181" t="s">
        <v>747</v>
      </c>
      <c r="C447" s="190">
        <v>43573</v>
      </c>
      <c r="D447" s="199" t="s">
        <v>1156</v>
      </c>
      <c r="E447" s="182" t="s">
        <v>1157</v>
      </c>
      <c r="F447" s="183">
        <v>75701</v>
      </c>
      <c r="G447" s="184">
        <v>6.75</v>
      </c>
      <c r="H447" s="181">
        <v>8.81</v>
      </c>
      <c r="I447" s="181" t="s">
        <v>292</v>
      </c>
      <c r="J447" s="191">
        <v>8.8000000000000007</v>
      </c>
      <c r="K447" s="192" t="s">
        <v>651</v>
      </c>
      <c r="L447" s="193" t="s">
        <v>396</v>
      </c>
      <c r="M447" s="193" t="s">
        <v>309</v>
      </c>
      <c r="N447" s="193"/>
      <c r="O447" s="193"/>
      <c r="P447" s="193" t="s">
        <v>381</v>
      </c>
      <c r="Q447" s="193" t="s">
        <v>295</v>
      </c>
      <c r="R447" s="192" t="s">
        <v>379</v>
      </c>
      <c r="S447" s="181"/>
      <c r="T447" s="181" t="s">
        <v>381</v>
      </c>
      <c r="U447" s="181" t="s">
        <v>295</v>
      </c>
      <c r="V447" s="199" t="s">
        <v>379</v>
      </c>
    </row>
    <row r="448" spans="1:22" outlineLevel="1">
      <c r="A448" s="199" t="s">
        <v>269</v>
      </c>
      <c r="B448" s="181" t="s">
        <v>747</v>
      </c>
      <c r="C448" s="190">
        <v>43573</v>
      </c>
      <c r="D448" s="199" t="s">
        <v>1158</v>
      </c>
      <c r="E448" s="182" t="s">
        <v>1157</v>
      </c>
      <c r="F448" s="183">
        <v>75701</v>
      </c>
      <c r="G448" s="184">
        <v>37.950000000000003</v>
      </c>
      <c r="H448" s="181">
        <v>49.5</v>
      </c>
      <c r="I448" s="181" t="s">
        <v>292</v>
      </c>
      <c r="J448" s="191">
        <v>49.5</v>
      </c>
      <c r="K448" s="192" t="s">
        <v>653</v>
      </c>
      <c r="L448" s="193" t="s">
        <v>396</v>
      </c>
      <c r="M448" s="193" t="s">
        <v>309</v>
      </c>
      <c r="N448" s="193"/>
      <c r="O448" s="193"/>
      <c r="P448" s="193" t="s">
        <v>381</v>
      </c>
      <c r="Q448" s="193" t="s">
        <v>295</v>
      </c>
      <c r="R448" s="192" t="s">
        <v>379</v>
      </c>
      <c r="S448" s="181"/>
      <c r="T448" s="181" t="s">
        <v>381</v>
      </c>
      <c r="U448" s="181" t="s">
        <v>295</v>
      </c>
      <c r="V448" s="199" t="s">
        <v>379</v>
      </c>
    </row>
    <row r="449" spans="1:22" outlineLevel="1">
      <c r="A449" s="199" t="s">
        <v>269</v>
      </c>
      <c r="B449" s="181" t="s">
        <v>747</v>
      </c>
      <c r="C449" s="190">
        <v>43557</v>
      </c>
      <c r="D449" s="199" t="s">
        <v>790</v>
      </c>
      <c r="E449" s="182" t="s">
        <v>1159</v>
      </c>
      <c r="F449" s="183">
        <v>75701</v>
      </c>
      <c r="G449" s="184">
        <v>4.1399999999999997</v>
      </c>
      <c r="H449" s="181">
        <v>5.4</v>
      </c>
      <c r="I449" s="181" t="s">
        <v>292</v>
      </c>
      <c r="J449" s="191">
        <v>5.4</v>
      </c>
      <c r="K449" s="192" t="s">
        <v>655</v>
      </c>
      <c r="L449" s="193" t="s">
        <v>396</v>
      </c>
      <c r="M449" s="193" t="s">
        <v>309</v>
      </c>
      <c r="N449" s="193"/>
      <c r="O449" s="193"/>
      <c r="P449" s="193" t="s">
        <v>381</v>
      </c>
      <c r="Q449" s="193" t="s">
        <v>295</v>
      </c>
      <c r="R449" s="192" t="s">
        <v>379</v>
      </c>
      <c r="S449" s="181"/>
      <c r="T449" s="181" t="s">
        <v>381</v>
      </c>
      <c r="U449" s="181" t="s">
        <v>295</v>
      </c>
      <c r="V449" s="199" t="s">
        <v>379</v>
      </c>
    </row>
    <row r="450" spans="1:22" outlineLevel="1">
      <c r="A450" s="199" t="s">
        <v>269</v>
      </c>
      <c r="B450" s="181" t="s">
        <v>747</v>
      </c>
      <c r="C450" s="190">
        <v>43581</v>
      </c>
      <c r="D450" s="199" t="s">
        <v>1156</v>
      </c>
      <c r="E450" s="182" t="s">
        <v>1159</v>
      </c>
      <c r="F450" s="183">
        <v>75701</v>
      </c>
      <c r="G450" s="184">
        <v>4.1399999999999997</v>
      </c>
      <c r="H450" s="181">
        <v>5.4</v>
      </c>
      <c r="I450" s="181" t="s">
        <v>292</v>
      </c>
      <c r="J450" s="191">
        <v>5.4</v>
      </c>
      <c r="K450" s="192" t="s">
        <v>655</v>
      </c>
      <c r="L450" s="193" t="s">
        <v>396</v>
      </c>
      <c r="M450" s="193" t="s">
        <v>309</v>
      </c>
      <c r="N450" s="193"/>
      <c r="O450" s="193"/>
      <c r="P450" s="193" t="s">
        <v>381</v>
      </c>
      <c r="Q450" s="193" t="s">
        <v>295</v>
      </c>
      <c r="R450" s="192" t="s">
        <v>379</v>
      </c>
      <c r="S450" s="181"/>
      <c r="T450" s="181" t="s">
        <v>381</v>
      </c>
      <c r="U450" s="181" t="s">
        <v>295</v>
      </c>
      <c r="V450" s="199" t="s">
        <v>379</v>
      </c>
    </row>
    <row r="451" spans="1:22" outlineLevel="1">
      <c r="A451" s="199" t="s">
        <v>269</v>
      </c>
      <c r="B451" s="181" t="s">
        <v>777</v>
      </c>
      <c r="C451" s="190">
        <v>43595</v>
      </c>
      <c r="D451" s="199" t="s">
        <v>1160</v>
      </c>
      <c r="E451" s="182" t="s">
        <v>1161</v>
      </c>
      <c r="F451" s="183">
        <v>75987</v>
      </c>
      <c r="G451" s="184">
        <v>24.26</v>
      </c>
      <c r="H451" s="181">
        <v>31.61</v>
      </c>
      <c r="I451" s="181" t="s">
        <v>292</v>
      </c>
      <c r="J451" s="191">
        <v>31.61</v>
      </c>
      <c r="K451" s="192" t="s">
        <v>640</v>
      </c>
      <c r="L451" s="193" t="s">
        <v>396</v>
      </c>
      <c r="M451" s="193" t="s">
        <v>309</v>
      </c>
      <c r="N451" s="193"/>
      <c r="O451" s="193"/>
      <c r="P451" s="193" t="s">
        <v>381</v>
      </c>
      <c r="Q451" s="193" t="s">
        <v>295</v>
      </c>
      <c r="R451" s="192" t="s">
        <v>379</v>
      </c>
      <c r="S451" s="181"/>
      <c r="T451" s="181" t="s">
        <v>381</v>
      </c>
      <c r="U451" s="181" t="s">
        <v>295</v>
      </c>
      <c r="V451" s="199" t="s">
        <v>379</v>
      </c>
    </row>
    <row r="452" spans="1:22" outlineLevel="1">
      <c r="A452" s="199" t="s">
        <v>269</v>
      </c>
      <c r="B452" s="181" t="s">
        <v>777</v>
      </c>
      <c r="C452" s="190">
        <v>43595</v>
      </c>
      <c r="D452" s="199" t="s">
        <v>1162</v>
      </c>
      <c r="E452" s="182" t="s">
        <v>1163</v>
      </c>
      <c r="F452" s="183">
        <v>75987</v>
      </c>
      <c r="G452" s="184">
        <v>19.21</v>
      </c>
      <c r="H452" s="181">
        <v>25.03</v>
      </c>
      <c r="I452" s="181" t="s">
        <v>292</v>
      </c>
      <c r="J452" s="191">
        <v>25.03</v>
      </c>
      <c r="K452" s="192" t="s">
        <v>640</v>
      </c>
      <c r="L452" s="193" t="s">
        <v>396</v>
      </c>
      <c r="M452" s="193" t="s">
        <v>309</v>
      </c>
      <c r="N452" s="193"/>
      <c r="O452" s="193"/>
      <c r="P452" s="193" t="s">
        <v>381</v>
      </c>
      <c r="Q452" s="193" t="s">
        <v>295</v>
      </c>
      <c r="R452" s="192" t="s">
        <v>379</v>
      </c>
      <c r="S452" s="181"/>
      <c r="T452" s="181" t="s">
        <v>381</v>
      </c>
      <c r="U452" s="181" t="s">
        <v>295</v>
      </c>
      <c r="V452" s="199" t="s">
        <v>379</v>
      </c>
    </row>
    <row r="453" spans="1:22" outlineLevel="1">
      <c r="A453" s="199" t="s">
        <v>269</v>
      </c>
      <c r="B453" s="181" t="s">
        <v>777</v>
      </c>
      <c r="C453" s="190">
        <v>43616</v>
      </c>
      <c r="D453" s="199" t="s">
        <v>1164</v>
      </c>
      <c r="E453" s="182" t="s">
        <v>1165</v>
      </c>
      <c r="F453" s="183">
        <v>75987</v>
      </c>
      <c r="G453" s="184">
        <v>61.4</v>
      </c>
      <c r="H453" s="181">
        <v>80</v>
      </c>
      <c r="I453" s="181" t="s">
        <v>292</v>
      </c>
      <c r="J453" s="191">
        <v>80</v>
      </c>
      <c r="K453" s="192" t="s">
        <v>640</v>
      </c>
      <c r="L453" s="193" t="s">
        <v>396</v>
      </c>
      <c r="M453" s="193" t="s">
        <v>309</v>
      </c>
      <c r="N453" s="193"/>
      <c r="O453" s="193"/>
      <c r="P453" s="193" t="s">
        <v>381</v>
      </c>
      <c r="Q453" s="193" t="s">
        <v>295</v>
      </c>
      <c r="R453" s="192" t="s">
        <v>379</v>
      </c>
      <c r="S453" s="181"/>
      <c r="T453" s="181" t="s">
        <v>381</v>
      </c>
      <c r="U453" s="181" t="s">
        <v>295</v>
      </c>
      <c r="V453" s="199" t="s">
        <v>379</v>
      </c>
    </row>
    <row r="454" spans="1:22" outlineLevel="1">
      <c r="A454" s="199" t="s">
        <v>269</v>
      </c>
      <c r="B454" s="181" t="s">
        <v>777</v>
      </c>
      <c r="C454" s="190">
        <v>43595</v>
      </c>
      <c r="D454" s="199" t="s">
        <v>1166</v>
      </c>
      <c r="E454" s="182" t="s">
        <v>1167</v>
      </c>
      <c r="F454" s="183">
        <v>75987</v>
      </c>
      <c r="G454" s="184">
        <v>41.44</v>
      </c>
      <c r="H454" s="181">
        <v>54</v>
      </c>
      <c r="I454" s="181" t="s">
        <v>292</v>
      </c>
      <c r="J454" s="191">
        <v>53.99</v>
      </c>
      <c r="K454" s="192" t="s">
        <v>683</v>
      </c>
      <c r="L454" s="193" t="s">
        <v>396</v>
      </c>
      <c r="M454" s="193" t="s">
        <v>309</v>
      </c>
      <c r="N454" s="193"/>
      <c r="O454" s="193"/>
      <c r="P454" s="193" t="s">
        <v>381</v>
      </c>
      <c r="Q454" s="193" t="s">
        <v>295</v>
      </c>
      <c r="R454" s="192" t="s">
        <v>379</v>
      </c>
      <c r="S454" s="181"/>
      <c r="T454" s="181" t="s">
        <v>381</v>
      </c>
      <c r="U454" s="181" t="s">
        <v>295</v>
      </c>
      <c r="V454" s="199" t="s">
        <v>379</v>
      </c>
    </row>
    <row r="455" spans="1:22" outlineLevel="1">
      <c r="A455" s="199" t="s">
        <v>269</v>
      </c>
      <c r="B455" s="181" t="s">
        <v>777</v>
      </c>
      <c r="C455" s="190">
        <v>43607</v>
      </c>
      <c r="D455" s="199" t="s">
        <v>1168</v>
      </c>
      <c r="E455" s="182" t="s">
        <v>1169</v>
      </c>
      <c r="F455" s="183">
        <v>75987</v>
      </c>
      <c r="G455" s="184">
        <v>4.04</v>
      </c>
      <c r="H455" s="181">
        <v>5.27</v>
      </c>
      <c r="I455" s="181" t="s">
        <v>292</v>
      </c>
      <c r="J455" s="191">
        <v>5.26</v>
      </c>
      <c r="K455" s="192" t="s">
        <v>651</v>
      </c>
      <c r="L455" s="193" t="s">
        <v>396</v>
      </c>
      <c r="M455" s="193" t="s">
        <v>309</v>
      </c>
      <c r="N455" s="193"/>
      <c r="O455" s="193"/>
      <c r="P455" s="193" t="s">
        <v>381</v>
      </c>
      <c r="Q455" s="193" t="s">
        <v>295</v>
      </c>
      <c r="R455" s="192" t="s">
        <v>379</v>
      </c>
      <c r="S455" s="181"/>
      <c r="T455" s="181" t="s">
        <v>381</v>
      </c>
      <c r="U455" s="181" t="s">
        <v>295</v>
      </c>
      <c r="V455" s="199" t="s">
        <v>379</v>
      </c>
    </row>
    <row r="456" spans="1:22" outlineLevel="1">
      <c r="A456" s="199" t="s">
        <v>269</v>
      </c>
      <c r="B456" s="181" t="s">
        <v>777</v>
      </c>
      <c r="C456" s="190">
        <v>43616</v>
      </c>
      <c r="D456" s="199" t="s">
        <v>803</v>
      </c>
      <c r="E456" s="182" t="s">
        <v>1170</v>
      </c>
      <c r="F456" s="183">
        <v>75987</v>
      </c>
      <c r="G456" s="184">
        <v>3.1</v>
      </c>
      <c r="H456" s="181">
        <v>4.04</v>
      </c>
      <c r="I456" s="181" t="s">
        <v>292</v>
      </c>
      <c r="J456" s="191">
        <v>4.04</v>
      </c>
      <c r="K456" s="192" t="s">
        <v>651</v>
      </c>
      <c r="L456" s="193" t="s">
        <v>396</v>
      </c>
      <c r="M456" s="193" t="s">
        <v>309</v>
      </c>
      <c r="N456" s="193"/>
      <c r="O456" s="193"/>
      <c r="P456" s="193" t="s">
        <v>381</v>
      </c>
      <c r="Q456" s="193" t="s">
        <v>295</v>
      </c>
      <c r="R456" s="192" t="s">
        <v>379</v>
      </c>
      <c r="S456" s="181"/>
      <c r="T456" s="181" t="s">
        <v>381</v>
      </c>
      <c r="U456" s="181" t="s">
        <v>295</v>
      </c>
      <c r="V456" s="199" t="s">
        <v>379</v>
      </c>
    </row>
    <row r="457" spans="1:22" outlineLevel="1">
      <c r="A457" s="199" t="s">
        <v>269</v>
      </c>
      <c r="B457" s="181" t="s">
        <v>777</v>
      </c>
      <c r="C457" s="190">
        <v>43607</v>
      </c>
      <c r="D457" s="199" t="s">
        <v>1168</v>
      </c>
      <c r="E457" s="182" t="s">
        <v>1171</v>
      </c>
      <c r="F457" s="183">
        <v>75987</v>
      </c>
      <c r="G457" s="184">
        <v>15.27</v>
      </c>
      <c r="H457" s="181">
        <v>19.899999999999999</v>
      </c>
      <c r="I457" s="181" t="s">
        <v>292</v>
      </c>
      <c r="J457" s="191">
        <v>19.899999999999999</v>
      </c>
      <c r="K457" s="192" t="s">
        <v>653</v>
      </c>
      <c r="L457" s="193" t="s">
        <v>396</v>
      </c>
      <c r="M457" s="193" t="s">
        <v>309</v>
      </c>
      <c r="N457" s="193"/>
      <c r="O457" s="193"/>
      <c r="P457" s="193" t="s">
        <v>381</v>
      </c>
      <c r="Q457" s="193" t="s">
        <v>295</v>
      </c>
      <c r="R457" s="192" t="s">
        <v>379</v>
      </c>
      <c r="S457" s="181"/>
      <c r="T457" s="181" t="s">
        <v>381</v>
      </c>
      <c r="U457" s="181" t="s">
        <v>295</v>
      </c>
      <c r="V457" s="199" t="s">
        <v>379</v>
      </c>
    </row>
    <row r="458" spans="1:22" outlineLevel="1">
      <c r="A458" s="199" t="s">
        <v>269</v>
      </c>
      <c r="B458" s="181" t="s">
        <v>777</v>
      </c>
      <c r="C458" s="190">
        <v>43613</v>
      </c>
      <c r="D458" s="199" t="s">
        <v>803</v>
      </c>
      <c r="E458" s="182" t="s">
        <v>1172</v>
      </c>
      <c r="F458" s="183">
        <v>75987</v>
      </c>
      <c r="G458" s="184">
        <v>4.5999999999999996</v>
      </c>
      <c r="H458" s="181">
        <v>6</v>
      </c>
      <c r="I458" s="181" t="s">
        <v>292</v>
      </c>
      <c r="J458" s="191">
        <v>5.99</v>
      </c>
      <c r="K458" s="192" t="s">
        <v>655</v>
      </c>
      <c r="L458" s="193" t="s">
        <v>396</v>
      </c>
      <c r="M458" s="193" t="s">
        <v>309</v>
      </c>
      <c r="N458" s="193"/>
      <c r="O458" s="193"/>
      <c r="P458" s="193" t="s">
        <v>381</v>
      </c>
      <c r="Q458" s="193" t="s">
        <v>295</v>
      </c>
      <c r="R458" s="192" t="s">
        <v>379</v>
      </c>
      <c r="S458" s="181"/>
      <c r="T458" s="181" t="s">
        <v>381</v>
      </c>
      <c r="U458" s="181" t="s">
        <v>295</v>
      </c>
      <c r="V458" s="199" t="s">
        <v>379</v>
      </c>
    </row>
    <row r="459" spans="1:22" outlineLevel="1">
      <c r="A459" s="199" t="s">
        <v>269</v>
      </c>
      <c r="B459" s="181" t="s">
        <v>748</v>
      </c>
      <c r="C459" s="190">
        <v>43626</v>
      </c>
      <c r="D459" s="199" t="s">
        <v>1173</v>
      </c>
      <c r="E459" s="182" t="s">
        <v>1174</v>
      </c>
      <c r="F459" s="183">
        <v>76315</v>
      </c>
      <c r="G459" s="184">
        <v>11.19</v>
      </c>
      <c r="H459" s="181">
        <v>14.12</v>
      </c>
      <c r="I459" s="181" t="s">
        <v>292</v>
      </c>
      <c r="J459" s="191">
        <v>14.12</v>
      </c>
      <c r="K459" s="192" t="s">
        <v>640</v>
      </c>
      <c r="L459" s="193" t="s">
        <v>396</v>
      </c>
      <c r="M459" s="193" t="s">
        <v>309</v>
      </c>
      <c r="N459" s="193"/>
      <c r="O459" s="193"/>
      <c r="P459" s="193" t="s">
        <v>381</v>
      </c>
      <c r="Q459" s="193" t="s">
        <v>295</v>
      </c>
      <c r="R459" s="192" t="s">
        <v>379</v>
      </c>
      <c r="S459" s="181"/>
      <c r="T459" s="181" t="s">
        <v>381</v>
      </c>
      <c r="U459" s="181" t="s">
        <v>295</v>
      </c>
      <c r="V459" s="199" t="s">
        <v>379</v>
      </c>
    </row>
    <row r="460" spans="1:22" outlineLevel="1">
      <c r="A460" s="199" t="s">
        <v>269</v>
      </c>
      <c r="B460" s="181" t="s">
        <v>748</v>
      </c>
      <c r="C460" s="190">
        <v>43626</v>
      </c>
      <c r="D460" s="199" t="s">
        <v>1175</v>
      </c>
      <c r="E460" s="182" t="s">
        <v>1176</v>
      </c>
      <c r="F460" s="183">
        <v>76315</v>
      </c>
      <c r="G460" s="184">
        <v>14.13</v>
      </c>
      <c r="H460" s="181">
        <v>17.84</v>
      </c>
      <c r="I460" s="181" t="s">
        <v>292</v>
      </c>
      <c r="J460" s="191">
        <v>17.84</v>
      </c>
      <c r="K460" s="192" t="s">
        <v>640</v>
      </c>
      <c r="L460" s="193" t="s">
        <v>396</v>
      </c>
      <c r="M460" s="193" t="s">
        <v>309</v>
      </c>
      <c r="N460" s="193"/>
      <c r="O460" s="193"/>
      <c r="P460" s="193" t="s">
        <v>381</v>
      </c>
      <c r="Q460" s="193" t="s">
        <v>295</v>
      </c>
      <c r="R460" s="192" t="s">
        <v>379</v>
      </c>
      <c r="S460" s="181"/>
      <c r="T460" s="181" t="s">
        <v>381</v>
      </c>
      <c r="U460" s="181" t="s">
        <v>295</v>
      </c>
      <c r="V460" s="199" t="s">
        <v>379</v>
      </c>
    </row>
    <row r="461" spans="1:22" outlineLevel="1">
      <c r="A461" s="199" t="s">
        <v>269</v>
      </c>
      <c r="B461" s="181" t="s">
        <v>748</v>
      </c>
      <c r="C461" s="190">
        <v>43643</v>
      </c>
      <c r="D461" s="199" t="s">
        <v>1177</v>
      </c>
      <c r="E461" s="182" t="s">
        <v>1178</v>
      </c>
      <c r="F461" s="183">
        <v>76315</v>
      </c>
      <c r="G461" s="184">
        <v>63.38</v>
      </c>
      <c r="H461" s="181">
        <v>80</v>
      </c>
      <c r="I461" s="181" t="s">
        <v>292</v>
      </c>
      <c r="J461" s="191">
        <v>80</v>
      </c>
      <c r="K461" s="192" t="s">
        <v>640</v>
      </c>
      <c r="L461" s="193" t="s">
        <v>396</v>
      </c>
      <c r="M461" s="193" t="s">
        <v>309</v>
      </c>
      <c r="N461" s="193"/>
      <c r="O461" s="193"/>
      <c r="P461" s="193" t="s">
        <v>381</v>
      </c>
      <c r="Q461" s="193" t="s">
        <v>295</v>
      </c>
      <c r="R461" s="192" t="s">
        <v>379</v>
      </c>
      <c r="S461" s="181"/>
      <c r="T461" s="181" t="s">
        <v>381</v>
      </c>
      <c r="U461" s="181" t="s">
        <v>295</v>
      </c>
      <c r="V461" s="199" t="s">
        <v>379</v>
      </c>
    </row>
    <row r="462" spans="1:22" outlineLevel="1">
      <c r="A462" s="199" t="s">
        <v>269</v>
      </c>
      <c r="B462" s="181" t="s">
        <v>748</v>
      </c>
      <c r="C462" s="190">
        <v>43635</v>
      </c>
      <c r="D462" s="199" t="s">
        <v>1179</v>
      </c>
      <c r="E462" s="182" t="s">
        <v>1180</v>
      </c>
      <c r="F462" s="183">
        <v>76315</v>
      </c>
      <c r="G462" s="184">
        <v>3.47</v>
      </c>
      <c r="H462" s="181">
        <v>4.38</v>
      </c>
      <c r="I462" s="181" t="s">
        <v>292</v>
      </c>
      <c r="J462" s="191">
        <v>4.38</v>
      </c>
      <c r="K462" s="192" t="s">
        <v>651</v>
      </c>
      <c r="L462" s="193" t="s">
        <v>396</v>
      </c>
      <c r="M462" s="193" t="s">
        <v>309</v>
      </c>
      <c r="N462" s="193"/>
      <c r="O462" s="193"/>
      <c r="P462" s="193" t="s">
        <v>381</v>
      </c>
      <c r="Q462" s="193" t="s">
        <v>295</v>
      </c>
      <c r="R462" s="192" t="s">
        <v>379</v>
      </c>
      <c r="S462" s="181"/>
      <c r="T462" s="181" t="s">
        <v>381</v>
      </c>
      <c r="U462" s="181" t="s">
        <v>295</v>
      </c>
      <c r="V462" s="199" t="s">
        <v>379</v>
      </c>
    </row>
    <row r="463" spans="1:22" outlineLevel="1">
      <c r="A463" s="199" t="s">
        <v>269</v>
      </c>
      <c r="B463" s="181" t="s">
        <v>748</v>
      </c>
      <c r="C463" s="190">
        <v>43635</v>
      </c>
      <c r="D463" s="199" t="s">
        <v>1179</v>
      </c>
      <c r="E463" s="182" t="s">
        <v>1181</v>
      </c>
      <c r="F463" s="183">
        <v>76315</v>
      </c>
      <c r="G463" s="184">
        <v>20.079999999999998</v>
      </c>
      <c r="H463" s="181">
        <v>25.34</v>
      </c>
      <c r="I463" s="181" t="s">
        <v>292</v>
      </c>
      <c r="J463" s="191">
        <v>25.35</v>
      </c>
      <c r="K463" s="192" t="s">
        <v>653</v>
      </c>
      <c r="L463" s="193" t="s">
        <v>396</v>
      </c>
      <c r="M463" s="193" t="s">
        <v>309</v>
      </c>
      <c r="N463" s="193"/>
      <c r="O463" s="193"/>
      <c r="P463" s="193" t="s">
        <v>381</v>
      </c>
      <c r="Q463" s="193" t="s">
        <v>295</v>
      </c>
      <c r="R463" s="192" t="s">
        <v>379</v>
      </c>
      <c r="S463" s="181"/>
      <c r="T463" s="181" t="s">
        <v>381</v>
      </c>
      <c r="U463" s="181" t="s">
        <v>295</v>
      </c>
      <c r="V463" s="199" t="s">
        <v>379</v>
      </c>
    </row>
    <row r="464" spans="1:22">
      <c r="A464" s="194" t="s">
        <v>378</v>
      </c>
      <c r="B464" s="194"/>
      <c r="C464" s="194"/>
      <c r="D464" s="194"/>
      <c r="E464" s="195"/>
      <c r="F464" s="196"/>
      <c r="G464" s="197">
        <f>SUM(G443:G463)</f>
        <v>516.66999999999996</v>
      </c>
      <c r="H464" s="198">
        <f>SUM(H443:H463)</f>
        <v>668.96</v>
      </c>
      <c r="I464" s="194"/>
      <c r="J464" s="198">
        <f>SUM(J443:J463)</f>
        <v>668.91000000000008</v>
      </c>
      <c r="K464" s="194"/>
      <c r="L464" s="194"/>
      <c r="M464" s="194"/>
      <c r="N464" s="194"/>
      <c r="O464" s="194"/>
      <c r="P464" s="194"/>
      <c r="Q464" s="194"/>
      <c r="R464" s="194"/>
      <c r="S464" s="181"/>
      <c r="T464" s="181"/>
      <c r="U464" s="181"/>
      <c r="V464" s="181"/>
    </row>
    <row r="465" spans="1:22" outlineLevel="1">
      <c r="A465" s="199" t="s">
        <v>270</v>
      </c>
      <c r="B465" s="181" t="s">
        <v>747</v>
      </c>
      <c r="C465" s="190">
        <v>43585</v>
      </c>
      <c r="D465" s="199" t="s">
        <v>1182</v>
      </c>
      <c r="E465" s="182" t="s">
        <v>1183</v>
      </c>
      <c r="F465" s="183">
        <v>75701</v>
      </c>
      <c r="G465" s="184">
        <v>6.52</v>
      </c>
      <c r="H465" s="181">
        <v>8.5</v>
      </c>
      <c r="I465" s="181" t="s">
        <v>292</v>
      </c>
      <c r="J465" s="191">
        <v>8.5</v>
      </c>
      <c r="K465" s="192" t="s">
        <v>595</v>
      </c>
      <c r="L465" s="193" t="s">
        <v>396</v>
      </c>
      <c r="M465" s="193" t="s">
        <v>309</v>
      </c>
      <c r="N465" s="193" t="s">
        <v>445</v>
      </c>
      <c r="O465" s="193"/>
      <c r="P465" s="193" t="s">
        <v>381</v>
      </c>
      <c r="Q465" s="193" t="s">
        <v>295</v>
      </c>
      <c r="R465" s="192" t="s">
        <v>379</v>
      </c>
      <c r="S465" s="181"/>
      <c r="T465" s="181" t="s">
        <v>381</v>
      </c>
      <c r="U465" s="181" t="s">
        <v>295</v>
      </c>
      <c r="V465" s="199" t="s">
        <v>379</v>
      </c>
    </row>
    <row r="466" spans="1:22" outlineLevel="1">
      <c r="A466" s="199" t="s">
        <v>270</v>
      </c>
      <c r="B466" s="181" t="s">
        <v>777</v>
      </c>
      <c r="C466" s="190">
        <v>43605</v>
      </c>
      <c r="D466" s="199" t="s">
        <v>1184</v>
      </c>
      <c r="E466" s="182" t="s">
        <v>1185</v>
      </c>
      <c r="F466" s="183">
        <v>75987</v>
      </c>
      <c r="G466" s="184">
        <v>19.57</v>
      </c>
      <c r="H466" s="181">
        <v>25.5</v>
      </c>
      <c r="I466" s="181" t="s">
        <v>292</v>
      </c>
      <c r="J466" s="191">
        <v>25.5</v>
      </c>
      <c r="K466" s="192" t="s">
        <v>595</v>
      </c>
      <c r="L466" s="193" t="s">
        <v>396</v>
      </c>
      <c r="M466" s="193" t="s">
        <v>309</v>
      </c>
      <c r="N466" s="193" t="s">
        <v>445</v>
      </c>
      <c r="O466" s="193"/>
      <c r="P466" s="193" t="s">
        <v>381</v>
      </c>
      <c r="Q466" s="193" t="s">
        <v>295</v>
      </c>
      <c r="R466" s="192" t="s">
        <v>379</v>
      </c>
      <c r="S466" s="181"/>
      <c r="T466" s="181" t="s">
        <v>381</v>
      </c>
      <c r="U466" s="181" t="s">
        <v>295</v>
      </c>
      <c r="V466" s="199" t="s">
        <v>379</v>
      </c>
    </row>
    <row r="467" spans="1:22" outlineLevel="1">
      <c r="A467" s="199" t="s">
        <v>270</v>
      </c>
      <c r="B467" s="181" t="s">
        <v>777</v>
      </c>
      <c r="C467" s="190">
        <v>43605</v>
      </c>
      <c r="D467" s="199" t="s">
        <v>1184</v>
      </c>
      <c r="E467" s="182" t="s">
        <v>1186</v>
      </c>
      <c r="F467" s="183">
        <v>75987</v>
      </c>
      <c r="G467" s="184">
        <v>23.02</v>
      </c>
      <c r="H467" s="181">
        <v>30</v>
      </c>
      <c r="I467" s="181" t="s">
        <v>292</v>
      </c>
      <c r="J467" s="191">
        <v>29.99</v>
      </c>
      <c r="K467" s="192" t="s">
        <v>1072</v>
      </c>
      <c r="L467" s="193" t="s">
        <v>396</v>
      </c>
      <c r="M467" s="193" t="s">
        <v>309</v>
      </c>
      <c r="N467" s="193"/>
      <c r="O467" s="193"/>
      <c r="P467" s="193" t="s">
        <v>381</v>
      </c>
      <c r="Q467" s="193" t="s">
        <v>295</v>
      </c>
      <c r="R467" s="192" t="s">
        <v>379</v>
      </c>
      <c r="S467" s="181"/>
      <c r="T467" s="181" t="s">
        <v>381</v>
      </c>
      <c r="U467" s="181" t="s">
        <v>295</v>
      </c>
      <c r="V467" s="199" t="s">
        <v>379</v>
      </c>
    </row>
    <row r="468" spans="1:22" outlineLevel="1">
      <c r="A468" s="199" t="s">
        <v>270</v>
      </c>
      <c r="B468" s="181" t="s">
        <v>748</v>
      </c>
      <c r="C468" s="190">
        <v>43635</v>
      </c>
      <c r="D468" s="199" t="s">
        <v>1187</v>
      </c>
      <c r="E468" s="182" t="s">
        <v>1188</v>
      </c>
      <c r="F468" s="183">
        <v>76315</v>
      </c>
      <c r="G468" s="184">
        <v>20.2</v>
      </c>
      <c r="H468" s="181">
        <v>25.5</v>
      </c>
      <c r="I468" s="181" t="s">
        <v>292</v>
      </c>
      <c r="J468" s="191">
        <v>25.5</v>
      </c>
      <c r="K468" s="192" t="s">
        <v>595</v>
      </c>
      <c r="L468" s="193" t="s">
        <v>396</v>
      </c>
      <c r="M468" s="193" t="s">
        <v>309</v>
      </c>
      <c r="N468" s="193" t="s">
        <v>445</v>
      </c>
      <c r="O468" s="193"/>
      <c r="P468" s="193" t="s">
        <v>381</v>
      </c>
      <c r="Q468" s="193" t="s">
        <v>295</v>
      </c>
      <c r="R468" s="192" t="s">
        <v>379</v>
      </c>
      <c r="S468" s="181"/>
      <c r="T468" s="181" t="s">
        <v>381</v>
      </c>
      <c r="U468" s="181" t="s">
        <v>295</v>
      </c>
      <c r="V468" s="199" t="s">
        <v>379</v>
      </c>
    </row>
    <row r="469" spans="1:22" outlineLevel="1">
      <c r="A469" s="199" t="s">
        <v>270</v>
      </c>
      <c r="B469" s="181" t="s">
        <v>748</v>
      </c>
      <c r="C469" s="190">
        <v>43635</v>
      </c>
      <c r="D469" s="199" t="s">
        <v>1187</v>
      </c>
      <c r="E469" s="182" t="s">
        <v>1189</v>
      </c>
      <c r="F469" s="183">
        <v>76315</v>
      </c>
      <c r="G469" s="184">
        <v>23.77</v>
      </c>
      <c r="H469" s="181">
        <v>30</v>
      </c>
      <c r="I469" s="181" t="s">
        <v>292</v>
      </c>
      <c r="J469" s="191">
        <v>30</v>
      </c>
      <c r="K469" s="192" t="s">
        <v>1072</v>
      </c>
      <c r="L469" s="193" t="s">
        <v>396</v>
      </c>
      <c r="M469" s="193" t="s">
        <v>309</v>
      </c>
      <c r="N469" s="193"/>
      <c r="O469" s="193"/>
      <c r="P469" s="193" t="s">
        <v>381</v>
      </c>
      <c r="Q469" s="193" t="s">
        <v>295</v>
      </c>
      <c r="R469" s="192" t="s">
        <v>379</v>
      </c>
      <c r="S469" s="181"/>
      <c r="T469" s="181" t="s">
        <v>381</v>
      </c>
      <c r="U469" s="181" t="s">
        <v>295</v>
      </c>
      <c r="V469" s="199" t="s">
        <v>379</v>
      </c>
    </row>
    <row r="470" spans="1:22">
      <c r="A470" s="194" t="s">
        <v>378</v>
      </c>
      <c r="B470" s="194"/>
      <c r="C470" s="194"/>
      <c r="D470" s="194"/>
      <c r="E470" s="195"/>
      <c r="F470" s="196"/>
      <c r="G470" s="197">
        <f>SUM(G465:G469)</f>
        <v>93.08</v>
      </c>
      <c r="H470" s="198">
        <f>SUM(H465:H469)</f>
        <v>119.5</v>
      </c>
      <c r="I470" s="194"/>
      <c r="J470" s="198">
        <f>SUM(J465:J469)</f>
        <v>119.49</v>
      </c>
      <c r="K470" s="194"/>
      <c r="L470" s="194"/>
      <c r="M470" s="194"/>
      <c r="N470" s="194"/>
      <c r="O470" s="194"/>
      <c r="P470" s="194"/>
      <c r="Q470" s="194"/>
      <c r="R470" s="194"/>
      <c r="S470" s="181"/>
      <c r="T470" s="181"/>
      <c r="U470" s="181"/>
      <c r="V470" s="181"/>
    </row>
    <row r="471" spans="1:22" outlineLevel="1">
      <c r="A471" s="199" t="s">
        <v>271</v>
      </c>
      <c r="B471" s="181" t="s">
        <v>747</v>
      </c>
      <c r="C471" s="190">
        <v>43566</v>
      </c>
      <c r="D471" s="199" t="s">
        <v>790</v>
      </c>
      <c r="E471" s="182" t="s">
        <v>676</v>
      </c>
      <c r="F471" s="183">
        <v>75701</v>
      </c>
      <c r="G471" s="184">
        <v>3.07</v>
      </c>
      <c r="H471" s="181">
        <v>4</v>
      </c>
      <c r="I471" s="181" t="s">
        <v>292</v>
      </c>
      <c r="J471" s="191">
        <v>4</v>
      </c>
      <c r="K471" s="192" t="s">
        <v>637</v>
      </c>
      <c r="L471" s="193" t="s">
        <v>396</v>
      </c>
      <c r="M471" s="193" t="s">
        <v>309</v>
      </c>
      <c r="N471" s="193"/>
      <c r="O471" s="193"/>
      <c r="P471" s="193" t="s">
        <v>381</v>
      </c>
      <c r="Q471" s="193" t="s">
        <v>295</v>
      </c>
      <c r="R471" s="192" t="s">
        <v>379</v>
      </c>
      <c r="S471" s="181"/>
      <c r="T471" s="181" t="s">
        <v>381</v>
      </c>
      <c r="U471" s="181" t="s">
        <v>295</v>
      </c>
      <c r="V471" s="199" t="s">
        <v>379</v>
      </c>
    </row>
    <row r="472" spans="1:22" outlineLevel="1">
      <c r="A472" s="199" t="s">
        <v>271</v>
      </c>
      <c r="B472" s="181" t="s">
        <v>747</v>
      </c>
      <c r="C472" s="190">
        <v>43578</v>
      </c>
      <c r="D472" s="199" t="s">
        <v>1156</v>
      </c>
      <c r="E472" s="182" t="s">
        <v>676</v>
      </c>
      <c r="F472" s="183">
        <v>75701</v>
      </c>
      <c r="G472" s="184">
        <v>3.07</v>
      </c>
      <c r="H472" s="181">
        <v>4</v>
      </c>
      <c r="I472" s="181" t="s">
        <v>292</v>
      </c>
      <c r="J472" s="191">
        <v>4</v>
      </c>
      <c r="K472" s="192" t="s">
        <v>637</v>
      </c>
      <c r="L472" s="193" t="s">
        <v>396</v>
      </c>
      <c r="M472" s="193" t="s">
        <v>309</v>
      </c>
      <c r="N472" s="193"/>
      <c r="O472" s="193"/>
      <c r="P472" s="193" t="s">
        <v>381</v>
      </c>
      <c r="Q472" s="193" t="s">
        <v>295</v>
      </c>
      <c r="R472" s="192" t="s">
        <v>379</v>
      </c>
      <c r="S472" s="181"/>
      <c r="T472" s="181" t="s">
        <v>381</v>
      </c>
      <c r="U472" s="181" t="s">
        <v>295</v>
      </c>
      <c r="V472" s="199" t="s">
        <v>379</v>
      </c>
    </row>
    <row r="473" spans="1:22" outlineLevel="1">
      <c r="A473" s="199" t="s">
        <v>271</v>
      </c>
      <c r="B473" s="181" t="s">
        <v>747</v>
      </c>
      <c r="C473" s="190">
        <v>43585</v>
      </c>
      <c r="D473" s="199" t="s">
        <v>1156</v>
      </c>
      <c r="E473" s="182" t="s">
        <v>676</v>
      </c>
      <c r="F473" s="183">
        <v>75701</v>
      </c>
      <c r="G473" s="184">
        <v>3.07</v>
      </c>
      <c r="H473" s="181">
        <v>4</v>
      </c>
      <c r="I473" s="181" t="s">
        <v>292</v>
      </c>
      <c r="J473" s="191">
        <v>4</v>
      </c>
      <c r="K473" s="192" t="s">
        <v>637</v>
      </c>
      <c r="L473" s="193" t="s">
        <v>396</v>
      </c>
      <c r="M473" s="193" t="s">
        <v>309</v>
      </c>
      <c r="N473" s="193"/>
      <c r="O473" s="193"/>
      <c r="P473" s="193" t="s">
        <v>381</v>
      </c>
      <c r="Q473" s="193" t="s">
        <v>295</v>
      </c>
      <c r="R473" s="192" t="s">
        <v>379</v>
      </c>
      <c r="S473" s="181"/>
      <c r="T473" s="181" t="s">
        <v>381</v>
      </c>
      <c r="U473" s="181" t="s">
        <v>295</v>
      </c>
      <c r="V473" s="199" t="s">
        <v>379</v>
      </c>
    </row>
    <row r="474" spans="1:22" outlineLevel="1">
      <c r="A474" s="199" t="s">
        <v>271</v>
      </c>
      <c r="B474" s="181" t="s">
        <v>777</v>
      </c>
      <c r="C474" s="190">
        <v>43605</v>
      </c>
      <c r="D474" s="199" t="s">
        <v>1190</v>
      </c>
      <c r="E474" s="182" t="s">
        <v>1191</v>
      </c>
      <c r="F474" s="183">
        <v>75987</v>
      </c>
      <c r="G474" s="184">
        <v>42.12</v>
      </c>
      <c r="H474" s="181">
        <v>54.88</v>
      </c>
      <c r="I474" s="181" t="s">
        <v>292</v>
      </c>
      <c r="J474" s="191">
        <v>54.88</v>
      </c>
      <c r="K474" s="192" t="s">
        <v>637</v>
      </c>
      <c r="L474" s="193" t="s">
        <v>396</v>
      </c>
      <c r="M474" s="193" t="s">
        <v>309</v>
      </c>
      <c r="N474" s="193"/>
      <c r="O474" s="193"/>
      <c r="P474" s="193" t="s">
        <v>381</v>
      </c>
      <c r="Q474" s="193" t="s">
        <v>295</v>
      </c>
      <c r="R474" s="192" t="s">
        <v>379</v>
      </c>
      <c r="S474" s="181"/>
      <c r="T474" s="181" t="s">
        <v>381</v>
      </c>
      <c r="U474" s="181" t="s">
        <v>295</v>
      </c>
      <c r="V474" s="199" t="s">
        <v>379</v>
      </c>
    </row>
    <row r="475" spans="1:22" outlineLevel="1">
      <c r="A475" s="199" t="s">
        <v>271</v>
      </c>
      <c r="B475" s="181" t="s">
        <v>777</v>
      </c>
      <c r="C475" s="190">
        <v>43614</v>
      </c>
      <c r="D475" s="199" t="s">
        <v>803</v>
      </c>
      <c r="E475" s="182" t="s">
        <v>1192</v>
      </c>
      <c r="F475" s="183">
        <v>75987</v>
      </c>
      <c r="G475" s="184">
        <v>3.45</v>
      </c>
      <c r="H475" s="181">
        <v>4.5</v>
      </c>
      <c r="I475" s="181" t="s">
        <v>292</v>
      </c>
      <c r="J475" s="191">
        <v>4.5</v>
      </c>
      <c r="K475" s="192" t="s">
        <v>637</v>
      </c>
      <c r="L475" s="193" t="s">
        <v>396</v>
      </c>
      <c r="M475" s="193" t="s">
        <v>309</v>
      </c>
      <c r="N475" s="193"/>
      <c r="O475" s="193"/>
      <c r="P475" s="193" t="s">
        <v>381</v>
      </c>
      <c r="Q475" s="193" t="s">
        <v>295</v>
      </c>
      <c r="R475" s="192" t="s">
        <v>379</v>
      </c>
      <c r="S475" s="181"/>
      <c r="T475" s="181" t="s">
        <v>381</v>
      </c>
      <c r="U475" s="181" t="s">
        <v>295</v>
      </c>
      <c r="V475" s="199" t="s">
        <v>379</v>
      </c>
    </row>
    <row r="476" spans="1:22" outlineLevel="1">
      <c r="A476" s="199" t="s">
        <v>271</v>
      </c>
      <c r="B476" s="181" t="s">
        <v>748</v>
      </c>
      <c r="C476" s="190">
        <v>43630</v>
      </c>
      <c r="D476" s="199" t="s">
        <v>774</v>
      </c>
      <c r="E476" s="182" t="s">
        <v>1193</v>
      </c>
      <c r="F476" s="183">
        <v>76315</v>
      </c>
      <c r="G476" s="184">
        <v>6.34</v>
      </c>
      <c r="H476" s="181">
        <v>8</v>
      </c>
      <c r="I476" s="181" t="s">
        <v>292</v>
      </c>
      <c r="J476" s="191">
        <v>8</v>
      </c>
      <c r="K476" s="192" t="s">
        <v>1194</v>
      </c>
      <c r="L476" s="193" t="s">
        <v>396</v>
      </c>
      <c r="M476" s="193" t="s">
        <v>309</v>
      </c>
      <c r="N476" s="193"/>
      <c r="O476" s="193"/>
      <c r="P476" s="193" t="s">
        <v>381</v>
      </c>
      <c r="Q476" s="193" t="s">
        <v>295</v>
      </c>
      <c r="R476" s="192" t="s">
        <v>379</v>
      </c>
      <c r="S476" s="181"/>
      <c r="T476" s="181" t="s">
        <v>381</v>
      </c>
      <c r="U476" s="181" t="s">
        <v>295</v>
      </c>
      <c r="V476" s="199" t="s">
        <v>379</v>
      </c>
    </row>
    <row r="477" spans="1:22" outlineLevel="1">
      <c r="A477" s="199" t="s">
        <v>271</v>
      </c>
      <c r="B477" s="181" t="s">
        <v>748</v>
      </c>
      <c r="C477" s="190">
        <v>43643</v>
      </c>
      <c r="D477" s="199" t="s">
        <v>1089</v>
      </c>
      <c r="E477" s="182" t="s">
        <v>1195</v>
      </c>
      <c r="F477" s="183">
        <v>76315</v>
      </c>
      <c r="G477" s="184">
        <v>18.54</v>
      </c>
      <c r="H477" s="181">
        <v>23.4</v>
      </c>
      <c r="I477" s="181" t="s">
        <v>292</v>
      </c>
      <c r="J477" s="191">
        <v>23.4</v>
      </c>
      <c r="K477" s="192" t="s">
        <v>637</v>
      </c>
      <c r="L477" s="193" t="s">
        <v>396</v>
      </c>
      <c r="M477" s="193" t="s">
        <v>309</v>
      </c>
      <c r="N477" s="193"/>
      <c r="O477" s="193"/>
      <c r="P477" s="193" t="s">
        <v>381</v>
      </c>
      <c r="Q477" s="193" t="s">
        <v>295</v>
      </c>
      <c r="R477" s="192" t="s">
        <v>379</v>
      </c>
      <c r="S477" s="181"/>
      <c r="T477" s="181" t="s">
        <v>381</v>
      </c>
      <c r="U477" s="181" t="s">
        <v>295</v>
      </c>
      <c r="V477" s="199" t="s">
        <v>379</v>
      </c>
    </row>
    <row r="478" spans="1:22" outlineLevel="1">
      <c r="A478" s="199" t="s">
        <v>271</v>
      </c>
      <c r="B478" s="181" t="s">
        <v>748</v>
      </c>
      <c r="C478" s="190">
        <v>43644</v>
      </c>
      <c r="D478" s="199" t="s">
        <v>1089</v>
      </c>
      <c r="E478" s="182" t="s">
        <v>1196</v>
      </c>
      <c r="F478" s="183">
        <v>76315</v>
      </c>
      <c r="G478" s="184">
        <v>3.17</v>
      </c>
      <c r="H478" s="181">
        <v>4</v>
      </c>
      <c r="I478" s="181" t="s">
        <v>292</v>
      </c>
      <c r="J478" s="191">
        <v>4</v>
      </c>
      <c r="K478" s="192" t="s">
        <v>637</v>
      </c>
      <c r="L478" s="193" t="s">
        <v>396</v>
      </c>
      <c r="M478" s="193" t="s">
        <v>309</v>
      </c>
      <c r="N478" s="193"/>
      <c r="O478" s="193"/>
      <c r="P478" s="193" t="s">
        <v>381</v>
      </c>
      <c r="Q478" s="193" t="s">
        <v>295</v>
      </c>
      <c r="R478" s="192" t="s">
        <v>379</v>
      </c>
      <c r="S478" s="181"/>
      <c r="T478" s="181" t="s">
        <v>381</v>
      </c>
      <c r="U478" s="181" t="s">
        <v>295</v>
      </c>
      <c r="V478" s="199" t="s">
        <v>379</v>
      </c>
    </row>
    <row r="479" spans="1:22" outlineLevel="1">
      <c r="A479" s="199" t="s">
        <v>271</v>
      </c>
      <c r="B479" s="181" t="s">
        <v>748</v>
      </c>
      <c r="C479" s="190">
        <v>43630</v>
      </c>
      <c r="D479" s="199" t="s">
        <v>1197</v>
      </c>
      <c r="E479" s="182" t="s">
        <v>1198</v>
      </c>
      <c r="F479" s="183">
        <v>76315</v>
      </c>
      <c r="G479" s="184">
        <v>59.04</v>
      </c>
      <c r="H479" s="181">
        <v>74.52</v>
      </c>
      <c r="I479" s="181" t="s">
        <v>292</v>
      </c>
      <c r="J479" s="191">
        <v>74.52</v>
      </c>
      <c r="K479" s="192" t="s">
        <v>637</v>
      </c>
      <c r="L479" s="193" t="s">
        <v>396</v>
      </c>
      <c r="M479" s="193" t="s">
        <v>309</v>
      </c>
      <c r="N479" s="193"/>
      <c r="O479" s="193"/>
      <c r="P479" s="193" t="s">
        <v>381</v>
      </c>
      <c r="Q479" s="193" t="s">
        <v>295</v>
      </c>
      <c r="R479" s="192" t="s">
        <v>379</v>
      </c>
      <c r="S479" s="181"/>
      <c r="T479" s="181" t="s">
        <v>381</v>
      </c>
      <c r="U479" s="181" t="s">
        <v>295</v>
      </c>
      <c r="V479" s="199" t="s">
        <v>379</v>
      </c>
    </row>
    <row r="480" spans="1:22" outlineLevel="1">
      <c r="A480" s="199" t="s">
        <v>271</v>
      </c>
      <c r="B480" s="181" t="s">
        <v>748</v>
      </c>
      <c r="C480" s="190">
        <v>43630</v>
      </c>
      <c r="D480" s="199" t="s">
        <v>774</v>
      </c>
      <c r="E480" s="182" t="s">
        <v>1199</v>
      </c>
      <c r="F480" s="183">
        <v>76315</v>
      </c>
      <c r="G480" s="184">
        <v>18.059999999999999</v>
      </c>
      <c r="H480" s="181">
        <v>22.8</v>
      </c>
      <c r="I480" s="181" t="s">
        <v>292</v>
      </c>
      <c r="J480" s="191">
        <v>22.8</v>
      </c>
      <c r="K480" s="192" t="s">
        <v>637</v>
      </c>
      <c r="L480" s="193" t="s">
        <v>396</v>
      </c>
      <c r="M480" s="193" t="s">
        <v>309</v>
      </c>
      <c r="N480" s="193"/>
      <c r="O480" s="193"/>
      <c r="P480" s="193" t="s">
        <v>381</v>
      </c>
      <c r="Q480" s="193" t="s">
        <v>295</v>
      </c>
      <c r="R480" s="192" t="s">
        <v>379</v>
      </c>
      <c r="S480" s="181"/>
      <c r="T480" s="181" t="s">
        <v>381</v>
      </c>
      <c r="U480" s="181" t="s">
        <v>295</v>
      </c>
      <c r="V480" s="199" t="s">
        <v>379</v>
      </c>
    </row>
    <row r="481" spans="1:22" outlineLevel="1">
      <c r="A481" s="199" t="s">
        <v>271</v>
      </c>
      <c r="B481" s="181" t="s">
        <v>748</v>
      </c>
      <c r="C481" s="190">
        <v>43630</v>
      </c>
      <c r="D481" s="199" t="s">
        <v>774</v>
      </c>
      <c r="E481" s="182" t="s">
        <v>1199</v>
      </c>
      <c r="F481" s="183">
        <v>76315</v>
      </c>
      <c r="G481" s="184">
        <v>5.83</v>
      </c>
      <c r="H481" s="181">
        <v>7.36</v>
      </c>
      <c r="I481" s="181" t="s">
        <v>292</v>
      </c>
      <c r="J481" s="191">
        <v>7.36</v>
      </c>
      <c r="K481" s="192" t="s">
        <v>637</v>
      </c>
      <c r="L481" s="193" t="s">
        <v>396</v>
      </c>
      <c r="M481" s="193" t="s">
        <v>309</v>
      </c>
      <c r="N481" s="193"/>
      <c r="O481" s="193"/>
      <c r="P481" s="193" t="s">
        <v>381</v>
      </c>
      <c r="Q481" s="193" t="s">
        <v>295</v>
      </c>
      <c r="R481" s="192" t="s">
        <v>379</v>
      </c>
      <c r="S481" s="181"/>
      <c r="T481" s="181" t="s">
        <v>381</v>
      </c>
      <c r="U481" s="181" t="s">
        <v>295</v>
      </c>
      <c r="V481" s="199" t="s">
        <v>379</v>
      </c>
    </row>
    <row r="482" spans="1:22" outlineLevel="1">
      <c r="A482" s="199" t="s">
        <v>271</v>
      </c>
      <c r="B482" s="181" t="s">
        <v>748</v>
      </c>
      <c r="C482" s="190">
        <v>43630</v>
      </c>
      <c r="D482" s="199" t="s">
        <v>774</v>
      </c>
      <c r="E482" s="182" t="s">
        <v>1200</v>
      </c>
      <c r="F482" s="183">
        <v>76315</v>
      </c>
      <c r="G482" s="184">
        <v>8.33</v>
      </c>
      <c r="H482" s="181">
        <v>10.52</v>
      </c>
      <c r="I482" s="181" t="s">
        <v>292</v>
      </c>
      <c r="J482" s="191">
        <v>10.51</v>
      </c>
      <c r="K482" s="192" t="s">
        <v>637</v>
      </c>
      <c r="L482" s="193" t="s">
        <v>396</v>
      </c>
      <c r="M482" s="193" t="s">
        <v>309</v>
      </c>
      <c r="N482" s="193"/>
      <c r="O482" s="193"/>
      <c r="P482" s="193" t="s">
        <v>381</v>
      </c>
      <c r="Q482" s="193" t="s">
        <v>295</v>
      </c>
      <c r="R482" s="192" t="s">
        <v>379</v>
      </c>
      <c r="S482" s="181"/>
      <c r="T482" s="181" t="s">
        <v>381</v>
      </c>
      <c r="U482" s="181" t="s">
        <v>295</v>
      </c>
      <c r="V482" s="199" t="s">
        <v>379</v>
      </c>
    </row>
    <row r="483" spans="1:22" outlineLevel="1">
      <c r="A483" s="199" t="s">
        <v>271</v>
      </c>
      <c r="B483" s="181" t="s">
        <v>748</v>
      </c>
      <c r="C483" s="190">
        <v>43634</v>
      </c>
      <c r="D483" s="199" t="s">
        <v>1179</v>
      </c>
      <c r="E483" s="182" t="s">
        <v>1201</v>
      </c>
      <c r="F483" s="183">
        <v>76315</v>
      </c>
      <c r="G483" s="184">
        <v>2.54</v>
      </c>
      <c r="H483" s="181">
        <v>3.2</v>
      </c>
      <c r="I483" s="181" t="s">
        <v>292</v>
      </c>
      <c r="J483" s="191">
        <v>3.21</v>
      </c>
      <c r="K483" s="192" t="s">
        <v>637</v>
      </c>
      <c r="L483" s="193" t="s">
        <v>396</v>
      </c>
      <c r="M483" s="193" t="s">
        <v>309</v>
      </c>
      <c r="N483" s="193"/>
      <c r="O483" s="193"/>
      <c r="P483" s="193" t="s">
        <v>381</v>
      </c>
      <c r="Q483" s="193" t="s">
        <v>295</v>
      </c>
      <c r="R483" s="192" t="s">
        <v>379</v>
      </c>
      <c r="S483" s="181"/>
      <c r="T483" s="181" t="s">
        <v>381</v>
      </c>
      <c r="U483" s="181" t="s">
        <v>295</v>
      </c>
      <c r="V483" s="199" t="s">
        <v>379</v>
      </c>
    </row>
    <row r="484" spans="1:22" outlineLevel="1">
      <c r="A484" s="199" t="s">
        <v>271</v>
      </c>
      <c r="B484" s="181" t="s">
        <v>748</v>
      </c>
      <c r="C484" s="190">
        <v>43630</v>
      </c>
      <c r="D484" s="199" t="s">
        <v>1202</v>
      </c>
      <c r="E484" s="182" t="s">
        <v>1203</v>
      </c>
      <c r="F484" s="183">
        <v>76315</v>
      </c>
      <c r="G484" s="184">
        <v>106.95</v>
      </c>
      <c r="H484" s="181">
        <v>135</v>
      </c>
      <c r="I484" s="181" t="s">
        <v>292</v>
      </c>
      <c r="J484" s="191">
        <v>135</v>
      </c>
      <c r="K484" s="192" t="s">
        <v>1204</v>
      </c>
      <c r="L484" s="193" t="s">
        <v>396</v>
      </c>
      <c r="M484" s="193" t="s">
        <v>309</v>
      </c>
      <c r="N484" s="193"/>
      <c r="O484" s="193"/>
      <c r="P484" s="193" t="s">
        <v>381</v>
      </c>
      <c r="Q484" s="193" t="s">
        <v>295</v>
      </c>
      <c r="R484" s="192" t="s">
        <v>379</v>
      </c>
      <c r="S484" s="181"/>
      <c r="T484" s="181" t="s">
        <v>381</v>
      </c>
      <c r="U484" s="181" t="s">
        <v>295</v>
      </c>
      <c r="V484" s="199" t="s">
        <v>379</v>
      </c>
    </row>
    <row r="485" spans="1:22">
      <c r="A485" s="194" t="s">
        <v>378</v>
      </c>
      <c r="B485" s="194"/>
      <c r="C485" s="194"/>
      <c r="D485" s="194"/>
      <c r="E485" s="195"/>
      <c r="F485" s="196"/>
      <c r="G485" s="197">
        <f>SUM(G471:G484)</f>
        <v>283.58000000000004</v>
      </c>
      <c r="H485" s="198">
        <f>SUM(H471:H484)</f>
        <v>360.18000000000006</v>
      </c>
      <c r="I485" s="194"/>
      <c r="J485" s="198">
        <f>SUM(J471:J484)</f>
        <v>360.18000000000006</v>
      </c>
      <c r="K485" s="194"/>
      <c r="L485" s="194"/>
      <c r="M485" s="194"/>
      <c r="N485" s="194"/>
      <c r="O485" s="194"/>
      <c r="P485" s="194"/>
      <c r="Q485" s="194"/>
      <c r="R485" s="194"/>
      <c r="S485" s="181"/>
      <c r="T485" s="181"/>
      <c r="U485" s="181"/>
      <c r="V485" s="181"/>
    </row>
    <row r="486" spans="1:22" outlineLevel="1">
      <c r="A486" s="199" t="s">
        <v>272</v>
      </c>
      <c r="B486" s="181" t="s">
        <v>747</v>
      </c>
      <c r="C486" s="190">
        <v>43563</v>
      </c>
      <c r="D486" s="199" t="s">
        <v>1205</v>
      </c>
      <c r="E486" s="182" t="s">
        <v>1206</v>
      </c>
      <c r="F486" s="183">
        <v>75694</v>
      </c>
      <c r="G486" s="184">
        <v>92.01</v>
      </c>
      <c r="H486" s="181">
        <v>120</v>
      </c>
      <c r="I486" s="181" t="s">
        <v>292</v>
      </c>
      <c r="J486" s="191">
        <v>120</v>
      </c>
      <c r="K486" s="192" t="s">
        <v>1207</v>
      </c>
      <c r="L486" s="193" t="s">
        <v>400</v>
      </c>
      <c r="M486" s="193" t="s">
        <v>309</v>
      </c>
      <c r="N486" s="193"/>
      <c r="O486" s="193"/>
      <c r="P486" s="193" t="s">
        <v>381</v>
      </c>
      <c r="Q486" s="193" t="s">
        <v>295</v>
      </c>
      <c r="R486" s="192" t="s">
        <v>379</v>
      </c>
      <c r="S486" s="181"/>
      <c r="T486" s="181" t="s">
        <v>381</v>
      </c>
      <c r="U486" s="181" t="s">
        <v>295</v>
      </c>
      <c r="V486" s="199" t="s">
        <v>379</v>
      </c>
    </row>
    <row r="487" spans="1:22" outlineLevel="1">
      <c r="A487" s="199" t="s">
        <v>272</v>
      </c>
      <c r="B487" s="181" t="s">
        <v>747</v>
      </c>
      <c r="C487" s="190">
        <v>43563</v>
      </c>
      <c r="D487" s="199" t="s">
        <v>1205</v>
      </c>
      <c r="E487" s="182" t="s">
        <v>1208</v>
      </c>
      <c r="F487" s="183">
        <v>75694</v>
      </c>
      <c r="G487" s="184">
        <v>12.96</v>
      </c>
      <c r="H487" s="181">
        <v>16.899999999999999</v>
      </c>
      <c r="I487" s="181" t="s">
        <v>292</v>
      </c>
      <c r="J487" s="191">
        <v>16.899999999999999</v>
      </c>
      <c r="K487" s="192" t="s">
        <v>1207</v>
      </c>
      <c r="L487" s="193" t="s">
        <v>400</v>
      </c>
      <c r="M487" s="193" t="s">
        <v>309</v>
      </c>
      <c r="N487" s="193"/>
      <c r="O487" s="193"/>
      <c r="P487" s="193" t="s">
        <v>381</v>
      </c>
      <c r="Q487" s="193" t="s">
        <v>1209</v>
      </c>
      <c r="R487" s="192" t="s">
        <v>238</v>
      </c>
      <c r="S487" s="181"/>
      <c r="T487" s="181" t="s">
        <v>381</v>
      </c>
      <c r="U487" s="181" t="s">
        <v>1209</v>
      </c>
      <c r="V487" s="199" t="s">
        <v>238</v>
      </c>
    </row>
    <row r="488" spans="1:22" outlineLevel="1">
      <c r="A488" s="199" t="s">
        <v>272</v>
      </c>
      <c r="B488" s="181" t="s">
        <v>747</v>
      </c>
      <c r="C488" s="190">
        <v>43563</v>
      </c>
      <c r="D488" s="199" t="s">
        <v>1205</v>
      </c>
      <c r="E488" s="182" t="s">
        <v>1210</v>
      </c>
      <c r="F488" s="183">
        <v>75694</v>
      </c>
      <c r="G488" s="184">
        <v>27.54</v>
      </c>
      <c r="H488" s="181">
        <v>35.92</v>
      </c>
      <c r="I488" s="181" t="s">
        <v>292</v>
      </c>
      <c r="J488" s="191">
        <v>35.92</v>
      </c>
      <c r="K488" s="192" t="s">
        <v>1207</v>
      </c>
      <c r="L488" s="193" t="s">
        <v>400</v>
      </c>
      <c r="M488" s="193" t="s">
        <v>309</v>
      </c>
      <c r="N488" s="193"/>
      <c r="O488" s="193"/>
      <c r="P488" s="193" t="s">
        <v>381</v>
      </c>
      <c r="Q488" s="193" t="s">
        <v>1209</v>
      </c>
      <c r="R488" s="192" t="s">
        <v>238</v>
      </c>
      <c r="S488" s="181"/>
      <c r="T488" s="181" t="s">
        <v>381</v>
      </c>
      <c r="U488" s="181" t="s">
        <v>1209</v>
      </c>
      <c r="V488" s="199" t="s">
        <v>238</v>
      </c>
    </row>
    <row r="489" spans="1:22" outlineLevel="1">
      <c r="A489" s="199" t="s">
        <v>272</v>
      </c>
      <c r="B489" s="181" t="s">
        <v>747</v>
      </c>
      <c r="C489" s="190">
        <v>43563</v>
      </c>
      <c r="D489" s="199" t="s">
        <v>1205</v>
      </c>
      <c r="E489" s="182" t="s">
        <v>1211</v>
      </c>
      <c r="F489" s="183">
        <v>75694</v>
      </c>
      <c r="G489" s="184">
        <v>13.03</v>
      </c>
      <c r="H489" s="181">
        <v>17</v>
      </c>
      <c r="I489" s="181" t="s">
        <v>292</v>
      </c>
      <c r="J489" s="191">
        <v>16.989999999999998</v>
      </c>
      <c r="K489" s="192" t="s">
        <v>1207</v>
      </c>
      <c r="L489" s="193" t="s">
        <v>400</v>
      </c>
      <c r="M489" s="193" t="s">
        <v>309</v>
      </c>
      <c r="N489" s="193"/>
      <c r="O489" s="193"/>
      <c r="P489" s="193" t="s">
        <v>381</v>
      </c>
      <c r="Q489" s="193" t="s">
        <v>295</v>
      </c>
      <c r="R489" s="192" t="s">
        <v>379</v>
      </c>
      <c r="S489" s="181"/>
      <c r="T489" s="181" t="s">
        <v>381</v>
      </c>
      <c r="U489" s="181" t="s">
        <v>295</v>
      </c>
      <c r="V489" s="199" t="s">
        <v>379</v>
      </c>
    </row>
    <row r="490" spans="1:22" outlineLevel="1">
      <c r="A490" s="199" t="s">
        <v>272</v>
      </c>
      <c r="B490" s="181" t="s">
        <v>747</v>
      </c>
      <c r="C490" s="190">
        <v>43585</v>
      </c>
      <c r="D490" s="199" t="s">
        <v>1156</v>
      </c>
      <c r="E490" s="182" t="s">
        <v>1212</v>
      </c>
      <c r="F490" s="183">
        <v>75701</v>
      </c>
      <c r="G490" s="184">
        <v>7.67</v>
      </c>
      <c r="H490" s="181">
        <v>10</v>
      </c>
      <c r="I490" s="181" t="s">
        <v>292</v>
      </c>
      <c r="J490" s="191">
        <v>10</v>
      </c>
      <c r="K490" s="192" t="s">
        <v>1207</v>
      </c>
      <c r="L490" s="193" t="s">
        <v>396</v>
      </c>
      <c r="M490" s="193" t="s">
        <v>309</v>
      </c>
      <c r="N490" s="193"/>
      <c r="O490" s="193"/>
      <c r="P490" s="193" t="s">
        <v>381</v>
      </c>
      <c r="Q490" s="193" t="s">
        <v>295</v>
      </c>
      <c r="R490" s="192" t="s">
        <v>379</v>
      </c>
      <c r="S490" s="181"/>
      <c r="T490" s="181" t="s">
        <v>381</v>
      </c>
      <c r="U490" s="181" t="s">
        <v>295</v>
      </c>
      <c r="V490" s="199" t="s">
        <v>379</v>
      </c>
    </row>
    <row r="491" spans="1:22" outlineLevel="1">
      <c r="A491" s="199" t="s">
        <v>272</v>
      </c>
      <c r="B491" s="181" t="s">
        <v>747</v>
      </c>
      <c r="C491" s="190">
        <v>43578</v>
      </c>
      <c r="D491" s="199" t="s">
        <v>1213</v>
      </c>
      <c r="E491" s="182" t="s">
        <v>1214</v>
      </c>
      <c r="F491" s="183">
        <v>75694</v>
      </c>
      <c r="G491" s="184">
        <v>49.68</v>
      </c>
      <c r="H491" s="181">
        <v>64.8</v>
      </c>
      <c r="I491" s="181" t="s">
        <v>292</v>
      </c>
      <c r="J491" s="191">
        <v>64.8</v>
      </c>
      <c r="K491" s="192" t="s">
        <v>683</v>
      </c>
      <c r="L491" s="193" t="s">
        <v>400</v>
      </c>
      <c r="M491" s="193" t="s">
        <v>309</v>
      </c>
      <c r="N491" s="193"/>
      <c r="O491" s="193"/>
      <c r="P491" s="193" t="s">
        <v>381</v>
      </c>
      <c r="Q491" s="193" t="s">
        <v>295</v>
      </c>
      <c r="R491" s="192" t="s">
        <v>379</v>
      </c>
      <c r="S491" s="181"/>
      <c r="T491" s="181" t="s">
        <v>381</v>
      </c>
      <c r="U491" s="181" t="s">
        <v>295</v>
      </c>
      <c r="V491" s="199" t="s">
        <v>379</v>
      </c>
    </row>
    <row r="492" spans="1:22" outlineLevel="1">
      <c r="A492" s="199" t="s">
        <v>272</v>
      </c>
      <c r="B492" s="181" t="s">
        <v>747</v>
      </c>
      <c r="C492" s="190">
        <v>43585</v>
      </c>
      <c r="D492" s="199" t="s">
        <v>1215</v>
      </c>
      <c r="E492" s="182" t="s">
        <v>1216</v>
      </c>
      <c r="F492" s="183">
        <v>75694</v>
      </c>
      <c r="G492" s="184">
        <v>185.4</v>
      </c>
      <c r="H492" s="181">
        <v>241.81</v>
      </c>
      <c r="I492" s="181" t="s">
        <v>292</v>
      </c>
      <c r="J492" s="191">
        <v>241.81</v>
      </c>
      <c r="K492" s="192" t="s">
        <v>683</v>
      </c>
      <c r="L492" s="193" t="s">
        <v>400</v>
      </c>
      <c r="M492" s="193" t="s">
        <v>309</v>
      </c>
      <c r="N492" s="193"/>
      <c r="O492" s="193"/>
      <c r="P492" s="193" t="s">
        <v>381</v>
      </c>
      <c r="Q492" s="193" t="s">
        <v>295</v>
      </c>
      <c r="R492" s="192" t="s">
        <v>379</v>
      </c>
      <c r="S492" s="181"/>
      <c r="T492" s="181" t="s">
        <v>381</v>
      </c>
      <c r="U492" s="181" t="s">
        <v>295</v>
      </c>
      <c r="V492" s="199" t="s">
        <v>379</v>
      </c>
    </row>
    <row r="493" spans="1:22" outlineLevel="1">
      <c r="A493" s="199" t="s">
        <v>272</v>
      </c>
      <c r="B493" s="181" t="s">
        <v>777</v>
      </c>
      <c r="C493" s="190">
        <v>43607</v>
      </c>
      <c r="D493" s="199" t="s">
        <v>1217</v>
      </c>
      <c r="E493" s="182" t="s">
        <v>1218</v>
      </c>
      <c r="F493" s="183">
        <v>75988</v>
      </c>
      <c r="G493" s="184">
        <v>46.05</v>
      </c>
      <c r="H493" s="181">
        <v>60</v>
      </c>
      <c r="I493" s="181" t="s">
        <v>292</v>
      </c>
      <c r="J493" s="191">
        <v>60</v>
      </c>
      <c r="K493" s="192" t="s">
        <v>1207</v>
      </c>
      <c r="L493" s="193" t="s">
        <v>400</v>
      </c>
      <c r="M493" s="193" t="s">
        <v>309</v>
      </c>
      <c r="N493" s="193"/>
      <c r="O493" s="193"/>
      <c r="P493" s="193" t="s">
        <v>381</v>
      </c>
      <c r="Q493" s="193" t="s">
        <v>295</v>
      </c>
      <c r="R493" s="192" t="s">
        <v>379</v>
      </c>
      <c r="S493" s="181"/>
      <c r="T493" s="181" t="s">
        <v>381</v>
      </c>
      <c r="U493" s="181" t="s">
        <v>295</v>
      </c>
      <c r="V493" s="199" t="s">
        <v>379</v>
      </c>
    </row>
    <row r="494" spans="1:22" outlineLevel="1">
      <c r="A494" s="199" t="s">
        <v>272</v>
      </c>
      <c r="B494" s="181" t="s">
        <v>777</v>
      </c>
      <c r="C494" s="190">
        <v>43607</v>
      </c>
      <c r="D494" s="199" t="s">
        <v>1217</v>
      </c>
      <c r="E494" s="182" t="s">
        <v>1219</v>
      </c>
      <c r="F494" s="183">
        <v>75988</v>
      </c>
      <c r="G494" s="184">
        <v>46.05</v>
      </c>
      <c r="H494" s="181">
        <v>60</v>
      </c>
      <c r="I494" s="181" t="s">
        <v>292</v>
      </c>
      <c r="J494" s="191">
        <v>60</v>
      </c>
      <c r="K494" s="192" t="s">
        <v>1207</v>
      </c>
      <c r="L494" s="193" t="s">
        <v>400</v>
      </c>
      <c r="M494" s="193" t="s">
        <v>309</v>
      </c>
      <c r="N494" s="193"/>
      <c r="O494" s="193"/>
      <c r="P494" s="193" t="s">
        <v>381</v>
      </c>
      <c r="Q494" s="193" t="s">
        <v>295</v>
      </c>
      <c r="R494" s="192" t="s">
        <v>379</v>
      </c>
      <c r="S494" s="181"/>
      <c r="T494" s="181" t="s">
        <v>381</v>
      </c>
      <c r="U494" s="181" t="s">
        <v>295</v>
      </c>
      <c r="V494" s="199" t="s">
        <v>379</v>
      </c>
    </row>
    <row r="495" spans="1:22" outlineLevel="1">
      <c r="A495" s="199" t="s">
        <v>272</v>
      </c>
      <c r="B495" s="181" t="s">
        <v>777</v>
      </c>
      <c r="C495" s="190">
        <v>43607</v>
      </c>
      <c r="D495" s="199" t="s">
        <v>1217</v>
      </c>
      <c r="E495" s="182" t="s">
        <v>1220</v>
      </c>
      <c r="F495" s="183">
        <v>75988</v>
      </c>
      <c r="G495" s="184">
        <v>38.369999999999997</v>
      </c>
      <c r="H495" s="181">
        <v>50</v>
      </c>
      <c r="I495" s="181" t="s">
        <v>292</v>
      </c>
      <c r="J495" s="191">
        <v>49.99</v>
      </c>
      <c r="K495" s="192" t="s">
        <v>1207</v>
      </c>
      <c r="L495" s="193" t="s">
        <v>400</v>
      </c>
      <c r="M495" s="193" t="s">
        <v>309</v>
      </c>
      <c r="N495" s="193"/>
      <c r="O495" s="193"/>
      <c r="P495" s="193" t="s">
        <v>381</v>
      </c>
      <c r="Q495" s="193" t="s">
        <v>295</v>
      </c>
      <c r="R495" s="192" t="s">
        <v>379</v>
      </c>
      <c r="S495" s="181"/>
      <c r="T495" s="181" t="s">
        <v>381</v>
      </c>
      <c r="U495" s="181" t="s">
        <v>295</v>
      </c>
      <c r="V495" s="199" t="s">
        <v>379</v>
      </c>
    </row>
    <row r="496" spans="1:22" outlineLevel="1">
      <c r="A496" s="199" t="s">
        <v>272</v>
      </c>
      <c r="B496" s="181" t="s">
        <v>777</v>
      </c>
      <c r="C496" s="190">
        <v>43607</v>
      </c>
      <c r="D496" s="199" t="s">
        <v>1217</v>
      </c>
      <c r="E496" s="182" t="s">
        <v>1221</v>
      </c>
      <c r="F496" s="183">
        <v>75988</v>
      </c>
      <c r="G496" s="184">
        <v>34.54</v>
      </c>
      <c r="H496" s="181">
        <v>45</v>
      </c>
      <c r="I496" s="181" t="s">
        <v>292</v>
      </c>
      <c r="J496" s="191">
        <v>45</v>
      </c>
      <c r="K496" s="192" t="s">
        <v>1207</v>
      </c>
      <c r="L496" s="193" t="s">
        <v>400</v>
      </c>
      <c r="M496" s="193" t="s">
        <v>309</v>
      </c>
      <c r="N496" s="193"/>
      <c r="O496" s="193"/>
      <c r="P496" s="193" t="s">
        <v>381</v>
      </c>
      <c r="Q496" s="193" t="s">
        <v>295</v>
      </c>
      <c r="R496" s="192" t="s">
        <v>379</v>
      </c>
      <c r="S496" s="181"/>
      <c r="T496" s="181" t="s">
        <v>381</v>
      </c>
      <c r="U496" s="181" t="s">
        <v>295</v>
      </c>
      <c r="V496" s="199" t="s">
        <v>379</v>
      </c>
    </row>
    <row r="497" spans="1:22" outlineLevel="1">
      <c r="A497" s="199" t="s">
        <v>272</v>
      </c>
      <c r="B497" s="181" t="s">
        <v>777</v>
      </c>
      <c r="C497" s="190">
        <v>43607</v>
      </c>
      <c r="D497" s="199" t="s">
        <v>1217</v>
      </c>
      <c r="E497" s="182" t="s">
        <v>1222</v>
      </c>
      <c r="F497" s="183">
        <v>75988</v>
      </c>
      <c r="G497" s="184">
        <v>23.02</v>
      </c>
      <c r="H497" s="181">
        <v>30</v>
      </c>
      <c r="I497" s="181" t="s">
        <v>292</v>
      </c>
      <c r="J497" s="191">
        <v>29.99</v>
      </c>
      <c r="K497" s="192" t="s">
        <v>1207</v>
      </c>
      <c r="L497" s="193" t="s">
        <v>400</v>
      </c>
      <c r="M497" s="193" t="s">
        <v>309</v>
      </c>
      <c r="N497" s="193"/>
      <c r="O497" s="193"/>
      <c r="P497" s="193" t="s">
        <v>381</v>
      </c>
      <c r="Q497" s="193" t="s">
        <v>295</v>
      </c>
      <c r="R497" s="192" t="s">
        <v>379</v>
      </c>
      <c r="S497" s="181"/>
      <c r="T497" s="181" t="s">
        <v>381</v>
      </c>
      <c r="U497" s="181" t="s">
        <v>295</v>
      </c>
      <c r="V497" s="199" t="s">
        <v>379</v>
      </c>
    </row>
    <row r="498" spans="1:22" outlineLevel="1">
      <c r="A498" s="199" t="s">
        <v>272</v>
      </c>
      <c r="B498" s="181" t="s">
        <v>777</v>
      </c>
      <c r="C498" s="190">
        <v>43607</v>
      </c>
      <c r="D498" s="199" t="s">
        <v>1217</v>
      </c>
      <c r="E498" s="182" t="s">
        <v>1223</v>
      </c>
      <c r="F498" s="183">
        <v>75988</v>
      </c>
      <c r="G498" s="184">
        <v>4.3600000000000003</v>
      </c>
      <c r="H498" s="181">
        <v>5.68</v>
      </c>
      <c r="I498" s="181" t="s">
        <v>292</v>
      </c>
      <c r="J498" s="191">
        <v>5.68</v>
      </c>
      <c r="K498" s="192" t="s">
        <v>1207</v>
      </c>
      <c r="L498" s="193" t="s">
        <v>400</v>
      </c>
      <c r="M498" s="193" t="s">
        <v>309</v>
      </c>
      <c r="N498" s="193"/>
      <c r="O498" s="193"/>
      <c r="P498" s="193" t="s">
        <v>381</v>
      </c>
      <c r="Q498" s="193" t="s">
        <v>295</v>
      </c>
      <c r="R498" s="192" t="s">
        <v>379</v>
      </c>
      <c r="S498" s="181"/>
      <c r="T498" s="181" t="s">
        <v>381</v>
      </c>
      <c r="U498" s="181" t="s">
        <v>295</v>
      </c>
      <c r="V498" s="199" t="s">
        <v>379</v>
      </c>
    </row>
    <row r="499" spans="1:22" outlineLevel="1">
      <c r="A499" s="199" t="s">
        <v>272</v>
      </c>
      <c r="B499" s="181" t="s">
        <v>777</v>
      </c>
      <c r="C499" s="190">
        <v>43607</v>
      </c>
      <c r="D499" s="199" t="s">
        <v>1217</v>
      </c>
      <c r="E499" s="182" t="s">
        <v>1224</v>
      </c>
      <c r="F499" s="183">
        <v>75988</v>
      </c>
      <c r="G499" s="184">
        <v>9.31</v>
      </c>
      <c r="H499" s="181">
        <v>12.13</v>
      </c>
      <c r="I499" s="181" t="s">
        <v>292</v>
      </c>
      <c r="J499" s="191">
        <v>12.13</v>
      </c>
      <c r="K499" s="192" t="s">
        <v>1207</v>
      </c>
      <c r="L499" s="193" t="s">
        <v>400</v>
      </c>
      <c r="M499" s="193" t="s">
        <v>309</v>
      </c>
      <c r="N499" s="193"/>
      <c r="O499" s="193"/>
      <c r="P499" s="193" t="s">
        <v>381</v>
      </c>
      <c r="Q499" s="193" t="s">
        <v>295</v>
      </c>
      <c r="R499" s="192" t="s">
        <v>379</v>
      </c>
      <c r="S499" s="181"/>
      <c r="T499" s="181" t="s">
        <v>381</v>
      </c>
      <c r="U499" s="181" t="s">
        <v>295</v>
      </c>
      <c r="V499" s="199" t="s">
        <v>379</v>
      </c>
    </row>
    <row r="500" spans="1:22" outlineLevel="1">
      <c r="A500" s="199" t="s">
        <v>272</v>
      </c>
      <c r="B500" s="181" t="s">
        <v>777</v>
      </c>
      <c r="C500" s="190">
        <v>43607</v>
      </c>
      <c r="D500" s="199" t="s">
        <v>1217</v>
      </c>
      <c r="E500" s="182" t="s">
        <v>1225</v>
      </c>
      <c r="F500" s="183">
        <v>75988</v>
      </c>
      <c r="G500" s="184">
        <v>5.51</v>
      </c>
      <c r="H500" s="181">
        <v>7.18</v>
      </c>
      <c r="I500" s="181" t="s">
        <v>292</v>
      </c>
      <c r="J500" s="191">
        <v>7.18</v>
      </c>
      <c r="K500" s="192" t="s">
        <v>1207</v>
      </c>
      <c r="L500" s="193" t="s">
        <v>400</v>
      </c>
      <c r="M500" s="193" t="s">
        <v>309</v>
      </c>
      <c r="N500" s="193"/>
      <c r="O500" s="193"/>
      <c r="P500" s="193" t="s">
        <v>381</v>
      </c>
      <c r="Q500" s="193" t="s">
        <v>295</v>
      </c>
      <c r="R500" s="192" t="s">
        <v>379</v>
      </c>
      <c r="S500" s="181"/>
      <c r="T500" s="181" t="s">
        <v>381</v>
      </c>
      <c r="U500" s="181" t="s">
        <v>295</v>
      </c>
      <c r="V500" s="199" t="s">
        <v>379</v>
      </c>
    </row>
    <row r="501" spans="1:22" outlineLevel="1">
      <c r="A501" s="199" t="s">
        <v>272</v>
      </c>
      <c r="B501" s="181" t="s">
        <v>777</v>
      </c>
      <c r="C501" s="190">
        <v>43607</v>
      </c>
      <c r="D501" s="199" t="s">
        <v>1217</v>
      </c>
      <c r="E501" s="182" t="s">
        <v>1226</v>
      </c>
      <c r="F501" s="183">
        <v>75988</v>
      </c>
      <c r="G501" s="184">
        <v>3.66</v>
      </c>
      <c r="H501" s="181">
        <v>4.7699999999999996</v>
      </c>
      <c r="I501" s="181" t="s">
        <v>292</v>
      </c>
      <c r="J501" s="191">
        <v>4.7699999999999996</v>
      </c>
      <c r="K501" s="192" t="s">
        <v>1207</v>
      </c>
      <c r="L501" s="193" t="s">
        <v>400</v>
      </c>
      <c r="M501" s="193" t="s">
        <v>309</v>
      </c>
      <c r="N501" s="193"/>
      <c r="O501" s="193"/>
      <c r="P501" s="193" t="s">
        <v>381</v>
      </c>
      <c r="Q501" s="193" t="s">
        <v>295</v>
      </c>
      <c r="R501" s="192" t="s">
        <v>379</v>
      </c>
      <c r="S501" s="181"/>
      <c r="T501" s="181" t="s">
        <v>381</v>
      </c>
      <c r="U501" s="181" t="s">
        <v>295</v>
      </c>
      <c r="V501" s="199" t="s">
        <v>379</v>
      </c>
    </row>
    <row r="502" spans="1:22" outlineLevel="1">
      <c r="A502" s="199" t="s">
        <v>272</v>
      </c>
      <c r="B502" s="181" t="s">
        <v>777</v>
      </c>
      <c r="C502" s="190">
        <v>43606</v>
      </c>
      <c r="D502" s="199" t="s">
        <v>1227</v>
      </c>
      <c r="E502" s="182" t="s">
        <v>1228</v>
      </c>
      <c r="F502" s="183">
        <v>75988</v>
      </c>
      <c r="G502" s="184">
        <v>259.75</v>
      </c>
      <c r="H502" s="181">
        <v>338.44</v>
      </c>
      <c r="I502" s="181" t="s">
        <v>292</v>
      </c>
      <c r="J502" s="191">
        <v>338.44</v>
      </c>
      <c r="K502" s="192" t="s">
        <v>683</v>
      </c>
      <c r="L502" s="193" t="s">
        <v>400</v>
      </c>
      <c r="M502" s="193" t="s">
        <v>309</v>
      </c>
      <c r="N502" s="193"/>
      <c r="O502" s="193"/>
      <c r="P502" s="193" t="s">
        <v>381</v>
      </c>
      <c r="Q502" s="193" t="s">
        <v>295</v>
      </c>
      <c r="R502" s="192" t="s">
        <v>379</v>
      </c>
      <c r="S502" s="181"/>
      <c r="T502" s="181" t="s">
        <v>381</v>
      </c>
      <c r="U502" s="181" t="s">
        <v>295</v>
      </c>
      <c r="V502" s="199" t="s">
        <v>379</v>
      </c>
    </row>
    <row r="503" spans="1:22" outlineLevel="1">
      <c r="A503" s="199" t="s">
        <v>272</v>
      </c>
      <c r="B503" s="181" t="s">
        <v>748</v>
      </c>
      <c r="C503" s="190">
        <v>43622</v>
      </c>
      <c r="D503" s="199" t="s">
        <v>1229</v>
      </c>
      <c r="E503" s="182" t="s">
        <v>1230</v>
      </c>
      <c r="F503" s="183">
        <v>76315</v>
      </c>
      <c r="G503" s="184">
        <v>44.37</v>
      </c>
      <c r="H503" s="181">
        <v>56</v>
      </c>
      <c r="I503" s="181" t="s">
        <v>292</v>
      </c>
      <c r="J503" s="191">
        <v>56.01</v>
      </c>
      <c r="K503" s="192" t="s">
        <v>683</v>
      </c>
      <c r="L503" s="193" t="s">
        <v>396</v>
      </c>
      <c r="M503" s="193" t="s">
        <v>309</v>
      </c>
      <c r="N503" s="193"/>
      <c r="O503" s="193"/>
      <c r="P503" s="193" t="s">
        <v>381</v>
      </c>
      <c r="Q503" s="193" t="s">
        <v>295</v>
      </c>
      <c r="R503" s="192" t="s">
        <v>379</v>
      </c>
      <c r="S503" s="181"/>
      <c r="T503" s="181" t="s">
        <v>381</v>
      </c>
      <c r="U503" s="181" t="s">
        <v>295</v>
      </c>
      <c r="V503" s="199" t="s">
        <v>379</v>
      </c>
    </row>
    <row r="504" spans="1:22" outlineLevel="1">
      <c r="A504" s="199" t="s">
        <v>272</v>
      </c>
      <c r="B504" s="181" t="s">
        <v>748</v>
      </c>
      <c r="C504" s="190">
        <v>43644</v>
      </c>
      <c r="D504" s="199" t="s">
        <v>1089</v>
      </c>
      <c r="E504" s="182" t="s">
        <v>1231</v>
      </c>
      <c r="F504" s="183">
        <v>76315</v>
      </c>
      <c r="G504" s="184">
        <v>5.55</v>
      </c>
      <c r="H504" s="181">
        <v>7</v>
      </c>
      <c r="I504" s="181" t="s">
        <v>292</v>
      </c>
      <c r="J504" s="191">
        <v>7.01</v>
      </c>
      <c r="K504" s="192" t="s">
        <v>637</v>
      </c>
      <c r="L504" s="193" t="s">
        <v>396</v>
      </c>
      <c r="M504" s="193" t="s">
        <v>309</v>
      </c>
      <c r="N504" s="193"/>
      <c r="O504" s="193"/>
      <c r="P504" s="193" t="s">
        <v>381</v>
      </c>
      <c r="Q504" s="193" t="s">
        <v>295</v>
      </c>
      <c r="R504" s="192" t="s">
        <v>379</v>
      </c>
      <c r="S504" s="181"/>
      <c r="T504" s="181" t="s">
        <v>381</v>
      </c>
      <c r="U504" s="181" t="s">
        <v>295</v>
      </c>
      <c r="V504" s="199" t="s">
        <v>379</v>
      </c>
    </row>
    <row r="505" spans="1:22" outlineLevel="1">
      <c r="A505" s="199" t="s">
        <v>272</v>
      </c>
      <c r="B505" s="181" t="s">
        <v>748</v>
      </c>
      <c r="C505" s="190">
        <v>43637</v>
      </c>
      <c r="D505" s="199" t="s">
        <v>1179</v>
      </c>
      <c r="E505" s="182" t="s">
        <v>1232</v>
      </c>
      <c r="F505" s="183">
        <v>76315</v>
      </c>
      <c r="G505" s="184">
        <v>11.76</v>
      </c>
      <c r="H505" s="181">
        <v>14.84</v>
      </c>
      <c r="I505" s="181" t="s">
        <v>292</v>
      </c>
      <c r="J505" s="191">
        <v>14.84</v>
      </c>
      <c r="K505" s="192" t="s">
        <v>637</v>
      </c>
      <c r="L505" s="193" t="s">
        <v>396</v>
      </c>
      <c r="M505" s="193" t="s">
        <v>309</v>
      </c>
      <c r="N505" s="193"/>
      <c r="O505" s="193"/>
      <c r="P505" s="193" t="s">
        <v>381</v>
      </c>
      <c r="Q505" s="193" t="s">
        <v>295</v>
      </c>
      <c r="R505" s="192" t="s">
        <v>379</v>
      </c>
      <c r="S505" s="181"/>
      <c r="T505" s="181" t="s">
        <v>381</v>
      </c>
      <c r="U505" s="181" t="s">
        <v>295</v>
      </c>
      <c r="V505" s="199" t="s">
        <v>379</v>
      </c>
    </row>
    <row r="506" spans="1:22">
      <c r="A506" s="194" t="s">
        <v>378</v>
      </c>
      <c r="B506" s="194"/>
      <c r="C506" s="194"/>
      <c r="D506" s="194"/>
      <c r="E506" s="195"/>
      <c r="F506" s="196"/>
      <c r="G506" s="197">
        <f>SUM(G486:G505)</f>
        <v>920.5899999999998</v>
      </c>
      <c r="H506" s="198">
        <f>SUM(H486:H505)</f>
        <v>1197.4699999999998</v>
      </c>
      <c r="I506" s="194"/>
      <c r="J506" s="198">
        <f>SUM(J486:J505)</f>
        <v>1197.4599999999998</v>
      </c>
      <c r="K506" s="194"/>
      <c r="L506" s="194"/>
      <c r="M506" s="194"/>
      <c r="N506" s="194"/>
      <c r="O506" s="194"/>
      <c r="P506" s="194"/>
      <c r="Q506" s="194"/>
      <c r="R506" s="194"/>
      <c r="S506" s="181"/>
      <c r="T506" s="181"/>
      <c r="U506" s="181"/>
      <c r="V506" s="181"/>
    </row>
    <row r="507" spans="1:22" outlineLevel="1">
      <c r="A507" s="199" t="s">
        <v>273</v>
      </c>
      <c r="B507" s="181" t="s">
        <v>747</v>
      </c>
      <c r="C507" s="190">
        <v>43585</v>
      </c>
      <c r="D507" s="199" t="s">
        <v>821</v>
      </c>
      <c r="E507" s="182" t="s">
        <v>823</v>
      </c>
      <c r="F507" s="183">
        <v>75684</v>
      </c>
      <c r="G507" s="184">
        <v>8.0299999999999994</v>
      </c>
      <c r="H507" s="181">
        <v>8.0299999999999994</v>
      </c>
      <c r="I507" s="181" t="s">
        <v>293</v>
      </c>
      <c r="J507" s="191">
        <v>10.47</v>
      </c>
      <c r="K507" s="192" t="s">
        <v>385</v>
      </c>
      <c r="L507" s="193" t="s">
        <v>374</v>
      </c>
      <c r="M507" s="193" t="s">
        <v>309</v>
      </c>
      <c r="N507" s="193" t="s">
        <v>1233</v>
      </c>
      <c r="O507" s="193"/>
      <c r="P507" s="193" t="s">
        <v>390</v>
      </c>
      <c r="Q507" s="193" t="s">
        <v>295</v>
      </c>
      <c r="R507" s="192" t="s">
        <v>379</v>
      </c>
      <c r="S507" s="181"/>
      <c r="T507" s="181" t="s">
        <v>390</v>
      </c>
      <c r="U507" s="181" t="s">
        <v>295</v>
      </c>
      <c r="V507" s="199" t="s">
        <v>379</v>
      </c>
    </row>
    <row r="508" spans="1:22" outlineLevel="1">
      <c r="A508" s="199" t="s">
        <v>273</v>
      </c>
      <c r="B508" s="181" t="s">
        <v>747</v>
      </c>
      <c r="C508" s="190">
        <v>43585</v>
      </c>
      <c r="D508" s="199" t="s">
        <v>821</v>
      </c>
      <c r="E508" s="182" t="s">
        <v>1234</v>
      </c>
      <c r="F508" s="183">
        <v>75682</v>
      </c>
      <c r="G508" s="184">
        <v>535.53</v>
      </c>
      <c r="H508" s="181">
        <v>535.53</v>
      </c>
      <c r="I508" s="181" t="s">
        <v>293</v>
      </c>
      <c r="J508" s="191">
        <v>698.47</v>
      </c>
      <c r="K508" s="192" t="s">
        <v>385</v>
      </c>
      <c r="L508" s="193" t="s">
        <v>374</v>
      </c>
      <c r="M508" s="193" t="s">
        <v>309</v>
      </c>
      <c r="N508" s="193" t="s">
        <v>1233</v>
      </c>
      <c r="O508" s="193"/>
      <c r="P508" s="193" t="s">
        <v>381</v>
      </c>
      <c r="Q508" s="193" t="s">
        <v>295</v>
      </c>
      <c r="R508" s="192" t="s">
        <v>379</v>
      </c>
      <c r="S508" s="181"/>
      <c r="T508" s="181" t="s">
        <v>381</v>
      </c>
      <c r="U508" s="181" t="s">
        <v>295</v>
      </c>
      <c r="V508" s="199" t="s">
        <v>379</v>
      </c>
    </row>
    <row r="509" spans="1:22" outlineLevel="1">
      <c r="A509" s="199" t="s">
        <v>273</v>
      </c>
      <c r="B509" s="181" t="s">
        <v>747</v>
      </c>
      <c r="C509" s="190">
        <v>43585</v>
      </c>
      <c r="D509" s="199" t="s">
        <v>821</v>
      </c>
      <c r="E509" s="182" t="s">
        <v>822</v>
      </c>
      <c r="F509" s="183">
        <v>75683</v>
      </c>
      <c r="G509" s="184">
        <v>26.78</v>
      </c>
      <c r="H509" s="181">
        <v>26.78</v>
      </c>
      <c r="I509" s="181" t="s">
        <v>293</v>
      </c>
      <c r="J509" s="191">
        <v>34.93</v>
      </c>
      <c r="K509" s="192" t="s">
        <v>385</v>
      </c>
      <c r="L509" s="193" t="s">
        <v>374</v>
      </c>
      <c r="M509" s="193" t="s">
        <v>309</v>
      </c>
      <c r="N509" s="193" t="s">
        <v>1233</v>
      </c>
      <c r="O509" s="193"/>
      <c r="P509" s="193" t="s">
        <v>388</v>
      </c>
      <c r="Q509" s="193" t="s">
        <v>295</v>
      </c>
      <c r="R509" s="192" t="s">
        <v>273</v>
      </c>
      <c r="S509" s="181"/>
      <c r="T509" s="181" t="s">
        <v>388</v>
      </c>
      <c r="U509" s="181" t="s">
        <v>295</v>
      </c>
      <c r="V509" s="199" t="s">
        <v>273</v>
      </c>
    </row>
    <row r="510" spans="1:22" outlineLevel="1">
      <c r="A510" s="199" t="s">
        <v>273</v>
      </c>
      <c r="B510" s="181" t="s">
        <v>747</v>
      </c>
      <c r="C510" s="190">
        <v>43585</v>
      </c>
      <c r="D510" s="199" t="s">
        <v>821</v>
      </c>
      <c r="E510" s="182" t="s">
        <v>1234</v>
      </c>
      <c r="F510" s="183">
        <v>75682</v>
      </c>
      <c r="G510" s="184">
        <v>53.55</v>
      </c>
      <c r="H510" s="181">
        <v>53.55</v>
      </c>
      <c r="I510" s="181" t="s">
        <v>293</v>
      </c>
      <c r="J510" s="191">
        <v>69.84</v>
      </c>
      <c r="K510" s="192" t="s">
        <v>391</v>
      </c>
      <c r="L510" s="193" t="s">
        <v>374</v>
      </c>
      <c r="M510" s="193" t="s">
        <v>309</v>
      </c>
      <c r="N510" s="193" t="s">
        <v>1233</v>
      </c>
      <c r="O510" s="193"/>
      <c r="P510" s="193" t="s">
        <v>381</v>
      </c>
      <c r="Q510" s="193" t="s">
        <v>295</v>
      </c>
      <c r="R510" s="192" t="s">
        <v>379</v>
      </c>
      <c r="S510" s="181"/>
      <c r="T510" s="181" t="s">
        <v>381</v>
      </c>
      <c r="U510" s="181" t="s">
        <v>295</v>
      </c>
      <c r="V510" s="199" t="s">
        <v>379</v>
      </c>
    </row>
    <row r="511" spans="1:22" outlineLevel="1">
      <c r="A511" s="199" t="s">
        <v>273</v>
      </c>
      <c r="B511" s="181" t="s">
        <v>747</v>
      </c>
      <c r="C511" s="190">
        <v>43585</v>
      </c>
      <c r="D511" s="199" t="s">
        <v>821</v>
      </c>
      <c r="E511" s="182" t="s">
        <v>1234</v>
      </c>
      <c r="F511" s="183">
        <v>75682</v>
      </c>
      <c r="G511" s="184">
        <v>63.98</v>
      </c>
      <c r="H511" s="181">
        <v>63.98</v>
      </c>
      <c r="I511" s="181" t="s">
        <v>293</v>
      </c>
      <c r="J511" s="191">
        <v>83.45</v>
      </c>
      <c r="K511" s="192" t="s">
        <v>392</v>
      </c>
      <c r="L511" s="193" t="s">
        <v>374</v>
      </c>
      <c r="M511" s="193" t="s">
        <v>309</v>
      </c>
      <c r="N511" s="193" t="s">
        <v>1233</v>
      </c>
      <c r="O511" s="193"/>
      <c r="P511" s="193" t="s">
        <v>381</v>
      </c>
      <c r="Q511" s="193" t="s">
        <v>295</v>
      </c>
      <c r="R511" s="192" t="s">
        <v>379</v>
      </c>
      <c r="S511" s="181"/>
      <c r="T511" s="181" t="s">
        <v>381</v>
      </c>
      <c r="U511" s="181" t="s">
        <v>295</v>
      </c>
      <c r="V511" s="199" t="s">
        <v>379</v>
      </c>
    </row>
    <row r="512" spans="1:22" outlineLevel="1">
      <c r="A512" s="199" t="s">
        <v>273</v>
      </c>
      <c r="B512" s="181" t="s">
        <v>747</v>
      </c>
      <c r="C512" s="190">
        <v>43573</v>
      </c>
      <c r="D512" s="199" t="s">
        <v>1235</v>
      </c>
      <c r="E512" s="182" t="s">
        <v>1236</v>
      </c>
      <c r="F512" s="183">
        <v>75701</v>
      </c>
      <c r="G512" s="184">
        <v>147.21</v>
      </c>
      <c r="H512" s="181">
        <v>192</v>
      </c>
      <c r="I512" s="181" t="s">
        <v>292</v>
      </c>
      <c r="J512" s="191">
        <v>192</v>
      </c>
      <c r="K512" s="192" t="s">
        <v>380</v>
      </c>
      <c r="L512" s="193" t="s">
        <v>396</v>
      </c>
      <c r="M512" s="193" t="s">
        <v>309</v>
      </c>
      <c r="N512" s="193"/>
      <c r="O512" s="193"/>
      <c r="P512" s="193" t="s">
        <v>381</v>
      </c>
      <c r="Q512" s="193" t="s">
        <v>295</v>
      </c>
      <c r="R512" s="192" t="s">
        <v>379</v>
      </c>
      <c r="S512" s="181"/>
      <c r="T512" s="181" t="s">
        <v>381</v>
      </c>
      <c r="U512" s="181" t="s">
        <v>295</v>
      </c>
      <c r="V512" s="199" t="s">
        <v>379</v>
      </c>
    </row>
    <row r="513" spans="1:22" outlineLevel="1">
      <c r="A513" s="199" t="s">
        <v>273</v>
      </c>
      <c r="B513" s="181" t="s">
        <v>747</v>
      </c>
      <c r="C513" s="190">
        <v>43585</v>
      </c>
      <c r="D513" s="199" t="s">
        <v>1237</v>
      </c>
      <c r="E513" s="182" t="s">
        <v>1238</v>
      </c>
      <c r="F513" s="183">
        <v>75701</v>
      </c>
      <c r="G513" s="184">
        <v>1.1599999999999999</v>
      </c>
      <c r="H513" s="181">
        <v>1.51</v>
      </c>
      <c r="I513" s="181" t="s">
        <v>292</v>
      </c>
      <c r="J513" s="191">
        <v>1.51</v>
      </c>
      <c r="K513" s="192" t="s">
        <v>380</v>
      </c>
      <c r="L513" s="193" t="s">
        <v>396</v>
      </c>
      <c r="M513" s="193" t="s">
        <v>309</v>
      </c>
      <c r="N513" s="193"/>
      <c r="O513" s="193"/>
      <c r="P513" s="193" t="s">
        <v>381</v>
      </c>
      <c r="Q513" s="193" t="s">
        <v>295</v>
      </c>
      <c r="R513" s="192" t="s">
        <v>379</v>
      </c>
      <c r="S513" s="181"/>
      <c r="T513" s="181" t="s">
        <v>381</v>
      </c>
      <c r="U513" s="181" t="s">
        <v>295</v>
      </c>
      <c r="V513" s="199" t="s">
        <v>379</v>
      </c>
    </row>
    <row r="514" spans="1:22" outlineLevel="1">
      <c r="A514" s="199" t="s">
        <v>273</v>
      </c>
      <c r="B514" s="181" t="s">
        <v>747</v>
      </c>
      <c r="C514" s="190">
        <v>43585</v>
      </c>
      <c r="D514" s="199" t="s">
        <v>1237</v>
      </c>
      <c r="E514" s="182" t="s">
        <v>1239</v>
      </c>
      <c r="F514" s="183">
        <v>75701</v>
      </c>
      <c r="G514" s="184">
        <v>1.0900000000000001</v>
      </c>
      <c r="H514" s="181">
        <v>1.42</v>
      </c>
      <c r="I514" s="181" t="s">
        <v>292</v>
      </c>
      <c r="J514" s="191">
        <v>1.42</v>
      </c>
      <c r="K514" s="192" t="s">
        <v>380</v>
      </c>
      <c r="L514" s="193" t="s">
        <v>396</v>
      </c>
      <c r="M514" s="193" t="s">
        <v>309</v>
      </c>
      <c r="N514" s="193"/>
      <c r="O514" s="193"/>
      <c r="P514" s="193" t="s">
        <v>381</v>
      </c>
      <c r="Q514" s="193" t="s">
        <v>295</v>
      </c>
      <c r="R514" s="192" t="s">
        <v>379</v>
      </c>
      <c r="S514" s="181"/>
      <c r="T514" s="181" t="s">
        <v>381</v>
      </c>
      <c r="U514" s="181" t="s">
        <v>295</v>
      </c>
      <c r="V514" s="199" t="s">
        <v>379</v>
      </c>
    </row>
    <row r="515" spans="1:22" outlineLevel="1">
      <c r="A515" s="199" t="s">
        <v>273</v>
      </c>
      <c r="B515" s="181" t="s">
        <v>747</v>
      </c>
      <c r="C515" s="190">
        <v>43585</v>
      </c>
      <c r="D515" s="199" t="s">
        <v>1237</v>
      </c>
      <c r="E515" s="182" t="s">
        <v>1240</v>
      </c>
      <c r="F515" s="183">
        <v>75701</v>
      </c>
      <c r="G515" s="184">
        <v>16.829999999999998</v>
      </c>
      <c r="H515" s="181">
        <v>21.95</v>
      </c>
      <c r="I515" s="181" t="s">
        <v>292</v>
      </c>
      <c r="J515" s="191">
        <v>21.95</v>
      </c>
      <c r="K515" s="192" t="s">
        <v>380</v>
      </c>
      <c r="L515" s="193" t="s">
        <v>396</v>
      </c>
      <c r="M515" s="193" t="s">
        <v>309</v>
      </c>
      <c r="N515" s="193"/>
      <c r="O515" s="193"/>
      <c r="P515" s="193" t="s">
        <v>381</v>
      </c>
      <c r="Q515" s="193" t="s">
        <v>295</v>
      </c>
      <c r="R515" s="192" t="s">
        <v>379</v>
      </c>
      <c r="S515" s="181"/>
      <c r="T515" s="181" t="s">
        <v>381</v>
      </c>
      <c r="U515" s="181" t="s">
        <v>295</v>
      </c>
      <c r="V515" s="199" t="s">
        <v>379</v>
      </c>
    </row>
    <row r="516" spans="1:22" outlineLevel="1">
      <c r="A516" s="199" t="s">
        <v>273</v>
      </c>
      <c r="B516" s="181" t="s">
        <v>747</v>
      </c>
      <c r="C516" s="190">
        <v>43585</v>
      </c>
      <c r="D516" s="199" t="s">
        <v>1237</v>
      </c>
      <c r="E516" s="182" t="s">
        <v>1241</v>
      </c>
      <c r="F516" s="183">
        <v>75701</v>
      </c>
      <c r="G516" s="184">
        <v>33.04</v>
      </c>
      <c r="H516" s="181">
        <v>43.09</v>
      </c>
      <c r="I516" s="181" t="s">
        <v>292</v>
      </c>
      <c r="J516" s="191">
        <v>43.09</v>
      </c>
      <c r="K516" s="192" t="s">
        <v>380</v>
      </c>
      <c r="L516" s="193" t="s">
        <v>396</v>
      </c>
      <c r="M516" s="193" t="s">
        <v>309</v>
      </c>
      <c r="N516" s="193"/>
      <c r="O516" s="193"/>
      <c r="P516" s="193" t="s">
        <v>381</v>
      </c>
      <c r="Q516" s="193" t="s">
        <v>295</v>
      </c>
      <c r="R516" s="192" t="s">
        <v>379</v>
      </c>
      <c r="S516" s="181"/>
      <c r="T516" s="181" t="s">
        <v>381</v>
      </c>
      <c r="U516" s="181" t="s">
        <v>295</v>
      </c>
      <c r="V516" s="199" t="s">
        <v>379</v>
      </c>
    </row>
    <row r="517" spans="1:22" outlineLevel="1">
      <c r="A517" s="199" t="s">
        <v>273</v>
      </c>
      <c r="B517" s="181" t="s">
        <v>747</v>
      </c>
      <c r="C517" s="190">
        <v>43585</v>
      </c>
      <c r="D517" s="199" t="s">
        <v>1237</v>
      </c>
      <c r="E517" s="182" t="s">
        <v>1239</v>
      </c>
      <c r="F517" s="183">
        <v>75701</v>
      </c>
      <c r="G517" s="184">
        <v>0.57999999999999996</v>
      </c>
      <c r="H517" s="181">
        <v>0.75</v>
      </c>
      <c r="I517" s="181" t="s">
        <v>292</v>
      </c>
      <c r="J517" s="191">
        <v>0.76</v>
      </c>
      <c r="K517" s="192" t="s">
        <v>380</v>
      </c>
      <c r="L517" s="193" t="s">
        <v>396</v>
      </c>
      <c r="M517" s="193" t="s">
        <v>309</v>
      </c>
      <c r="N517" s="193"/>
      <c r="O517" s="193"/>
      <c r="P517" s="193" t="s">
        <v>381</v>
      </c>
      <c r="Q517" s="193" t="s">
        <v>295</v>
      </c>
      <c r="R517" s="192" t="s">
        <v>379</v>
      </c>
      <c r="S517" s="181"/>
      <c r="T517" s="181" t="s">
        <v>381</v>
      </c>
      <c r="U517" s="181" t="s">
        <v>295</v>
      </c>
      <c r="V517" s="199" t="s">
        <v>379</v>
      </c>
    </row>
    <row r="518" spans="1:22" outlineLevel="1">
      <c r="A518" s="199" t="s">
        <v>273</v>
      </c>
      <c r="B518" s="181" t="s">
        <v>747</v>
      </c>
      <c r="C518" s="190">
        <v>43585</v>
      </c>
      <c r="D518" s="199" t="s">
        <v>1237</v>
      </c>
      <c r="E518" s="182" t="s">
        <v>1239</v>
      </c>
      <c r="F518" s="183">
        <v>75701</v>
      </c>
      <c r="G518" s="184">
        <v>0.18</v>
      </c>
      <c r="H518" s="181">
        <v>0.23</v>
      </c>
      <c r="I518" s="181" t="s">
        <v>292</v>
      </c>
      <c r="J518" s="191">
        <v>0.23</v>
      </c>
      <c r="K518" s="192" t="s">
        <v>380</v>
      </c>
      <c r="L518" s="193" t="s">
        <v>396</v>
      </c>
      <c r="M518" s="193" t="s">
        <v>309</v>
      </c>
      <c r="N518" s="193"/>
      <c r="O518" s="193"/>
      <c r="P518" s="193" t="s">
        <v>381</v>
      </c>
      <c r="Q518" s="193" t="s">
        <v>295</v>
      </c>
      <c r="R518" s="192" t="s">
        <v>379</v>
      </c>
      <c r="S518" s="181"/>
      <c r="T518" s="181" t="s">
        <v>381</v>
      </c>
      <c r="U518" s="181" t="s">
        <v>295</v>
      </c>
      <c r="V518" s="199" t="s">
        <v>379</v>
      </c>
    </row>
    <row r="519" spans="1:22" outlineLevel="1">
      <c r="A519" s="199" t="s">
        <v>273</v>
      </c>
      <c r="B519" s="181" t="s">
        <v>747</v>
      </c>
      <c r="C519" s="190">
        <v>43585</v>
      </c>
      <c r="D519" s="199" t="s">
        <v>1237</v>
      </c>
      <c r="E519" s="182" t="s">
        <v>698</v>
      </c>
      <c r="F519" s="183">
        <v>75701</v>
      </c>
      <c r="G519" s="184">
        <v>3.83</v>
      </c>
      <c r="H519" s="181">
        <v>5</v>
      </c>
      <c r="I519" s="181" t="s">
        <v>292</v>
      </c>
      <c r="J519" s="191">
        <v>5</v>
      </c>
      <c r="K519" s="192" t="s">
        <v>380</v>
      </c>
      <c r="L519" s="193" t="s">
        <v>396</v>
      </c>
      <c r="M519" s="193" t="s">
        <v>309</v>
      </c>
      <c r="N519" s="193"/>
      <c r="O519" s="193"/>
      <c r="P519" s="193" t="s">
        <v>381</v>
      </c>
      <c r="Q519" s="193" t="s">
        <v>295</v>
      </c>
      <c r="R519" s="192" t="s">
        <v>379</v>
      </c>
      <c r="S519" s="181"/>
      <c r="T519" s="181" t="s">
        <v>381</v>
      </c>
      <c r="U519" s="181" t="s">
        <v>295</v>
      </c>
      <c r="V519" s="199" t="s">
        <v>379</v>
      </c>
    </row>
    <row r="520" spans="1:22" outlineLevel="1">
      <c r="A520" s="199" t="s">
        <v>273</v>
      </c>
      <c r="B520" s="181" t="s">
        <v>747</v>
      </c>
      <c r="C520" s="190">
        <v>43585</v>
      </c>
      <c r="D520" s="199" t="s">
        <v>1237</v>
      </c>
      <c r="E520" s="182" t="s">
        <v>1242</v>
      </c>
      <c r="F520" s="183">
        <v>75701</v>
      </c>
      <c r="G520" s="184">
        <v>0.64</v>
      </c>
      <c r="H520" s="181">
        <v>0.84</v>
      </c>
      <c r="I520" s="181" t="s">
        <v>292</v>
      </c>
      <c r="J520" s="191">
        <v>0.83</v>
      </c>
      <c r="K520" s="192" t="s">
        <v>380</v>
      </c>
      <c r="L520" s="193" t="s">
        <v>396</v>
      </c>
      <c r="M520" s="193" t="s">
        <v>309</v>
      </c>
      <c r="N520" s="193"/>
      <c r="O520" s="193"/>
      <c r="P520" s="193" t="s">
        <v>381</v>
      </c>
      <c r="Q520" s="193" t="s">
        <v>295</v>
      </c>
      <c r="R520" s="192" t="s">
        <v>379</v>
      </c>
      <c r="S520" s="181"/>
      <c r="T520" s="181" t="s">
        <v>381</v>
      </c>
      <c r="U520" s="181" t="s">
        <v>295</v>
      </c>
      <c r="V520" s="199" t="s">
        <v>379</v>
      </c>
    </row>
    <row r="521" spans="1:22" outlineLevel="1">
      <c r="A521" s="199" t="s">
        <v>273</v>
      </c>
      <c r="B521" s="181" t="s">
        <v>747</v>
      </c>
      <c r="C521" s="190">
        <v>43585</v>
      </c>
      <c r="D521" s="199" t="s">
        <v>1237</v>
      </c>
      <c r="E521" s="182" t="s">
        <v>1239</v>
      </c>
      <c r="F521" s="183">
        <v>75701</v>
      </c>
      <c r="G521" s="184">
        <v>0.49</v>
      </c>
      <c r="H521" s="181">
        <v>0.64</v>
      </c>
      <c r="I521" s="181" t="s">
        <v>292</v>
      </c>
      <c r="J521" s="191">
        <v>0.64</v>
      </c>
      <c r="K521" s="192" t="s">
        <v>380</v>
      </c>
      <c r="L521" s="193" t="s">
        <v>396</v>
      </c>
      <c r="M521" s="193" t="s">
        <v>309</v>
      </c>
      <c r="N521" s="193"/>
      <c r="O521" s="193"/>
      <c r="P521" s="193" t="s">
        <v>381</v>
      </c>
      <c r="Q521" s="193" t="s">
        <v>295</v>
      </c>
      <c r="R521" s="192" t="s">
        <v>379</v>
      </c>
      <c r="S521" s="181"/>
      <c r="T521" s="181" t="s">
        <v>381</v>
      </c>
      <c r="U521" s="181" t="s">
        <v>295</v>
      </c>
      <c r="V521" s="199" t="s">
        <v>379</v>
      </c>
    </row>
    <row r="522" spans="1:22" outlineLevel="1">
      <c r="A522" s="199" t="s">
        <v>273</v>
      </c>
      <c r="B522" s="181" t="s">
        <v>747</v>
      </c>
      <c r="C522" s="190">
        <v>43585</v>
      </c>
      <c r="D522" s="199" t="s">
        <v>1237</v>
      </c>
      <c r="E522" s="182" t="s">
        <v>704</v>
      </c>
      <c r="F522" s="183">
        <v>75701</v>
      </c>
      <c r="G522" s="184">
        <v>5.89</v>
      </c>
      <c r="H522" s="181">
        <v>7.68</v>
      </c>
      <c r="I522" s="181" t="s">
        <v>292</v>
      </c>
      <c r="J522" s="191">
        <v>7.68</v>
      </c>
      <c r="K522" s="192" t="s">
        <v>380</v>
      </c>
      <c r="L522" s="193" t="s">
        <v>396</v>
      </c>
      <c r="M522" s="193" t="s">
        <v>309</v>
      </c>
      <c r="N522" s="193"/>
      <c r="O522" s="193"/>
      <c r="P522" s="193" t="s">
        <v>381</v>
      </c>
      <c r="Q522" s="193" t="s">
        <v>295</v>
      </c>
      <c r="R522" s="192" t="s">
        <v>379</v>
      </c>
      <c r="S522" s="181"/>
      <c r="T522" s="181" t="s">
        <v>381</v>
      </c>
      <c r="U522" s="181" t="s">
        <v>295</v>
      </c>
      <c r="V522" s="199" t="s">
        <v>379</v>
      </c>
    </row>
    <row r="523" spans="1:22" outlineLevel="1">
      <c r="A523" s="199" t="s">
        <v>273</v>
      </c>
      <c r="B523" s="181" t="s">
        <v>747</v>
      </c>
      <c r="C523" s="190">
        <v>43585</v>
      </c>
      <c r="D523" s="199" t="s">
        <v>1237</v>
      </c>
      <c r="E523" s="182" t="s">
        <v>1239</v>
      </c>
      <c r="F523" s="183">
        <v>75701</v>
      </c>
      <c r="G523" s="184">
        <v>1.84</v>
      </c>
      <c r="H523" s="181">
        <v>2.4</v>
      </c>
      <c r="I523" s="181" t="s">
        <v>292</v>
      </c>
      <c r="J523" s="191">
        <v>2.4</v>
      </c>
      <c r="K523" s="192" t="s">
        <v>380</v>
      </c>
      <c r="L523" s="193" t="s">
        <v>396</v>
      </c>
      <c r="M523" s="193" t="s">
        <v>309</v>
      </c>
      <c r="N523" s="193"/>
      <c r="O523" s="193"/>
      <c r="P523" s="193" t="s">
        <v>381</v>
      </c>
      <c r="Q523" s="193" t="s">
        <v>295</v>
      </c>
      <c r="R523" s="192" t="s">
        <v>379</v>
      </c>
      <c r="S523" s="181"/>
      <c r="T523" s="181" t="s">
        <v>381</v>
      </c>
      <c r="U523" s="181" t="s">
        <v>295</v>
      </c>
      <c r="V523" s="199" t="s">
        <v>379</v>
      </c>
    </row>
    <row r="524" spans="1:22" outlineLevel="1">
      <c r="A524" s="199" t="s">
        <v>273</v>
      </c>
      <c r="B524" s="181" t="s">
        <v>747</v>
      </c>
      <c r="C524" s="190">
        <v>43585</v>
      </c>
      <c r="D524" s="199" t="s">
        <v>1237</v>
      </c>
      <c r="E524" s="182" t="s">
        <v>1239</v>
      </c>
      <c r="F524" s="183">
        <v>75701</v>
      </c>
      <c r="G524" s="184">
        <v>0.28000000000000003</v>
      </c>
      <c r="H524" s="181">
        <v>0.37</v>
      </c>
      <c r="I524" s="181" t="s">
        <v>292</v>
      </c>
      <c r="J524" s="191">
        <v>0.37</v>
      </c>
      <c r="K524" s="192" t="s">
        <v>380</v>
      </c>
      <c r="L524" s="193" t="s">
        <v>396</v>
      </c>
      <c r="M524" s="193" t="s">
        <v>309</v>
      </c>
      <c r="N524" s="193"/>
      <c r="O524" s="193"/>
      <c r="P524" s="193" t="s">
        <v>381</v>
      </c>
      <c r="Q524" s="193" t="s">
        <v>295</v>
      </c>
      <c r="R524" s="192" t="s">
        <v>379</v>
      </c>
      <c r="S524" s="181"/>
      <c r="T524" s="181" t="s">
        <v>381</v>
      </c>
      <c r="U524" s="181" t="s">
        <v>295</v>
      </c>
      <c r="V524" s="199" t="s">
        <v>379</v>
      </c>
    </row>
    <row r="525" spans="1:22" outlineLevel="1">
      <c r="A525" s="199" t="s">
        <v>273</v>
      </c>
      <c r="B525" s="181" t="s">
        <v>747</v>
      </c>
      <c r="C525" s="190">
        <v>43585</v>
      </c>
      <c r="D525" s="199" t="s">
        <v>1237</v>
      </c>
      <c r="E525" s="182" t="s">
        <v>1239</v>
      </c>
      <c r="F525" s="183">
        <v>75701</v>
      </c>
      <c r="G525" s="184">
        <v>0.73</v>
      </c>
      <c r="H525" s="181">
        <v>0.95</v>
      </c>
      <c r="I525" s="181" t="s">
        <v>292</v>
      </c>
      <c r="J525" s="191">
        <v>0.95</v>
      </c>
      <c r="K525" s="192" t="s">
        <v>380</v>
      </c>
      <c r="L525" s="193" t="s">
        <v>396</v>
      </c>
      <c r="M525" s="193" t="s">
        <v>309</v>
      </c>
      <c r="N525" s="193"/>
      <c r="O525" s="193"/>
      <c r="P525" s="193" t="s">
        <v>381</v>
      </c>
      <c r="Q525" s="193" t="s">
        <v>295</v>
      </c>
      <c r="R525" s="192" t="s">
        <v>379</v>
      </c>
      <c r="S525" s="181"/>
      <c r="T525" s="181" t="s">
        <v>381</v>
      </c>
      <c r="U525" s="181" t="s">
        <v>295</v>
      </c>
      <c r="V525" s="199" t="s">
        <v>379</v>
      </c>
    </row>
    <row r="526" spans="1:22" outlineLevel="1">
      <c r="A526" s="199" t="s">
        <v>273</v>
      </c>
      <c r="B526" s="181" t="s">
        <v>747</v>
      </c>
      <c r="C526" s="190">
        <v>43585</v>
      </c>
      <c r="D526" s="199" t="s">
        <v>1237</v>
      </c>
      <c r="E526" s="182" t="s">
        <v>1243</v>
      </c>
      <c r="F526" s="183">
        <v>75701</v>
      </c>
      <c r="G526" s="184">
        <v>1.84</v>
      </c>
      <c r="H526" s="181">
        <v>2.4</v>
      </c>
      <c r="I526" s="181" t="s">
        <v>292</v>
      </c>
      <c r="J526" s="191">
        <v>2.4</v>
      </c>
      <c r="K526" s="192" t="s">
        <v>380</v>
      </c>
      <c r="L526" s="193" t="s">
        <v>396</v>
      </c>
      <c r="M526" s="193" t="s">
        <v>309</v>
      </c>
      <c r="N526" s="193"/>
      <c r="O526" s="193"/>
      <c r="P526" s="193" t="s">
        <v>381</v>
      </c>
      <c r="Q526" s="193" t="s">
        <v>295</v>
      </c>
      <c r="R526" s="192" t="s">
        <v>379</v>
      </c>
      <c r="S526" s="181"/>
      <c r="T526" s="181" t="s">
        <v>381</v>
      </c>
      <c r="U526" s="181" t="s">
        <v>295</v>
      </c>
      <c r="V526" s="199" t="s">
        <v>379</v>
      </c>
    </row>
    <row r="527" spans="1:22" outlineLevel="1">
      <c r="A527" s="199" t="s">
        <v>273</v>
      </c>
      <c r="B527" s="181" t="s">
        <v>747</v>
      </c>
      <c r="C527" s="190">
        <v>43585</v>
      </c>
      <c r="D527" s="199" t="s">
        <v>1237</v>
      </c>
      <c r="E527" s="182" t="s">
        <v>1243</v>
      </c>
      <c r="F527" s="183">
        <v>75701</v>
      </c>
      <c r="G527" s="184">
        <v>1.92</v>
      </c>
      <c r="H527" s="181">
        <v>2.5</v>
      </c>
      <c r="I527" s="181" t="s">
        <v>292</v>
      </c>
      <c r="J527" s="191">
        <v>2.5</v>
      </c>
      <c r="K527" s="192" t="s">
        <v>380</v>
      </c>
      <c r="L527" s="193" t="s">
        <v>396</v>
      </c>
      <c r="M527" s="193" t="s">
        <v>309</v>
      </c>
      <c r="N527" s="193"/>
      <c r="O527" s="193"/>
      <c r="P527" s="193" t="s">
        <v>381</v>
      </c>
      <c r="Q527" s="193" t="s">
        <v>295</v>
      </c>
      <c r="R527" s="192" t="s">
        <v>379</v>
      </c>
      <c r="S527" s="181"/>
      <c r="T527" s="181" t="s">
        <v>381</v>
      </c>
      <c r="U527" s="181" t="s">
        <v>295</v>
      </c>
      <c r="V527" s="199" t="s">
        <v>379</v>
      </c>
    </row>
    <row r="528" spans="1:22" outlineLevel="1">
      <c r="A528" s="199" t="s">
        <v>273</v>
      </c>
      <c r="B528" s="181" t="s">
        <v>747</v>
      </c>
      <c r="C528" s="190">
        <v>43585</v>
      </c>
      <c r="D528" s="199" t="s">
        <v>1237</v>
      </c>
      <c r="E528" s="182" t="s">
        <v>1239</v>
      </c>
      <c r="F528" s="183">
        <v>75701</v>
      </c>
      <c r="G528" s="184">
        <v>1.77</v>
      </c>
      <c r="H528" s="181">
        <v>2.31</v>
      </c>
      <c r="I528" s="181" t="s">
        <v>292</v>
      </c>
      <c r="J528" s="191">
        <v>2.31</v>
      </c>
      <c r="K528" s="192" t="s">
        <v>380</v>
      </c>
      <c r="L528" s="193" t="s">
        <v>396</v>
      </c>
      <c r="M528" s="193" t="s">
        <v>309</v>
      </c>
      <c r="N528" s="193"/>
      <c r="O528" s="193"/>
      <c r="P528" s="193" t="s">
        <v>381</v>
      </c>
      <c r="Q528" s="193" t="s">
        <v>295</v>
      </c>
      <c r="R528" s="192" t="s">
        <v>379</v>
      </c>
      <c r="S528" s="181"/>
      <c r="T528" s="181" t="s">
        <v>381</v>
      </c>
      <c r="U528" s="181" t="s">
        <v>295</v>
      </c>
      <c r="V528" s="199" t="s">
        <v>379</v>
      </c>
    </row>
    <row r="529" spans="1:22" outlineLevel="1">
      <c r="A529" s="199" t="s">
        <v>273</v>
      </c>
      <c r="B529" s="181" t="s">
        <v>747</v>
      </c>
      <c r="C529" s="190">
        <v>43585</v>
      </c>
      <c r="D529" s="199" t="s">
        <v>1237</v>
      </c>
      <c r="E529" s="182" t="s">
        <v>1239</v>
      </c>
      <c r="F529" s="183">
        <v>75701</v>
      </c>
      <c r="G529" s="184">
        <v>1.1000000000000001</v>
      </c>
      <c r="H529" s="181">
        <v>1.44</v>
      </c>
      <c r="I529" s="181" t="s">
        <v>292</v>
      </c>
      <c r="J529" s="191">
        <v>1.43</v>
      </c>
      <c r="K529" s="192" t="s">
        <v>380</v>
      </c>
      <c r="L529" s="193" t="s">
        <v>396</v>
      </c>
      <c r="M529" s="193" t="s">
        <v>309</v>
      </c>
      <c r="N529" s="193"/>
      <c r="O529" s="193"/>
      <c r="P529" s="193" t="s">
        <v>381</v>
      </c>
      <c r="Q529" s="193" t="s">
        <v>295</v>
      </c>
      <c r="R529" s="192" t="s">
        <v>379</v>
      </c>
      <c r="S529" s="181"/>
      <c r="T529" s="181" t="s">
        <v>381</v>
      </c>
      <c r="U529" s="181" t="s">
        <v>295</v>
      </c>
      <c r="V529" s="199" t="s">
        <v>379</v>
      </c>
    </row>
    <row r="530" spans="1:22" outlineLevel="1">
      <c r="A530" s="199" t="s">
        <v>273</v>
      </c>
      <c r="B530" s="181" t="s">
        <v>747</v>
      </c>
      <c r="C530" s="190">
        <v>43585</v>
      </c>
      <c r="D530" s="199" t="s">
        <v>1237</v>
      </c>
      <c r="E530" s="182" t="s">
        <v>1244</v>
      </c>
      <c r="F530" s="183">
        <v>75701</v>
      </c>
      <c r="G530" s="184">
        <v>17.510000000000002</v>
      </c>
      <c r="H530" s="181">
        <v>22.84</v>
      </c>
      <c r="I530" s="181" t="s">
        <v>292</v>
      </c>
      <c r="J530" s="191">
        <v>22.84</v>
      </c>
      <c r="K530" s="192" t="s">
        <v>380</v>
      </c>
      <c r="L530" s="193" t="s">
        <v>396</v>
      </c>
      <c r="M530" s="193" t="s">
        <v>309</v>
      </c>
      <c r="N530" s="193"/>
      <c r="O530" s="193"/>
      <c r="P530" s="193" t="s">
        <v>381</v>
      </c>
      <c r="Q530" s="193" t="s">
        <v>295</v>
      </c>
      <c r="R530" s="192" t="s">
        <v>379</v>
      </c>
      <c r="S530" s="181"/>
      <c r="T530" s="181" t="s">
        <v>381</v>
      </c>
      <c r="U530" s="181" t="s">
        <v>295</v>
      </c>
      <c r="V530" s="199" t="s">
        <v>379</v>
      </c>
    </row>
    <row r="531" spans="1:22" outlineLevel="1">
      <c r="A531" s="199" t="s">
        <v>273</v>
      </c>
      <c r="B531" s="181" t="s">
        <v>747</v>
      </c>
      <c r="C531" s="190">
        <v>43585</v>
      </c>
      <c r="D531" s="199" t="s">
        <v>1237</v>
      </c>
      <c r="E531" s="182" t="s">
        <v>1245</v>
      </c>
      <c r="F531" s="183">
        <v>75701</v>
      </c>
      <c r="G531" s="184">
        <v>2.09</v>
      </c>
      <c r="H531" s="181">
        <v>2.73</v>
      </c>
      <c r="I531" s="181" t="s">
        <v>292</v>
      </c>
      <c r="J531" s="191">
        <v>2.73</v>
      </c>
      <c r="K531" s="192" t="s">
        <v>380</v>
      </c>
      <c r="L531" s="193" t="s">
        <v>396</v>
      </c>
      <c r="M531" s="193" t="s">
        <v>309</v>
      </c>
      <c r="N531" s="193"/>
      <c r="O531" s="193"/>
      <c r="P531" s="193" t="s">
        <v>381</v>
      </c>
      <c r="Q531" s="193" t="s">
        <v>295</v>
      </c>
      <c r="R531" s="192" t="s">
        <v>379</v>
      </c>
      <c r="S531" s="181"/>
      <c r="T531" s="181" t="s">
        <v>381</v>
      </c>
      <c r="U531" s="181" t="s">
        <v>295</v>
      </c>
      <c r="V531" s="199" t="s">
        <v>379</v>
      </c>
    </row>
    <row r="532" spans="1:22" outlineLevel="1">
      <c r="A532" s="199" t="s">
        <v>273</v>
      </c>
      <c r="B532" s="181" t="s">
        <v>747</v>
      </c>
      <c r="C532" s="190">
        <v>43585</v>
      </c>
      <c r="D532" s="199" t="s">
        <v>1237</v>
      </c>
      <c r="E532" s="182" t="s">
        <v>1239</v>
      </c>
      <c r="F532" s="183">
        <v>75701</v>
      </c>
      <c r="G532" s="184">
        <v>0.4</v>
      </c>
      <c r="H532" s="181">
        <v>0.52</v>
      </c>
      <c r="I532" s="181" t="s">
        <v>292</v>
      </c>
      <c r="J532" s="191">
        <v>0.52</v>
      </c>
      <c r="K532" s="192" t="s">
        <v>380</v>
      </c>
      <c r="L532" s="193" t="s">
        <v>396</v>
      </c>
      <c r="M532" s="193" t="s">
        <v>309</v>
      </c>
      <c r="N532" s="193"/>
      <c r="O532" s="193"/>
      <c r="P532" s="193" t="s">
        <v>381</v>
      </c>
      <c r="Q532" s="193" t="s">
        <v>295</v>
      </c>
      <c r="R532" s="192" t="s">
        <v>379</v>
      </c>
      <c r="S532" s="181"/>
      <c r="T532" s="181" t="s">
        <v>381</v>
      </c>
      <c r="U532" s="181" t="s">
        <v>295</v>
      </c>
      <c r="V532" s="199" t="s">
        <v>379</v>
      </c>
    </row>
    <row r="533" spans="1:22" outlineLevel="1">
      <c r="A533" s="199" t="s">
        <v>273</v>
      </c>
      <c r="B533" s="181" t="s">
        <v>747</v>
      </c>
      <c r="C533" s="190">
        <v>43585</v>
      </c>
      <c r="D533" s="199" t="s">
        <v>1237</v>
      </c>
      <c r="E533" s="182" t="s">
        <v>1239</v>
      </c>
      <c r="F533" s="183">
        <v>75701</v>
      </c>
      <c r="G533" s="184">
        <v>0.18</v>
      </c>
      <c r="H533" s="181">
        <v>0.23</v>
      </c>
      <c r="I533" s="181" t="s">
        <v>292</v>
      </c>
      <c r="J533" s="191">
        <v>0.23</v>
      </c>
      <c r="K533" s="192" t="s">
        <v>380</v>
      </c>
      <c r="L533" s="193" t="s">
        <v>396</v>
      </c>
      <c r="M533" s="193" t="s">
        <v>309</v>
      </c>
      <c r="N533" s="193"/>
      <c r="O533" s="193"/>
      <c r="P533" s="193" t="s">
        <v>381</v>
      </c>
      <c r="Q533" s="193" t="s">
        <v>295</v>
      </c>
      <c r="R533" s="192" t="s">
        <v>379</v>
      </c>
      <c r="S533" s="181"/>
      <c r="T533" s="181" t="s">
        <v>381</v>
      </c>
      <c r="U533" s="181" t="s">
        <v>295</v>
      </c>
      <c r="V533" s="199" t="s">
        <v>379</v>
      </c>
    </row>
    <row r="534" spans="1:22" outlineLevel="1">
      <c r="A534" s="199" t="s">
        <v>273</v>
      </c>
      <c r="B534" s="181" t="s">
        <v>777</v>
      </c>
      <c r="C534" s="190">
        <v>43616</v>
      </c>
      <c r="D534" s="199" t="s">
        <v>1246</v>
      </c>
      <c r="E534" s="182" t="s">
        <v>1247</v>
      </c>
      <c r="F534" s="183">
        <v>75987</v>
      </c>
      <c r="G534" s="184">
        <v>5.3</v>
      </c>
      <c r="H534" s="181">
        <v>6.9</v>
      </c>
      <c r="I534" s="181" t="s">
        <v>292</v>
      </c>
      <c r="J534" s="191">
        <v>6.91</v>
      </c>
      <c r="K534" s="192" t="s">
        <v>380</v>
      </c>
      <c r="L534" s="193" t="s">
        <v>396</v>
      </c>
      <c r="M534" s="193" t="s">
        <v>309</v>
      </c>
      <c r="N534" s="193"/>
      <c r="O534" s="193"/>
      <c r="P534" s="193" t="s">
        <v>381</v>
      </c>
      <c r="Q534" s="193" t="s">
        <v>295</v>
      </c>
      <c r="R534" s="192" t="s">
        <v>379</v>
      </c>
      <c r="S534" s="181"/>
      <c r="T534" s="181" t="s">
        <v>381</v>
      </c>
      <c r="U534" s="181" t="s">
        <v>295</v>
      </c>
      <c r="V534" s="199" t="s">
        <v>379</v>
      </c>
    </row>
    <row r="535" spans="1:22" outlineLevel="1">
      <c r="A535" s="199" t="s">
        <v>273</v>
      </c>
      <c r="B535" s="181" t="s">
        <v>777</v>
      </c>
      <c r="C535" s="190">
        <v>43616</v>
      </c>
      <c r="D535" s="199" t="s">
        <v>1246</v>
      </c>
      <c r="E535" s="182" t="s">
        <v>1248</v>
      </c>
      <c r="F535" s="183">
        <v>75987</v>
      </c>
      <c r="G535" s="184">
        <v>1.83</v>
      </c>
      <c r="H535" s="181">
        <v>2.39</v>
      </c>
      <c r="I535" s="181" t="s">
        <v>292</v>
      </c>
      <c r="J535" s="191">
        <v>2.38</v>
      </c>
      <c r="K535" s="192" t="s">
        <v>380</v>
      </c>
      <c r="L535" s="193" t="s">
        <v>396</v>
      </c>
      <c r="M535" s="193" t="s">
        <v>309</v>
      </c>
      <c r="N535" s="193"/>
      <c r="O535" s="193"/>
      <c r="P535" s="193" t="s">
        <v>381</v>
      </c>
      <c r="Q535" s="193" t="s">
        <v>295</v>
      </c>
      <c r="R535" s="192" t="s">
        <v>379</v>
      </c>
      <c r="S535" s="181"/>
      <c r="T535" s="181" t="s">
        <v>381</v>
      </c>
      <c r="U535" s="181" t="s">
        <v>295</v>
      </c>
      <c r="V535" s="199" t="s">
        <v>379</v>
      </c>
    </row>
    <row r="536" spans="1:22" outlineLevel="1">
      <c r="A536" s="199" t="s">
        <v>273</v>
      </c>
      <c r="B536" s="181" t="s">
        <v>777</v>
      </c>
      <c r="C536" s="190">
        <v>43616</v>
      </c>
      <c r="D536" s="199" t="s">
        <v>1246</v>
      </c>
      <c r="E536" s="182" t="s">
        <v>1249</v>
      </c>
      <c r="F536" s="183">
        <v>75987</v>
      </c>
      <c r="G536" s="184">
        <v>1.0900000000000001</v>
      </c>
      <c r="H536" s="181">
        <v>1.42</v>
      </c>
      <c r="I536" s="181" t="s">
        <v>292</v>
      </c>
      <c r="J536" s="191">
        <v>1.42</v>
      </c>
      <c r="K536" s="192" t="s">
        <v>380</v>
      </c>
      <c r="L536" s="193" t="s">
        <v>396</v>
      </c>
      <c r="M536" s="193" t="s">
        <v>309</v>
      </c>
      <c r="N536" s="193"/>
      <c r="O536" s="193"/>
      <c r="P536" s="193" t="s">
        <v>381</v>
      </c>
      <c r="Q536" s="193" t="s">
        <v>295</v>
      </c>
      <c r="R536" s="192" t="s">
        <v>379</v>
      </c>
      <c r="S536" s="181"/>
      <c r="T536" s="181" t="s">
        <v>381</v>
      </c>
      <c r="U536" s="181" t="s">
        <v>295</v>
      </c>
      <c r="V536" s="199" t="s">
        <v>379</v>
      </c>
    </row>
    <row r="537" spans="1:22" outlineLevel="1">
      <c r="A537" s="199" t="s">
        <v>273</v>
      </c>
      <c r="B537" s="181" t="s">
        <v>777</v>
      </c>
      <c r="C537" s="190">
        <v>43616</v>
      </c>
      <c r="D537" s="199" t="s">
        <v>1246</v>
      </c>
      <c r="E537" s="182" t="s">
        <v>1248</v>
      </c>
      <c r="F537" s="183">
        <v>75987</v>
      </c>
      <c r="G537" s="184">
        <v>1.82</v>
      </c>
      <c r="H537" s="181">
        <v>2.37</v>
      </c>
      <c r="I537" s="181" t="s">
        <v>292</v>
      </c>
      <c r="J537" s="191">
        <v>2.37</v>
      </c>
      <c r="K537" s="192" t="s">
        <v>380</v>
      </c>
      <c r="L537" s="193" t="s">
        <v>396</v>
      </c>
      <c r="M537" s="193" t="s">
        <v>309</v>
      </c>
      <c r="N537" s="193"/>
      <c r="O537" s="193"/>
      <c r="P537" s="193" t="s">
        <v>381</v>
      </c>
      <c r="Q537" s="193" t="s">
        <v>295</v>
      </c>
      <c r="R537" s="192" t="s">
        <v>379</v>
      </c>
      <c r="S537" s="181"/>
      <c r="T537" s="181" t="s">
        <v>381</v>
      </c>
      <c r="U537" s="181" t="s">
        <v>295</v>
      </c>
      <c r="V537" s="199" t="s">
        <v>379</v>
      </c>
    </row>
    <row r="538" spans="1:22" outlineLevel="1">
      <c r="A538" s="199" t="s">
        <v>273</v>
      </c>
      <c r="B538" s="181" t="s">
        <v>777</v>
      </c>
      <c r="C538" s="190">
        <v>43616</v>
      </c>
      <c r="D538" s="199" t="s">
        <v>1246</v>
      </c>
      <c r="E538" s="182" t="s">
        <v>1250</v>
      </c>
      <c r="F538" s="183">
        <v>75987</v>
      </c>
      <c r="G538" s="184">
        <v>1.56</v>
      </c>
      <c r="H538" s="181">
        <v>2.0299999999999998</v>
      </c>
      <c r="I538" s="181" t="s">
        <v>292</v>
      </c>
      <c r="J538" s="191">
        <v>2.0299999999999998</v>
      </c>
      <c r="K538" s="192" t="s">
        <v>380</v>
      </c>
      <c r="L538" s="193" t="s">
        <v>396</v>
      </c>
      <c r="M538" s="193" t="s">
        <v>309</v>
      </c>
      <c r="N538" s="193"/>
      <c r="O538" s="193"/>
      <c r="P538" s="193" t="s">
        <v>381</v>
      </c>
      <c r="Q538" s="193" t="s">
        <v>295</v>
      </c>
      <c r="R538" s="192" t="s">
        <v>379</v>
      </c>
      <c r="S538" s="181"/>
      <c r="T538" s="181" t="s">
        <v>381</v>
      </c>
      <c r="U538" s="181" t="s">
        <v>295</v>
      </c>
      <c r="V538" s="199" t="s">
        <v>379</v>
      </c>
    </row>
    <row r="539" spans="1:22" outlineLevel="1">
      <c r="A539" s="199" t="s">
        <v>273</v>
      </c>
      <c r="B539" s="181" t="s">
        <v>777</v>
      </c>
      <c r="C539" s="190">
        <v>43616</v>
      </c>
      <c r="D539" s="199" t="s">
        <v>1246</v>
      </c>
      <c r="E539" s="182" t="s">
        <v>1251</v>
      </c>
      <c r="F539" s="183">
        <v>75987</v>
      </c>
      <c r="G539" s="184">
        <v>16.72</v>
      </c>
      <c r="H539" s="181">
        <v>21.78</v>
      </c>
      <c r="I539" s="181" t="s">
        <v>292</v>
      </c>
      <c r="J539" s="191">
        <v>21.79</v>
      </c>
      <c r="K539" s="192" t="s">
        <v>380</v>
      </c>
      <c r="L539" s="193" t="s">
        <v>396</v>
      </c>
      <c r="M539" s="193" t="s">
        <v>309</v>
      </c>
      <c r="N539" s="193"/>
      <c r="O539" s="193"/>
      <c r="P539" s="193" t="s">
        <v>381</v>
      </c>
      <c r="Q539" s="193" t="s">
        <v>295</v>
      </c>
      <c r="R539" s="192" t="s">
        <v>379</v>
      </c>
      <c r="S539" s="181"/>
      <c r="T539" s="181" t="s">
        <v>381</v>
      </c>
      <c r="U539" s="181" t="s">
        <v>295</v>
      </c>
      <c r="V539" s="199" t="s">
        <v>379</v>
      </c>
    </row>
    <row r="540" spans="1:22" outlineLevel="1">
      <c r="A540" s="199" t="s">
        <v>273</v>
      </c>
      <c r="B540" s="181" t="s">
        <v>777</v>
      </c>
      <c r="C540" s="190">
        <v>43616</v>
      </c>
      <c r="D540" s="199" t="s">
        <v>1246</v>
      </c>
      <c r="E540" s="182" t="s">
        <v>1252</v>
      </c>
      <c r="F540" s="183">
        <v>75987</v>
      </c>
      <c r="G540" s="184">
        <v>36.89</v>
      </c>
      <c r="H540" s="181">
        <v>48.07</v>
      </c>
      <c r="I540" s="181" t="s">
        <v>292</v>
      </c>
      <c r="J540" s="191">
        <v>48.07</v>
      </c>
      <c r="K540" s="192" t="s">
        <v>380</v>
      </c>
      <c r="L540" s="193" t="s">
        <v>396</v>
      </c>
      <c r="M540" s="193" t="s">
        <v>309</v>
      </c>
      <c r="N540" s="193"/>
      <c r="O540" s="193"/>
      <c r="P540" s="193" t="s">
        <v>381</v>
      </c>
      <c r="Q540" s="193" t="s">
        <v>295</v>
      </c>
      <c r="R540" s="192" t="s">
        <v>379</v>
      </c>
      <c r="S540" s="181"/>
      <c r="T540" s="181" t="s">
        <v>381</v>
      </c>
      <c r="U540" s="181" t="s">
        <v>295</v>
      </c>
      <c r="V540" s="199" t="s">
        <v>379</v>
      </c>
    </row>
    <row r="541" spans="1:22" outlineLevel="1">
      <c r="A541" s="199" t="s">
        <v>273</v>
      </c>
      <c r="B541" s="181" t="s">
        <v>777</v>
      </c>
      <c r="C541" s="190">
        <v>43616</v>
      </c>
      <c r="D541" s="199" t="s">
        <v>1246</v>
      </c>
      <c r="E541" s="182" t="s">
        <v>1252</v>
      </c>
      <c r="F541" s="183">
        <v>75987</v>
      </c>
      <c r="G541" s="184">
        <v>2.23</v>
      </c>
      <c r="H541" s="181">
        <v>2.9</v>
      </c>
      <c r="I541" s="181" t="s">
        <v>292</v>
      </c>
      <c r="J541" s="191">
        <v>2.91</v>
      </c>
      <c r="K541" s="192" t="s">
        <v>380</v>
      </c>
      <c r="L541" s="193" t="s">
        <v>396</v>
      </c>
      <c r="M541" s="193" t="s">
        <v>309</v>
      </c>
      <c r="N541" s="193"/>
      <c r="O541" s="193"/>
      <c r="P541" s="193" t="s">
        <v>381</v>
      </c>
      <c r="Q541" s="193" t="s">
        <v>295</v>
      </c>
      <c r="R541" s="192" t="s">
        <v>379</v>
      </c>
      <c r="S541" s="181"/>
      <c r="T541" s="181" t="s">
        <v>381</v>
      </c>
      <c r="U541" s="181" t="s">
        <v>295</v>
      </c>
      <c r="V541" s="199" t="s">
        <v>379</v>
      </c>
    </row>
    <row r="542" spans="1:22" outlineLevel="1">
      <c r="A542" s="199" t="s">
        <v>273</v>
      </c>
      <c r="B542" s="181" t="s">
        <v>777</v>
      </c>
      <c r="C542" s="190">
        <v>43616</v>
      </c>
      <c r="D542" s="199" t="s">
        <v>1246</v>
      </c>
      <c r="E542" s="182" t="s">
        <v>1253</v>
      </c>
      <c r="F542" s="183">
        <v>75987</v>
      </c>
      <c r="G542" s="184">
        <v>4.99</v>
      </c>
      <c r="H542" s="181">
        <v>6.5</v>
      </c>
      <c r="I542" s="181" t="s">
        <v>292</v>
      </c>
      <c r="J542" s="191">
        <v>6.5</v>
      </c>
      <c r="K542" s="192" t="s">
        <v>380</v>
      </c>
      <c r="L542" s="193" t="s">
        <v>396</v>
      </c>
      <c r="M542" s="193" t="s">
        <v>309</v>
      </c>
      <c r="N542" s="193"/>
      <c r="O542" s="193"/>
      <c r="P542" s="193" t="s">
        <v>381</v>
      </c>
      <c r="Q542" s="193" t="s">
        <v>295</v>
      </c>
      <c r="R542" s="192" t="s">
        <v>379</v>
      </c>
      <c r="S542" s="181"/>
      <c r="T542" s="181" t="s">
        <v>381</v>
      </c>
      <c r="U542" s="181" t="s">
        <v>295</v>
      </c>
      <c r="V542" s="199" t="s">
        <v>379</v>
      </c>
    </row>
    <row r="543" spans="1:22" outlineLevel="1">
      <c r="A543" s="199" t="s">
        <v>273</v>
      </c>
      <c r="B543" s="181" t="s">
        <v>777</v>
      </c>
      <c r="C543" s="190">
        <v>43616</v>
      </c>
      <c r="D543" s="199" t="s">
        <v>1246</v>
      </c>
      <c r="E543" s="182" t="s">
        <v>1251</v>
      </c>
      <c r="F543" s="183">
        <v>75987</v>
      </c>
      <c r="G543" s="184">
        <v>14.34</v>
      </c>
      <c r="H543" s="181">
        <v>18.690000000000001</v>
      </c>
      <c r="I543" s="181" t="s">
        <v>292</v>
      </c>
      <c r="J543" s="191">
        <v>18.68</v>
      </c>
      <c r="K543" s="192" t="s">
        <v>380</v>
      </c>
      <c r="L543" s="193" t="s">
        <v>396</v>
      </c>
      <c r="M543" s="193" t="s">
        <v>309</v>
      </c>
      <c r="N543" s="193"/>
      <c r="O543" s="193"/>
      <c r="P543" s="193" t="s">
        <v>381</v>
      </c>
      <c r="Q543" s="193" t="s">
        <v>295</v>
      </c>
      <c r="R543" s="192" t="s">
        <v>379</v>
      </c>
      <c r="S543" s="181"/>
      <c r="T543" s="181" t="s">
        <v>381</v>
      </c>
      <c r="U543" s="181" t="s">
        <v>295</v>
      </c>
      <c r="V543" s="199" t="s">
        <v>379</v>
      </c>
    </row>
    <row r="544" spans="1:22" outlineLevel="1">
      <c r="A544" s="199" t="s">
        <v>273</v>
      </c>
      <c r="B544" s="181" t="s">
        <v>777</v>
      </c>
      <c r="C544" s="190">
        <v>43616</v>
      </c>
      <c r="D544" s="199" t="s">
        <v>1246</v>
      </c>
      <c r="E544" s="182" t="s">
        <v>1252</v>
      </c>
      <c r="F544" s="183">
        <v>75987</v>
      </c>
      <c r="G544" s="184">
        <v>1.87</v>
      </c>
      <c r="H544" s="181">
        <v>2.4300000000000002</v>
      </c>
      <c r="I544" s="181" t="s">
        <v>292</v>
      </c>
      <c r="J544" s="191">
        <v>2.44</v>
      </c>
      <c r="K544" s="192" t="s">
        <v>380</v>
      </c>
      <c r="L544" s="193" t="s">
        <v>396</v>
      </c>
      <c r="M544" s="193" t="s">
        <v>309</v>
      </c>
      <c r="N544" s="193"/>
      <c r="O544" s="193"/>
      <c r="P544" s="193" t="s">
        <v>381</v>
      </c>
      <c r="Q544" s="193" t="s">
        <v>295</v>
      </c>
      <c r="R544" s="192" t="s">
        <v>379</v>
      </c>
      <c r="S544" s="181"/>
      <c r="T544" s="181" t="s">
        <v>381</v>
      </c>
      <c r="U544" s="181" t="s">
        <v>295</v>
      </c>
      <c r="V544" s="199" t="s">
        <v>379</v>
      </c>
    </row>
    <row r="545" spans="1:22" outlineLevel="1">
      <c r="A545" s="199" t="s">
        <v>273</v>
      </c>
      <c r="B545" s="181" t="s">
        <v>777</v>
      </c>
      <c r="C545" s="190">
        <v>43616</v>
      </c>
      <c r="D545" s="199" t="s">
        <v>1246</v>
      </c>
      <c r="E545" s="182" t="s">
        <v>1249</v>
      </c>
      <c r="F545" s="183">
        <v>75987</v>
      </c>
      <c r="G545" s="184">
        <v>1.06</v>
      </c>
      <c r="H545" s="181">
        <v>1.38</v>
      </c>
      <c r="I545" s="181" t="s">
        <v>292</v>
      </c>
      <c r="J545" s="191">
        <v>1.38</v>
      </c>
      <c r="K545" s="192" t="s">
        <v>380</v>
      </c>
      <c r="L545" s="193" t="s">
        <v>396</v>
      </c>
      <c r="M545" s="193" t="s">
        <v>309</v>
      </c>
      <c r="N545" s="193"/>
      <c r="O545" s="193"/>
      <c r="P545" s="193" t="s">
        <v>381</v>
      </c>
      <c r="Q545" s="193" t="s">
        <v>295</v>
      </c>
      <c r="R545" s="192" t="s">
        <v>379</v>
      </c>
      <c r="S545" s="181"/>
      <c r="T545" s="181" t="s">
        <v>381</v>
      </c>
      <c r="U545" s="181" t="s">
        <v>295</v>
      </c>
      <c r="V545" s="199" t="s">
        <v>379</v>
      </c>
    </row>
    <row r="546" spans="1:22" outlineLevel="1">
      <c r="A546" s="199" t="s">
        <v>273</v>
      </c>
      <c r="B546" s="181" t="s">
        <v>777</v>
      </c>
      <c r="C546" s="190">
        <v>43616</v>
      </c>
      <c r="D546" s="199" t="s">
        <v>1246</v>
      </c>
      <c r="E546" s="182" t="s">
        <v>1249</v>
      </c>
      <c r="F546" s="183">
        <v>75987</v>
      </c>
      <c r="G546" s="184">
        <v>0.38</v>
      </c>
      <c r="H546" s="181">
        <v>0.49</v>
      </c>
      <c r="I546" s="181" t="s">
        <v>292</v>
      </c>
      <c r="J546" s="191">
        <v>0.5</v>
      </c>
      <c r="K546" s="192" t="s">
        <v>380</v>
      </c>
      <c r="L546" s="193" t="s">
        <v>396</v>
      </c>
      <c r="M546" s="193" t="s">
        <v>309</v>
      </c>
      <c r="N546" s="193"/>
      <c r="O546" s="193"/>
      <c r="P546" s="193" t="s">
        <v>381</v>
      </c>
      <c r="Q546" s="193" t="s">
        <v>295</v>
      </c>
      <c r="R546" s="192" t="s">
        <v>379</v>
      </c>
      <c r="S546" s="181"/>
      <c r="T546" s="181" t="s">
        <v>381</v>
      </c>
      <c r="U546" s="181" t="s">
        <v>295</v>
      </c>
      <c r="V546" s="199" t="s">
        <v>379</v>
      </c>
    </row>
    <row r="547" spans="1:22" outlineLevel="1">
      <c r="A547" s="199" t="s">
        <v>273</v>
      </c>
      <c r="B547" s="181" t="s">
        <v>777</v>
      </c>
      <c r="C547" s="190">
        <v>43616</v>
      </c>
      <c r="D547" s="199" t="s">
        <v>1246</v>
      </c>
      <c r="E547" s="182" t="s">
        <v>1249</v>
      </c>
      <c r="F547" s="183">
        <v>75987</v>
      </c>
      <c r="G547" s="184">
        <v>1.83</v>
      </c>
      <c r="H547" s="181">
        <v>2.38</v>
      </c>
      <c r="I547" s="181" t="s">
        <v>292</v>
      </c>
      <c r="J547" s="191">
        <v>2.38</v>
      </c>
      <c r="K547" s="192" t="s">
        <v>380</v>
      </c>
      <c r="L547" s="193" t="s">
        <v>396</v>
      </c>
      <c r="M547" s="193" t="s">
        <v>309</v>
      </c>
      <c r="N547" s="193"/>
      <c r="O547" s="193"/>
      <c r="P547" s="193" t="s">
        <v>381</v>
      </c>
      <c r="Q547" s="193" t="s">
        <v>295</v>
      </c>
      <c r="R547" s="192" t="s">
        <v>379</v>
      </c>
      <c r="S547" s="181"/>
      <c r="T547" s="181" t="s">
        <v>381</v>
      </c>
      <c r="U547" s="181" t="s">
        <v>295</v>
      </c>
      <c r="V547" s="199" t="s">
        <v>379</v>
      </c>
    </row>
    <row r="548" spans="1:22" outlineLevel="1">
      <c r="A548" s="199" t="s">
        <v>273</v>
      </c>
      <c r="B548" s="181" t="s">
        <v>777</v>
      </c>
      <c r="C548" s="190">
        <v>43616</v>
      </c>
      <c r="D548" s="199" t="s">
        <v>1246</v>
      </c>
      <c r="E548" s="182" t="s">
        <v>1249</v>
      </c>
      <c r="F548" s="183">
        <v>75987</v>
      </c>
      <c r="G548" s="184">
        <v>2.0699999999999998</v>
      </c>
      <c r="H548" s="181">
        <v>2.7</v>
      </c>
      <c r="I548" s="181" t="s">
        <v>292</v>
      </c>
      <c r="J548" s="191">
        <v>2.7</v>
      </c>
      <c r="K548" s="192" t="s">
        <v>380</v>
      </c>
      <c r="L548" s="193" t="s">
        <v>396</v>
      </c>
      <c r="M548" s="193" t="s">
        <v>309</v>
      </c>
      <c r="N548" s="193"/>
      <c r="O548" s="193"/>
      <c r="P548" s="193" t="s">
        <v>381</v>
      </c>
      <c r="Q548" s="193" t="s">
        <v>295</v>
      </c>
      <c r="R548" s="192" t="s">
        <v>379</v>
      </c>
      <c r="S548" s="181"/>
      <c r="T548" s="181" t="s">
        <v>381</v>
      </c>
      <c r="U548" s="181" t="s">
        <v>295</v>
      </c>
      <c r="V548" s="199" t="s">
        <v>379</v>
      </c>
    </row>
    <row r="549" spans="1:22" outlineLevel="1">
      <c r="A549" s="199" t="s">
        <v>273</v>
      </c>
      <c r="B549" s="181" t="s">
        <v>777</v>
      </c>
      <c r="C549" s="190">
        <v>43616</v>
      </c>
      <c r="D549" s="199" t="s">
        <v>1246</v>
      </c>
      <c r="E549" s="182" t="s">
        <v>1254</v>
      </c>
      <c r="F549" s="183">
        <v>75987</v>
      </c>
      <c r="G549" s="184">
        <v>13.88</v>
      </c>
      <c r="H549" s="181">
        <v>18.079999999999998</v>
      </c>
      <c r="I549" s="181" t="s">
        <v>292</v>
      </c>
      <c r="J549" s="191">
        <v>18.079999999999998</v>
      </c>
      <c r="K549" s="192" t="s">
        <v>380</v>
      </c>
      <c r="L549" s="193" t="s">
        <v>396</v>
      </c>
      <c r="M549" s="193" t="s">
        <v>309</v>
      </c>
      <c r="N549" s="193"/>
      <c r="O549" s="193"/>
      <c r="P549" s="193" t="s">
        <v>381</v>
      </c>
      <c r="Q549" s="193" t="s">
        <v>295</v>
      </c>
      <c r="R549" s="192" t="s">
        <v>379</v>
      </c>
      <c r="S549" s="181"/>
      <c r="T549" s="181" t="s">
        <v>381</v>
      </c>
      <c r="U549" s="181" t="s">
        <v>295</v>
      </c>
      <c r="V549" s="199" t="s">
        <v>379</v>
      </c>
    </row>
    <row r="550" spans="1:22" outlineLevel="1">
      <c r="A550" s="199" t="s">
        <v>273</v>
      </c>
      <c r="B550" s="181" t="s">
        <v>777</v>
      </c>
      <c r="C550" s="190">
        <v>43616</v>
      </c>
      <c r="D550" s="199" t="s">
        <v>1246</v>
      </c>
      <c r="E550" s="182" t="s">
        <v>1255</v>
      </c>
      <c r="F550" s="183">
        <v>75987</v>
      </c>
      <c r="G550" s="184">
        <v>19.63</v>
      </c>
      <c r="H550" s="181">
        <v>25.58</v>
      </c>
      <c r="I550" s="181" t="s">
        <v>292</v>
      </c>
      <c r="J550" s="191">
        <v>25.58</v>
      </c>
      <c r="K550" s="192" t="s">
        <v>380</v>
      </c>
      <c r="L550" s="193" t="s">
        <v>396</v>
      </c>
      <c r="M550" s="193" t="s">
        <v>309</v>
      </c>
      <c r="N550" s="193"/>
      <c r="O550" s="193"/>
      <c r="P550" s="193" t="s">
        <v>381</v>
      </c>
      <c r="Q550" s="193" t="s">
        <v>295</v>
      </c>
      <c r="R550" s="192" t="s">
        <v>379</v>
      </c>
      <c r="S550" s="181"/>
      <c r="T550" s="181" t="s">
        <v>381</v>
      </c>
      <c r="U550" s="181" t="s">
        <v>295</v>
      </c>
      <c r="V550" s="199" t="s">
        <v>379</v>
      </c>
    </row>
    <row r="551" spans="1:22" outlineLevel="1">
      <c r="A551" s="199" t="s">
        <v>273</v>
      </c>
      <c r="B551" s="181" t="s">
        <v>777</v>
      </c>
      <c r="C551" s="190">
        <v>43616</v>
      </c>
      <c r="D551" s="199" t="s">
        <v>1246</v>
      </c>
      <c r="E551" s="182" t="s">
        <v>1256</v>
      </c>
      <c r="F551" s="183">
        <v>75987</v>
      </c>
      <c r="G551" s="184">
        <v>32.46</v>
      </c>
      <c r="H551" s="181">
        <v>42.3</v>
      </c>
      <c r="I551" s="181" t="s">
        <v>292</v>
      </c>
      <c r="J551" s="191">
        <v>42.29</v>
      </c>
      <c r="K551" s="192" t="s">
        <v>380</v>
      </c>
      <c r="L551" s="193" t="s">
        <v>396</v>
      </c>
      <c r="M551" s="193" t="s">
        <v>309</v>
      </c>
      <c r="N551" s="193"/>
      <c r="O551" s="193"/>
      <c r="P551" s="193" t="s">
        <v>381</v>
      </c>
      <c r="Q551" s="193" t="s">
        <v>295</v>
      </c>
      <c r="R551" s="192" t="s">
        <v>379</v>
      </c>
      <c r="S551" s="181"/>
      <c r="T551" s="181" t="s">
        <v>381</v>
      </c>
      <c r="U551" s="181" t="s">
        <v>295</v>
      </c>
      <c r="V551" s="199" t="s">
        <v>379</v>
      </c>
    </row>
    <row r="552" spans="1:22" outlineLevel="1">
      <c r="A552" s="199" t="s">
        <v>273</v>
      </c>
      <c r="B552" s="181" t="s">
        <v>777</v>
      </c>
      <c r="C552" s="190">
        <v>43616</v>
      </c>
      <c r="D552" s="199" t="s">
        <v>1246</v>
      </c>
      <c r="E552" s="182" t="s">
        <v>1256</v>
      </c>
      <c r="F552" s="183">
        <v>75987</v>
      </c>
      <c r="G552" s="184">
        <v>359.63</v>
      </c>
      <c r="H552" s="181">
        <v>468.58</v>
      </c>
      <c r="I552" s="181" t="s">
        <v>292</v>
      </c>
      <c r="J552" s="191">
        <v>468.58</v>
      </c>
      <c r="K552" s="192" t="s">
        <v>380</v>
      </c>
      <c r="L552" s="193" t="s">
        <v>396</v>
      </c>
      <c r="M552" s="193" t="s">
        <v>309</v>
      </c>
      <c r="N552" s="193"/>
      <c r="O552" s="193"/>
      <c r="P552" s="193" t="s">
        <v>381</v>
      </c>
      <c r="Q552" s="193" t="s">
        <v>295</v>
      </c>
      <c r="R552" s="192" t="s">
        <v>379</v>
      </c>
      <c r="S552" s="181"/>
      <c r="T552" s="181" t="s">
        <v>381</v>
      </c>
      <c r="U552" s="181" t="s">
        <v>295</v>
      </c>
      <c r="V552" s="199" t="s">
        <v>379</v>
      </c>
    </row>
    <row r="553" spans="1:22" outlineLevel="1">
      <c r="A553" s="199" t="s">
        <v>273</v>
      </c>
      <c r="B553" s="181" t="s">
        <v>748</v>
      </c>
      <c r="C553" s="190">
        <v>43650</v>
      </c>
      <c r="D553" s="199" t="s">
        <v>745</v>
      </c>
      <c r="E553" s="182" t="s">
        <v>372</v>
      </c>
      <c r="F553" s="183">
        <v>76193</v>
      </c>
      <c r="G553" s="184">
        <v>7.1</v>
      </c>
      <c r="H553" s="181">
        <v>9.06</v>
      </c>
      <c r="I553" s="181" t="s">
        <v>292</v>
      </c>
      <c r="J553" s="191">
        <v>8.9600000000000009</v>
      </c>
      <c r="K553" s="192" t="s">
        <v>380</v>
      </c>
      <c r="L553" s="193" t="s">
        <v>374</v>
      </c>
      <c r="M553" s="193" t="s">
        <v>309</v>
      </c>
      <c r="N553" s="193"/>
      <c r="O553" s="193"/>
      <c r="P553" s="193" t="s">
        <v>381</v>
      </c>
      <c r="Q553" s="193" t="s">
        <v>295</v>
      </c>
      <c r="R553" s="192" t="s">
        <v>379</v>
      </c>
      <c r="S553" s="181"/>
      <c r="T553" s="181" t="s">
        <v>381</v>
      </c>
      <c r="U553" s="181" t="s">
        <v>295</v>
      </c>
      <c r="V553" s="199" t="s">
        <v>379</v>
      </c>
    </row>
    <row r="554" spans="1:22" outlineLevel="1">
      <c r="A554" s="199" t="s">
        <v>273</v>
      </c>
      <c r="B554" s="181" t="s">
        <v>748</v>
      </c>
      <c r="C554" s="190">
        <v>43644</v>
      </c>
      <c r="D554" s="199" t="s">
        <v>1257</v>
      </c>
      <c r="E554" s="182" t="s">
        <v>1258</v>
      </c>
      <c r="F554" s="183">
        <v>76250</v>
      </c>
      <c r="G554" s="184">
        <v>46.29</v>
      </c>
      <c r="H554" s="181">
        <v>58.43</v>
      </c>
      <c r="I554" s="181" t="s">
        <v>292</v>
      </c>
      <c r="J554" s="191">
        <v>58.43</v>
      </c>
      <c r="K554" s="192" t="s">
        <v>380</v>
      </c>
      <c r="L554" s="193" t="s">
        <v>400</v>
      </c>
      <c r="M554" s="193" t="s">
        <v>309</v>
      </c>
      <c r="N554" s="193"/>
      <c r="O554" s="193"/>
      <c r="P554" s="193" t="s">
        <v>381</v>
      </c>
      <c r="Q554" s="193" t="s">
        <v>295</v>
      </c>
      <c r="R554" s="192" t="s">
        <v>379</v>
      </c>
      <c r="S554" s="181"/>
      <c r="T554" s="181" t="s">
        <v>381</v>
      </c>
      <c r="U554" s="181" t="s">
        <v>295</v>
      </c>
      <c r="V554" s="199" t="s">
        <v>379</v>
      </c>
    </row>
    <row r="555" spans="1:22" outlineLevel="1">
      <c r="A555" s="199" t="s">
        <v>273</v>
      </c>
      <c r="B555" s="181" t="s">
        <v>748</v>
      </c>
      <c r="C555" s="190">
        <v>43644</v>
      </c>
      <c r="D555" s="199" t="s">
        <v>1257</v>
      </c>
      <c r="E555" s="182" t="s">
        <v>1259</v>
      </c>
      <c r="F555" s="183">
        <v>76250</v>
      </c>
      <c r="G555" s="184">
        <v>7.42</v>
      </c>
      <c r="H555" s="181">
        <v>9.36</v>
      </c>
      <c r="I555" s="181" t="s">
        <v>292</v>
      </c>
      <c r="J555" s="191">
        <v>9.3699999999999992</v>
      </c>
      <c r="K555" s="192" t="s">
        <v>380</v>
      </c>
      <c r="L555" s="193" t="s">
        <v>400</v>
      </c>
      <c r="M555" s="193" t="s">
        <v>309</v>
      </c>
      <c r="N555" s="193"/>
      <c r="O555" s="193"/>
      <c r="P555" s="193" t="s">
        <v>381</v>
      </c>
      <c r="Q555" s="193" t="s">
        <v>295</v>
      </c>
      <c r="R555" s="192" t="s">
        <v>379</v>
      </c>
      <c r="S555" s="181"/>
      <c r="T555" s="181" t="s">
        <v>381</v>
      </c>
      <c r="U555" s="181" t="s">
        <v>295</v>
      </c>
      <c r="V555" s="199" t="s">
        <v>379</v>
      </c>
    </row>
    <row r="556" spans="1:22" outlineLevel="1">
      <c r="A556" s="199" t="s">
        <v>273</v>
      </c>
      <c r="B556" s="181" t="s">
        <v>748</v>
      </c>
      <c r="C556" s="190">
        <v>43644</v>
      </c>
      <c r="D556" s="199" t="s">
        <v>1257</v>
      </c>
      <c r="E556" s="182" t="s">
        <v>1260</v>
      </c>
      <c r="F556" s="183">
        <v>76250</v>
      </c>
      <c r="G556" s="184">
        <v>7.54</v>
      </c>
      <c r="H556" s="181">
        <v>9.52</v>
      </c>
      <c r="I556" s="181" t="s">
        <v>292</v>
      </c>
      <c r="J556" s="191">
        <v>9.52</v>
      </c>
      <c r="K556" s="192" t="s">
        <v>380</v>
      </c>
      <c r="L556" s="193" t="s">
        <v>400</v>
      </c>
      <c r="M556" s="193" t="s">
        <v>309</v>
      </c>
      <c r="N556" s="193"/>
      <c r="O556" s="193"/>
      <c r="P556" s="193" t="s">
        <v>381</v>
      </c>
      <c r="Q556" s="193" t="s">
        <v>295</v>
      </c>
      <c r="R556" s="192" t="s">
        <v>379</v>
      </c>
      <c r="S556" s="181"/>
      <c r="T556" s="181" t="s">
        <v>381</v>
      </c>
      <c r="U556" s="181" t="s">
        <v>295</v>
      </c>
      <c r="V556" s="199" t="s">
        <v>379</v>
      </c>
    </row>
    <row r="557" spans="1:22" outlineLevel="1">
      <c r="A557" s="199" t="s">
        <v>273</v>
      </c>
      <c r="B557" s="181" t="s">
        <v>748</v>
      </c>
      <c r="C557" s="190">
        <v>43644</v>
      </c>
      <c r="D557" s="199" t="s">
        <v>1257</v>
      </c>
      <c r="E557" s="182" t="s">
        <v>1260</v>
      </c>
      <c r="F557" s="183">
        <v>76250</v>
      </c>
      <c r="G557" s="184">
        <v>1.24</v>
      </c>
      <c r="H557" s="181">
        <v>1.56</v>
      </c>
      <c r="I557" s="181" t="s">
        <v>292</v>
      </c>
      <c r="J557" s="191">
        <v>1.57</v>
      </c>
      <c r="K557" s="192" t="s">
        <v>380</v>
      </c>
      <c r="L557" s="193" t="s">
        <v>400</v>
      </c>
      <c r="M557" s="193" t="s">
        <v>309</v>
      </c>
      <c r="N557" s="193"/>
      <c r="O557" s="193"/>
      <c r="P557" s="193" t="s">
        <v>381</v>
      </c>
      <c r="Q557" s="193" t="s">
        <v>295</v>
      </c>
      <c r="R557" s="192" t="s">
        <v>379</v>
      </c>
      <c r="S557" s="181"/>
      <c r="T557" s="181" t="s">
        <v>381</v>
      </c>
      <c r="U557" s="181" t="s">
        <v>295</v>
      </c>
      <c r="V557" s="199" t="s">
        <v>379</v>
      </c>
    </row>
    <row r="558" spans="1:22" outlineLevel="1">
      <c r="A558" s="199" t="s">
        <v>273</v>
      </c>
      <c r="B558" s="181" t="s">
        <v>748</v>
      </c>
      <c r="C558" s="190">
        <v>43644</v>
      </c>
      <c r="D558" s="199" t="s">
        <v>1261</v>
      </c>
      <c r="E558" s="182" t="s">
        <v>1262</v>
      </c>
      <c r="F558" s="183">
        <v>76250</v>
      </c>
      <c r="G558" s="184">
        <v>12.41</v>
      </c>
      <c r="H558" s="181">
        <v>15.66</v>
      </c>
      <c r="I558" s="181" t="s">
        <v>292</v>
      </c>
      <c r="J558" s="191">
        <v>15.66</v>
      </c>
      <c r="K558" s="192" t="s">
        <v>380</v>
      </c>
      <c r="L558" s="193" t="s">
        <v>400</v>
      </c>
      <c r="M558" s="193" t="s">
        <v>309</v>
      </c>
      <c r="N558" s="193"/>
      <c r="O558" s="193"/>
      <c r="P558" s="193" t="s">
        <v>381</v>
      </c>
      <c r="Q558" s="193" t="s">
        <v>295</v>
      </c>
      <c r="R558" s="192" t="s">
        <v>379</v>
      </c>
      <c r="S558" s="181"/>
      <c r="T558" s="181" t="s">
        <v>381</v>
      </c>
      <c r="U558" s="181" t="s">
        <v>295</v>
      </c>
      <c r="V558" s="199" t="s">
        <v>379</v>
      </c>
    </row>
    <row r="559" spans="1:22" outlineLevel="1">
      <c r="A559" s="199" t="s">
        <v>273</v>
      </c>
      <c r="B559" s="181" t="s">
        <v>748</v>
      </c>
      <c r="C559" s="190">
        <v>43646</v>
      </c>
      <c r="D559" s="199" t="s">
        <v>1263</v>
      </c>
      <c r="E559" s="182" t="s">
        <v>1264</v>
      </c>
      <c r="F559" s="183">
        <v>76315</v>
      </c>
      <c r="G559" s="184">
        <v>4.5999999999999996</v>
      </c>
      <c r="H559" s="181">
        <v>5.8</v>
      </c>
      <c r="I559" s="181" t="s">
        <v>292</v>
      </c>
      <c r="J559" s="191">
        <v>5.81</v>
      </c>
      <c r="K559" s="192" t="s">
        <v>380</v>
      </c>
      <c r="L559" s="193" t="s">
        <v>396</v>
      </c>
      <c r="M559" s="193" t="s">
        <v>309</v>
      </c>
      <c r="N559" s="193"/>
      <c r="O559" s="193"/>
      <c r="P559" s="193" t="s">
        <v>381</v>
      </c>
      <c r="Q559" s="193" t="s">
        <v>295</v>
      </c>
      <c r="R559" s="192" t="s">
        <v>379</v>
      </c>
      <c r="S559" s="181"/>
      <c r="T559" s="181" t="s">
        <v>381</v>
      </c>
      <c r="U559" s="181" t="s">
        <v>295</v>
      </c>
      <c r="V559" s="199" t="s">
        <v>379</v>
      </c>
    </row>
    <row r="560" spans="1:22" outlineLevel="1">
      <c r="A560" s="199" t="s">
        <v>273</v>
      </c>
      <c r="B560" s="181" t="s">
        <v>748</v>
      </c>
      <c r="C560" s="190">
        <v>43646</v>
      </c>
      <c r="D560" s="199" t="s">
        <v>1263</v>
      </c>
      <c r="E560" s="182" t="s">
        <v>1265</v>
      </c>
      <c r="F560" s="183">
        <v>76315</v>
      </c>
      <c r="G560" s="184">
        <v>2.2999999999999998</v>
      </c>
      <c r="H560" s="181">
        <v>2.9</v>
      </c>
      <c r="I560" s="181" t="s">
        <v>292</v>
      </c>
      <c r="J560" s="191">
        <v>2.9</v>
      </c>
      <c r="K560" s="192" t="s">
        <v>380</v>
      </c>
      <c r="L560" s="193" t="s">
        <v>396</v>
      </c>
      <c r="M560" s="193" t="s">
        <v>309</v>
      </c>
      <c r="N560" s="193"/>
      <c r="O560" s="193"/>
      <c r="P560" s="193" t="s">
        <v>381</v>
      </c>
      <c r="Q560" s="193" t="s">
        <v>295</v>
      </c>
      <c r="R560" s="192" t="s">
        <v>379</v>
      </c>
      <c r="S560" s="181"/>
      <c r="T560" s="181" t="s">
        <v>381</v>
      </c>
      <c r="U560" s="181" t="s">
        <v>295</v>
      </c>
      <c r="V560" s="199" t="s">
        <v>379</v>
      </c>
    </row>
    <row r="561" spans="1:22" outlineLevel="1">
      <c r="A561" s="199" t="s">
        <v>273</v>
      </c>
      <c r="B561" s="181" t="s">
        <v>748</v>
      </c>
      <c r="C561" s="190">
        <v>43646</v>
      </c>
      <c r="D561" s="199" t="s">
        <v>1263</v>
      </c>
      <c r="E561" s="182" t="s">
        <v>1253</v>
      </c>
      <c r="F561" s="183">
        <v>76315</v>
      </c>
      <c r="G561" s="184">
        <v>10.62</v>
      </c>
      <c r="H561" s="181">
        <v>13.4</v>
      </c>
      <c r="I561" s="181" t="s">
        <v>292</v>
      </c>
      <c r="J561" s="191">
        <v>13.4</v>
      </c>
      <c r="K561" s="192" t="s">
        <v>380</v>
      </c>
      <c r="L561" s="193" t="s">
        <v>396</v>
      </c>
      <c r="M561" s="193" t="s">
        <v>309</v>
      </c>
      <c r="N561" s="193"/>
      <c r="O561" s="193"/>
      <c r="P561" s="193" t="s">
        <v>381</v>
      </c>
      <c r="Q561" s="193" t="s">
        <v>295</v>
      </c>
      <c r="R561" s="192" t="s">
        <v>379</v>
      </c>
      <c r="S561" s="181"/>
      <c r="T561" s="181" t="s">
        <v>381</v>
      </c>
      <c r="U561" s="181" t="s">
        <v>295</v>
      </c>
      <c r="V561" s="199" t="s">
        <v>379</v>
      </c>
    </row>
    <row r="562" spans="1:22" outlineLevel="1">
      <c r="A562" s="199" t="s">
        <v>273</v>
      </c>
      <c r="B562" s="181" t="s">
        <v>748</v>
      </c>
      <c r="C562" s="190">
        <v>43646</v>
      </c>
      <c r="D562" s="199" t="s">
        <v>1263</v>
      </c>
      <c r="E562" s="182" t="s">
        <v>1253</v>
      </c>
      <c r="F562" s="183">
        <v>76315</v>
      </c>
      <c r="G562" s="184">
        <v>2.94</v>
      </c>
      <c r="H562" s="181">
        <v>3.71</v>
      </c>
      <c r="I562" s="181" t="s">
        <v>292</v>
      </c>
      <c r="J562" s="191">
        <v>3.71</v>
      </c>
      <c r="K562" s="192" t="s">
        <v>380</v>
      </c>
      <c r="L562" s="193" t="s">
        <v>396</v>
      </c>
      <c r="M562" s="193" t="s">
        <v>309</v>
      </c>
      <c r="N562" s="193"/>
      <c r="O562" s="193"/>
      <c r="P562" s="193" t="s">
        <v>381</v>
      </c>
      <c r="Q562" s="193" t="s">
        <v>295</v>
      </c>
      <c r="R562" s="192" t="s">
        <v>379</v>
      </c>
      <c r="S562" s="181"/>
      <c r="T562" s="181" t="s">
        <v>381</v>
      </c>
      <c r="U562" s="181" t="s">
        <v>295</v>
      </c>
      <c r="V562" s="199" t="s">
        <v>379</v>
      </c>
    </row>
    <row r="563" spans="1:22" outlineLevel="1">
      <c r="A563" s="199" t="s">
        <v>273</v>
      </c>
      <c r="B563" s="181" t="s">
        <v>748</v>
      </c>
      <c r="C563" s="190">
        <v>43646</v>
      </c>
      <c r="D563" s="199" t="s">
        <v>1263</v>
      </c>
      <c r="E563" s="182" t="s">
        <v>1266</v>
      </c>
      <c r="F563" s="183">
        <v>76315</v>
      </c>
      <c r="G563" s="184">
        <v>12.37</v>
      </c>
      <c r="H563" s="181">
        <v>15.62</v>
      </c>
      <c r="I563" s="181" t="s">
        <v>292</v>
      </c>
      <c r="J563" s="191">
        <v>15.61</v>
      </c>
      <c r="K563" s="192" t="s">
        <v>380</v>
      </c>
      <c r="L563" s="193" t="s">
        <v>396</v>
      </c>
      <c r="M563" s="193" t="s">
        <v>309</v>
      </c>
      <c r="N563" s="193"/>
      <c r="O563" s="193"/>
      <c r="P563" s="193" t="s">
        <v>381</v>
      </c>
      <c r="Q563" s="193" t="s">
        <v>295</v>
      </c>
      <c r="R563" s="192" t="s">
        <v>379</v>
      </c>
      <c r="S563" s="181"/>
      <c r="T563" s="181" t="s">
        <v>381</v>
      </c>
      <c r="U563" s="181" t="s">
        <v>295</v>
      </c>
      <c r="V563" s="199" t="s">
        <v>379</v>
      </c>
    </row>
    <row r="564" spans="1:22" outlineLevel="1">
      <c r="A564" s="199" t="s">
        <v>273</v>
      </c>
      <c r="B564" s="181" t="s">
        <v>748</v>
      </c>
      <c r="C564" s="190">
        <v>43646</v>
      </c>
      <c r="D564" s="199" t="s">
        <v>1263</v>
      </c>
      <c r="E564" s="182" t="s">
        <v>1267</v>
      </c>
      <c r="F564" s="183">
        <v>76315</v>
      </c>
      <c r="G564" s="184">
        <v>1.98</v>
      </c>
      <c r="H564" s="181">
        <v>2.5</v>
      </c>
      <c r="I564" s="181" t="s">
        <v>292</v>
      </c>
      <c r="J564" s="191">
        <v>2.5</v>
      </c>
      <c r="K564" s="192" t="s">
        <v>380</v>
      </c>
      <c r="L564" s="193" t="s">
        <v>396</v>
      </c>
      <c r="M564" s="193" t="s">
        <v>309</v>
      </c>
      <c r="N564" s="193"/>
      <c r="O564" s="193"/>
      <c r="P564" s="193" t="s">
        <v>381</v>
      </c>
      <c r="Q564" s="193" t="s">
        <v>295</v>
      </c>
      <c r="R564" s="192" t="s">
        <v>379</v>
      </c>
      <c r="S564" s="181"/>
      <c r="T564" s="181" t="s">
        <v>381</v>
      </c>
      <c r="U564" s="181" t="s">
        <v>295</v>
      </c>
      <c r="V564" s="199" t="s">
        <v>379</v>
      </c>
    </row>
    <row r="565" spans="1:22" outlineLevel="1">
      <c r="A565" s="199" t="s">
        <v>273</v>
      </c>
      <c r="B565" s="181" t="s">
        <v>748</v>
      </c>
      <c r="C565" s="190">
        <v>43646</v>
      </c>
      <c r="D565" s="199" t="s">
        <v>1263</v>
      </c>
      <c r="E565" s="182" t="s">
        <v>1268</v>
      </c>
      <c r="F565" s="183">
        <v>76315</v>
      </c>
      <c r="G565" s="184">
        <v>5</v>
      </c>
      <c r="H565" s="181">
        <v>6.31</v>
      </c>
      <c r="I565" s="181" t="s">
        <v>292</v>
      </c>
      <c r="J565" s="191">
        <v>6.31</v>
      </c>
      <c r="K565" s="192" t="s">
        <v>380</v>
      </c>
      <c r="L565" s="193" t="s">
        <v>396</v>
      </c>
      <c r="M565" s="193" t="s">
        <v>309</v>
      </c>
      <c r="N565" s="193"/>
      <c r="O565" s="193"/>
      <c r="P565" s="193" t="s">
        <v>381</v>
      </c>
      <c r="Q565" s="193" t="s">
        <v>295</v>
      </c>
      <c r="R565" s="192" t="s">
        <v>379</v>
      </c>
      <c r="S565" s="181"/>
      <c r="T565" s="181" t="s">
        <v>381</v>
      </c>
      <c r="U565" s="181" t="s">
        <v>295</v>
      </c>
      <c r="V565" s="199" t="s">
        <v>379</v>
      </c>
    </row>
    <row r="566" spans="1:22" outlineLevel="1">
      <c r="A566" s="199" t="s">
        <v>273</v>
      </c>
      <c r="B566" s="181" t="s">
        <v>748</v>
      </c>
      <c r="C566" s="190">
        <v>43646</v>
      </c>
      <c r="D566" s="199" t="s">
        <v>1263</v>
      </c>
      <c r="E566" s="182" t="s">
        <v>1269</v>
      </c>
      <c r="F566" s="183">
        <v>76315</v>
      </c>
      <c r="G566" s="184">
        <v>1.03</v>
      </c>
      <c r="H566" s="181">
        <v>1.3</v>
      </c>
      <c r="I566" s="181" t="s">
        <v>292</v>
      </c>
      <c r="J566" s="191">
        <v>1.3</v>
      </c>
      <c r="K566" s="192" t="s">
        <v>380</v>
      </c>
      <c r="L566" s="193" t="s">
        <v>396</v>
      </c>
      <c r="M566" s="193" t="s">
        <v>309</v>
      </c>
      <c r="N566" s="193"/>
      <c r="O566" s="193"/>
      <c r="P566" s="193" t="s">
        <v>381</v>
      </c>
      <c r="Q566" s="193" t="s">
        <v>295</v>
      </c>
      <c r="R566" s="192" t="s">
        <v>379</v>
      </c>
      <c r="S566" s="181"/>
      <c r="T566" s="181" t="s">
        <v>381</v>
      </c>
      <c r="U566" s="181" t="s">
        <v>295</v>
      </c>
      <c r="V566" s="199" t="s">
        <v>379</v>
      </c>
    </row>
    <row r="567" spans="1:22">
      <c r="A567" s="194" t="s">
        <v>378</v>
      </c>
      <c r="B567" s="194"/>
      <c r="C567" s="194"/>
      <c r="D567" s="194"/>
      <c r="E567" s="195"/>
      <c r="F567" s="196"/>
      <c r="G567" s="197">
        <f>SUM(G507:G566)</f>
        <v>1570.8899999999999</v>
      </c>
      <c r="H567" s="198">
        <f>SUM(H507:H566)</f>
        <v>1833.77</v>
      </c>
      <c r="I567" s="194"/>
      <c r="J567" s="198">
        <f>SUM(J507:J566)</f>
        <v>2042.9900000000005</v>
      </c>
      <c r="K567" s="194"/>
      <c r="L567" s="194"/>
      <c r="M567" s="194"/>
      <c r="N567" s="194"/>
      <c r="O567" s="194"/>
      <c r="P567" s="194"/>
      <c r="Q567" s="194"/>
      <c r="R567" s="194"/>
      <c r="S567" s="181"/>
      <c r="T567" s="181"/>
      <c r="U567" s="181"/>
      <c r="V567" s="181"/>
    </row>
    <row r="568" spans="1:22" outlineLevel="1">
      <c r="A568" s="199" t="s">
        <v>274</v>
      </c>
      <c r="B568" s="181" t="s">
        <v>748</v>
      </c>
      <c r="C568" s="190">
        <v>43646</v>
      </c>
      <c r="D568" s="199" t="s">
        <v>754</v>
      </c>
      <c r="E568" s="182" t="s">
        <v>1270</v>
      </c>
      <c r="F568" s="183">
        <v>76341</v>
      </c>
      <c r="G568" s="184">
        <v>225.97</v>
      </c>
      <c r="H568" s="181">
        <v>300</v>
      </c>
      <c r="I568" s="181" t="s">
        <v>292</v>
      </c>
      <c r="J568" s="191">
        <v>300</v>
      </c>
      <c r="K568" s="192" t="s">
        <v>1271</v>
      </c>
      <c r="L568" s="193" t="s">
        <v>396</v>
      </c>
      <c r="M568" s="193" t="s">
        <v>309</v>
      </c>
      <c r="N568" s="193"/>
      <c r="O568" s="193" t="s">
        <v>740</v>
      </c>
      <c r="P568" s="193" t="s">
        <v>381</v>
      </c>
      <c r="Q568" s="193" t="s">
        <v>295</v>
      </c>
      <c r="R568" s="192" t="s">
        <v>379</v>
      </c>
      <c r="S568" s="181" t="s">
        <v>740</v>
      </c>
      <c r="T568" s="181" t="s">
        <v>381</v>
      </c>
      <c r="U568" s="181" t="s">
        <v>295</v>
      </c>
      <c r="V568" s="199" t="s">
        <v>379</v>
      </c>
    </row>
    <row r="569" spans="1:22" outlineLevel="1">
      <c r="A569" s="199" t="s">
        <v>274</v>
      </c>
      <c r="B569" s="181" t="s">
        <v>748</v>
      </c>
      <c r="C569" s="190">
        <v>43646</v>
      </c>
      <c r="D569" s="199" t="s">
        <v>754</v>
      </c>
      <c r="E569" s="182" t="s">
        <v>1272</v>
      </c>
      <c r="F569" s="183">
        <v>76341</v>
      </c>
      <c r="G569" s="184">
        <v>225.97</v>
      </c>
      <c r="H569" s="181">
        <v>300</v>
      </c>
      <c r="I569" s="181" t="s">
        <v>292</v>
      </c>
      <c r="J569" s="191">
        <v>300</v>
      </c>
      <c r="K569" s="192" t="s">
        <v>1271</v>
      </c>
      <c r="L569" s="193" t="s">
        <v>396</v>
      </c>
      <c r="M569" s="193" t="s">
        <v>309</v>
      </c>
      <c r="N569" s="193"/>
      <c r="O569" s="193" t="s">
        <v>740</v>
      </c>
      <c r="P569" s="193" t="s">
        <v>381</v>
      </c>
      <c r="Q569" s="193" t="s">
        <v>295</v>
      </c>
      <c r="R569" s="192" t="s">
        <v>379</v>
      </c>
      <c r="S569" s="181" t="s">
        <v>740</v>
      </c>
      <c r="T569" s="181" t="s">
        <v>381</v>
      </c>
      <c r="U569" s="181" t="s">
        <v>295</v>
      </c>
      <c r="V569" s="199" t="s">
        <v>379</v>
      </c>
    </row>
    <row r="570" spans="1:22" outlineLevel="1">
      <c r="A570" s="199" t="s">
        <v>274</v>
      </c>
      <c r="B570" s="181" t="s">
        <v>748</v>
      </c>
      <c r="C570" s="190">
        <v>43646</v>
      </c>
      <c r="D570" s="199" t="s">
        <v>754</v>
      </c>
      <c r="E570" s="182" t="s">
        <v>1273</v>
      </c>
      <c r="F570" s="183">
        <v>76341</v>
      </c>
      <c r="G570" s="184">
        <v>225.97</v>
      </c>
      <c r="H570" s="181">
        <v>300</v>
      </c>
      <c r="I570" s="181" t="s">
        <v>292</v>
      </c>
      <c r="J570" s="191">
        <v>300</v>
      </c>
      <c r="K570" s="192" t="s">
        <v>1271</v>
      </c>
      <c r="L570" s="193" t="s">
        <v>396</v>
      </c>
      <c r="M570" s="193" t="s">
        <v>309</v>
      </c>
      <c r="N570" s="193"/>
      <c r="O570" s="193" t="s">
        <v>740</v>
      </c>
      <c r="P570" s="193" t="s">
        <v>381</v>
      </c>
      <c r="Q570" s="193" t="s">
        <v>295</v>
      </c>
      <c r="R570" s="192" t="s">
        <v>379</v>
      </c>
      <c r="S570" s="181" t="s">
        <v>740</v>
      </c>
      <c r="T570" s="181" t="s">
        <v>381</v>
      </c>
      <c r="U570" s="181" t="s">
        <v>295</v>
      </c>
      <c r="V570" s="199" t="s">
        <v>379</v>
      </c>
    </row>
    <row r="571" spans="1:22" outlineLevel="1">
      <c r="A571" s="199" t="s">
        <v>274</v>
      </c>
      <c r="B571" s="181" t="s">
        <v>748</v>
      </c>
      <c r="C571" s="190">
        <v>43646</v>
      </c>
      <c r="D571" s="199" t="s">
        <v>754</v>
      </c>
      <c r="E571" s="182" t="s">
        <v>1274</v>
      </c>
      <c r="F571" s="183">
        <v>76341</v>
      </c>
      <c r="G571" s="184">
        <v>225.97</v>
      </c>
      <c r="H571" s="181">
        <v>300</v>
      </c>
      <c r="I571" s="181" t="s">
        <v>292</v>
      </c>
      <c r="J571" s="191">
        <v>300</v>
      </c>
      <c r="K571" s="192" t="s">
        <v>1271</v>
      </c>
      <c r="L571" s="193" t="s">
        <v>396</v>
      </c>
      <c r="M571" s="193" t="s">
        <v>309</v>
      </c>
      <c r="N571" s="193"/>
      <c r="O571" s="193" t="s">
        <v>740</v>
      </c>
      <c r="P571" s="193" t="s">
        <v>381</v>
      </c>
      <c r="Q571" s="193" t="s">
        <v>295</v>
      </c>
      <c r="R571" s="192" t="s">
        <v>379</v>
      </c>
      <c r="S571" s="181" t="s">
        <v>740</v>
      </c>
      <c r="T571" s="181" t="s">
        <v>381</v>
      </c>
      <c r="U571" s="181" t="s">
        <v>295</v>
      </c>
      <c r="V571" s="199" t="s">
        <v>379</v>
      </c>
    </row>
    <row r="572" spans="1:22" outlineLevel="1">
      <c r="A572" s="199" t="s">
        <v>274</v>
      </c>
      <c r="B572" s="181" t="s">
        <v>748</v>
      </c>
      <c r="C572" s="190">
        <v>43646</v>
      </c>
      <c r="D572" s="199" t="s">
        <v>754</v>
      </c>
      <c r="E572" s="182" t="s">
        <v>1275</v>
      </c>
      <c r="F572" s="183">
        <v>76341</v>
      </c>
      <c r="G572" s="184">
        <v>338.95</v>
      </c>
      <c r="H572" s="181">
        <v>450</v>
      </c>
      <c r="I572" s="181" t="s">
        <v>292</v>
      </c>
      <c r="J572" s="191">
        <v>450</v>
      </c>
      <c r="K572" s="192" t="s">
        <v>1271</v>
      </c>
      <c r="L572" s="193" t="s">
        <v>396</v>
      </c>
      <c r="M572" s="193" t="s">
        <v>309</v>
      </c>
      <c r="N572" s="193"/>
      <c r="O572" s="193" t="s">
        <v>740</v>
      </c>
      <c r="P572" s="193" t="s">
        <v>381</v>
      </c>
      <c r="Q572" s="193" t="s">
        <v>295</v>
      </c>
      <c r="R572" s="192" t="s">
        <v>379</v>
      </c>
      <c r="S572" s="181" t="s">
        <v>740</v>
      </c>
      <c r="T572" s="181" t="s">
        <v>381</v>
      </c>
      <c r="U572" s="181" t="s">
        <v>295</v>
      </c>
      <c r="V572" s="199" t="s">
        <v>379</v>
      </c>
    </row>
    <row r="573" spans="1:22" outlineLevel="1">
      <c r="A573" s="199" t="s">
        <v>274</v>
      </c>
      <c r="B573" s="181" t="s">
        <v>748</v>
      </c>
      <c r="C573" s="190">
        <v>43646</v>
      </c>
      <c r="D573" s="199" t="s">
        <v>754</v>
      </c>
      <c r="E573" s="182" t="s">
        <v>1276</v>
      </c>
      <c r="F573" s="183">
        <v>76341</v>
      </c>
      <c r="G573" s="184">
        <v>564.91999999999996</v>
      </c>
      <c r="H573" s="181">
        <v>750</v>
      </c>
      <c r="I573" s="181" t="s">
        <v>292</v>
      </c>
      <c r="J573" s="191">
        <v>750</v>
      </c>
      <c r="K573" s="192" t="s">
        <v>1271</v>
      </c>
      <c r="L573" s="193" t="s">
        <v>396</v>
      </c>
      <c r="M573" s="193" t="s">
        <v>309</v>
      </c>
      <c r="N573" s="193"/>
      <c r="O573" s="193" t="s">
        <v>740</v>
      </c>
      <c r="P573" s="193" t="s">
        <v>381</v>
      </c>
      <c r="Q573" s="193" t="s">
        <v>295</v>
      </c>
      <c r="R573" s="192" t="s">
        <v>379</v>
      </c>
      <c r="S573" s="181" t="s">
        <v>740</v>
      </c>
      <c r="T573" s="181" t="s">
        <v>381</v>
      </c>
      <c r="U573" s="181" t="s">
        <v>295</v>
      </c>
      <c r="V573" s="199" t="s">
        <v>379</v>
      </c>
    </row>
    <row r="574" spans="1:22" outlineLevel="1">
      <c r="A574" s="199" t="s">
        <v>274</v>
      </c>
      <c r="B574" s="181" t="s">
        <v>748</v>
      </c>
      <c r="C574" s="190">
        <v>43646</v>
      </c>
      <c r="D574" s="199" t="s">
        <v>754</v>
      </c>
      <c r="E574" s="182" t="s">
        <v>1277</v>
      </c>
      <c r="F574" s="183">
        <v>76341</v>
      </c>
      <c r="G574" s="184">
        <v>101.69</v>
      </c>
      <c r="H574" s="181">
        <v>135</v>
      </c>
      <c r="I574" s="181" t="s">
        <v>292</v>
      </c>
      <c r="J574" s="191">
        <v>135</v>
      </c>
      <c r="K574" s="192" t="s">
        <v>1271</v>
      </c>
      <c r="L574" s="193" t="s">
        <v>396</v>
      </c>
      <c r="M574" s="193" t="s">
        <v>309</v>
      </c>
      <c r="N574" s="193"/>
      <c r="O574" s="193" t="s">
        <v>740</v>
      </c>
      <c r="P574" s="193" t="s">
        <v>381</v>
      </c>
      <c r="Q574" s="193" t="s">
        <v>295</v>
      </c>
      <c r="R574" s="192" t="s">
        <v>379</v>
      </c>
      <c r="S574" s="181" t="s">
        <v>740</v>
      </c>
      <c r="T574" s="181" t="s">
        <v>381</v>
      </c>
      <c r="U574" s="181" t="s">
        <v>295</v>
      </c>
      <c r="V574" s="199" t="s">
        <v>379</v>
      </c>
    </row>
    <row r="575" spans="1:22" outlineLevel="1">
      <c r="A575" s="199" t="s">
        <v>274</v>
      </c>
      <c r="B575" s="181" t="s">
        <v>748</v>
      </c>
      <c r="C575" s="190">
        <v>43646</v>
      </c>
      <c r="D575" s="199" t="s">
        <v>754</v>
      </c>
      <c r="E575" s="182" t="s">
        <v>1278</v>
      </c>
      <c r="F575" s="183">
        <v>76341</v>
      </c>
      <c r="G575" s="184">
        <v>225.97</v>
      </c>
      <c r="H575" s="181">
        <v>300</v>
      </c>
      <c r="I575" s="181" t="s">
        <v>292</v>
      </c>
      <c r="J575" s="191">
        <v>300</v>
      </c>
      <c r="K575" s="192" t="s">
        <v>1271</v>
      </c>
      <c r="L575" s="193" t="s">
        <v>396</v>
      </c>
      <c r="M575" s="193" t="s">
        <v>309</v>
      </c>
      <c r="N575" s="193"/>
      <c r="O575" s="193" t="s">
        <v>740</v>
      </c>
      <c r="P575" s="193" t="s">
        <v>381</v>
      </c>
      <c r="Q575" s="193" t="s">
        <v>295</v>
      </c>
      <c r="R575" s="192" t="s">
        <v>379</v>
      </c>
      <c r="S575" s="181" t="s">
        <v>740</v>
      </c>
      <c r="T575" s="181" t="s">
        <v>381</v>
      </c>
      <c r="U575" s="181" t="s">
        <v>295</v>
      </c>
      <c r="V575" s="199" t="s">
        <v>379</v>
      </c>
    </row>
    <row r="576" spans="1:22" outlineLevel="1">
      <c r="A576" s="199" t="s">
        <v>274</v>
      </c>
      <c r="B576" s="181" t="s">
        <v>748</v>
      </c>
      <c r="C576" s="190">
        <v>43646</v>
      </c>
      <c r="D576" s="199" t="s">
        <v>754</v>
      </c>
      <c r="E576" s="182" t="s">
        <v>1279</v>
      </c>
      <c r="F576" s="183">
        <v>76341</v>
      </c>
      <c r="G576" s="184">
        <v>225.97</v>
      </c>
      <c r="H576" s="181">
        <v>300</v>
      </c>
      <c r="I576" s="181" t="s">
        <v>292</v>
      </c>
      <c r="J576" s="191">
        <v>300</v>
      </c>
      <c r="K576" s="192" t="s">
        <v>1271</v>
      </c>
      <c r="L576" s="193" t="s">
        <v>396</v>
      </c>
      <c r="M576" s="193" t="s">
        <v>309</v>
      </c>
      <c r="N576" s="193"/>
      <c r="O576" s="193" t="s">
        <v>740</v>
      </c>
      <c r="P576" s="193" t="s">
        <v>381</v>
      </c>
      <c r="Q576" s="193" t="s">
        <v>295</v>
      </c>
      <c r="R576" s="192" t="s">
        <v>379</v>
      </c>
      <c r="S576" s="181" t="s">
        <v>740</v>
      </c>
      <c r="T576" s="181" t="s">
        <v>381</v>
      </c>
      <c r="U576" s="181" t="s">
        <v>295</v>
      </c>
      <c r="V576" s="199" t="s">
        <v>379</v>
      </c>
    </row>
    <row r="577" spans="1:22" outlineLevel="1">
      <c r="A577" s="199" t="s">
        <v>274</v>
      </c>
      <c r="B577" s="181" t="s">
        <v>748</v>
      </c>
      <c r="C577" s="190">
        <v>43646</v>
      </c>
      <c r="D577" s="199" t="s">
        <v>754</v>
      </c>
      <c r="E577" s="182" t="s">
        <v>1280</v>
      </c>
      <c r="F577" s="183">
        <v>76341</v>
      </c>
      <c r="G577" s="184">
        <v>225.97</v>
      </c>
      <c r="H577" s="181">
        <v>300</v>
      </c>
      <c r="I577" s="181" t="s">
        <v>292</v>
      </c>
      <c r="J577" s="191">
        <v>300</v>
      </c>
      <c r="K577" s="192" t="s">
        <v>1271</v>
      </c>
      <c r="L577" s="193" t="s">
        <v>396</v>
      </c>
      <c r="M577" s="193" t="s">
        <v>309</v>
      </c>
      <c r="N577" s="193"/>
      <c r="O577" s="193" t="s">
        <v>740</v>
      </c>
      <c r="P577" s="193" t="s">
        <v>381</v>
      </c>
      <c r="Q577" s="193" t="s">
        <v>295</v>
      </c>
      <c r="R577" s="192" t="s">
        <v>379</v>
      </c>
      <c r="S577" s="181" t="s">
        <v>740</v>
      </c>
      <c r="T577" s="181" t="s">
        <v>381</v>
      </c>
      <c r="U577" s="181" t="s">
        <v>295</v>
      </c>
      <c r="V577" s="199" t="s">
        <v>379</v>
      </c>
    </row>
    <row r="578" spans="1:22" outlineLevel="1">
      <c r="A578" s="199" t="s">
        <v>274</v>
      </c>
      <c r="B578" s="181" t="s">
        <v>748</v>
      </c>
      <c r="C578" s="190">
        <v>43646</v>
      </c>
      <c r="D578" s="199" t="s">
        <v>754</v>
      </c>
      <c r="E578" s="182" t="s">
        <v>1281</v>
      </c>
      <c r="F578" s="183">
        <v>76341</v>
      </c>
      <c r="G578" s="184">
        <v>225.97</v>
      </c>
      <c r="H578" s="181">
        <v>300</v>
      </c>
      <c r="I578" s="181" t="s">
        <v>292</v>
      </c>
      <c r="J578" s="191">
        <v>300</v>
      </c>
      <c r="K578" s="192" t="s">
        <v>1271</v>
      </c>
      <c r="L578" s="193" t="s">
        <v>396</v>
      </c>
      <c r="M578" s="193" t="s">
        <v>309</v>
      </c>
      <c r="N578" s="193"/>
      <c r="O578" s="193" t="s">
        <v>740</v>
      </c>
      <c r="P578" s="193" t="s">
        <v>381</v>
      </c>
      <c r="Q578" s="193" t="s">
        <v>295</v>
      </c>
      <c r="R578" s="192" t="s">
        <v>379</v>
      </c>
      <c r="S578" s="181" t="s">
        <v>740</v>
      </c>
      <c r="T578" s="181" t="s">
        <v>381</v>
      </c>
      <c r="U578" s="181" t="s">
        <v>295</v>
      </c>
      <c r="V578" s="199" t="s">
        <v>379</v>
      </c>
    </row>
    <row r="579" spans="1:22" outlineLevel="1">
      <c r="A579" s="199" t="s">
        <v>274</v>
      </c>
      <c r="B579" s="181" t="s">
        <v>748</v>
      </c>
      <c r="C579" s="190">
        <v>43646</v>
      </c>
      <c r="D579" s="199" t="s">
        <v>754</v>
      </c>
      <c r="E579" s="182" t="s">
        <v>1282</v>
      </c>
      <c r="F579" s="183">
        <v>76341</v>
      </c>
      <c r="G579" s="184">
        <v>338.95</v>
      </c>
      <c r="H579" s="181">
        <v>450</v>
      </c>
      <c r="I579" s="181" t="s">
        <v>292</v>
      </c>
      <c r="J579" s="191">
        <v>450</v>
      </c>
      <c r="K579" s="192" t="s">
        <v>1271</v>
      </c>
      <c r="L579" s="193" t="s">
        <v>396</v>
      </c>
      <c r="M579" s="193" t="s">
        <v>309</v>
      </c>
      <c r="N579" s="193"/>
      <c r="O579" s="193" t="s">
        <v>740</v>
      </c>
      <c r="P579" s="193" t="s">
        <v>381</v>
      </c>
      <c r="Q579" s="193" t="s">
        <v>295</v>
      </c>
      <c r="R579" s="192" t="s">
        <v>379</v>
      </c>
      <c r="S579" s="181" t="s">
        <v>740</v>
      </c>
      <c r="T579" s="181" t="s">
        <v>381</v>
      </c>
      <c r="U579" s="181" t="s">
        <v>295</v>
      </c>
      <c r="V579" s="199" t="s">
        <v>379</v>
      </c>
    </row>
    <row r="580" spans="1:22" outlineLevel="1">
      <c r="A580" s="199" t="s">
        <v>274</v>
      </c>
      <c r="B580" s="181" t="s">
        <v>748</v>
      </c>
      <c r="C580" s="190">
        <v>43646</v>
      </c>
      <c r="D580" s="199" t="s">
        <v>754</v>
      </c>
      <c r="E580" s="182" t="s">
        <v>1283</v>
      </c>
      <c r="F580" s="183">
        <v>76341</v>
      </c>
      <c r="G580" s="184">
        <v>75.319999999999993</v>
      </c>
      <c r="H580" s="181">
        <v>100</v>
      </c>
      <c r="I580" s="181" t="s">
        <v>292</v>
      </c>
      <c r="J580" s="191">
        <v>100</v>
      </c>
      <c r="K580" s="192" t="s">
        <v>1271</v>
      </c>
      <c r="L580" s="193" t="s">
        <v>396</v>
      </c>
      <c r="M580" s="193" t="s">
        <v>309</v>
      </c>
      <c r="N580" s="193"/>
      <c r="O580" s="193" t="s">
        <v>740</v>
      </c>
      <c r="P580" s="193" t="s">
        <v>381</v>
      </c>
      <c r="Q580" s="193" t="s">
        <v>295</v>
      </c>
      <c r="R580" s="192" t="s">
        <v>379</v>
      </c>
      <c r="S580" s="181" t="s">
        <v>740</v>
      </c>
      <c r="T580" s="181" t="s">
        <v>381</v>
      </c>
      <c r="U580" s="181" t="s">
        <v>295</v>
      </c>
      <c r="V580" s="199" t="s">
        <v>379</v>
      </c>
    </row>
    <row r="581" spans="1:22" outlineLevel="1">
      <c r="A581" s="199" t="s">
        <v>274</v>
      </c>
      <c r="B581" s="181" t="s">
        <v>748</v>
      </c>
      <c r="C581" s="190">
        <v>43646</v>
      </c>
      <c r="D581" s="199" t="s">
        <v>754</v>
      </c>
      <c r="E581" s="182" t="s">
        <v>1284</v>
      </c>
      <c r="F581" s="183">
        <v>76341</v>
      </c>
      <c r="G581" s="184">
        <v>77.58</v>
      </c>
      <c r="H581" s="181">
        <v>103</v>
      </c>
      <c r="I581" s="181" t="s">
        <v>292</v>
      </c>
      <c r="J581" s="191">
        <v>103</v>
      </c>
      <c r="K581" s="192" t="s">
        <v>1271</v>
      </c>
      <c r="L581" s="193" t="s">
        <v>396</v>
      </c>
      <c r="M581" s="193" t="s">
        <v>309</v>
      </c>
      <c r="N581" s="193"/>
      <c r="O581" s="193" t="s">
        <v>740</v>
      </c>
      <c r="P581" s="193" t="s">
        <v>381</v>
      </c>
      <c r="Q581" s="193" t="s">
        <v>295</v>
      </c>
      <c r="R581" s="192" t="s">
        <v>379</v>
      </c>
      <c r="S581" s="181" t="s">
        <v>740</v>
      </c>
      <c r="T581" s="181" t="s">
        <v>381</v>
      </c>
      <c r="U581" s="181" t="s">
        <v>295</v>
      </c>
      <c r="V581" s="199" t="s">
        <v>379</v>
      </c>
    </row>
    <row r="582" spans="1:22" outlineLevel="1">
      <c r="A582" s="199" t="s">
        <v>274</v>
      </c>
      <c r="B582" s="181" t="s">
        <v>748</v>
      </c>
      <c r="C582" s="190">
        <v>43646</v>
      </c>
      <c r="D582" s="199" t="s">
        <v>754</v>
      </c>
      <c r="E582" s="182" t="s">
        <v>1285</v>
      </c>
      <c r="F582" s="183">
        <v>76341</v>
      </c>
      <c r="G582" s="184">
        <v>13.3</v>
      </c>
      <c r="H582" s="181">
        <v>17.66</v>
      </c>
      <c r="I582" s="181" t="s">
        <v>292</v>
      </c>
      <c r="J582" s="191">
        <v>17.66</v>
      </c>
      <c r="K582" s="192" t="s">
        <v>1271</v>
      </c>
      <c r="L582" s="193" t="s">
        <v>396</v>
      </c>
      <c r="M582" s="193" t="s">
        <v>309</v>
      </c>
      <c r="N582" s="193"/>
      <c r="O582" s="193" t="s">
        <v>740</v>
      </c>
      <c r="P582" s="193" t="s">
        <v>381</v>
      </c>
      <c r="Q582" s="193" t="s">
        <v>295</v>
      </c>
      <c r="R582" s="192" t="s">
        <v>379</v>
      </c>
      <c r="S582" s="181" t="s">
        <v>740</v>
      </c>
      <c r="T582" s="181" t="s">
        <v>381</v>
      </c>
      <c r="U582" s="181" t="s">
        <v>295</v>
      </c>
      <c r="V582" s="199" t="s">
        <v>379</v>
      </c>
    </row>
    <row r="583" spans="1:22" outlineLevel="1">
      <c r="A583" s="199" t="s">
        <v>274</v>
      </c>
      <c r="B583" s="181" t="s">
        <v>748</v>
      </c>
      <c r="C583" s="190">
        <v>43646</v>
      </c>
      <c r="D583" s="199" t="s">
        <v>754</v>
      </c>
      <c r="E583" s="182" t="s">
        <v>1286</v>
      </c>
      <c r="F583" s="183">
        <v>76341</v>
      </c>
      <c r="G583" s="184">
        <v>30.13</v>
      </c>
      <c r="H583" s="181">
        <v>40</v>
      </c>
      <c r="I583" s="181" t="s">
        <v>292</v>
      </c>
      <c r="J583" s="191">
        <v>40</v>
      </c>
      <c r="K583" s="192" t="s">
        <v>1271</v>
      </c>
      <c r="L583" s="193" t="s">
        <v>396</v>
      </c>
      <c r="M583" s="193" t="s">
        <v>309</v>
      </c>
      <c r="N583" s="193"/>
      <c r="O583" s="193" t="s">
        <v>740</v>
      </c>
      <c r="P583" s="193" t="s">
        <v>381</v>
      </c>
      <c r="Q583" s="193" t="s">
        <v>295</v>
      </c>
      <c r="R583" s="192" t="s">
        <v>379</v>
      </c>
      <c r="S583" s="181" t="s">
        <v>740</v>
      </c>
      <c r="T583" s="181" t="s">
        <v>381</v>
      </c>
      <c r="U583" s="181" t="s">
        <v>295</v>
      </c>
      <c r="V583" s="199" t="s">
        <v>379</v>
      </c>
    </row>
    <row r="584" spans="1:22" outlineLevel="1">
      <c r="A584" s="199" t="s">
        <v>274</v>
      </c>
      <c r="B584" s="181" t="s">
        <v>748</v>
      </c>
      <c r="C584" s="190">
        <v>43646</v>
      </c>
      <c r="D584" s="199" t="s">
        <v>754</v>
      </c>
      <c r="E584" s="182" t="s">
        <v>1287</v>
      </c>
      <c r="F584" s="183">
        <v>76341</v>
      </c>
      <c r="G584" s="184">
        <v>60.26</v>
      </c>
      <c r="H584" s="181">
        <v>80</v>
      </c>
      <c r="I584" s="181" t="s">
        <v>292</v>
      </c>
      <c r="J584" s="191">
        <v>80</v>
      </c>
      <c r="K584" s="192" t="s">
        <v>1271</v>
      </c>
      <c r="L584" s="193" t="s">
        <v>396</v>
      </c>
      <c r="M584" s="193" t="s">
        <v>309</v>
      </c>
      <c r="N584" s="193"/>
      <c r="O584" s="193" t="s">
        <v>740</v>
      </c>
      <c r="P584" s="193" t="s">
        <v>381</v>
      </c>
      <c r="Q584" s="193" t="s">
        <v>295</v>
      </c>
      <c r="R584" s="192" t="s">
        <v>379</v>
      </c>
      <c r="S584" s="181" t="s">
        <v>740</v>
      </c>
      <c r="T584" s="181" t="s">
        <v>381</v>
      </c>
      <c r="U584" s="181" t="s">
        <v>295</v>
      </c>
      <c r="V584" s="199" t="s">
        <v>379</v>
      </c>
    </row>
    <row r="585" spans="1:22" outlineLevel="1">
      <c r="A585" s="199" t="s">
        <v>274</v>
      </c>
      <c r="B585" s="181" t="s">
        <v>748</v>
      </c>
      <c r="C585" s="190">
        <v>43646</v>
      </c>
      <c r="D585" s="199" t="s">
        <v>754</v>
      </c>
      <c r="E585" s="182" t="s">
        <v>1288</v>
      </c>
      <c r="F585" s="183">
        <v>76341</v>
      </c>
      <c r="G585" s="184">
        <v>60.26</v>
      </c>
      <c r="H585" s="181">
        <v>80</v>
      </c>
      <c r="I585" s="181" t="s">
        <v>292</v>
      </c>
      <c r="J585" s="191">
        <v>80</v>
      </c>
      <c r="K585" s="192" t="s">
        <v>1271</v>
      </c>
      <c r="L585" s="193" t="s">
        <v>396</v>
      </c>
      <c r="M585" s="193" t="s">
        <v>309</v>
      </c>
      <c r="N585" s="193"/>
      <c r="O585" s="193" t="s">
        <v>740</v>
      </c>
      <c r="P585" s="193" t="s">
        <v>381</v>
      </c>
      <c r="Q585" s="193" t="s">
        <v>295</v>
      </c>
      <c r="R585" s="192" t="s">
        <v>379</v>
      </c>
      <c r="S585" s="181" t="s">
        <v>740</v>
      </c>
      <c r="T585" s="181" t="s">
        <v>381</v>
      </c>
      <c r="U585" s="181" t="s">
        <v>295</v>
      </c>
      <c r="V585" s="199" t="s">
        <v>379</v>
      </c>
    </row>
    <row r="586" spans="1:22" outlineLevel="1">
      <c r="A586" s="199" t="s">
        <v>274</v>
      </c>
      <c r="B586" s="181" t="s">
        <v>748</v>
      </c>
      <c r="C586" s="190">
        <v>43646</v>
      </c>
      <c r="D586" s="199" t="s">
        <v>754</v>
      </c>
      <c r="E586" s="182" t="s">
        <v>1289</v>
      </c>
      <c r="F586" s="183">
        <v>76341</v>
      </c>
      <c r="G586" s="184">
        <v>7.53</v>
      </c>
      <c r="H586" s="181">
        <v>10</v>
      </c>
      <c r="I586" s="181" t="s">
        <v>292</v>
      </c>
      <c r="J586" s="191">
        <v>10</v>
      </c>
      <c r="K586" s="192" t="s">
        <v>1271</v>
      </c>
      <c r="L586" s="193" t="s">
        <v>396</v>
      </c>
      <c r="M586" s="193" t="s">
        <v>309</v>
      </c>
      <c r="N586" s="193"/>
      <c r="O586" s="193" t="s">
        <v>740</v>
      </c>
      <c r="P586" s="193" t="s">
        <v>381</v>
      </c>
      <c r="Q586" s="193" t="s">
        <v>295</v>
      </c>
      <c r="R586" s="192" t="s">
        <v>379</v>
      </c>
      <c r="S586" s="181" t="s">
        <v>740</v>
      </c>
      <c r="T586" s="181" t="s">
        <v>381</v>
      </c>
      <c r="U586" s="181" t="s">
        <v>295</v>
      </c>
      <c r="V586" s="199" t="s">
        <v>379</v>
      </c>
    </row>
    <row r="587" spans="1:22" outlineLevel="1">
      <c r="A587" s="199" t="s">
        <v>274</v>
      </c>
      <c r="B587" s="181" t="s">
        <v>748</v>
      </c>
      <c r="C587" s="190">
        <v>43646</v>
      </c>
      <c r="D587" s="199" t="s">
        <v>754</v>
      </c>
      <c r="E587" s="182" t="s">
        <v>1290</v>
      </c>
      <c r="F587" s="183">
        <v>76341</v>
      </c>
      <c r="G587" s="184">
        <v>7.53</v>
      </c>
      <c r="H587" s="181">
        <v>10</v>
      </c>
      <c r="I587" s="181" t="s">
        <v>292</v>
      </c>
      <c r="J587" s="191">
        <v>10</v>
      </c>
      <c r="K587" s="192" t="s">
        <v>1271</v>
      </c>
      <c r="L587" s="193" t="s">
        <v>396</v>
      </c>
      <c r="M587" s="193" t="s">
        <v>309</v>
      </c>
      <c r="N587" s="193"/>
      <c r="O587" s="193" t="s">
        <v>740</v>
      </c>
      <c r="P587" s="193" t="s">
        <v>381</v>
      </c>
      <c r="Q587" s="193" t="s">
        <v>295</v>
      </c>
      <c r="R587" s="192" t="s">
        <v>379</v>
      </c>
      <c r="S587" s="181" t="s">
        <v>740</v>
      </c>
      <c r="T587" s="181" t="s">
        <v>381</v>
      </c>
      <c r="U587" s="181" t="s">
        <v>295</v>
      </c>
      <c r="V587" s="199" t="s">
        <v>379</v>
      </c>
    </row>
    <row r="588" spans="1:22" outlineLevel="1">
      <c r="A588" s="199" t="s">
        <v>274</v>
      </c>
      <c r="B588" s="181" t="s">
        <v>748</v>
      </c>
      <c r="C588" s="190">
        <v>43646</v>
      </c>
      <c r="D588" s="199" t="s">
        <v>754</v>
      </c>
      <c r="E588" s="182" t="s">
        <v>1291</v>
      </c>
      <c r="F588" s="183">
        <v>76341</v>
      </c>
      <c r="G588" s="184">
        <v>225.97</v>
      </c>
      <c r="H588" s="181">
        <v>300</v>
      </c>
      <c r="I588" s="181" t="s">
        <v>292</v>
      </c>
      <c r="J588" s="191">
        <v>300</v>
      </c>
      <c r="K588" s="192" t="s">
        <v>1271</v>
      </c>
      <c r="L588" s="193" t="s">
        <v>396</v>
      </c>
      <c r="M588" s="193" t="s">
        <v>309</v>
      </c>
      <c r="N588" s="193"/>
      <c r="O588" s="193" t="s">
        <v>740</v>
      </c>
      <c r="P588" s="193" t="s">
        <v>381</v>
      </c>
      <c r="Q588" s="193" t="s">
        <v>295</v>
      </c>
      <c r="R588" s="192" t="s">
        <v>379</v>
      </c>
      <c r="S588" s="181" t="s">
        <v>740</v>
      </c>
      <c r="T588" s="181" t="s">
        <v>381</v>
      </c>
      <c r="U588" s="181" t="s">
        <v>295</v>
      </c>
      <c r="V588" s="199" t="s">
        <v>379</v>
      </c>
    </row>
    <row r="589" spans="1:22" outlineLevel="1">
      <c r="A589" s="199" t="s">
        <v>274</v>
      </c>
      <c r="B589" s="181" t="s">
        <v>748</v>
      </c>
      <c r="C589" s="190">
        <v>43646</v>
      </c>
      <c r="D589" s="199" t="s">
        <v>754</v>
      </c>
      <c r="E589" s="182" t="s">
        <v>1292</v>
      </c>
      <c r="F589" s="183">
        <v>76341</v>
      </c>
      <c r="G589" s="184">
        <v>225.97</v>
      </c>
      <c r="H589" s="181">
        <v>300</v>
      </c>
      <c r="I589" s="181" t="s">
        <v>292</v>
      </c>
      <c r="J589" s="191">
        <v>300</v>
      </c>
      <c r="K589" s="192" t="s">
        <v>1271</v>
      </c>
      <c r="L589" s="193" t="s">
        <v>396</v>
      </c>
      <c r="M589" s="193" t="s">
        <v>309</v>
      </c>
      <c r="N589" s="193"/>
      <c r="O589" s="193" t="s">
        <v>740</v>
      </c>
      <c r="P589" s="193" t="s">
        <v>381</v>
      </c>
      <c r="Q589" s="193" t="s">
        <v>295</v>
      </c>
      <c r="R589" s="192" t="s">
        <v>379</v>
      </c>
      <c r="S589" s="181" t="s">
        <v>740</v>
      </c>
      <c r="T589" s="181" t="s">
        <v>381</v>
      </c>
      <c r="U589" s="181" t="s">
        <v>295</v>
      </c>
      <c r="V589" s="199" t="s">
        <v>379</v>
      </c>
    </row>
    <row r="590" spans="1:22" outlineLevel="1">
      <c r="A590" s="199" t="s">
        <v>274</v>
      </c>
      <c r="B590" s="181" t="s">
        <v>748</v>
      </c>
      <c r="C590" s="190">
        <v>43646</v>
      </c>
      <c r="D590" s="199" t="s">
        <v>754</v>
      </c>
      <c r="E590" s="182" t="s">
        <v>1293</v>
      </c>
      <c r="F590" s="183">
        <v>76341</v>
      </c>
      <c r="G590" s="184">
        <v>225.97</v>
      </c>
      <c r="H590" s="181">
        <v>300</v>
      </c>
      <c r="I590" s="181" t="s">
        <v>292</v>
      </c>
      <c r="J590" s="191">
        <v>300</v>
      </c>
      <c r="K590" s="192" t="s">
        <v>1271</v>
      </c>
      <c r="L590" s="193" t="s">
        <v>396</v>
      </c>
      <c r="M590" s="193" t="s">
        <v>309</v>
      </c>
      <c r="N590" s="193"/>
      <c r="O590" s="193" t="s">
        <v>740</v>
      </c>
      <c r="P590" s="193" t="s">
        <v>381</v>
      </c>
      <c r="Q590" s="193" t="s">
        <v>295</v>
      </c>
      <c r="R590" s="192" t="s">
        <v>379</v>
      </c>
      <c r="S590" s="181" t="s">
        <v>740</v>
      </c>
      <c r="T590" s="181" t="s">
        <v>381</v>
      </c>
      <c r="U590" s="181" t="s">
        <v>295</v>
      </c>
      <c r="V590" s="199" t="s">
        <v>379</v>
      </c>
    </row>
    <row r="591" spans="1:22" outlineLevel="1">
      <c r="A591" s="199" t="s">
        <v>274</v>
      </c>
      <c r="B591" s="181" t="s">
        <v>748</v>
      </c>
      <c r="C591" s="190">
        <v>43646</v>
      </c>
      <c r="D591" s="199" t="s">
        <v>754</v>
      </c>
      <c r="E591" s="182" t="s">
        <v>1294</v>
      </c>
      <c r="F591" s="183">
        <v>76341</v>
      </c>
      <c r="G591" s="184">
        <v>225.97</v>
      </c>
      <c r="H591" s="181">
        <v>300</v>
      </c>
      <c r="I591" s="181" t="s">
        <v>292</v>
      </c>
      <c r="J591" s="191">
        <v>300</v>
      </c>
      <c r="K591" s="192" t="s">
        <v>1271</v>
      </c>
      <c r="L591" s="193" t="s">
        <v>396</v>
      </c>
      <c r="M591" s="193" t="s">
        <v>309</v>
      </c>
      <c r="N591" s="193"/>
      <c r="O591" s="193" t="s">
        <v>740</v>
      </c>
      <c r="P591" s="193" t="s">
        <v>381</v>
      </c>
      <c r="Q591" s="193" t="s">
        <v>295</v>
      </c>
      <c r="R591" s="192" t="s">
        <v>379</v>
      </c>
      <c r="S591" s="181" t="s">
        <v>740</v>
      </c>
      <c r="T591" s="181" t="s">
        <v>381</v>
      </c>
      <c r="U591" s="181" t="s">
        <v>295</v>
      </c>
      <c r="V591" s="199" t="s">
        <v>379</v>
      </c>
    </row>
    <row r="592" spans="1:22" outlineLevel="1">
      <c r="A592" s="199" t="s">
        <v>274</v>
      </c>
      <c r="B592" s="181" t="s">
        <v>748</v>
      </c>
      <c r="C592" s="190">
        <v>43646</v>
      </c>
      <c r="D592" s="199" t="s">
        <v>754</v>
      </c>
      <c r="E592" s="182" t="s">
        <v>1295</v>
      </c>
      <c r="F592" s="183">
        <v>76341</v>
      </c>
      <c r="G592" s="184">
        <v>338.95</v>
      </c>
      <c r="H592" s="181">
        <v>450</v>
      </c>
      <c r="I592" s="181" t="s">
        <v>292</v>
      </c>
      <c r="J592" s="191">
        <v>450</v>
      </c>
      <c r="K592" s="192" t="s">
        <v>1271</v>
      </c>
      <c r="L592" s="193" t="s">
        <v>396</v>
      </c>
      <c r="M592" s="193" t="s">
        <v>309</v>
      </c>
      <c r="N592" s="193"/>
      <c r="O592" s="193" t="s">
        <v>740</v>
      </c>
      <c r="P592" s="193" t="s">
        <v>381</v>
      </c>
      <c r="Q592" s="193" t="s">
        <v>295</v>
      </c>
      <c r="R592" s="192" t="s">
        <v>379</v>
      </c>
      <c r="S592" s="181" t="s">
        <v>740</v>
      </c>
      <c r="T592" s="181" t="s">
        <v>381</v>
      </c>
      <c r="U592" s="181" t="s">
        <v>295</v>
      </c>
      <c r="V592" s="199" t="s">
        <v>379</v>
      </c>
    </row>
    <row r="593" spans="1:22" outlineLevel="1">
      <c r="A593" s="199" t="s">
        <v>274</v>
      </c>
      <c r="B593" s="181" t="s">
        <v>748</v>
      </c>
      <c r="C593" s="190">
        <v>43646</v>
      </c>
      <c r="D593" s="199" t="s">
        <v>754</v>
      </c>
      <c r="E593" s="182" t="s">
        <v>1296</v>
      </c>
      <c r="F593" s="183">
        <v>76341</v>
      </c>
      <c r="G593" s="184">
        <v>564.91999999999996</v>
      </c>
      <c r="H593" s="181">
        <v>750</v>
      </c>
      <c r="I593" s="181" t="s">
        <v>292</v>
      </c>
      <c r="J593" s="191">
        <v>750</v>
      </c>
      <c r="K593" s="192" t="s">
        <v>1271</v>
      </c>
      <c r="L593" s="193" t="s">
        <v>396</v>
      </c>
      <c r="M593" s="193" t="s">
        <v>309</v>
      </c>
      <c r="N593" s="193"/>
      <c r="O593" s="193" t="s">
        <v>740</v>
      </c>
      <c r="P593" s="193" t="s">
        <v>381</v>
      </c>
      <c r="Q593" s="193" t="s">
        <v>295</v>
      </c>
      <c r="R593" s="192" t="s">
        <v>379</v>
      </c>
      <c r="S593" s="181" t="s">
        <v>740</v>
      </c>
      <c r="T593" s="181" t="s">
        <v>381</v>
      </c>
      <c r="U593" s="181" t="s">
        <v>295</v>
      </c>
      <c r="V593" s="199" t="s">
        <v>379</v>
      </c>
    </row>
    <row r="594" spans="1:22" outlineLevel="1">
      <c r="A594" s="199" t="s">
        <v>274</v>
      </c>
      <c r="B594" s="181" t="s">
        <v>748</v>
      </c>
      <c r="C594" s="190">
        <v>43646</v>
      </c>
      <c r="D594" s="199" t="s">
        <v>754</v>
      </c>
      <c r="E594" s="182" t="s">
        <v>1297</v>
      </c>
      <c r="F594" s="183">
        <v>76341</v>
      </c>
      <c r="G594" s="184">
        <v>101.69</v>
      </c>
      <c r="H594" s="181">
        <v>135</v>
      </c>
      <c r="I594" s="181" t="s">
        <v>292</v>
      </c>
      <c r="J594" s="191">
        <v>135</v>
      </c>
      <c r="K594" s="192" t="s">
        <v>1271</v>
      </c>
      <c r="L594" s="193" t="s">
        <v>396</v>
      </c>
      <c r="M594" s="193" t="s">
        <v>309</v>
      </c>
      <c r="N594" s="193"/>
      <c r="O594" s="193" t="s">
        <v>740</v>
      </c>
      <c r="P594" s="193" t="s">
        <v>381</v>
      </c>
      <c r="Q594" s="193" t="s">
        <v>295</v>
      </c>
      <c r="R594" s="192" t="s">
        <v>379</v>
      </c>
      <c r="S594" s="181" t="s">
        <v>740</v>
      </c>
      <c r="T594" s="181" t="s">
        <v>381</v>
      </c>
      <c r="U594" s="181" t="s">
        <v>295</v>
      </c>
      <c r="V594" s="199" t="s">
        <v>379</v>
      </c>
    </row>
    <row r="595" spans="1:22" outlineLevel="1">
      <c r="A595" s="199" t="s">
        <v>274</v>
      </c>
      <c r="B595" s="181" t="s">
        <v>748</v>
      </c>
      <c r="C595" s="190">
        <v>43646</v>
      </c>
      <c r="D595" s="199" t="s">
        <v>754</v>
      </c>
      <c r="E595" s="182" t="s">
        <v>1298</v>
      </c>
      <c r="F595" s="183">
        <v>76341</v>
      </c>
      <c r="G595" s="184">
        <v>225.97</v>
      </c>
      <c r="H595" s="181">
        <v>300</v>
      </c>
      <c r="I595" s="181" t="s">
        <v>292</v>
      </c>
      <c r="J595" s="191">
        <v>300</v>
      </c>
      <c r="K595" s="192" t="s">
        <v>1271</v>
      </c>
      <c r="L595" s="193" t="s">
        <v>396</v>
      </c>
      <c r="M595" s="193" t="s">
        <v>309</v>
      </c>
      <c r="N595" s="193"/>
      <c r="O595" s="193" t="s">
        <v>740</v>
      </c>
      <c r="P595" s="193" t="s">
        <v>381</v>
      </c>
      <c r="Q595" s="193" t="s">
        <v>295</v>
      </c>
      <c r="R595" s="192" t="s">
        <v>379</v>
      </c>
      <c r="S595" s="181" t="s">
        <v>740</v>
      </c>
      <c r="T595" s="181" t="s">
        <v>381</v>
      </c>
      <c r="U595" s="181" t="s">
        <v>295</v>
      </c>
      <c r="V595" s="199" t="s">
        <v>379</v>
      </c>
    </row>
    <row r="596" spans="1:22" outlineLevel="1">
      <c r="A596" s="199" t="s">
        <v>274</v>
      </c>
      <c r="B596" s="181" t="s">
        <v>748</v>
      </c>
      <c r="C596" s="190">
        <v>43646</v>
      </c>
      <c r="D596" s="199" t="s">
        <v>754</v>
      </c>
      <c r="E596" s="182" t="s">
        <v>1299</v>
      </c>
      <c r="F596" s="183">
        <v>76341</v>
      </c>
      <c r="G596" s="184">
        <v>225.97</v>
      </c>
      <c r="H596" s="181">
        <v>300</v>
      </c>
      <c r="I596" s="181" t="s">
        <v>292</v>
      </c>
      <c r="J596" s="191">
        <v>300</v>
      </c>
      <c r="K596" s="192" t="s">
        <v>1271</v>
      </c>
      <c r="L596" s="193" t="s">
        <v>396</v>
      </c>
      <c r="M596" s="193" t="s">
        <v>309</v>
      </c>
      <c r="N596" s="193"/>
      <c r="O596" s="193" t="s">
        <v>740</v>
      </c>
      <c r="P596" s="193" t="s">
        <v>381</v>
      </c>
      <c r="Q596" s="193" t="s">
        <v>295</v>
      </c>
      <c r="R596" s="192" t="s">
        <v>379</v>
      </c>
      <c r="S596" s="181" t="s">
        <v>740</v>
      </c>
      <c r="T596" s="181" t="s">
        <v>381</v>
      </c>
      <c r="U596" s="181" t="s">
        <v>295</v>
      </c>
      <c r="V596" s="199" t="s">
        <v>379</v>
      </c>
    </row>
    <row r="597" spans="1:22" outlineLevel="1">
      <c r="A597" s="199" t="s">
        <v>274</v>
      </c>
      <c r="B597" s="181" t="s">
        <v>748</v>
      </c>
      <c r="C597" s="190">
        <v>43646</v>
      </c>
      <c r="D597" s="199" t="s">
        <v>754</v>
      </c>
      <c r="E597" s="182" t="s">
        <v>1300</v>
      </c>
      <c r="F597" s="183">
        <v>76341</v>
      </c>
      <c r="G597" s="184">
        <v>225.97</v>
      </c>
      <c r="H597" s="181">
        <v>300</v>
      </c>
      <c r="I597" s="181" t="s">
        <v>292</v>
      </c>
      <c r="J597" s="191">
        <v>300</v>
      </c>
      <c r="K597" s="192" t="s">
        <v>1271</v>
      </c>
      <c r="L597" s="193" t="s">
        <v>396</v>
      </c>
      <c r="M597" s="193" t="s">
        <v>309</v>
      </c>
      <c r="N597" s="193"/>
      <c r="O597" s="193" t="s">
        <v>740</v>
      </c>
      <c r="P597" s="193" t="s">
        <v>381</v>
      </c>
      <c r="Q597" s="193" t="s">
        <v>295</v>
      </c>
      <c r="R597" s="192" t="s">
        <v>379</v>
      </c>
      <c r="S597" s="181" t="s">
        <v>740</v>
      </c>
      <c r="T597" s="181" t="s">
        <v>381</v>
      </c>
      <c r="U597" s="181" t="s">
        <v>295</v>
      </c>
      <c r="V597" s="199" t="s">
        <v>379</v>
      </c>
    </row>
    <row r="598" spans="1:22" outlineLevel="1">
      <c r="A598" s="199" t="s">
        <v>274</v>
      </c>
      <c r="B598" s="181" t="s">
        <v>748</v>
      </c>
      <c r="C598" s="190">
        <v>43646</v>
      </c>
      <c r="D598" s="199" t="s">
        <v>754</v>
      </c>
      <c r="E598" s="182" t="s">
        <v>1301</v>
      </c>
      <c r="F598" s="183">
        <v>76341</v>
      </c>
      <c r="G598" s="184">
        <v>225.97</v>
      </c>
      <c r="H598" s="181">
        <v>300</v>
      </c>
      <c r="I598" s="181" t="s">
        <v>292</v>
      </c>
      <c r="J598" s="191">
        <v>300</v>
      </c>
      <c r="K598" s="192" t="s">
        <v>1271</v>
      </c>
      <c r="L598" s="193" t="s">
        <v>396</v>
      </c>
      <c r="M598" s="193" t="s">
        <v>309</v>
      </c>
      <c r="N598" s="193"/>
      <c r="O598" s="193" t="s">
        <v>740</v>
      </c>
      <c r="P598" s="193" t="s">
        <v>381</v>
      </c>
      <c r="Q598" s="193" t="s">
        <v>295</v>
      </c>
      <c r="R598" s="192" t="s">
        <v>379</v>
      </c>
      <c r="S598" s="181" t="s">
        <v>740</v>
      </c>
      <c r="T598" s="181" t="s">
        <v>381</v>
      </c>
      <c r="U598" s="181" t="s">
        <v>295</v>
      </c>
      <c r="V598" s="199" t="s">
        <v>379</v>
      </c>
    </row>
    <row r="599" spans="1:22" outlineLevel="1">
      <c r="A599" s="199" t="s">
        <v>274</v>
      </c>
      <c r="B599" s="181" t="s">
        <v>748</v>
      </c>
      <c r="C599" s="190">
        <v>43646</v>
      </c>
      <c r="D599" s="199" t="s">
        <v>754</v>
      </c>
      <c r="E599" s="182" t="s">
        <v>1302</v>
      </c>
      <c r="F599" s="183">
        <v>76341</v>
      </c>
      <c r="G599" s="184">
        <v>338.95</v>
      </c>
      <c r="H599" s="181">
        <v>450</v>
      </c>
      <c r="I599" s="181" t="s">
        <v>292</v>
      </c>
      <c r="J599" s="191">
        <v>450</v>
      </c>
      <c r="K599" s="192" t="s">
        <v>1271</v>
      </c>
      <c r="L599" s="193" t="s">
        <v>396</v>
      </c>
      <c r="M599" s="193" t="s">
        <v>309</v>
      </c>
      <c r="N599" s="193"/>
      <c r="O599" s="193" t="s">
        <v>740</v>
      </c>
      <c r="P599" s="193" t="s">
        <v>381</v>
      </c>
      <c r="Q599" s="193" t="s">
        <v>295</v>
      </c>
      <c r="R599" s="192" t="s">
        <v>379</v>
      </c>
      <c r="S599" s="181" t="s">
        <v>740</v>
      </c>
      <c r="T599" s="181" t="s">
        <v>381</v>
      </c>
      <c r="U599" s="181" t="s">
        <v>295</v>
      </c>
      <c r="V599" s="199" t="s">
        <v>379</v>
      </c>
    </row>
    <row r="600" spans="1:22" outlineLevel="1">
      <c r="A600" s="199" t="s">
        <v>274</v>
      </c>
      <c r="B600" s="181" t="s">
        <v>748</v>
      </c>
      <c r="C600" s="190">
        <v>43646</v>
      </c>
      <c r="D600" s="199" t="s">
        <v>754</v>
      </c>
      <c r="E600" s="182" t="s">
        <v>1303</v>
      </c>
      <c r="F600" s="183">
        <v>76341</v>
      </c>
      <c r="G600" s="184">
        <v>564.91999999999996</v>
      </c>
      <c r="H600" s="181">
        <v>750</v>
      </c>
      <c r="I600" s="181" t="s">
        <v>292</v>
      </c>
      <c r="J600" s="191">
        <v>750</v>
      </c>
      <c r="K600" s="192" t="s">
        <v>1271</v>
      </c>
      <c r="L600" s="193" t="s">
        <v>396</v>
      </c>
      <c r="M600" s="193" t="s">
        <v>309</v>
      </c>
      <c r="N600" s="193"/>
      <c r="O600" s="193" t="s">
        <v>740</v>
      </c>
      <c r="P600" s="193" t="s">
        <v>381</v>
      </c>
      <c r="Q600" s="193" t="s">
        <v>295</v>
      </c>
      <c r="R600" s="192" t="s">
        <v>379</v>
      </c>
      <c r="S600" s="181" t="s">
        <v>740</v>
      </c>
      <c r="T600" s="181" t="s">
        <v>381</v>
      </c>
      <c r="U600" s="181" t="s">
        <v>295</v>
      </c>
      <c r="V600" s="199" t="s">
        <v>379</v>
      </c>
    </row>
    <row r="601" spans="1:22" outlineLevel="1">
      <c r="A601" s="199" t="s">
        <v>274</v>
      </c>
      <c r="B601" s="181" t="s">
        <v>748</v>
      </c>
      <c r="C601" s="190">
        <v>43646</v>
      </c>
      <c r="D601" s="199" t="s">
        <v>754</v>
      </c>
      <c r="E601" s="182" t="s">
        <v>1304</v>
      </c>
      <c r="F601" s="183">
        <v>76341</v>
      </c>
      <c r="G601" s="184">
        <v>101.69</v>
      </c>
      <c r="H601" s="181">
        <v>135</v>
      </c>
      <c r="I601" s="181" t="s">
        <v>292</v>
      </c>
      <c r="J601" s="191">
        <v>135</v>
      </c>
      <c r="K601" s="192" t="s">
        <v>1271</v>
      </c>
      <c r="L601" s="193" t="s">
        <v>396</v>
      </c>
      <c r="M601" s="193" t="s">
        <v>309</v>
      </c>
      <c r="N601" s="193"/>
      <c r="O601" s="193" t="s">
        <v>740</v>
      </c>
      <c r="P601" s="193" t="s">
        <v>381</v>
      </c>
      <c r="Q601" s="193" t="s">
        <v>295</v>
      </c>
      <c r="R601" s="192" t="s">
        <v>379</v>
      </c>
      <c r="S601" s="181" t="s">
        <v>740</v>
      </c>
      <c r="T601" s="181" t="s">
        <v>381</v>
      </c>
      <c r="U601" s="181" t="s">
        <v>295</v>
      </c>
      <c r="V601" s="199" t="s">
        <v>379</v>
      </c>
    </row>
    <row r="602" spans="1:22" outlineLevel="1">
      <c r="A602" s="199" t="s">
        <v>274</v>
      </c>
      <c r="B602" s="181" t="s">
        <v>748</v>
      </c>
      <c r="C602" s="190">
        <v>43646</v>
      </c>
      <c r="D602" s="199" t="s">
        <v>750</v>
      </c>
      <c r="E602" s="182" t="s">
        <v>1305</v>
      </c>
      <c r="F602" s="183">
        <v>76340</v>
      </c>
      <c r="G602" s="184">
        <v>4.2699999999999996</v>
      </c>
      <c r="H602" s="181">
        <v>5</v>
      </c>
      <c r="I602" s="181" t="s">
        <v>292</v>
      </c>
      <c r="J602" s="191">
        <v>5</v>
      </c>
      <c r="K602" s="192" t="s">
        <v>1271</v>
      </c>
      <c r="L602" s="193" t="s">
        <v>396</v>
      </c>
      <c r="M602" s="193" t="s">
        <v>309</v>
      </c>
      <c r="N602" s="193"/>
      <c r="O602" s="193" t="s">
        <v>743</v>
      </c>
      <c r="P602" s="193" t="s">
        <v>381</v>
      </c>
      <c r="Q602" s="193" t="s">
        <v>295</v>
      </c>
      <c r="R602" s="192" t="s">
        <v>379</v>
      </c>
      <c r="S602" s="181" t="s">
        <v>743</v>
      </c>
      <c r="T602" s="181" t="s">
        <v>381</v>
      </c>
      <c r="U602" s="181" t="s">
        <v>295</v>
      </c>
      <c r="V602" s="199" t="s">
        <v>379</v>
      </c>
    </row>
    <row r="603" spans="1:22" outlineLevel="1">
      <c r="A603" s="199" t="s">
        <v>274</v>
      </c>
      <c r="B603" s="181" t="s">
        <v>748</v>
      </c>
      <c r="C603" s="190">
        <v>43646</v>
      </c>
      <c r="D603" s="199" t="s">
        <v>750</v>
      </c>
      <c r="E603" s="182" t="s">
        <v>1306</v>
      </c>
      <c r="F603" s="183">
        <v>76340</v>
      </c>
      <c r="G603" s="184">
        <v>0.68</v>
      </c>
      <c r="H603" s="181">
        <v>0.8</v>
      </c>
      <c r="I603" s="181" t="s">
        <v>292</v>
      </c>
      <c r="J603" s="191">
        <v>0.8</v>
      </c>
      <c r="K603" s="192" t="s">
        <v>1271</v>
      </c>
      <c r="L603" s="193" t="s">
        <v>396</v>
      </c>
      <c r="M603" s="193" t="s">
        <v>309</v>
      </c>
      <c r="N603" s="193"/>
      <c r="O603" s="193" t="s">
        <v>743</v>
      </c>
      <c r="P603" s="193" t="s">
        <v>381</v>
      </c>
      <c r="Q603" s="193" t="s">
        <v>295</v>
      </c>
      <c r="R603" s="192" t="s">
        <v>379</v>
      </c>
      <c r="S603" s="181" t="s">
        <v>743</v>
      </c>
      <c r="T603" s="181" t="s">
        <v>381</v>
      </c>
      <c r="U603" s="181" t="s">
        <v>295</v>
      </c>
      <c r="V603" s="199" t="s">
        <v>379</v>
      </c>
    </row>
    <row r="604" spans="1:22" outlineLevel="1">
      <c r="A604" s="199" t="s">
        <v>274</v>
      </c>
      <c r="B604" s="181" t="s">
        <v>748</v>
      </c>
      <c r="C604" s="190">
        <v>43646</v>
      </c>
      <c r="D604" s="199" t="s">
        <v>750</v>
      </c>
      <c r="E604" s="182" t="s">
        <v>1305</v>
      </c>
      <c r="F604" s="183">
        <v>76340</v>
      </c>
      <c r="G604" s="184">
        <v>4.28</v>
      </c>
      <c r="H604" s="181">
        <v>5</v>
      </c>
      <c r="I604" s="181" t="s">
        <v>292</v>
      </c>
      <c r="J604" s="191">
        <v>5</v>
      </c>
      <c r="K604" s="192" t="s">
        <v>1271</v>
      </c>
      <c r="L604" s="193" t="s">
        <v>396</v>
      </c>
      <c r="M604" s="193" t="s">
        <v>309</v>
      </c>
      <c r="N604" s="193"/>
      <c r="O604" s="193" t="s">
        <v>743</v>
      </c>
      <c r="P604" s="193" t="s">
        <v>381</v>
      </c>
      <c r="Q604" s="193" t="s">
        <v>295</v>
      </c>
      <c r="R604" s="192" t="s">
        <v>379</v>
      </c>
      <c r="S604" s="181" t="s">
        <v>743</v>
      </c>
      <c r="T604" s="181" t="s">
        <v>381</v>
      </c>
      <c r="U604" s="181" t="s">
        <v>295</v>
      </c>
      <c r="V604" s="199" t="s">
        <v>379</v>
      </c>
    </row>
    <row r="605" spans="1:22" outlineLevel="1">
      <c r="A605" s="199" t="s">
        <v>274</v>
      </c>
      <c r="B605" s="181" t="s">
        <v>748</v>
      </c>
      <c r="C605" s="190">
        <v>43646</v>
      </c>
      <c r="D605" s="199" t="s">
        <v>750</v>
      </c>
      <c r="E605" s="182" t="s">
        <v>1306</v>
      </c>
      <c r="F605" s="183">
        <v>76340</v>
      </c>
      <c r="G605" s="184">
        <v>0.68</v>
      </c>
      <c r="H605" s="181">
        <v>0.8</v>
      </c>
      <c r="I605" s="181" t="s">
        <v>292</v>
      </c>
      <c r="J605" s="191">
        <v>0.8</v>
      </c>
      <c r="K605" s="192" t="s">
        <v>1271</v>
      </c>
      <c r="L605" s="193" t="s">
        <v>396</v>
      </c>
      <c r="M605" s="193" t="s">
        <v>309</v>
      </c>
      <c r="N605" s="193"/>
      <c r="O605" s="193" t="s">
        <v>743</v>
      </c>
      <c r="P605" s="193" t="s">
        <v>381</v>
      </c>
      <c r="Q605" s="193" t="s">
        <v>295</v>
      </c>
      <c r="R605" s="192" t="s">
        <v>379</v>
      </c>
      <c r="S605" s="181" t="s">
        <v>743</v>
      </c>
      <c r="T605" s="181" t="s">
        <v>381</v>
      </c>
      <c r="U605" s="181" t="s">
        <v>295</v>
      </c>
      <c r="V605" s="199" t="s">
        <v>379</v>
      </c>
    </row>
    <row r="606" spans="1:22" outlineLevel="1">
      <c r="A606" s="199" t="s">
        <v>274</v>
      </c>
      <c r="B606" s="181" t="s">
        <v>748</v>
      </c>
      <c r="C606" s="190">
        <v>43646</v>
      </c>
      <c r="D606" s="199" t="s">
        <v>750</v>
      </c>
      <c r="E606" s="182" t="s">
        <v>1307</v>
      </c>
      <c r="F606" s="183">
        <v>76340</v>
      </c>
      <c r="G606" s="184">
        <v>1.71</v>
      </c>
      <c r="H606" s="181">
        <v>2</v>
      </c>
      <c r="I606" s="181" t="s">
        <v>292</v>
      </c>
      <c r="J606" s="191">
        <v>2</v>
      </c>
      <c r="K606" s="192" t="s">
        <v>1271</v>
      </c>
      <c r="L606" s="193" t="s">
        <v>396</v>
      </c>
      <c r="M606" s="193" t="s">
        <v>309</v>
      </c>
      <c r="N606" s="193"/>
      <c r="O606" s="193" t="s">
        <v>743</v>
      </c>
      <c r="P606" s="193" t="s">
        <v>381</v>
      </c>
      <c r="Q606" s="193" t="s">
        <v>295</v>
      </c>
      <c r="R606" s="192" t="s">
        <v>379</v>
      </c>
      <c r="S606" s="181" t="s">
        <v>743</v>
      </c>
      <c r="T606" s="181" t="s">
        <v>381</v>
      </c>
      <c r="U606" s="181" t="s">
        <v>295</v>
      </c>
      <c r="V606" s="199" t="s">
        <v>379</v>
      </c>
    </row>
    <row r="607" spans="1:22" outlineLevel="1">
      <c r="A607" s="199" t="s">
        <v>274</v>
      </c>
      <c r="B607" s="181" t="s">
        <v>748</v>
      </c>
      <c r="C607" s="190">
        <v>43646</v>
      </c>
      <c r="D607" s="199" t="s">
        <v>750</v>
      </c>
      <c r="E607" s="182" t="s">
        <v>1308</v>
      </c>
      <c r="F607" s="183">
        <v>76340</v>
      </c>
      <c r="G607" s="184">
        <v>0.27</v>
      </c>
      <c r="H607" s="181">
        <v>0.32</v>
      </c>
      <c r="I607" s="181" t="s">
        <v>292</v>
      </c>
      <c r="J607" s="191">
        <v>0.32</v>
      </c>
      <c r="K607" s="192" t="s">
        <v>1271</v>
      </c>
      <c r="L607" s="193" t="s">
        <v>396</v>
      </c>
      <c r="M607" s="193" t="s">
        <v>309</v>
      </c>
      <c r="N607" s="193"/>
      <c r="O607" s="193" t="s">
        <v>743</v>
      </c>
      <c r="P607" s="193" t="s">
        <v>381</v>
      </c>
      <c r="Q607" s="193" t="s">
        <v>295</v>
      </c>
      <c r="R607" s="192" t="s">
        <v>379</v>
      </c>
      <c r="S607" s="181" t="s">
        <v>743</v>
      </c>
      <c r="T607" s="181" t="s">
        <v>381</v>
      </c>
      <c r="U607" s="181" t="s">
        <v>295</v>
      </c>
      <c r="V607" s="199" t="s">
        <v>379</v>
      </c>
    </row>
    <row r="608" spans="1:22" outlineLevel="1">
      <c r="A608" s="199" t="s">
        <v>274</v>
      </c>
      <c r="B608" s="181" t="s">
        <v>748</v>
      </c>
      <c r="C608" s="190">
        <v>43646</v>
      </c>
      <c r="D608" s="199" t="s">
        <v>750</v>
      </c>
      <c r="E608" s="182" t="s">
        <v>1309</v>
      </c>
      <c r="F608" s="183">
        <v>76340</v>
      </c>
      <c r="G608" s="184">
        <v>321.39999999999998</v>
      </c>
      <c r="H608" s="181">
        <v>375.89</v>
      </c>
      <c r="I608" s="181" t="s">
        <v>292</v>
      </c>
      <c r="J608" s="191">
        <v>375.89</v>
      </c>
      <c r="K608" s="192" t="s">
        <v>1271</v>
      </c>
      <c r="L608" s="193" t="s">
        <v>396</v>
      </c>
      <c r="M608" s="193" t="s">
        <v>309</v>
      </c>
      <c r="N608" s="193"/>
      <c r="O608" s="193" t="s">
        <v>743</v>
      </c>
      <c r="P608" s="193" t="s">
        <v>381</v>
      </c>
      <c r="Q608" s="193" t="s">
        <v>295</v>
      </c>
      <c r="R608" s="192" t="s">
        <v>379</v>
      </c>
      <c r="S608" s="181" t="s">
        <v>743</v>
      </c>
      <c r="T608" s="181" t="s">
        <v>381</v>
      </c>
      <c r="U608" s="181" t="s">
        <v>295</v>
      </c>
      <c r="V608" s="199" t="s">
        <v>379</v>
      </c>
    </row>
    <row r="609" spans="1:22" outlineLevel="1">
      <c r="A609" s="199" t="s">
        <v>274</v>
      </c>
      <c r="B609" s="181" t="s">
        <v>748</v>
      </c>
      <c r="C609" s="190">
        <v>43646</v>
      </c>
      <c r="D609" s="199" t="s">
        <v>750</v>
      </c>
      <c r="E609" s="182" t="s">
        <v>1306</v>
      </c>
      <c r="F609" s="183">
        <v>76340</v>
      </c>
      <c r="G609" s="184">
        <v>51.42</v>
      </c>
      <c r="H609" s="181">
        <v>60.14</v>
      </c>
      <c r="I609" s="181" t="s">
        <v>292</v>
      </c>
      <c r="J609" s="191">
        <v>60.14</v>
      </c>
      <c r="K609" s="192" t="s">
        <v>1271</v>
      </c>
      <c r="L609" s="193" t="s">
        <v>396</v>
      </c>
      <c r="M609" s="193" t="s">
        <v>309</v>
      </c>
      <c r="N609" s="193"/>
      <c r="O609" s="193" t="s">
        <v>743</v>
      </c>
      <c r="P609" s="193" t="s">
        <v>381</v>
      </c>
      <c r="Q609" s="193" t="s">
        <v>295</v>
      </c>
      <c r="R609" s="192" t="s">
        <v>379</v>
      </c>
      <c r="S609" s="181" t="s">
        <v>743</v>
      </c>
      <c r="T609" s="181" t="s">
        <v>381</v>
      </c>
      <c r="U609" s="181" t="s">
        <v>295</v>
      </c>
      <c r="V609" s="199" t="s">
        <v>379</v>
      </c>
    </row>
    <row r="610" spans="1:22" outlineLevel="1">
      <c r="A610" s="199" t="s">
        <v>274</v>
      </c>
      <c r="B610" s="181" t="s">
        <v>748</v>
      </c>
      <c r="C610" s="190">
        <v>43646</v>
      </c>
      <c r="D610" s="199" t="s">
        <v>750</v>
      </c>
      <c r="E610" s="182" t="s">
        <v>1310</v>
      </c>
      <c r="F610" s="183">
        <v>76340</v>
      </c>
      <c r="G610" s="184">
        <v>12.83</v>
      </c>
      <c r="H610" s="181">
        <v>15</v>
      </c>
      <c r="I610" s="181" t="s">
        <v>292</v>
      </c>
      <c r="J610" s="191">
        <v>15</v>
      </c>
      <c r="K610" s="192" t="s">
        <v>1271</v>
      </c>
      <c r="L610" s="193" t="s">
        <v>396</v>
      </c>
      <c r="M610" s="193" t="s">
        <v>309</v>
      </c>
      <c r="N610" s="193"/>
      <c r="O610" s="193" t="s">
        <v>743</v>
      </c>
      <c r="P610" s="193" t="s">
        <v>381</v>
      </c>
      <c r="Q610" s="193" t="s">
        <v>295</v>
      </c>
      <c r="R610" s="192" t="s">
        <v>379</v>
      </c>
      <c r="S610" s="181" t="s">
        <v>743</v>
      </c>
      <c r="T610" s="181" t="s">
        <v>381</v>
      </c>
      <c r="U610" s="181" t="s">
        <v>295</v>
      </c>
      <c r="V610" s="199" t="s">
        <v>379</v>
      </c>
    </row>
    <row r="611" spans="1:22" outlineLevel="1">
      <c r="A611" s="199" t="s">
        <v>274</v>
      </c>
      <c r="B611" s="181" t="s">
        <v>748</v>
      </c>
      <c r="C611" s="190">
        <v>43646</v>
      </c>
      <c r="D611" s="199" t="s">
        <v>750</v>
      </c>
      <c r="E611" s="182" t="s">
        <v>1305</v>
      </c>
      <c r="F611" s="183">
        <v>76340</v>
      </c>
      <c r="G611" s="184">
        <v>4.28</v>
      </c>
      <c r="H611" s="181">
        <v>5</v>
      </c>
      <c r="I611" s="181" t="s">
        <v>292</v>
      </c>
      <c r="J611" s="191">
        <v>5</v>
      </c>
      <c r="K611" s="192" t="s">
        <v>1271</v>
      </c>
      <c r="L611" s="193" t="s">
        <v>396</v>
      </c>
      <c r="M611" s="193" t="s">
        <v>309</v>
      </c>
      <c r="N611" s="193"/>
      <c r="O611" s="193" t="s">
        <v>743</v>
      </c>
      <c r="P611" s="193" t="s">
        <v>381</v>
      </c>
      <c r="Q611" s="193" t="s">
        <v>295</v>
      </c>
      <c r="R611" s="192" t="s">
        <v>379</v>
      </c>
      <c r="S611" s="181" t="s">
        <v>743</v>
      </c>
      <c r="T611" s="181" t="s">
        <v>381</v>
      </c>
      <c r="U611" s="181" t="s">
        <v>295</v>
      </c>
      <c r="V611" s="199" t="s">
        <v>379</v>
      </c>
    </row>
    <row r="612" spans="1:22" outlineLevel="1">
      <c r="A612" s="199" t="s">
        <v>274</v>
      </c>
      <c r="B612" s="181" t="s">
        <v>748</v>
      </c>
      <c r="C612" s="190">
        <v>43646</v>
      </c>
      <c r="D612" s="199" t="s">
        <v>750</v>
      </c>
      <c r="E612" s="182" t="s">
        <v>1306</v>
      </c>
      <c r="F612" s="183">
        <v>76340</v>
      </c>
      <c r="G612" s="184">
        <v>0.68</v>
      </c>
      <c r="H612" s="181">
        <v>0.8</v>
      </c>
      <c r="I612" s="181" t="s">
        <v>292</v>
      </c>
      <c r="J612" s="191">
        <v>0.8</v>
      </c>
      <c r="K612" s="192" t="s">
        <v>1271</v>
      </c>
      <c r="L612" s="193" t="s">
        <v>396</v>
      </c>
      <c r="M612" s="193" t="s">
        <v>309</v>
      </c>
      <c r="N612" s="193"/>
      <c r="O612" s="193" t="s">
        <v>743</v>
      </c>
      <c r="P612" s="193" t="s">
        <v>381</v>
      </c>
      <c r="Q612" s="193" t="s">
        <v>295</v>
      </c>
      <c r="R612" s="192" t="s">
        <v>379</v>
      </c>
      <c r="S612" s="181" t="s">
        <v>743</v>
      </c>
      <c r="T612" s="181" t="s">
        <v>381</v>
      </c>
      <c r="U612" s="181" t="s">
        <v>295</v>
      </c>
      <c r="V612" s="199" t="s">
        <v>379</v>
      </c>
    </row>
    <row r="613" spans="1:22" outlineLevel="1">
      <c r="A613" s="199" t="s">
        <v>274</v>
      </c>
      <c r="B613" s="181" t="s">
        <v>748</v>
      </c>
      <c r="C613" s="190">
        <v>43646</v>
      </c>
      <c r="D613" s="199" t="s">
        <v>750</v>
      </c>
      <c r="E613" s="182" t="s">
        <v>1311</v>
      </c>
      <c r="F613" s="183">
        <v>76340</v>
      </c>
      <c r="G613" s="184">
        <v>0.86</v>
      </c>
      <c r="H613" s="181">
        <v>1</v>
      </c>
      <c r="I613" s="181" t="s">
        <v>292</v>
      </c>
      <c r="J613" s="191">
        <v>1</v>
      </c>
      <c r="K613" s="192" t="s">
        <v>1271</v>
      </c>
      <c r="L613" s="193" t="s">
        <v>396</v>
      </c>
      <c r="M613" s="193" t="s">
        <v>309</v>
      </c>
      <c r="N613" s="193"/>
      <c r="O613" s="193" t="s">
        <v>743</v>
      </c>
      <c r="P613" s="193" t="s">
        <v>381</v>
      </c>
      <c r="Q613" s="193" t="s">
        <v>295</v>
      </c>
      <c r="R613" s="192" t="s">
        <v>379</v>
      </c>
      <c r="S613" s="181" t="s">
        <v>743</v>
      </c>
      <c r="T613" s="181" t="s">
        <v>381</v>
      </c>
      <c r="U613" s="181" t="s">
        <v>295</v>
      </c>
      <c r="V613" s="199" t="s">
        <v>379</v>
      </c>
    </row>
    <row r="614" spans="1:22" outlineLevel="1">
      <c r="A614" s="199" t="s">
        <v>274</v>
      </c>
      <c r="B614" s="181" t="s">
        <v>748</v>
      </c>
      <c r="C614" s="190">
        <v>43646</v>
      </c>
      <c r="D614" s="199" t="s">
        <v>750</v>
      </c>
      <c r="E614" s="182" t="s">
        <v>1312</v>
      </c>
      <c r="F614" s="183">
        <v>76340</v>
      </c>
      <c r="G614" s="184">
        <v>0.14000000000000001</v>
      </c>
      <c r="H614" s="181">
        <v>0.16</v>
      </c>
      <c r="I614" s="181" t="s">
        <v>292</v>
      </c>
      <c r="J614" s="191">
        <v>0.16</v>
      </c>
      <c r="K614" s="192" t="s">
        <v>1271</v>
      </c>
      <c r="L614" s="193" t="s">
        <v>396</v>
      </c>
      <c r="M614" s="193" t="s">
        <v>309</v>
      </c>
      <c r="N614" s="193"/>
      <c r="O614" s="193" t="s">
        <v>743</v>
      </c>
      <c r="P614" s="193" t="s">
        <v>381</v>
      </c>
      <c r="Q614" s="193" t="s">
        <v>295</v>
      </c>
      <c r="R614" s="192" t="s">
        <v>379</v>
      </c>
      <c r="S614" s="181" t="s">
        <v>743</v>
      </c>
      <c r="T614" s="181" t="s">
        <v>381</v>
      </c>
      <c r="U614" s="181" t="s">
        <v>295</v>
      </c>
      <c r="V614" s="199" t="s">
        <v>379</v>
      </c>
    </row>
    <row r="615" spans="1:22" outlineLevel="1">
      <c r="A615" s="199" t="s">
        <v>274</v>
      </c>
      <c r="B615" s="181" t="s">
        <v>748</v>
      </c>
      <c r="C615" s="190">
        <v>43646</v>
      </c>
      <c r="D615" s="199" t="s">
        <v>750</v>
      </c>
      <c r="E615" s="182" t="s">
        <v>1305</v>
      </c>
      <c r="F615" s="183">
        <v>76340</v>
      </c>
      <c r="G615" s="184">
        <v>4.28</v>
      </c>
      <c r="H615" s="181">
        <v>5</v>
      </c>
      <c r="I615" s="181" t="s">
        <v>292</v>
      </c>
      <c r="J615" s="191">
        <v>5</v>
      </c>
      <c r="K615" s="192" t="s">
        <v>1271</v>
      </c>
      <c r="L615" s="193" t="s">
        <v>396</v>
      </c>
      <c r="M615" s="193" t="s">
        <v>309</v>
      </c>
      <c r="N615" s="193"/>
      <c r="O615" s="193" t="s">
        <v>743</v>
      </c>
      <c r="P615" s="193" t="s">
        <v>381</v>
      </c>
      <c r="Q615" s="193" t="s">
        <v>295</v>
      </c>
      <c r="R615" s="192" t="s">
        <v>379</v>
      </c>
      <c r="S615" s="181" t="s">
        <v>743</v>
      </c>
      <c r="T615" s="181" t="s">
        <v>381</v>
      </c>
      <c r="U615" s="181" t="s">
        <v>295</v>
      </c>
      <c r="V615" s="199" t="s">
        <v>379</v>
      </c>
    </row>
    <row r="616" spans="1:22" outlineLevel="1">
      <c r="A616" s="199" t="s">
        <v>274</v>
      </c>
      <c r="B616" s="181" t="s">
        <v>748</v>
      </c>
      <c r="C616" s="190">
        <v>43646</v>
      </c>
      <c r="D616" s="199" t="s">
        <v>750</v>
      </c>
      <c r="E616" s="182" t="s">
        <v>1306</v>
      </c>
      <c r="F616" s="183">
        <v>76340</v>
      </c>
      <c r="G616" s="184">
        <v>0.68</v>
      </c>
      <c r="H616" s="181">
        <v>0.8</v>
      </c>
      <c r="I616" s="181" t="s">
        <v>292</v>
      </c>
      <c r="J616" s="191">
        <v>0.8</v>
      </c>
      <c r="K616" s="192" t="s">
        <v>1271</v>
      </c>
      <c r="L616" s="193" t="s">
        <v>396</v>
      </c>
      <c r="M616" s="193" t="s">
        <v>309</v>
      </c>
      <c r="N616" s="193"/>
      <c r="O616" s="193" t="s">
        <v>743</v>
      </c>
      <c r="P616" s="193" t="s">
        <v>381</v>
      </c>
      <c r="Q616" s="193" t="s">
        <v>295</v>
      </c>
      <c r="R616" s="192" t="s">
        <v>379</v>
      </c>
      <c r="S616" s="181" t="s">
        <v>743</v>
      </c>
      <c r="T616" s="181" t="s">
        <v>381</v>
      </c>
      <c r="U616" s="181" t="s">
        <v>295</v>
      </c>
      <c r="V616" s="199" t="s">
        <v>379</v>
      </c>
    </row>
    <row r="617" spans="1:22" outlineLevel="1">
      <c r="A617" s="199" t="s">
        <v>274</v>
      </c>
      <c r="B617" s="181" t="s">
        <v>748</v>
      </c>
      <c r="C617" s="190">
        <v>43646</v>
      </c>
      <c r="D617" s="199" t="s">
        <v>750</v>
      </c>
      <c r="E617" s="182" t="s">
        <v>1305</v>
      </c>
      <c r="F617" s="183">
        <v>76340</v>
      </c>
      <c r="G617" s="184">
        <v>4.28</v>
      </c>
      <c r="H617" s="181">
        <v>5</v>
      </c>
      <c r="I617" s="181" t="s">
        <v>292</v>
      </c>
      <c r="J617" s="191">
        <v>5</v>
      </c>
      <c r="K617" s="192" t="s">
        <v>1271</v>
      </c>
      <c r="L617" s="193" t="s">
        <v>396</v>
      </c>
      <c r="M617" s="193" t="s">
        <v>309</v>
      </c>
      <c r="N617" s="193"/>
      <c r="O617" s="193" t="s">
        <v>743</v>
      </c>
      <c r="P617" s="193" t="s">
        <v>381</v>
      </c>
      <c r="Q617" s="193" t="s">
        <v>295</v>
      </c>
      <c r="R617" s="192" t="s">
        <v>379</v>
      </c>
      <c r="S617" s="181" t="s">
        <v>743</v>
      </c>
      <c r="T617" s="181" t="s">
        <v>381</v>
      </c>
      <c r="U617" s="181" t="s">
        <v>295</v>
      </c>
      <c r="V617" s="199" t="s">
        <v>379</v>
      </c>
    </row>
    <row r="618" spans="1:22" outlineLevel="1">
      <c r="A618" s="199" t="s">
        <v>274</v>
      </c>
      <c r="B618" s="181" t="s">
        <v>748</v>
      </c>
      <c r="C618" s="190">
        <v>43646</v>
      </c>
      <c r="D618" s="199" t="s">
        <v>750</v>
      </c>
      <c r="E618" s="182" t="s">
        <v>1306</v>
      </c>
      <c r="F618" s="183">
        <v>76340</v>
      </c>
      <c r="G618" s="184">
        <v>0.68</v>
      </c>
      <c r="H618" s="181">
        <v>0.8</v>
      </c>
      <c r="I618" s="181" t="s">
        <v>292</v>
      </c>
      <c r="J618" s="191">
        <v>0.8</v>
      </c>
      <c r="K618" s="192" t="s">
        <v>1271</v>
      </c>
      <c r="L618" s="193" t="s">
        <v>396</v>
      </c>
      <c r="M618" s="193" t="s">
        <v>309</v>
      </c>
      <c r="N618" s="193"/>
      <c r="O618" s="193" t="s">
        <v>743</v>
      </c>
      <c r="P618" s="193" t="s">
        <v>381</v>
      </c>
      <c r="Q618" s="193" t="s">
        <v>295</v>
      </c>
      <c r="R618" s="192" t="s">
        <v>379</v>
      </c>
      <c r="S618" s="181" t="s">
        <v>743</v>
      </c>
      <c r="T618" s="181" t="s">
        <v>381</v>
      </c>
      <c r="U618" s="181" t="s">
        <v>295</v>
      </c>
      <c r="V618" s="199" t="s">
        <v>379</v>
      </c>
    </row>
    <row r="619" spans="1:22" outlineLevel="1">
      <c r="A619" s="199" t="s">
        <v>274</v>
      </c>
      <c r="B619" s="181" t="s">
        <v>748</v>
      </c>
      <c r="C619" s="190">
        <v>43646</v>
      </c>
      <c r="D619" s="199" t="s">
        <v>750</v>
      </c>
      <c r="E619" s="182" t="s">
        <v>1305</v>
      </c>
      <c r="F619" s="183">
        <v>76340</v>
      </c>
      <c r="G619" s="184">
        <v>4.28</v>
      </c>
      <c r="H619" s="181">
        <v>5</v>
      </c>
      <c r="I619" s="181" t="s">
        <v>292</v>
      </c>
      <c r="J619" s="191">
        <v>5</v>
      </c>
      <c r="K619" s="192" t="s">
        <v>1271</v>
      </c>
      <c r="L619" s="193" t="s">
        <v>396</v>
      </c>
      <c r="M619" s="193" t="s">
        <v>309</v>
      </c>
      <c r="N619" s="193"/>
      <c r="O619" s="193" t="s">
        <v>743</v>
      </c>
      <c r="P619" s="193" t="s">
        <v>381</v>
      </c>
      <c r="Q619" s="193" t="s">
        <v>295</v>
      </c>
      <c r="R619" s="192" t="s">
        <v>379</v>
      </c>
      <c r="S619" s="181" t="s">
        <v>743</v>
      </c>
      <c r="T619" s="181" t="s">
        <v>381</v>
      </c>
      <c r="U619" s="181" t="s">
        <v>295</v>
      </c>
      <c r="V619" s="199" t="s">
        <v>379</v>
      </c>
    </row>
    <row r="620" spans="1:22" outlineLevel="1">
      <c r="A620" s="199" t="s">
        <v>274</v>
      </c>
      <c r="B620" s="181" t="s">
        <v>748</v>
      </c>
      <c r="C620" s="190">
        <v>43646</v>
      </c>
      <c r="D620" s="199" t="s">
        <v>750</v>
      </c>
      <c r="E620" s="182" t="s">
        <v>1306</v>
      </c>
      <c r="F620" s="183">
        <v>76340</v>
      </c>
      <c r="G620" s="184">
        <v>0.68</v>
      </c>
      <c r="H620" s="181">
        <v>0.8</v>
      </c>
      <c r="I620" s="181" t="s">
        <v>292</v>
      </c>
      <c r="J620" s="191">
        <v>0.8</v>
      </c>
      <c r="K620" s="192" t="s">
        <v>1271</v>
      </c>
      <c r="L620" s="193" t="s">
        <v>396</v>
      </c>
      <c r="M620" s="193" t="s">
        <v>309</v>
      </c>
      <c r="N620" s="193"/>
      <c r="O620" s="193" t="s">
        <v>743</v>
      </c>
      <c r="P620" s="193" t="s">
        <v>381</v>
      </c>
      <c r="Q620" s="193" t="s">
        <v>295</v>
      </c>
      <c r="R620" s="192" t="s">
        <v>379</v>
      </c>
      <c r="S620" s="181" t="s">
        <v>743</v>
      </c>
      <c r="T620" s="181" t="s">
        <v>381</v>
      </c>
      <c r="U620" s="181" t="s">
        <v>295</v>
      </c>
      <c r="V620" s="199" t="s">
        <v>379</v>
      </c>
    </row>
    <row r="621" spans="1:22" outlineLevel="1">
      <c r="A621" s="199" t="s">
        <v>274</v>
      </c>
      <c r="B621" s="181" t="s">
        <v>748</v>
      </c>
      <c r="C621" s="190">
        <v>43646</v>
      </c>
      <c r="D621" s="199" t="s">
        <v>750</v>
      </c>
      <c r="E621" s="182" t="s">
        <v>1313</v>
      </c>
      <c r="F621" s="183">
        <v>76340</v>
      </c>
      <c r="G621" s="184">
        <v>339.96</v>
      </c>
      <c r="H621" s="181">
        <v>397.6</v>
      </c>
      <c r="I621" s="181" t="s">
        <v>292</v>
      </c>
      <c r="J621" s="191">
        <v>397.6</v>
      </c>
      <c r="K621" s="192" t="s">
        <v>1271</v>
      </c>
      <c r="L621" s="193" t="s">
        <v>396</v>
      </c>
      <c r="M621" s="193" t="s">
        <v>309</v>
      </c>
      <c r="N621" s="193"/>
      <c r="O621" s="193" t="s">
        <v>743</v>
      </c>
      <c r="P621" s="193" t="s">
        <v>381</v>
      </c>
      <c r="Q621" s="193" t="s">
        <v>295</v>
      </c>
      <c r="R621" s="192" t="s">
        <v>379</v>
      </c>
      <c r="S621" s="181" t="s">
        <v>743</v>
      </c>
      <c r="T621" s="181" t="s">
        <v>381</v>
      </c>
      <c r="U621" s="181" t="s">
        <v>295</v>
      </c>
      <c r="V621" s="199" t="s">
        <v>379</v>
      </c>
    </row>
    <row r="622" spans="1:22" outlineLevel="1">
      <c r="A622" s="199" t="s">
        <v>274</v>
      </c>
      <c r="B622" s="181" t="s">
        <v>748</v>
      </c>
      <c r="C622" s="190">
        <v>43646</v>
      </c>
      <c r="D622" s="199" t="s">
        <v>750</v>
      </c>
      <c r="E622" s="182" t="s">
        <v>1314</v>
      </c>
      <c r="F622" s="183">
        <v>76340</v>
      </c>
      <c r="G622" s="184">
        <v>221.94</v>
      </c>
      <c r="H622" s="181">
        <v>259.57</v>
      </c>
      <c r="I622" s="181" t="s">
        <v>292</v>
      </c>
      <c r="J622" s="191">
        <v>259.57</v>
      </c>
      <c r="K622" s="192" t="s">
        <v>1271</v>
      </c>
      <c r="L622" s="193" t="s">
        <v>396</v>
      </c>
      <c r="M622" s="193" t="s">
        <v>309</v>
      </c>
      <c r="N622" s="193"/>
      <c r="O622" s="193" t="s">
        <v>743</v>
      </c>
      <c r="P622" s="193" t="s">
        <v>381</v>
      </c>
      <c r="Q622" s="193" t="s">
        <v>295</v>
      </c>
      <c r="R622" s="192" t="s">
        <v>379</v>
      </c>
      <c r="S622" s="181" t="s">
        <v>743</v>
      </c>
      <c r="T622" s="181" t="s">
        <v>381</v>
      </c>
      <c r="U622" s="181" t="s">
        <v>295</v>
      </c>
      <c r="V622" s="199" t="s">
        <v>379</v>
      </c>
    </row>
    <row r="623" spans="1:22" outlineLevel="1">
      <c r="A623" s="199" t="s">
        <v>274</v>
      </c>
      <c r="B623" s="181" t="s">
        <v>748</v>
      </c>
      <c r="C623" s="190">
        <v>43646</v>
      </c>
      <c r="D623" s="199" t="s">
        <v>750</v>
      </c>
      <c r="E623" s="182" t="s">
        <v>1315</v>
      </c>
      <c r="F623" s="183">
        <v>76340</v>
      </c>
      <c r="G623" s="184">
        <v>105.81</v>
      </c>
      <c r="H623" s="181">
        <v>123.75</v>
      </c>
      <c r="I623" s="181" t="s">
        <v>292</v>
      </c>
      <c r="J623" s="191">
        <v>123.75</v>
      </c>
      <c r="K623" s="192" t="s">
        <v>1271</v>
      </c>
      <c r="L623" s="193" t="s">
        <v>396</v>
      </c>
      <c r="M623" s="193" t="s">
        <v>309</v>
      </c>
      <c r="N623" s="193"/>
      <c r="O623" s="193" t="s">
        <v>743</v>
      </c>
      <c r="P623" s="193" t="s">
        <v>381</v>
      </c>
      <c r="Q623" s="193" t="s">
        <v>295</v>
      </c>
      <c r="R623" s="192" t="s">
        <v>379</v>
      </c>
      <c r="S623" s="181" t="s">
        <v>743</v>
      </c>
      <c r="T623" s="181" t="s">
        <v>381</v>
      </c>
      <c r="U623" s="181" t="s">
        <v>295</v>
      </c>
      <c r="V623" s="199" t="s">
        <v>379</v>
      </c>
    </row>
    <row r="624" spans="1:22" outlineLevel="1">
      <c r="A624" s="199" t="s">
        <v>274</v>
      </c>
      <c r="B624" s="181" t="s">
        <v>748</v>
      </c>
      <c r="C624" s="190">
        <v>43646</v>
      </c>
      <c r="D624" s="199" t="s">
        <v>750</v>
      </c>
      <c r="E624" s="182" t="s">
        <v>1316</v>
      </c>
      <c r="F624" s="183">
        <v>76340</v>
      </c>
      <c r="G624" s="184">
        <v>85.5</v>
      </c>
      <c r="H624" s="181">
        <v>100</v>
      </c>
      <c r="I624" s="181" t="s">
        <v>292</v>
      </c>
      <c r="J624" s="191">
        <v>100</v>
      </c>
      <c r="K624" s="192" t="s">
        <v>1271</v>
      </c>
      <c r="L624" s="193" t="s">
        <v>396</v>
      </c>
      <c r="M624" s="193" t="s">
        <v>309</v>
      </c>
      <c r="N624" s="193"/>
      <c r="O624" s="193" t="s">
        <v>743</v>
      </c>
      <c r="P624" s="193" t="s">
        <v>381</v>
      </c>
      <c r="Q624" s="193" t="s">
        <v>295</v>
      </c>
      <c r="R624" s="192" t="s">
        <v>379</v>
      </c>
      <c r="S624" s="181" t="s">
        <v>743</v>
      </c>
      <c r="T624" s="181" t="s">
        <v>381</v>
      </c>
      <c r="U624" s="181" t="s">
        <v>295</v>
      </c>
      <c r="V624" s="199" t="s">
        <v>379</v>
      </c>
    </row>
    <row r="625" spans="1:22" outlineLevel="1">
      <c r="A625" s="199" t="s">
        <v>274</v>
      </c>
      <c r="B625" s="181" t="s">
        <v>748</v>
      </c>
      <c r="C625" s="190">
        <v>43646</v>
      </c>
      <c r="D625" s="199" t="s">
        <v>750</v>
      </c>
      <c r="E625" s="182" t="s">
        <v>1317</v>
      </c>
      <c r="F625" s="183">
        <v>76340</v>
      </c>
      <c r="G625" s="184">
        <v>171.01</v>
      </c>
      <c r="H625" s="181">
        <v>200</v>
      </c>
      <c r="I625" s="181" t="s">
        <v>292</v>
      </c>
      <c r="J625" s="191">
        <v>200</v>
      </c>
      <c r="K625" s="192" t="s">
        <v>1271</v>
      </c>
      <c r="L625" s="193" t="s">
        <v>396</v>
      </c>
      <c r="M625" s="193" t="s">
        <v>309</v>
      </c>
      <c r="N625" s="193"/>
      <c r="O625" s="193" t="s">
        <v>743</v>
      </c>
      <c r="P625" s="193" t="s">
        <v>381</v>
      </c>
      <c r="Q625" s="193" t="s">
        <v>295</v>
      </c>
      <c r="R625" s="192" t="s">
        <v>379</v>
      </c>
      <c r="S625" s="181" t="s">
        <v>743</v>
      </c>
      <c r="T625" s="181" t="s">
        <v>381</v>
      </c>
      <c r="U625" s="181" t="s">
        <v>295</v>
      </c>
      <c r="V625" s="199" t="s">
        <v>379</v>
      </c>
    </row>
    <row r="626" spans="1:22" outlineLevel="1">
      <c r="A626" s="199" t="s">
        <v>274</v>
      </c>
      <c r="B626" s="181" t="s">
        <v>748</v>
      </c>
      <c r="C626" s="190">
        <v>43646</v>
      </c>
      <c r="D626" s="199" t="s">
        <v>750</v>
      </c>
      <c r="E626" s="182" t="s">
        <v>1318</v>
      </c>
      <c r="F626" s="183">
        <v>76340</v>
      </c>
      <c r="G626" s="184">
        <v>128.25</v>
      </c>
      <c r="H626" s="181">
        <v>150</v>
      </c>
      <c r="I626" s="181" t="s">
        <v>292</v>
      </c>
      <c r="J626" s="191">
        <v>150</v>
      </c>
      <c r="K626" s="192" t="s">
        <v>1271</v>
      </c>
      <c r="L626" s="193" t="s">
        <v>396</v>
      </c>
      <c r="M626" s="193" t="s">
        <v>309</v>
      </c>
      <c r="N626" s="193"/>
      <c r="O626" s="193" t="s">
        <v>743</v>
      </c>
      <c r="P626" s="193" t="s">
        <v>381</v>
      </c>
      <c r="Q626" s="193" t="s">
        <v>295</v>
      </c>
      <c r="R626" s="192" t="s">
        <v>379</v>
      </c>
      <c r="S626" s="181" t="s">
        <v>743</v>
      </c>
      <c r="T626" s="181" t="s">
        <v>381</v>
      </c>
      <c r="U626" s="181" t="s">
        <v>295</v>
      </c>
      <c r="V626" s="199" t="s">
        <v>379</v>
      </c>
    </row>
    <row r="627" spans="1:22" outlineLevel="1">
      <c r="A627" s="199" t="s">
        <v>274</v>
      </c>
      <c r="B627" s="181" t="s">
        <v>748</v>
      </c>
      <c r="C627" s="190">
        <v>43646</v>
      </c>
      <c r="D627" s="199" t="s">
        <v>750</v>
      </c>
      <c r="E627" s="182" t="s">
        <v>1319</v>
      </c>
      <c r="F627" s="183">
        <v>76340</v>
      </c>
      <c r="G627" s="184">
        <v>513.02</v>
      </c>
      <c r="H627" s="181">
        <v>600</v>
      </c>
      <c r="I627" s="181" t="s">
        <v>292</v>
      </c>
      <c r="J627" s="191">
        <v>600</v>
      </c>
      <c r="K627" s="192" t="s">
        <v>1271</v>
      </c>
      <c r="L627" s="193" t="s">
        <v>396</v>
      </c>
      <c r="M627" s="193" t="s">
        <v>309</v>
      </c>
      <c r="N627" s="193"/>
      <c r="O627" s="193" t="s">
        <v>743</v>
      </c>
      <c r="P627" s="193" t="s">
        <v>381</v>
      </c>
      <c r="Q627" s="193" t="s">
        <v>295</v>
      </c>
      <c r="R627" s="192" t="s">
        <v>379</v>
      </c>
      <c r="S627" s="181" t="s">
        <v>743</v>
      </c>
      <c r="T627" s="181" t="s">
        <v>381</v>
      </c>
      <c r="U627" s="181" t="s">
        <v>295</v>
      </c>
      <c r="V627" s="199" t="s">
        <v>379</v>
      </c>
    </row>
    <row r="628" spans="1:22" outlineLevel="1">
      <c r="A628" s="199" t="s">
        <v>274</v>
      </c>
      <c r="B628" s="181" t="s">
        <v>748</v>
      </c>
      <c r="C628" s="190">
        <v>43646</v>
      </c>
      <c r="D628" s="199" t="s">
        <v>750</v>
      </c>
      <c r="E628" s="182" t="s">
        <v>1320</v>
      </c>
      <c r="F628" s="183">
        <v>76340</v>
      </c>
      <c r="G628" s="184">
        <v>51.39</v>
      </c>
      <c r="H628" s="181">
        <v>60.1</v>
      </c>
      <c r="I628" s="181" t="s">
        <v>292</v>
      </c>
      <c r="J628" s="191">
        <v>60.1</v>
      </c>
      <c r="K628" s="192" t="s">
        <v>1271</v>
      </c>
      <c r="L628" s="193" t="s">
        <v>396</v>
      </c>
      <c r="M628" s="193" t="s">
        <v>309</v>
      </c>
      <c r="N628" s="193"/>
      <c r="O628" s="193" t="s">
        <v>743</v>
      </c>
      <c r="P628" s="193" t="s">
        <v>381</v>
      </c>
      <c r="Q628" s="193" t="s">
        <v>295</v>
      </c>
      <c r="R628" s="192" t="s">
        <v>379</v>
      </c>
      <c r="S628" s="181" t="s">
        <v>743</v>
      </c>
      <c r="T628" s="181" t="s">
        <v>381</v>
      </c>
      <c r="U628" s="181" t="s">
        <v>295</v>
      </c>
      <c r="V628" s="199" t="s">
        <v>379</v>
      </c>
    </row>
    <row r="629" spans="1:22" outlineLevel="1">
      <c r="A629" s="199" t="s">
        <v>274</v>
      </c>
      <c r="B629" s="181" t="s">
        <v>748</v>
      </c>
      <c r="C629" s="190">
        <v>43646</v>
      </c>
      <c r="D629" s="199" t="s">
        <v>750</v>
      </c>
      <c r="E629" s="182" t="s">
        <v>1321</v>
      </c>
      <c r="F629" s="183">
        <v>76340</v>
      </c>
      <c r="G629" s="184">
        <v>68.400000000000006</v>
      </c>
      <c r="H629" s="181">
        <v>80</v>
      </c>
      <c r="I629" s="181" t="s">
        <v>292</v>
      </c>
      <c r="J629" s="191">
        <v>80</v>
      </c>
      <c r="K629" s="192" t="s">
        <v>1271</v>
      </c>
      <c r="L629" s="193" t="s">
        <v>396</v>
      </c>
      <c r="M629" s="193" t="s">
        <v>309</v>
      </c>
      <c r="N629" s="193"/>
      <c r="O629" s="193" t="s">
        <v>743</v>
      </c>
      <c r="P629" s="193" t="s">
        <v>381</v>
      </c>
      <c r="Q629" s="193" t="s">
        <v>295</v>
      </c>
      <c r="R629" s="192" t="s">
        <v>379</v>
      </c>
      <c r="S629" s="181" t="s">
        <v>743</v>
      </c>
      <c r="T629" s="181" t="s">
        <v>381</v>
      </c>
      <c r="U629" s="181" t="s">
        <v>295</v>
      </c>
      <c r="V629" s="199" t="s">
        <v>379</v>
      </c>
    </row>
    <row r="630" spans="1:22" outlineLevel="1">
      <c r="A630" s="199" t="s">
        <v>274</v>
      </c>
      <c r="B630" s="181" t="s">
        <v>748</v>
      </c>
      <c r="C630" s="190">
        <v>43646</v>
      </c>
      <c r="D630" s="199" t="s">
        <v>750</v>
      </c>
      <c r="E630" s="182" t="s">
        <v>1322</v>
      </c>
      <c r="F630" s="183">
        <v>76340</v>
      </c>
      <c r="G630" s="184">
        <v>339.96</v>
      </c>
      <c r="H630" s="181">
        <v>397.6</v>
      </c>
      <c r="I630" s="181" t="s">
        <v>292</v>
      </c>
      <c r="J630" s="191">
        <v>397.6</v>
      </c>
      <c r="K630" s="192" t="s">
        <v>1271</v>
      </c>
      <c r="L630" s="193" t="s">
        <v>396</v>
      </c>
      <c r="M630" s="193" t="s">
        <v>309</v>
      </c>
      <c r="N630" s="193"/>
      <c r="O630" s="193" t="s">
        <v>743</v>
      </c>
      <c r="P630" s="193" t="s">
        <v>381</v>
      </c>
      <c r="Q630" s="193" t="s">
        <v>295</v>
      </c>
      <c r="R630" s="192" t="s">
        <v>379</v>
      </c>
      <c r="S630" s="181" t="s">
        <v>743</v>
      </c>
      <c r="T630" s="181" t="s">
        <v>381</v>
      </c>
      <c r="U630" s="181" t="s">
        <v>295</v>
      </c>
      <c r="V630" s="199" t="s">
        <v>379</v>
      </c>
    </row>
    <row r="631" spans="1:22" outlineLevel="1">
      <c r="A631" s="199" t="s">
        <v>274</v>
      </c>
      <c r="B631" s="181" t="s">
        <v>748</v>
      </c>
      <c r="C631" s="190">
        <v>43646</v>
      </c>
      <c r="D631" s="199" t="s">
        <v>750</v>
      </c>
      <c r="E631" s="182" t="s">
        <v>1323</v>
      </c>
      <c r="F631" s="183">
        <v>76340</v>
      </c>
      <c r="G631" s="184">
        <v>221.94</v>
      </c>
      <c r="H631" s="181">
        <v>259.57</v>
      </c>
      <c r="I631" s="181" t="s">
        <v>292</v>
      </c>
      <c r="J631" s="191">
        <v>259.57</v>
      </c>
      <c r="K631" s="192" t="s">
        <v>1271</v>
      </c>
      <c r="L631" s="193" t="s">
        <v>396</v>
      </c>
      <c r="M631" s="193" t="s">
        <v>309</v>
      </c>
      <c r="N631" s="193"/>
      <c r="O631" s="193" t="s">
        <v>743</v>
      </c>
      <c r="P631" s="193" t="s">
        <v>381</v>
      </c>
      <c r="Q631" s="193" t="s">
        <v>295</v>
      </c>
      <c r="R631" s="192" t="s">
        <v>379</v>
      </c>
      <c r="S631" s="181" t="s">
        <v>743</v>
      </c>
      <c r="T631" s="181" t="s">
        <v>381</v>
      </c>
      <c r="U631" s="181" t="s">
        <v>295</v>
      </c>
      <c r="V631" s="199" t="s">
        <v>379</v>
      </c>
    </row>
    <row r="632" spans="1:22" outlineLevel="1">
      <c r="A632" s="199" t="s">
        <v>274</v>
      </c>
      <c r="B632" s="181" t="s">
        <v>748</v>
      </c>
      <c r="C632" s="190">
        <v>43646</v>
      </c>
      <c r="D632" s="199" t="s">
        <v>750</v>
      </c>
      <c r="E632" s="182" t="s">
        <v>1324</v>
      </c>
      <c r="F632" s="183">
        <v>76340</v>
      </c>
      <c r="G632" s="184">
        <v>105.81</v>
      </c>
      <c r="H632" s="181">
        <v>123.75</v>
      </c>
      <c r="I632" s="181" t="s">
        <v>292</v>
      </c>
      <c r="J632" s="191">
        <v>123.75</v>
      </c>
      <c r="K632" s="192" t="s">
        <v>1271</v>
      </c>
      <c r="L632" s="193" t="s">
        <v>396</v>
      </c>
      <c r="M632" s="193" t="s">
        <v>309</v>
      </c>
      <c r="N632" s="193"/>
      <c r="O632" s="193" t="s">
        <v>743</v>
      </c>
      <c r="P632" s="193" t="s">
        <v>381</v>
      </c>
      <c r="Q632" s="193" t="s">
        <v>295</v>
      </c>
      <c r="R632" s="192" t="s">
        <v>379</v>
      </c>
      <c r="S632" s="181" t="s">
        <v>743</v>
      </c>
      <c r="T632" s="181" t="s">
        <v>381</v>
      </c>
      <c r="U632" s="181" t="s">
        <v>295</v>
      </c>
      <c r="V632" s="199" t="s">
        <v>379</v>
      </c>
    </row>
    <row r="633" spans="1:22" outlineLevel="1">
      <c r="A633" s="199" t="s">
        <v>274</v>
      </c>
      <c r="B633" s="181" t="s">
        <v>748</v>
      </c>
      <c r="C633" s="190">
        <v>43646</v>
      </c>
      <c r="D633" s="199" t="s">
        <v>750</v>
      </c>
      <c r="E633" s="182" t="s">
        <v>1317</v>
      </c>
      <c r="F633" s="183">
        <v>76340</v>
      </c>
      <c r="G633" s="184">
        <v>85.5</v>
      </c>
      <c r="H633" s="181">
        <v>100</v>
      </c>
      <c r="I633" s="181" t="s">
        <v>292</v>
      </c>
      <c r="J633" s="191">
        <v>100</v>
      </c>
      <c r="K633" s="192" t="s">
        <v>1271</v>
      </c>
      <c r="L633" s="193" t="s">
        <v>396</v>
      </c>
      <c r="M633" s="193" t="s">
        <v>309</v>
      </c>
      <c r="N633" s="193"/>
      <c r="O633" s="193" t="s">
        <v>743</v>
      </c>
      <c r="P633" s="193" t="s">
        <v>381</v>
      </c>
      <c r="Q633" s="193" t="s">
        <v>295</v>
      </c>
      <c r="R633" s="192" t="s">
        <v>379</v>
      </c>
      <c r="S633" s="181" t="s">
        <v>743</v>
      </c>
      <c r="T633" s="181" t="s">
        <v>381</v>
      </c>
      <c r="U633" s="181" t="s">
        <v>295</v>
      </c>
      <c r="V633" s="199" t="s">
        <v>379</v>
      </c>
    </row>
    <row r="634" spans="1:22" outlineLevel="1">
      <c r="A634" s="199" t="s">
        <v>274</v>
      </c>
      <c r="B634" s="181" t="s">
        <v>748</v>
      </c>
      <c r="C634" s="190">
        <v>43646</v>
      </c>
      <c r="D634" s="199" t="s">
        <v>750</v>
      </c>
      <c r="E634" s="182" t="s">
        <v>1316</v>
      </c>
      <c r="F634" s="183">
        <v>76340</v>
      </c>
      <c r="G634" s="184">
        <v>42.75</v>
      </c>
      <c r="H634" s="181">
        <v>50</v>
      </c>
      <c r="I634" s="181" t="s">
        <v>292</v>
      </c>
      <c r="J634" s="191">
        <v>50</v>
      </c>
      <c r="K634" s="192" t="s">
        <v>1271</v>
      </c>
      <c r="L634" s="193" t="s">
        <v>396</v>
      </c>
      <c r="M634" s="193" t="s">
        <v>309</v>
      </c>
      <c r="N634" s="193"/>
      <c r="O634" s="193" t="s">
        <v>743</v>
      </c>
      <c r="P634" s="193" t="s">
        <v>381</v>
      </c>
      <c r="Q634" s="193" t="s">
        <v>295</v>
      </c>
      <c r="R634" s="192" t="s">
        <v>379</v>
      </c>
      <c r="S634" s="181" t="s">
        <v>743</v>
      </c>
      <c r="T634" s="181" t="s">
        <v>381</v>
      </c>
      <c r="U634" s="181" t="s">
        <v>295</v>
      </c>
      <c r="V634" s="199" t="s">
        <v>379</v>
      </c>
    </row>
    <row r="635" spans="1:22" outlineLevel="1">
      <c r="A635" s="199" t="s">
        <v>274</v>
      </c>
      <c r="B635" s="181" t="s">
        <v>748</v>
      </c>
      <c r="C635" s="190">
        <v>43646</v>
      </c>
      <c r="D635" s="199" t="s">
        <v>750</v>
      </c>
      <c r="E635" s="182" t="s">
        <v>1325</v>
      </c>
      <c r="F635" s="183">
        <v>76340</v>
      </c>
      <c r="G635" s="184">
        <v>23.94</v>
      </c>
      <c r="H635" s="181">
        <v>28</v>
      </c>
      <c r="I635" s="181" t="s">
        <v>292</v>
      </c>
      <c r="J635" s="191">
        <v>28</v>
      </c>
      <c r="K635" s="192" t="s">
        <v>1271</v>
      </c>
      <c r="L635" s="193" t="s">
        <v>396</v>
      </c>
      <c r="M635" s="193" t="s">
        <v>309</v>
      </c>
      <c r="N635" s="193"/>
      <c r="O635" s="193" t="s">
        <v>743</v>
      </c>
      <c r="P635" s="193" t="s">
        <v>381</v>
      </c>
      <c r="Q635" s="193" t="s">
        <v>295</v>
      </c>
      <c r="R635" s="192" t="s">
        <v>379</v>
      </c>
      <c r="S635" s="181" t="s">
        <v>743</v>
      </c>
      <c r="T635" s="181" t="s">
        <v>381</v>
      </c>
      <c r="U635" s="181" t="s">
        <v>295</v>
      </c>
      <c r="V635" s="199" t="s">
        <v>379</v>
      </c>
    </row>
    <row r="636" spans="1:22" outlineLevel="1">
      <c r="A636" s="199" t="s">
        <v>274</v>
      </c>
      <c r="B636" s="181" t="s">
        <v>748</v>
      </c>
      <c r="C636" s="190">
        <v>43646</v>
      </c>
      <c r="D636" s="199" t="s">
        <v>750</v>
      </c>
      <c r="E636" s="182" t="s">
        <v>1326</v>
      </c>
      <c r="F636" s="183">
        <v>76340</v>
      </c>
      <c r="G636" s="184">
        <v>17.100000000000001</v>
      </c>
      <c r="H636" s="181">
        <v>20</v>
      </c>
      <c r="I636" s="181" t="s">
        <v>292</v>
      </c>
      <c r="J636" s="191">
        <v>20</v>
      </c>
      <c r="K636" s="192" t="s">
        <v>1271</v>
      </c>
      <c r="L636" s="193" t="s">
        <v>396</v>
      </c>
      <c r="M636" s="193" t="s">
        <v>309</v>
      </c>
      <c r="N636" s="193"/>
      <c r="O636" s="193" t="s">
        <v>743</v>
      </c>
      <c r="P636" s="193" t="s">
        <v>381</v>
      </c>
      <c r="Q636" s="193" t="s">
        <v>295</v>
      </c>
      <c r="R636" s="192" t="s">
        <v>379</v>
      </c>
      <c r="S636" s="181" t="s">
        <v>743</v>
      </c>
      <c r="T636" s="181" t="s">
        <v>381</v>
      </c>
      <c r="U636" s="181" t="s">
        <v>295</v>
      </c>
      <c r="V636" s="199" t="s">
        <v>379</v>
      </c>
    </row>
    <row r="637" spans="1:22" outlineLevel="1">
      <c r="A637" s="199" t="s">
        <v>274</v>
      </c>
      <c r="B637" s="181" t="s">
        <v>748</v>
      </c>
      <c r="C637" s="190">
        <v>43646</v>
      </c>
      <c r="D637" s="199" t="s">
        <v>750</v>
      </c>
      <c r="E637" s="182" t="s">
        <v>1327</v>
      </c>
      <c r="F637" s="183">
        <v>76340</v>
      </c>
      <c r="G637" s="184">
        <v>5.13</v>
      </c>
      <c r="H637" s="181">
        <v>6</v>
      </c>
      <c r="I637" s="181" t="s">
        <v>292</v>
      </c>
      <c r="J637" s="191">
        <v>6</v>
      </c>
      <c r="K637" s="192" t="s">
        <v>1271</v>
      </c>
      <c r="L637" s="193" t="s">
        <v>396</v>
      </c>
      <c r="M637" s="193" t="s">
        <v>309</v>
      </c>
      <c r="N637" s="193"/>
      <c r="O637" s="193" t="s">
        <v>743</v>
      </c>
      <c r="P637" s="193" t="s">
        <v>381</v>
      </c>
      <c r="Q637" s="193" t="s">
        <v>295</v>
      </c>
      <c r="R637" s="192" t="s">
        <v>379</v>
      </c>
      <c r="S637" s="181" t="s">
        <v>743</v>
      </c>
      <c r="T637" s="181" t="s">
        <v>381</v>
      </c>
      <c r="U637" s="181" t="s">
        <v>295</v>
      </c>
      <c r="V637" s="199" t="s">
        <v>379</v>
      </c>
    </row>
    <row r="638" spans="1:22" outlineLevel="1">
      <c r="A638" s="199" t="s">
        <v>274</v>
      </c>
      <c r="B638" s="181" t="s">
        <v>748</v>
      </c>
      <c r="C638" s="190">
        <v>43646</v>
      </c>
      <c r="D638" s="199" t="s">
        <v>750</v>
      </c>
      <c r="E638" s="182" t="s">
        <v>1328</v>
      </c>
      <c r="F638" s="183">
        <v>76340</v>
      </c>
      <c r="G638" s="184">
        <v>61.56</v>
      </c>
      <c r="H638" s="181">
        <v>72</v>
      </c>
      <c r="I638" s="181" t="s">
        <v>292</v>
      </c>
      <c r="J638" s="191">
        <v>72</v>
      </c>
      <c r="K638" s="192" t="s">
        <v>1271</v>
      </c>
      <c r="L638" s="193" t="s">
        <v>396</v>
      </c>
      <c r="M638" s="193" t="s">
        <v>309</v>
      </c>
      <c r="N638" s="193"/>
      <c r="O638" s="193" t="s">
        <v>743</v>
      </c>
      <c r="P638" s="193" t="s">
        <v>381</v>
      </c>
      <c r="Q638" s="193" t="s">
        <v>295</v>
      </c>
      <c r="R638" s="192" t="s">
        <v>379</v>
      </c>
      <c r="S638" s="181" t="s">
        <v>743</v>
      </c>
      <c r="T638" s="181" t="s">
        <v>381</v>
      </c>
      <c r="U638" s="181" t="s">
        <v>295</v>
      </c>
      <c r="V638" s="199" t="s">
        <v>379</v>
      </c>
    </row>
    <row r="639" spans="1:22" outlineLevel="1">
      <c r="A639" s="199" t="s">
        <v>274</v>
      </c>
      <c r="B639" s="181" t="s">
        <v>748</v>
      </c>
      <c r="C639" s="190">
        <v>43646</v>
      </c>
      <c r="D639" s="199" t="s">
        <v>750</v>
      </c>
      <c r="E639" s="182" t="s">
        <v>1329</v>
      </c>
      <c r="F639" s="183">
        <v>76340</v>
      </c>
      <c r="G639" s="184">
        <v>44.46</v>
      </c>
      <c r="H639" s="181">
        <v>52</v>
      </c>
      <c r="I639" s="181" t="s">
        <v>292</v>
      </c>
      <c r="J639" s="191">
        <v>52</v>
      </c>
      <c r="K639" s="192" t="s">
        <v>1271</v>
      </c>
      <c r="L639" s="193" t="s">
        <v>396</v>
      </c>
      <c r="M639" s="193" t="s">
        <v>309</v>
      </c>
      <c r="N639" s="193"/>
      <c r="O639" s="193" t="s">
        <v>743</v>
      </c>
      <c r="P639" s="193" t="s">
        <v>381</v>
      </c>
      <c r="Q639" s="193" t="s">
        <v>295</v>
      </c>
      <c r="R639" s="192" t="s">
        <v>379</v>
      </c>
      <c r="S639" s="181" t="s">
        <v>743</v>
      </c>
      <c r="T639" s="181" t="s">
        <v>381</v>
      </c>
      <c r="U639" s="181" t="s">
        <v>295</v>
      </c>
      <c r="V639" s="199" t="s">
        <v>379</v>
      </c>
    </row>
    <row r="640" spans="1:22" outlineLevel="1">
      <c r="A640" s="199" t="s">
        <v>274</v>
      </c>
      <c r="B640" s="181" t="s">
        <v>748</v>
      </c>
      <c r="C640" s="190">
        <v>43646</v>
      </c>
      <c r="D640" s="199" t="s">
        <v>750</v>
      </c>
      <c r="E640" s="182" t="s">
        <v>1330</v>
      </c>
      <c r="F640" s="183">
        <v>76340</v>
      </c>
      <c r="G640" s="184">
        <v>11.97</v>
      </c>
      <c r="H640" s="181">
        <v>14</v>
      </c>
      <c r="I640" s="181" t="s">
        <v>292</v>
      </c>
      <c r="J640" s="191">
        <v>14</v>
      </c>
      <c r="K640" s="192" t="s">
        <v>1271</v>
      </c>
      <c r="L640" s="193" t="s">
        <v>396</v>
      </c>
      <c r="M640" s="193" t="s">
        <v>309</v>
      </c>
      <c r="N640" s="193"/>
      <c r="O640" s="193" t="s">
        <v>743</v>
      </c>
      <c r="P640" s="193" t="s">
        <v>381</v>
      </c>
      <c r="Q640" s="193" t="s">
        <v>295</v>
      </c>
      <c r="R640" s="192" t="s">
        <v>379</v>
      </c>
      <c r="S640" s="181" t="s">
        <v>743</v>
      </c>
      <c r="T640" s="181" t="s">
        <v>381</v>
      </c>
      <c r="U640" s="181" t="s">
        <v>295</v>
      </c>
      <c r="V640" s="199" t="s">
        <v>379</v>
      </c>
    </row>
    <row r="641" spans="1:22" outlineLevel="1">
      <c r="A641" s="199" t="s">
        <v>274</v>
      </c>
      <c r="B641" s="181" t="s">
        <v>748</v>
      </c>
      <c r="C641" s="190">
        <v>43646</v>
      </c>
      <c r="D641" s="199" t="s">
        <v>750</v>
      </c>
      <c r="E641" s="182" t="s">
        <v>1331</v>
      </c>
      <c r="F641" s="183">
        <v>76340</v>
      </c>
      <c r="G641" s="184">
        <v>13.68</v>
      </c>
      <c r="H641" s="181">
        <v>16</v>
      </c>
      <c r="I641" s="181" t="s">
        <v>292</v>
      </c>
      <c r="J641" s="191">
        <v>16</v>
      </c>
      <c r="K641" s="192" t="s">
        <v>1271</v>
      </c>
      <c r="L641" s="193" t="s">
        <v>396</v>
      </c>
      <c r="M641" s="193" t="s">
        <v>309</v>
      </c>
      <c r="N641" s="193"/>
      <c r="O641" s="193" t="s">
        <v>743</v>
      </c>
      <c r="P641" s="193" t="s">
        <v>381</v>
      </c>
      <c r="Q641" s="193" t="s">
        <v>295</v>
      </c>
      <c r="R641" s="192" t="s">
        <v>379</v>
      </c>
      <c r="S641" s="181" t="s">
        <v>743</v>
      </c>
      <c r="T641" s="181" t="s">
        <v>381</v>
      </c>
      <c r="U641" s="181" t="s">
        <v>295</v>
      </c>
      <c r="V641" s="199" t="s">
        <v>379</v>
      </c>
    </row>
    <row r="642" spans="1:22" outlineLevel="1">
      <c r="A642" s="199" t="s">
        <v>274</v>
      </c>
      <c r="B642" s="181" t="s">
        <v>748</v>
      </c>
      <c r="C642" s="190">
        <v>43646</v>
      </c>
      <c r="D642" s="199" t="s">
        <v>750</v>
      </c>
      <c r="E642" s="182" t="s">
        <v>1332</v>
      </c>
      <c r="F642" s="183">
        <v>76340</v>
      </c>
      <c r="G642" s="184">
        <v>10.26</v>
      </c>
      <c r="H642" s="181">
        <v>12</v>
      </c>
      <c r="I642" s="181" t="s">
        <v>292</v>
      </c>
      <c r="J642" s="191">
        <v>12</v>
      </c>
      <c r="K642" s="192" t="s">
        <v>1271</v>
      </c>
      <c r="L642" s="193" t="s">
        <v>396</v>
      </c>
      <c r="M642" s="193" t="s">
        <v>309</v>
      </c>
      <c r="N642" s="193"/>
      <c r="O642" s="193" t="s">
        <v>743</v>
      </c>
      <c r="P642" s="193" t="s">
        <v>381</v>
      </c>
      <c r="Q642" s="193" t="s">
        <v>295</v>
      </c>
      <c r="R642" s="192" t="s">
        <v>379</v>
      </c>
      <c r="S642" s="181" t="s">
        <v>743</v>
      </c>
      <c r="T642" s="181" t="s">
        <v>381</v>
      </c>
      <c r="U642" s="181" t="s">
        <v>295</v>
      </c>
      <c r="V642" s="199" t="s">
        <v>379</v>
      </c>
    </row>
    <row r="643" spans="1:22" outlineLevel="1">
      <c r="A643" s="199" t="s">
        <v>274</v>
      </c>
      <c r="B643" s="181" t="s">
        <v>748</v>
      </c>
      <c r="C643" s="190">
        <v>43646</v>
      </c>
      <c r="D643" s="199" t="s">
        <v>750</v>
      </c>
      <c r="E643" s="182" t="s">
        <v>1333</v>
      </c>
      <c r="F643" s="183">
        <v>76340</v>
      </c>
      <c r="G643" s="184">
        <v>3.42</v>
      </c>
      <c r="H643" s="181">
        <v>4</v>
      </c>
      <c r="I643" s="181" t="s">
        <v>292</v>
      </c>
      <c r="J643" s="191">
        <v>4</v>
      </c>
      <c r="K643" s="192" t="s">
        <v>1271</v>
      </c>
      <c r="L643" s="193" t="s">
        <v>396</v>
      </c>
      <c r="M643" s="193" t="s">
        <v>309</v>
      </c>
      <c r="N643" s="193"/>
      <c r="O643" s="193" t="s">
        <v>743</v>
      </c>
      <c r="P643" s="193" t="s">
        <v>381</v>
      </c>
      <c r="Q643" s="193" t="s">
        <v>295</v>
      </c>
      <c r="R643" s="192" t="s">
        <v>379</v>
      </c>
      <c r="S643" s="181" t="s">
        <v>743</v>
      </c>
      <c r="T643" s="181" t="s">
        <v>381</v>
      </c>
      <c r="U643" s="181" t="s">
        <v>295</v>
      </c>
      <c r="V643" s="199" t="s">
        <v>379</v>
      </c>
    </row>
    <row r="644" spans="1:22" outlineLevel="1">
      <c r="A644" s="199" t="s">
        <v>274</v>
      </c>
      <c r="B644" s="181" t="s">
        <v>748</v>
      </c>
      <c r="C644" s="190">
        <v>43646</v>
      </c>
      <c r="D644" s="199" t="s">
        <v>750</v>
      </c>
      <c r="E644" s="182" t="s">
        <v>1334</v>
      </c>
      <c r="F644" s="183">
        <v>76340</v>
      </c>
      <c r="G644" s="184">
        <v>64.98</v>
      </c>
      <c r="H644" s="181">
        <v>76</v>
      </c>
      <c r="I644" s="181" t="s">
        <v>292</v>
      </c>
      <c r="J644" s="191">
        <v>76</v>
      </c>
      <c r="K644" s="192" t="s">
        <v>1271</v>
      </c>
      <c r="L644" s="193" t="s">
        <v>396</v>
      </c>
      <c r="M644" s="193" t="s">
        <v>309</v>
      </c>
      <c r="N644" s="193"/>
      <c r="O644" s="193" t="s">
        <v>743</v>
      </c>
      <c r="P644" s="193" t="s">
        <v>381</v>
      </c>
      <c r="Q644" s="193" t="s">
        <v>295</v>
      </c>
      <c r="R644" s="192" t="s">
        <v>379</v>
      </c>
      <c r="S644" s="181" t="s">
        <v>743</v>
      </c>
      <c r="T644" s="181" t="s">
        <v>381</v>
      </c>
      <c r="U644" s="181" t="s">
        <v>295</v>
      </c>
      <c r="V644" s="199" t="s">
        <v>379</v>
      </c>
    </row>
    <row r="645" spans="1:22" outlineLevel="1">
      <c r="A645" s="199" t="s">
        <v>274</v>
      </c>
      <c r="B645" s="181" t="s">
        <v>748</v>
      </c>
      <c r="C645" s="190">
        <v>43646</v>
      </c>
      <c r="D645" s="199" t="s">
        <v>750</v>
      </c>
      <c r="E645" s="182" t="s">
        <v>1335</v>
      </c>
      <c r="F645" s="183">
        <v>76340</v>
      </c>
      <c r="G645" s="184">
        <v>52.16</v>
      </c>
      <c r="H645" s="181">
        <v>61</v>
      </c>
      <c r="I645" s="181" t="s">
        <v>292</v>
      </c>
      <c r="J645" s="191">
        <v>61</v>
      </c>
      <c r="K645" s="192" t="s">
        <v>1271</v>
      </c>
      <c r="L645" s="193" t="s">
        <v>396</v>
      </c>
      <c r="M645" s="193" t="s">
        <v>309</v>
      </c>
      <c r="N645" s="193"/>
      <c r="O645" s="193" t="s">
        <v>743</v>
      </c>
      <c r="P645" s="193" t="s">
        <v>381</v>
      </c>
      <c r="Q645" s="193" t="s">
        <v>295</v>
      </c>
      <c r="R645" s="192" t="s">
        <v>379</v>
      </c>
      <c r="S645" s="181" t="s">
        <v>743</v>
      </c>
      <c r="T645" s="181" t="s">
        <v>381</v>
      </c>
      <c r="U645" s="181" t="s">
        <v>295</v>
      </c>
      <c r="V645" s="199" t="s">
        <v>379</v>
      </c>
    </row>
    <row r="646" spans="1:22" outlineLevel="1">
      <c r="A646" s="199" t="s">
        <v>274</v>
      </c>
      <c r="B646" s="181" t="s">
        <v>748</v>
      </c>
      <c r="C646" s="190">
        <v>43646</v>
      </c>
      <c r="D646" s="199" t="s">
        <v>750</v>
      </c>
      <c r="E646" s="182" t="s">
        <v>1336</v>
      </c>
      <c r="F646" s="183">
        <v>76340</v>
      </c>
      <c r="G646" s="184">
        <v>5.99</v>
      </c>
      <c r="H646" s="181">
        <v>7</v>
      </c>
      <c r="I646" s="181" t="s">
        <v>292</v>
      </c>
      <c r="J646" s="191">
        <v>7</v>
      </c>
      <c r="K646" s="192" t="s">
        <v>1271</v>
      </c>
      <c r="L646" s="193" t="s">
        <v>396</v>
      </c>
      <c r="M646" s="193" t="s">
        <v>309</v>
      </c>
      <c r="N646" s="193"/>
      <c r="O646" s="193" t="s">
        <v>743</v>
      </c>
      <c r="P646" s="193" t="s">
        <v>381</v>
      </c>
      <c r="Q646" s="193" t="s">
        <v>295</v>
      </c>
      <c r="R646" s="192" t="s">
        <v>379</v>
      </c>
      <c r="S646" s="181" t="s">
        <v>743</v>
      </c>
      <c r="T646" s="181" t="s">
        <v>381</v>
      </c>
      <c r="U646" s="181" t="s">
        <v>295</v>
      </c>
      <c r="V646" s="199" t="s">
        <v>379</v>
      </c>
    </row>
    <row r="647" spans="1:22" outlineLevel="1">
      <c r="A647" s="199" t="s">
        <v>274</v>
      </c>
      <c r="B647" s="181" t="s">
        <v>748</v>
      </c>
      <c r="C647" s="190">
        <v>43646</v>
      </c>
      <c r="D647" s="199" t="s">
        <v>750</v>
      </c>
      <c r="E647" s="182" t="s">
        <v>1318</v>
      </c>
      <c r="F647" s="183">
        <v>76340</v>
      </c>
      <c r="G647" s="184">
        <v>59.85</v>
      </c>
      <c r="H647" s="181">
        <v>70</v>
      </c>
      <c r="I647" s="181" t="s">
        <v>292</v>
      </c>
      <c r="J647" s="191">
        <v>70</v>
      </c>
      <c r="K647" s="192" t="s">
        <v>1271</v>
      </c>
      <c r="L647" s="193" t="s">
        <v>396</v>
      </c>
      <c r="M647" s="193" t="s">
        <v>309</v>
      </c>
      <c r="N647" s="193"/>
      <c r="O647" s="193" t="s">
        <v>743</v>
      </c>
      <c r="P647" s="193" t="s">
        <v>381</v>
      </c>
      <c r="Q647" s="193" t="s">
        <v>295</v>
      </c>
      <c r="R647" s="192" t="s">
        <v>379</v>
      </c>
      <c r="S647" s="181" t="s">
        <v>743</v>
      </c>
      <c r="T647" s="181" t="s">
        <v>381</v>
      </c>
      <c r="U647" s="181" t="s">
        <v>295</v>
      </c>
      <c r="V647" s="199" t="s">
        <v>379</v>
      </c>
    </row>
    <row r="648" spans="1:22" outlineLevel="1">
      <c r="A648" s="199" t="s">
        <v>274</v>
      </c>
      <c r="B648" s="181" t="s">
        <v>748</v>
      </c>
      <c r="C648" s="190">
        <v>43646</v>
      </c>
      <c r="D648" s="199" t="s">
        <v>750</v>
      </c>
      <c r="E648" s="182" t="s">
        <v>1337</v>
      </c>
      <c r="F648" s="183">
        <v>76340</v>
      </c>
      <c r="G648" s="184">
        <v>339.96</v>
      </c>
      <c r="H648" s="181">
        <v>397.6</v>
      </c>
      <c r="I648" s="181" t="s">
        <v>292</v>
      </c>
      <c r="J648" s="191">
        <v>397.6</v>
      </c>
      <c r="K648" s="192" t="s">
        <v>1271</v>
      </c>
      <c r="L648" s="193" t="s">
        <v>396</v>
      </c>
      <c r="M648" s="193" t="s">
        <v>309</v>
      </c>
      <c r="N648" s="193"/>
      <c r="O648" s="193" t="s">
        <v>743</v>
      </c>
      <c r="P648" s="193" t="s">
        <v>381</v>
      </c>
      <c r="Q648" s="193" t="s">
        <v>295</v>
      </c>
      <c r="R648" s="192" t="s">
        <v>379</v>
      </c>
      <c r="S648" s="181" t="s">
        <v>743</v>
      </c>
      <c r="T648" s="181" t="s">
        <v>381</v>
      </c>
      <c r="U648" s="181" t="s">
        <v>295</v>
      </c>
      <c r="V648" s="199" t="s">
        <v>379</v>
      </c>
    </row>
    <row r="649" spans="1:22" outlineLevel="1">
      <c r="A649" s="199" t="s">
        <v>274</v>
      </c>
      <c r="B649" s="181" t="s">
        <v>748</v>
      </c>
      <c r="C649" s="190">
        <v>43646</v>
      </c>
      <c r="D649" s="199" t="s">
        <v>750</v>
      </c>
      <c r="E649" s="182" t="s">
        <v>1338</v>
      </c>
      <c r="F649" s="183">
        <v>76340</v>
      </c>
      <c r="G649" s="184">
        <v>221.51</v>
      </c>
      <c r="H649" s="181">
        <v>259.07</v>
      </c>
      <c r="I649" s="181" t="s">
        <v>292</v>
      </c>
      <c r="J649" s="191">
        <v>259.07</v>
      </c>
      <c r="K649" s="192" t="s">
        <v>1271</v>
      </c>
      <c r="L649" s="193" t="s">
        <v>396</v>
      </c>
      <c r="M649" s="193" t="s">
        <v>309</v>
      </c>
      <c r="N649" s="193"/>
      <c r="O649" s="193" t="s">
        <v>743</v>
      </c>
      <c r="P649" s="193" t="s">
        <v>381</v>
      </c>
      <c r="Q649" s="193" t="s">
        <v>295</v>
      </c>
      <c r="R649" s="192" t="s">
        <v>379</v>
      </c>
      <c r="S649" s="181" t="s">
        <v>743</v>
      </c>
      <c r="T649" s="181" t="s">
        <v>381</v>
      </c>
      <c r="U649" s="181" t="s">
        <v>295</v>
      </c>
      <c r="V649" s="199" t="s">
        <v>379</v>
      </c>
    </row>
    <row r="650" spans="1:22" outlineLevel="1">
      <c r="A650" s="199" t="s">
        <v>274</v>
      </c>
      <c r="B650" s="181" t="s">
        <v>748</v>
      </c>
      <c r="C650" s="190">
        <v>43646</v>
      </c>
      <c r="D650" s="199" t="s">
        <v>750</v>
      </c>
      <c r="E650" s="182" t="s">
        <v>1339</v>
      </c>
      <c r="F650" s="183">
        <v>76340</v>
      </c>
      <c r="G650" s="184">
        <v>105.81</v>
      </c>
      <c r="H650" s="181">
        <v>123.75</v>
      </c>
      <c r="I650" s="181" t="s">
        <v>292</v>
      </c>
      <c r="J650" s="191">
        <v>123.75</v>
      </c>
      <c r="K650" s="192" t="s">
        <v>1271</v>
      </c>
      <c r="L650" s="193" t="s">
        <v>396</v>
      </c>
      <c r="M650" s="193" t="s">
        <v>309</v>
      </c>
      <c r="N650" s="193"/>
      <c r="O650" s="193" t="s">
        <v>743</v>
      </c>
      <c r="P650" s="193" t="s">
        <v>381</v>
      </c>
      <c r="Q650" s="193" t="s">
        <v>295</v>
      </c>
      <c r="R650" s="192" t="s">
        <v>379</v>
      </c>
      <c r="S650" s="181" t="s">
        <v>743</v>
      </c>
      <c r="T650" s="181" t="s">
        <v>381</v>
      </c>
      <c r="U650" s="181" t="s">
        <v>295</v>
      </c>
      <c r="V650" s="199" t="s">
        <v>379</v>
      </c>
    </row>
    <row r="651" spans="1:22" outlineLevel="1">
      <c r="A651" s="199" t="s">
        <v>274</v>
      </c>
      <c r="B651" s="181" t="s">
        <v>748</v>
      </c>
      <c r="C651" s="190">
        <v>43646</v>
      </c>
      <c r="D651" s="199" t="s">
        <v>750</v>
      </c>
      <c r="E651" s="182" t="s">
        <v>1340</v>
      </c>
      <c r="F651" s="183">
        <v>76340</v>
      </c>
      <c r="G651" s="184">
        <v>32.49</v>
      </c>
      <c r="H651" s="181">
        <v>38</v>
      </c>
      <c r="I651" s="181" t="s">
        <v>292</v>
      </c>
      <c r="J651" s="191">
        <v>38</v>
      </c>
      <c r="K651" s="192" t="s">
        <v>1271</v>
      </c>
      <c r="L651" s="193" t="s">
        <v>396</v>
      </c>
      <c r="M651" s="193" t="s">
        <v>309</v>
      </c>
      <c r="N651" s="193"/>
      <c r="O651" s="193" t="s">
        <v>743</v>
      </c>
      <c r="P651" s="193" t="s">
        <v>381</v>
      </c>
      <c r="Q651" s="193" t="s">
        <v>295</v>
      </c>
      <c r="R651" s="192" t="s">
        <v>379</v>
      </c>
      <c r="S651" s="181" t="s">
        <v>743</v>
      </c>
      <c r="T651" s="181" t="s">
        <v>381</v>
      </c>
      <c r="U651" s="181" t="s">
        <v>295</v>
      </c>
      <c r="V651" s="199" t="s">
        <v>379</v>
      </c>
    </row>
    <row r="652" spans="1:22" outlineLevel="1">
      <c r="A652" s="199" t="s">
        <v>274</v>
      </c>
      <c r="B652" s="181" t="s">
        <v>748</v>
      </c>
      <c r="C652" s="190">
        <v>43646</v>
      </c>
      <c r="D652" s="199" t="s">
        <v>750</v>
      </c>
      <c r="E652" s="182" t="s">
        <v>1341</v>
      </c>
      <c r="F652" s="183">
        <v>76340</v>
      </c>
      <c r="G652" s="184">
        <v>26.08</v>
      </c>
      <c r="H652" s="181">
        <v>30.5</v>
      </c>
      <c r="I652" s="181" t="s">
        <v>292</v>
      </c>
      <c r="J652" s="191">
        <v>30.5</v>
      </c>
      <c r="K652" s="192" t="s">
        <v>1271</v>
      </c>
      <c r="L652" s="193" t="s">
        <v>396</v>
      </c>
      <c r="M652" s="193" t="s">
        <v>309</v>
      </c>
      <c r="N652" s="193"/>
      <c r="O652" s="193" t="s">
        <v>743</v>
      </c>
      <c r="P652" s="193" t="s">
        <v>381</v>
      </c>
      <c r="Q652" s="193" t="s">
        <v>295</v>
      </c>
      <c r="R652" s="192" t="s">
        <v>379</v>
      </c>
      <c r="S652" s="181" t="s">
        <v>743</v>
      </c>
      <c r="T652" s="181" t="s">
        <v>381</v>
      </c>
      <c r="U652" s="181" t="s">
        <v>295</v>
      </c>
      <c r="V652" s="199" t="s">
        <v>379</v>
      </c>
    </row>
    <row r="653" spans="1:22" outlineLevel="1">
      <c r="A653" s="199" t="s">
        <v>274</v>
      </c>
      <c r="B653" s="181" t="s">
        <v>748</v>
      </c>
      <c r="C653" s="190">
        <v>43646</v>
      </c>
      <c r="D653" s="199" t="s">
        <v>750</v>
      </c>
      <c r="E653" s="182" t="s">
        <v>1342</v>
      </c>
      <c r="F653" s="183">
        <v>76340</v>
      </c>
      <c r="G653" s="184">
        <v>2.99</v>
      </c>
      <c r="H653" s="181">
        <v>3.5</v>
      </c>
      <c r="I653" s="181" t="s">
        <v>292</v>
      </c>
      <c r="J653" s="191">
        <v>3.5</v>
      </c>
      <c r="K653" s="192" t="s">
        <v>1271</v>
      </c>
      <c r="L653" s="193" t="s">
        <v>396</v>
      </c>
      <c r="M653" s="193" t="s">
        <v>309</v>
      </c>
      <c r="N653" s="193"/>
      <c r="O653" s="193" t="s">
        <v>743</v>
      </c>
      <c r="P653" s="193" t="s">
        <v>381</v>
      </c>
      <c r="Q653" s="193" t="s">
        <v>295</v>
      </c>
      <c r="R653" s="192" t="s">
        <v>379</v>
      </c>
      <c r="S653" s="181" t="s">
        <v>743</v>
      </c>
      <c r="T653" s="181" t="s">
        <v>381</v>
      </c>
      <c r="U653" s="181" t="s">
        <v>295</v>
      </c>
      <c r="V653" s="199" t="s">
        <v>379</v>
      </c>
    </row>
    <row r="654" spans="1:22" outlineLevel="1">
      <c r="A654" s="199" t="s">
        <v>274</v>
      </c>
      <c r="B654" s="181" t="s">
        <v>748</v>
      </c>
      <c r="C654" s="190">
        <v>43646</v>
      </c>
      <c r="D654" s="199" t="s">
        <v>750</v>
      </c>
      <c r="E654" s="182" t="s">
        <v>1343</v>
      </c>
      <c r="F654" s="183">
        <v>76340</v>
      </c>
      <c r="G654" s="184">
        <v>11.97</v>
      </c>
      <c r="H654" s="181">
        <v>14</v>
      </c>
      <c r="I654" s="181" t="s">
        <v>292</v>
      </c>
      <c r="J654" s="191">
        <v>14</v>
      </c>
      <c r="K654" s="192" t="s">
        <v>1271</v>
      </c>
      <c r="L654" s="193" t="s">
        <v>396</v>
      </c>
      <c r="M654" s="193" t="s">
        <v>309</v>
      </c>
      <c r="N654" s="193"/>
      <c r="O654" s="193" t="s">
        <v>743</v>
      </c>
      <c r="P654" s="193" t="s">
        <v>381</v>
      </c>
      <c r="Q654" s="193" t="s">
        <v>295</v>
      </c>
      <c r="R654" s="192" t="s">
        <v>379</v>
      </c>
      <c r="S654" s="181" t="s">
        <v>743</v>
      </c>
      <c r="T654" s="181" t="s">
        <v>381</v>
      </c>
      <c r="U654" s="181" t="s">
        <v>295</v>
      </c>
      <c r="V654" s="199" t="s">
        <v>379</v>
      </c>
    </row>
    <row r="655" spans="1:22" outlineLevel="1">
      <c r="A655" s="199" t="s">
        <v>274</v>
      </c>
      <c r="B655" s="181" t="s">
        <v>748</v>
      </c>
      <c r="C655" s="190">
        <v>43646</v>
      </c>
      <c r="D655" s="199" t="s">
        <v>750</v>
      </c>
      <c r="E655" s="182" t="s">
        <v>1344</v>
      </c>
      <c r="F655" s="183">
        <v>76340</v>
      </c>
      <c r="G655" s="184">
        <v>8.5500000000000007</v>
      </c>
      <c r="H655" s="181">
        <v>10</v>
      </c>
      <c r="I655" s="181" t="s">
        <v>292</v>
      </c>
      <c r="J655" s="191">
        <v>10</v>
      </c>
      <c r="K655" s="192" t="s">
        <v>1271</v>
      </c>
      <c r="L655" s="193" t="s">
        <v>396</v>
      </c>
      <c r="M655" s="193" t="s">
        <v>309</v>
      </c>
      <c r="N655" s="193"/>
      <c r="O655" s="193" t="s">
        <v>743</v>
      </c>
      <c r="P655" s="193" t="s">
        <v>381</v>
      </c>
      <c r="Q655" s="193" t="s">
        <v>295</v>
      </c>
      <c r="R655" s="192" t="s">
        <v>379</v>
      </c>
      <c r="S655" s="181" t="s">
        <v>743</v>
      </c>
      <c r="T655" s="181" t="s">
        <v>381</v>
      </c>
      <c r="U655" s="181" t="s">
        <v>295</v>
      </c>
      <c r="V655" s="199" t="s">
        <v>379</v>
      </c>
    </row>
    <row r="656" spans="1:22" outlineLevel="1">
      <c r="A656" s="199" t="s">
        <v>274</v>
      </c>
      <c r="B656" s="181" t="s">
        <v>748</v>
      </c>
      <c r="C656" s="190">
        <v>43646</v>
      </c>
      <c r="D656" s="199" t="s">
        <v>750</v>
      </c>
      <c r="E656" s="182" t="s">
        <v>1345</v>
      </c>
      <c r="F656" s="183">
        <v>76340</v>
      </c>
      <c r="G656" s="184">
        <v>2.57</v>
      </c>
      <c r="H656" s="181">
        <v>3</v>
      </c>
      <c r="I656" s="181" t="s">
        <v>292</v>
      </c>
      <c r="J656" s="191">
        <v>3</v>
      </c>
      <c r="K656" s="192" t="s">
        <v>1271</v>
      </c>
      <c r="L656" s="193" t="s">
        <v>396</v>
      </c>
      <c r="M656" s="193" t="s">
        <v>309</v>
      </c>
      <c r="N656" s="193"/>
      <c r="O656" s="193" t="s">
        <v>743</v>
      </c>
      <c r="P656" s="193" t="s">
        <v>381</v>
      </c>
      <c r="Q656" s="193" t="s">
        <v>295</v>
      </c>
      <c r="R656" s="192" t="s">
        <v>379</v>
      </c>
      <c r="S656" s="181" t="s">
        <v>743</v>
      </c>
      <c r="T656" s="181" t="s">
        <v>381</v>
      </c>
      <c r="U656" s="181" t="s">
        <v>295</v>
      </c>
      <c r="V656" s="199" t="s">
        <v>379</v>
      </c>
    </row>
    <row r="657" spans="1:22" outlineLevel="1">
      <c r="A657" s="199" t="s">
        <v>274</v>
      </c>
      <c r="B657" s="181" t="s">
        <v>748</v>
      </c>
      <c r="C657" s="190">
        <v>43646</v>
      </c>
      <c r="D657" s="199" t="s">
        <v>750</v>
      </c>
      <c r="E657" s="182" t="s">
        <v>1346</v>
      </c>
      <c r="F657" s="183">
        <v>76340</v>
      </c>
      <c r="G657" s="184">
        <v>30.78</v>
      </c>
      <c r="H657" s="181">
        <v>36</v>
      </c>
      <c r="I657" s="181" t="s">
        <v>292</v>
      </c>
      <c r="J657" s="191">
        <v>36</v>
      </c>
      <c r="K657" s="192" t="s">
        <v>1271</v>
      </c>
      <c r="L657" s="193" t="s">
        <v>396</v>
      </c>
      <c r="M657" s="193" t="s">
        <v>309</v>
      </c>
      <c r="N657" s="193"/>
      <c r="O657" s="193" t="s">
        <v>743</v>
      </c>
      <c r="P657" s="193" t="s">
        <v>381</v>
      </c>
      <c r="Q657" s="193" t="s">
        <v>295</v>
      </c>
      <c r="R657" s="192" t="s">
        <v>379</v>
      </c>
      <c r="S657" s="181" t="s">
        <v>743</v>
      </c>
      <c r="T657" s="181" t="s">
        <v>381</v>
      </c>
      <c r="U657" s="181" t="s">
        <v>295</v>
      </c>
      <c r="V657" s="199" t="s">
        <v>379</v>
      </c>
    </row>
    <row r="658" spans="1:22" outlineLevel="1">
      <c r="A658" s="199" t="s">
        <v>274</v>
      </c>
      <c r="B658" s="181" t="s">
        <v>748</v>
      </c>
      <c r="C658" s="190">
        <v>43646</v>
      </c>
      <c r="D658" s="199" t="s">
        <v>750</v>
      </c>
      <c r="E658" s="182" t="s">
        <v>1347</v>
      </c>
      <c r="F658" s="183">
        <v>76340</v>
      </c>
      <c r="G658" s="184">
        <v>22.23</v>
      </c>
      <c r="H658" s="181">
        <v>26</v>
      </c>
      <c r="I658" s="181" t="s">
        <v>292</v>
      </c>
      <c r="J658" s="191">
        <v>26</v>
      </c>
      <c r="K658" s="192" t="s">
        <v>1271</v>
      </c>
      <c r="L658" s="193" t="s">
        <v>396</v>
      </c>
      <c r="M658" s="193" t="s">
        <v>309</v>
      </c>
      <c r="N658" s="193"/>
      <c r="O658" s="193" t="s">
        <v>743</v>
      </c>
      <c r="P658" s="193" t="s">
        <v>381</v>
      </c>
      <c r="Q658" s="193" t="s">
        <v>295</v>
      </c>
      <c r="R658" s="192" t="s">
        <v>379</v>
      </c>
      <c r="S658" s="181" t="s">
        <v>743</v>
      </c>
      <c r="T658" s="181" t="s">
        <v>381</v>
      </c>
      <c r="U658" s="181" t="s">
        <v>295</v>
      </c>
      <c r="V658" s="199" t="s">
        <v>379</v>
      </c>
    </row>
    <row r="659" spans="1:22" outlineLevel="1">
      <c r="A659" s="199" t="s">
        <v>274</v>
      </c>
      <c r="B659" s="181" t="s">
        <v>748</v>
      </c>
      <c r="C659" s="190">
        <v>43646</v>
      </c>
      <c r="D659" s="199" t="s">
        <v>750</v>
      </c>
      <c r="E659" s="182" t="s">
        <v>1348</v>
      </c>
      <c r="F659" s="183">
        <v>76340</v>
      </c>
      <c r="G659" s="184">
        <v>5.99</v>
      </c>
      <c r="H659" s="181">
        <v>7</v>
      </c>
      <c r="I659" s="181" t="s">
        <v>292</v>
      </c>
      <c r="J659" s="191">
        <v>7</v>
      </c>
      <c r="K659" s="192" t="s">
        <v>1271</v>
      </c>
      <c r="L659" s="193" t="s">
        <v>396</v>
      </c>
      <c r="M659" s="193" t="s">
        <v>309</v>
      </c>
      <c r="N659" s="193"/>
      <c r="O659" s="193" t="s">
        <v>743</v>
      </c>
      <c r="P659" s="193" t="s">
        <v>381</v>
      </c>
      <c r="Q659" s="193" t="s">
        <v>295</v>
      </c>
      <c r="R659" s="192" t="s">
        <v>379</v>
      </c>
      <c r="S659" s="181" t="s">
        <v>743</v>
      </c>
      <c r="T659" s="181" t="s">
        <v>381</v>
      </c>
      <c r="U659" s="181" t="s">
        <v>295</v>
      </c>
      <c r="V659" s="199" t="s">
        <v>379</v>
      </c>
    </row>
    <row r="660" spans="1:22" outlineLevel="1">
      <c r="A660" s="199" t="s">
        <v>274</v>
      </c>
      <c r="B660" s="181" t="s">
        <v>748</v>
      </c>
      <c r="C660" s="190">
        <v>43646</v>
      </c>
      <c r="D660" s="199" t="s">
        <v>750</v>
      </c>
      <c r="E660" s="182" t="s">
        <v>1349</v>
      </c>
      <c r="F660" s="183">
        <v>76340</v>
      </c>
      <c r="G660" s="184">
        <v>6.84</v>
      </c>
      <c r="H660" s="181">
        <v>8</v>
      </c>
      <c r="I660" s="181" t="s">
        <v>292</v>
      </c>
      <c r="J660" s="191">
        <v>8</v>
      </c>
      <c r="K660" s="192" t="s">
        <v>1271</v>
      </c>
      <c r="L660" s="193" t="s">
        <v>396</v>
      </c>
      <c r="M660" s="193" t="s">
        <v>309</v>
      </c>
      <c r="N660" s="193"/>
      <c r="O660" s="193" t="s">
        <v>743</v>
      </c>
      <c r="P660" s="193" t="s">
        <v>381</v>
      </c>
      <c r="Q660" s="193" t="s">
        <v>295</v>
      </c>
      <c r="R660" s="192" t="s">
        <v>379</v>
      </c>
      <c r="S660" s="181" t="s">
        <v>743</v>
      </c>
      <c r="T660" s="181" t="s">
        <v>381</v>
      </c>
      <c r="U660" s="181" t="s">
        <v>295</v>
      </c>
      <c r="V660" s="199" t="s">
        <v>379</v>
      </c>
    </row>
    <row r="661" spans="1:22" outlineLevel="1">
      <c r="A661" s="199" t="s">
        <v>274</v>
      </c>
      <c r="B661" s="181" t="s">
        <v>748</v>
      </c>
      <c r="C661" s="190">
        <v>43646</v>
      </c>
      <c r="D661" s="199" t="s">
        <v>750</v>
      </c>
      <c r="E661" s="182" t="s">
        <v>1350</v>
      </c>
      <c r="F661" s="183">
        <v>76340</v>
      </c>
      <c r="G661" s="184">
        <v>5.13</v>
      </c>
      <c r="H661" s="181">
        <v>6</v>
      </c>
      <c r="I661" s="181" t="s">
        <v>292</v>
      </c>
      <c r="J661" s="191">
        <v>6</v>
      </c>
      <c r="K661" s="192" t="s">
        <v>1271</v>
      </c>
      <c r="L661" s="193" t="s">
        <v>396</v>
      </c>
      <c r="M661" s="193" t="s">
        <v>309</v>
      </c>
      <c r="N661" s="193"/>
      <c r="O661" s="193" t="s">
        <v>743</v>
      </c>
      <c r="P661" s="193" t="s">
        <v>381</v>
      </c>
      <c r="Q661" s="193" t="s">
        <v>295</v>
      </c>
      <c r="R661" s="192" t="s">
        <v>379</v>
      </c>
      <c r="S661" s="181" t="s">
        <v>743</v>
      </c>
      <c r="T661" s="181" t="s">
        <v>381</v>
      </c>
      <c r="U661" s="181" t="s">
        <v>295</v>
      </c>
      <c r="V661" s="199" t="s">
        <v>379</v>
      </c>
    </row>
    <row r="662" spans="1:22" outlineLevel="1">
      <c r="A662" s="199" t="s">
        <v>274</v>
      </c>
      <c r="B662" s="181" t="s">
        <v>748</v>
      </c>
      <c r="C662" s="190">
        <v>43646</v>
      </c>
      <c r="D662" s="199" t="s">
        <v>750</v>
      </c>
      <c r="E662" s="182" t="s">
        <v>1351</v>
      </c>
      <c r="F662" s="183">
        <v>76340</v>
      </c>
      <c r="G662" s="184">
        <v>1.71</v>
      </c>
      <c r="H662" s="181">
        <v>2</v>
      </c>
      <c r="I662" s="181" t="s">
        <v>292</v>
      </c>
      <c r="J662" s="191">
        <v>2</v>
      </c>
      <c r="K662" s="192" t="s">
        <v>1271</v>
      </c>
      <c r="L662" s="193" t="s">
        <v>396</v>
      </c>
      <c r="M662" s="193" t="s">
        <v>309</v>
      </c>
      <c r="N662" s="193"/>
      <c r="O662" s="193" t="s">
        <v>743</v>
      </c>
      <c r="P662" s="193" t="s">
        <v>381</v>
      </c>
      <c r="Q662" s="193" t="s">
        <v>295</v>
      </c>
      <c r="R662" s="192" t="s">
        <v>379</v>
      </c>
      <c r="S662" s="181" t="s">
        <v>743</v>
      </c>
      <c r="T662" s="181" t="s">
        <v>381</v>
      </c>
      <c r="U662" s="181" t="s">
        <v>295</v>
      </c>
      <c r="V662" s="199" t="s">
        <v>379</v>
      </c>
    </row>
    <row r="663" spans="1:22" outlineLevel="1">
      <c r="A663" s="199" t="s">
        <v>274</v>
      </c>
      <c r="B663" s="181" t="s">
        <v>748</v>
      </c>
      <c r="C663" s="190">
        <v>43646</v>
      </c>
      <c r="D663" s="199" t="s">
        <v>750</v>
      </c>
      <c r="E663" s="182" t="s">
        <v>1316</v>
      </c>
      <c r="F663" s="183">
        <v>76340</v>
      </c>
      <c r="G663" s="184">
        <v>42.75</v>
      </c>
      <c r="H663" s="181">
        <v>50</v>
      </c>
      <c r="I663" s="181" t="s">
        <v>292</v>
      </c>
      <c r="J663" s="191">
        <v>50</v>
      </c>
      <c r="K663" s="192" t="s">
        <v>1271</v>
      </c>
      <c r="L663" s="193" t="s">
        <v>396</v>
      </c>
      <c r="M663" s="193" t="s">
        <v>309</v>
      </c>
      <c r="N663" s="193"/>
      <c r="O663" s="193" t="s">
        <v>743</v>
      </c>
      <c r="P663" s="193" t="s">
        <v>381</v>
      </c>
      <c r="Q663" s="193" t="s">
        <v>295</v>
      </c>
      <c r="R663" s="192" t="s">
        <v>379</v>
      </c>
      <c r="S663" s="181" t="s">
        <v>743</v>
      </c>
      <c r="T663" s="181" t="s">
        <v>381</v>
      </c>
      <c r="U663" s="181" t="s">
        <v>295</v>
      </c>
      <c r="V663" s="199" t="s">
        <v>379</v>
      </c>
    </row>
    <row r="664" spans="1:22" outlineLevel="1">
      <c r="A664" s="199" t="s">
        <v>274</v>
      </c>
      <c r="B664" s="181" t="s">
        <v>748</v>
      </c>
      <c r="C664" s="190">
        <v>43646</v>
      </c>
      <c r="D664" s="199" t="s">
        <v>750</v>
      </c>
      <c r="E664" s="182" t="s">
        <v>1317</v>
      </c>
      <c r="F664" s="183">
        <v>76340</v>
      </c>
      <c r="G664" s="184">
        <v>85.5</v>
      </c>
      <c r="H664" s="181">
        <v>100</v>
      </c>
      <c r="I664" s="181" t="s">
        <v>292</v>
      </c>
      <c r="J664" s="191">
        <v>100</v>
      </c>
      <c r="K664" s="192" t="s">
        <v>1271</v>
      </c>
      <c r="L664" s="193" t="s">
        <v>396</v>
      </c>
      <c r="M664" s="193" t="s">
        <v>309</v>
      </c>
      <c r="N664" s="193"/>
      <c r="O664" s="193" t="s">
        <v>743</v>
      </c>
      <c r="P664" s="193" t="s">
        <v>381</v>
      </c>
      <c r="Q664" s="193" t="s">
        <v>295</v>
      </c>
      <c r="R664" s="192" t="s">
        <v>379</v>
      </c>
      <c r="S664" s="181" t="s">
        <v>743</v>
      </c>
      <c r="T664" s="181" t="s">
        <v>381</v>
      </c>
      <c r="U664" s="181" t="s">
        <v>295</v>
      </c>
      <c r="V664" s="199" t="s">
        <v>379</v>
      </c>
    </row>
    <row r="665" spans="1:22" outlineLevel="1">
      <c r="A665" s="199" t="s">
        <v>274</v>
      </c>
      <c r="B665" s="181" t="s">
        <v>748</v>
      </c>
      <c r="C665" s="190">
        <v>43646</v>
      </c>
      <c r="D665" s="199" t="s">
        <v>750</v>
      </c>
      <c r="E665" s="182" t="s">
        <v>1318</v>
      </c>
      <c r="F665" s="183">
        <v>76340</v>
      </c>
      <c r="G665" s="184">
        <v>85.5</v>
      </c>
      <c r="H665" s="181">
        <v>100</v>
      </c>
      <c r="I665" s="181" t="s">
        <v>292</v>
      </c>
      <c r="J665" s="191">
        <v>100</v>
      </c>
      <c r="K665" s="192" t="s">
        <v>1271</v>
      </c>
      <c r="L665" s="193" t="s">
        <v>396</v>
      </c>
      <c r="M665" s="193" t="s">
        <v>309</v>
      </c>
      <c r="N665" s="193"/>
      <c r="O665" s="193" t="s">
        <v>743</v>
      </c>
      <c r="P665" s="193" t="s">
        <v>381</v>
      </c>
      <c r="Q665" s="193" t="s">
        <v>295</v>
      </c>
      <c r="R665" s="192" t="s">
        <v>379</v>
      </c>
      <c r="S665" s="181" t="s">
        <v>743</v>
      </c>
      <c r="T665" s="181" t="s">
        <v>381</v>
      </c>
      <c r="U665" s="181" t="s">
        <v>295</v>
      </c>
      <c r="V665" s="199" t="s">
        <v>379</v>
      </c>
    </row>
    <row r="666" spans="1:22" outlineLevel="1">
      <c r="A666" s="199" t="s">
        <v>274</v>
      </c>
      <c r="B666" s="181" t="s">
        <v>748</v>
      </c>
      <c r="C666" s="190">
        <v>43646</v>
      </c>
      <c r="D666" s="199" t="s">
        <v>750</v>
      </c>
      <c r="E666" s="182" t="s">
        <v>1352</v>
      </c>
      <c r="F666" s="183">
        <v>76340</v>
      </c>
      <c r="G666" s="184">
        <v>339.96</v>
      </c>
      <c r="H666" s="181">
        <v>397.6</v>
      </c>
      <c r="I666" s="181" t="s">
        <v>292</v>
      </c>
      <c r="J666" s="191">
        <v>397.6</v>
      </c>
      <c r="K666" s="192" t="s">
        <v>1271</v>
      </c>
      <c r="L666" s="193" t="s">
        <v>396</v>
      </c>
      <c r="M666" s="193" t="s">
        <v>309</v>
      </c>
      <c r="N666" s="193"/>
      <c r="O666" s="193" t="s">
        <v>743</v>
      </c>
      <c r="P666" s="193" t="s">
        <v>381</v>
      </c>
      <c r="Q666" s="193" t="s">
        <v>295</v>
      </c>
      <c r="R666" s="192" t="s">
        <v>379</v>
      </c>
      <c r="S666" s="181" t="s">
        <v>743</v>
      </c>
      <c r="T666" s="181" t="s">
        <v>381</v>
      </c>
      <c r="U666" s="181" t="s">
        <v>295</v>
      </c>
      <c r="V666" s="199" t="s">
        <v>379</v>
      </c>
    </row>
    <row r="667" spans="1:22" outlineLevel="1">
      <c r="A667" s="199" t="s">
        <v>274</v>
      </c>
      <c r="B667" s="181" t="s">
        <v>748</v>
      </c>
      <c r="C667" s="190">
        <v>43646</v>
      </c>
      <c r="D667" s="199" t="s">
        <v>750</v>
      </c>
      <c r="E667" s="182" t="s">
        <v>1353</v>
      </c>
      <c r="F667" s="183">
        <v>76340</v>
      </c>
      <c r="G667" s="184">
        <v>221.94</v>
      </c>
      <c r="H667" s="181">
        <v>259.57</v>
      </c>
      <c r="I667" s="181" t="s">
        <v>292</v>
      </c>
      <c r="J667" s="191">
        <v>259.57</v>
      </c>
      <c r="K667" s="192" t="s">
        <v>1271</v>
      </c>
      <c r="L667" s="193" t="s">
        <v>396</v>
      </c>
      <c r="M667" s="193" t="s">
        <v>309</v>
      </c>
      <c r="N667" s="193"/>
      <c r="O667" s="193" t="s">
        <v>743</v>
      </c>
      <c r="P667" s="193" t="s">
        <v>381</v>
      </c>
      <c r="Q667" s="193" t="s">
        <v>295</v>
      </c>
      <c r="R667" s="192" t="s">
        <v>379</v>
      </c>
      <c r="S667" s="181" t="s">
        <v>743</v>
      </c>
      <c r="T667" s="181" t="s">
        <v>381</v>
      </c>
      <c r="U667" s="181" t="s">
        <v>295</v>
      </c>
      <c r="V667" s="199" t="s">
        <v>379</v>
      </c>
    </row>
    <row r="668" spans="1:22" outlineLevel="1">
      <c r="A668" s="199" t="s">
        <v>274</v>
      </c>
      <c r="B668" s="181" t="s">
        <v>748</v>
      </c>
      <c r="C668" s="190">
        <v>43646</v>
      </c>
      <c r="D668" s="199" t="s">
        <v>750</v>
      </c>
      <c r="E668" s="182" t="s">
        <v>1354</v>
      </c>
      <c r="F668" s="183">
        <v>76340</v>
      </c>
      <c r="G668" s="184">
        <v>105.81</v>
      </c>
      <c r="H668" s="181">
        <v>123.75</v>
      </c>
      <c r="I668" s="181" t="s">
        <v>292</v>
      </c>
      <c r="J668" s="191">
        <v>123.75</v>
      </c>
      <c r="K668" s="192" t="s">
        <v>1271</v>
      </c>
      <c r="L668" s="193" t="s">
        <v>396</v>
      </c>
      <c r="M668" s="193" t="s">
        <v>309</v>
      </c>
      <c r="N668" s="193"/>
      <c r="O668" s="193" t="s">
        <v>743</v>
      </c>
      <c r="P668" s="193" t="s">
        <v>381</v>
      </c>
      <c r="Q668" s="193" t="s">
        <v>295</v>
      </c>
      <c r="R668" s="192" t="s">
        <v>379</v>
      </c>
      <c r="S668" s="181" t="s">
        <v>743</v>
      </c>
      <c r="T668" s="181" t="s">
        <v>381</v>
      </c>
      <c r="U668" s="181" t="s">
        <v>295</v>
      </c>
      <c r="V668" s="199" t="s">
        <v>379</v>
      </c>
    </row>
    <row r="669" spans="1:22" outlineLevel="1">
      <c r="A669" s="199" t="s">
        <v>274</v>
      </c>
      <c r="B669" s="181" t="s">
        <v>748</v>
      </c>
      <c r="C669" s="190">
        <v>43646</v>
      </c>
      <c r="D669" s="199" t="s">
        <v>750</v>
      </c>
      <c r="E669" s="182" t="s">
        <v>1355</v>
      </c>
      <c r="F669" s="183">
        <v>76340</v>
      </c>
      <c r="G669" s="184">
        <v>32.49</v>
      </c>
      <c r="H669" s="181">
        <v>38</v>
      </c>
      <c r="I669" s="181" t="s">
        <v>292</v>
      </c>
      <c r="J669" s="191">
        <v>38</v>
      </c>
      <c r="K669" s="192" t="s">
        <v>1271</v>
      </c>
      <c r="L669" s="193" t="s">
        <v>396</v>
      </c>
      <c r="M669" s="193" t="s">
        <v>309</v>
      </c>
      <c r="N669" s="193"/>
      <c r="O669" s="193" t="s">
        <v>743</v>
      </c>
      <c r="P669" s="193" t="s">
        <v>381</v>
      </c>
      <c r="Q669" s="193" t="s">
        <v>295</v>
      </c>
      <c r="R669" s="192" t="s">
        <v>379</v>
      </c>
      <c r="S669" s="181" t="s">
        <v>743</v>
      </c>
      <c r="T669" s="181" t="s">
        <v>381</v>
      </c>
      <c r="U669" s="181" t="s">
        <v>295</v>
      </c>
      <c r="V669" s="199" t="s">
        <v>379</v>
      </c>
    </row>
    <row r="670" spans="1:22" outlineLevel="1">
      <c r="A670" s="199" t="s">
        <v>274</v>
      </c>
      <c r="B670" s="181" t="s">
        <v>748</v>
      </c>
      <c r="C670" s="190">
        <v>43646</v>
      </c>
      <c r="D670" s="199" t="s">
        <v>750</v>
      </c>
      <c r="E670" s="182" t="s">
        <v>1356</v>
      </c>
      <c r="F670" s="183">
        <v>76340</v>
      </c>
      <c r="G670" s="184">
        <v>26.08</v>
      </c>
      <c r="H670" s="181">
        <v>30.5</v>
      </c>
      <c r="I670" s="181" t="s">
        <v>292</v>
      </c>
      <c r="J670" s="191">
        <v>30.5</v>
      </c>
      <c r="K670" s="192" t="s">
        <v>1271</v>
      </c>
      <c r="L670" s="193" t="s">
        <v>396</v>
      </c>
      <c r="M670" s="193" t="s">
        <v>309</v>
      </c>
      <c r="N670" s="193"/>
      <c r="O670" s="193" t="s">
        <v>743</v>
      </c>
      <c r="P670" s="193" t="s">
        <v>381</v>
      </c>
      <c r="Q670" s="193" t="s">
        <v>295</v>
      </c>
      <c r="R670" s="192" t="s">
        <v>379</v>
      </c>
      <c r="S670" s="181" t="s">
        <v>743</v>
      </c>
      <c r="T670" s="181" t="s">
        <v>381</v>
      </c>
      <c r="U670" s="181" t="s">
        <v>295</v>
      </c>
      <c r="V670" s="199" t="s">
        <v>379</v>
      </c>
    </row>
    <row r="671" spans="1:22" outlineLevel="1">
      <c r="A671" s="199" t="s">
        <v>274</v>
      </c>
      <c r="B671" s="181" t="s">
        <v>748</v>
      </c>
      <c r="C671" s="190">
        <v>43646</v>
      </c>
      <c r="D671" s="199" t="s">
        <v>750</v>
      </c>
      <c r="E671" s="182" t="s">
        <v>1357</v>
      </c>
      <c r="F671" s="183">
        <v>76340</v>
      </c>
      <c r="G671" s="184">
        <v>2.99</v>
      </c>
      <c r="H671" s="181">
        <v>3.5</v>
      </c>
      <c r="I671" s="181" t="s">
        <v>292</v>
      </c>
      <c r="J671" s="191">
        <v>3.5</v>
      </c>
      <c r="K671" s="192" t="s">
        <v>1271</v>
      </c>
      <c r="L671" s="193" t="s">
        <v>396</v>
      </c>
      <c r="M671" s="193" t="s">
        <v>309</v>
      </c>
      <c r="N671" s="193"/>
      <c r="O671" s="193" t="s">
        <v>743</v>
      </c>
      <c r="P671" s="193" t="s">
        <v>381</v>
      </c>
      <c r="Q671" s="193" t="s">
        <v>295</v>
      </c>
      <c r="R671" s="192" t="s">
        <v>379</v>
      </c>
      <c r="S671" s="181" t="s">
        <v>743</v>
      </c>
      <c r="T671" s="181" t="s">
        <v>381</v>
      </c>
      <c r="U671" s="181" t="s">
        <v>295</v>
      </c>
      <c r="V671" s="199" t="s">
        <v>379</v>
      </c>
    </row>
    <row r="672" spans="1:22" outlineLevel="1">
      <c r="A672" s="199" t="s">
        <v>274</v>
      </c>
      <c r="B672" s="181" t="s">
        <v>748</v>
      </c>
      <c r="C672" s="190">
        <v>43646</v>
      </c>
      <c r="D672" s="199" t="s">
        <v>750</v>
      </c>
      <c r="E672" s="182" t="s">
        <v>1358</v>
      </c>
      <c r="F672" s="183">
        <v>76340</v>
      </c>
      <c r="G672" s="184">
        <v>11.97</v>
      </c>
      <c r="H672" s="181">
        <v>14</v>
      </c>
      <c r="I672" s="181" t="s">
        <v>292</v>
      </c>
      <c r="J672" s="191">
        <v>14</v>
      </c>
      <c r="K672" s="192" t="s">
        <v>1271</v>
      </c>
      <c r="L672" s="193" t="s">
        <v>396</v>
      </c>
      <c r="M672" s="193" t="s">
        <v>309</v>
      </c>
      <c r="N672" s="193"/>
      <c r="O672" s="193" t="s">
        <v>743</v>
      </c>
      <c r="P672" s="193" t="s">
        <v>381</v>
      </c>
      <c r="Q672" s="193" t="s">
        <v>295</v>
      </c>
      <c r="R672" s="192" t="s">
        <v>379</v>
      </c>
      <c r="S672" s="181" t="s">
        <v>743</v>
      </c>
      <c r="T672" s="181" t="s">
        <v>381</v>
      </c>
      <c r="U672" s="181" t="s">
        <v>295</v>
      </c>
      <c r="V672" s="199" t="s">
        <v>379</v>
      </c>
    </row>
    <row r="673" spans="1:22" outlineLevel="1">
      <c r="A673" s="199" t="s">
        <v>274</v>
      </c>
      <c r="B673" s="181" t="s">
        <v>748</v>
      </c>
      <c r="C673" s="190">
        <v>43646</v>
      </c>
      <c r="D673" s="199" t="s">
        <v>750</v>
      </c>
      <c r="E673" s="182" t="s">
        <v>1359</v>
      </c>
      <c r="F673" s="183">
        <v>76340</v>
      </c>
      <c r="G673" s="184">
        <v>8.5500000000000007</v>
      </c>
      <c r="H673" s="181">
        <v>10</v>
      </c>
      <c r="I673" s="181" t="s">
        <v>292</v>
      </c>
      <c r="J673" s="191">
        <v>10</v>
      </c>
      <c r="K673" s="192" t="s">
        <v>1271</v>
      </c>
      <c r="L673" s="193" t="s">
        <v>396</v>
      </c>
      <c r="M673" s="193" t="s">
        <v>309</v>
      </c>
      <c r="N673" s="193"/>
      <c r="O673" s="193" t="s">
        <v>743</v>
      </c>
      <c r="P673" s="193" t="s">
        <v>381</v>
      </c>
      <c r="Q673" s="193" t="s">
        <v>295</v>
      </c>
      <c r="R673" s="192" t="s">
        <v>379</v>
      </c>
      <c r="S673" s="181" t="s">
        <v>743</v>
      </c>
      <c r="T673" s="181" t="s">
        <v>381</v>
      </c>
      <c r="U673" s="181" t="s">
        <v>295</v>
      </c>
      <c r="V673" s="199" t="s">
        <v>379</v>
      </c>
    </row>
    <row r="674" spans="1:22" outlineLevel="1">
      <c r="A674" s="199" t="s">
        <v>274</v>
      </c>
      <c r="B674" s="181" t="s">
        <v>748</v>
      </c>
      <c r="C674" s="190">
        <v>43646</v>
      </c>
      <c r="D674" s="199" t="s">
        <v>750</v>
      </c>
      <c r="E674" s="182" t="s">
        <v>1360</v>
      </c>
      <c r="F674" s="183">
        <v>76340</v>
      </c>
      <c r="G674" s="184">
        <v>2.57</v>
      </c>
      <c r="H674" s="181">
        <v>3</v>
      </c>
      <c r="I674" s="181" t="s">
        <v>292</v>
      </c>
      <c r="J674" s="191">
        <v>3</v>
      </c>
      <c r="K674" s="192" t="s">
        <v>1271</v>
      </c>
      <c r="L674" s="193" t="s">
        <v>396</v>
      </c>
      <c r="M674" s="193" t="s">
        <v>309</v>
      </c>
      <c r="N674" s="193"/>
      <c r="O674" s="193" t="s">
        <v>743</v>
      </c>
      <c r="P674" s="193" t="s">
        <v>381</v>
      </c>
      <c r="Q674" s="193" t="s">
        <v>295</v>
      </c>
      <c r="R674" s="192" t="s">
        <v>379</v>
      </c>
      <c r="S674" s="181" t="s">
        <v>743</v>
      </c>
      <c r="T674" s="181" t="s">
        <v>381</v>
      </c>
      <c r="U674" s="181" t="s">
        <v>295</v>
      </c>
      <c r="V674" s="199" t="s">
        <v>379</v>
      </c>
    </row>
    <row r="675" spans="1:22" outlineLevel="1">
      <c r="A675" s="199" t="s">
        <v>274</v>
      </c>
      <c r="B675" s="181" t="s">
        <v>748</v>
      </c>
      <c r="C675" s="190">
        <v>43646</v>
      </c>
      <c r="D675" s="199" t="s">
        <v>750</v>
      </c>
      <c r="E675" s="182" t="s">
        <v>1358</v>
      </c>
      <c r="F675" s="183">
        <v>76340</v>
      </c>
      <c r="G675" s="184">
        <v>30.78</v>
      </c>
      <c r="H675" s="181">
        <v>36</v>
      </c>
      <c r="I675" s="181" t="s">
        <v>292</v>
      </c>
      <c r="J675" s="191">
        <v>36</v>
      </c>
      <c r="K675" s="192" t="s">
        <v>1271</v>
      </c>
      <c r="L675" s="193" t="s">
        <v>396</v>
      </c>
      <c r="M675" s="193" t="s">
        <v>309</v>
      </c>
      <c r="N675" s="193"/>
      <c r="O675" s="193" t="s">
        <v>743</v>
      </c>
      <c r="P675" s="193" t="s">
        <v>381</v>
      </c>
      <c r="Q675" s="193" t="s">
        <v>295</v>
      </c>
      <c r="R675" s="192" t="s">
        <v>379</v>
      </c>
      <c r="S675" s="181" t="s">
        <v>743</v>
      </c>
      <c r="T675" s="181" t="s">
        <v>381</v>
      </c>
      <c r="U675" s="181" t="s">
        <v>295</v>
      </c>
      <c r="V675" s="199" t="s">
        <v>379</v>
      </c>
    </row>
    <row r="676" spans="1:22" outlineLevel="1">
      <c r="A676" s="199" t="s">
        <v>274</v>
      </c>
      <c r="B676" s="181" t="s">
        <v>748</v>
      </c>
      <c r="C676" s="190">
        <v>43646</v>
      </c>
      <c r="D676" s="199" t="s">
        <v>750</v>
      </c>
      <c r="E676" s="182" t="s">
        <v>1361</v>
      </c>
      <c r="F676" s="183">
        <v>76340</v>
      </c>
      <c r="G676" s="184">
        <v>22.23</v>
      </c>
      <c r="H676" s="181">
        <v>26</v>
      </c>
      <c r="I676" s="181" t="s">
        <v>292</v>
      </c>
      <c r="J676" s="191">
        <v>26</v>
      </c>
      <c r="K676" s="192" t="s">
        <v>1271</v>
      </c>
      <c r="L676" s="193" t="s">
        <v>396</v>
      </c>
      <c r="M676" s="193" t="s">
        <v>309</v>
      </c>
      <c r="N676" s="193"/>
      <c r="O676" s="193" t="s">
        <v>743</v>
      </c>
      <c r="P676" s="193" t="s">
        <v>381</v>
      </c>
      <c r="Q676" s="193" t="s">
        <v>295</v>
      </c>
      <c r="R676" s="192" t="s">
        <v>379</v>
      </c>
      <c r="S676" s="181" t="s">
        <v>743</v>
      </c>
      <c r="T676" s="181" t="s">
        <v>381</v>
      </c>
      <c r="U676" s="181" t="s">
        <v>295</v>
      </c>
      <c r="V676" s="199" t="s">
        <v>379</v>
      </c>
    </row>
    <row r="677" spans="1:22" outlineLevel="1">
      <c r="A677" s="199" t="s">
        <v>274</v>
      </c>
      <c r="B677" s="181" t="s">
        <v>748</v>
      </c>
      <c r="C677" s="190">
        <v>43646</v>
      </c>
      <c r="D677" s="199" t="s">
        <v>750</v>
      </c>
      <c r="E677" s="182" t="s">
        <v>1360</v>
      </c>
      <c r="F677" s="183">
        <v>76340</v>
      </c>
      <c r="G677" s="184">
        <v>5.99</v>
      </c>
      <c r="H677" s="181">
        <v>7</v>
      </c>
      <c r="I677" s="181" t="s">
        <v>292</v>
      </c>
      <c r="J677" s="191">
        <v>7</v>
      </c>
      <c r="K677" s="192" t="s">
        <v>1271</v>
      </c>
      <c r="L677" s="193" t="s">
        <v>396</v>
      </c>
      <c r="M677" s="193" t="s">
        <v>309</v>
      </c>
      <c r="N677" s="193"/>
      <c r="O677" s="193" t="s">
        <v>743</v>
      </c>
      <c r="P677" s="193" t="s">
        <v>381</v>
      </c>
      <c r="Q677" s="193" t="s">
        <v>295</v>
      </c>
      <c r="R677" s="192" t="s">
        <v>379</v>
      </c>
      <c r="S677" s="181" t="s">
        <v>743</v>
      </c>
      <c r="T677" s="181" t="s">
        <v>381</v>
      </c>
      <c r="U677" s="181" t="s">
        <v>295</v>
      </c>
      <c r="V677" s="199" t="s">
        <v>379</v>
      </c>
    </row>
    <row r="678" spans="1:22" outlineLevel="1">
      <c r="A678" s="199" t="s">
        <v>274</v>
      </c>
      <c r="B678" s="181" t="s">
        <v>748</v>
      </c>
      <c r="C678" s="190">
        <v>43646</v>
      </c>
      <c r="D678" s="199" t="s">
        <v>750</v>
      </c>
      <c r="E678" s="182" t="s">
        <v>1362</v>
      </c>
      <c r="F678" s="183">
        <v>76340</v>
      </c>
      <c r="G678" s="184">
        <v>6.84</v>
      </c>
      <c r="H678" s="181">
        <v>8</v>
      </c>
      <c r="I678" s="181" t="s">
        <v>292</v>
      </c>
      <c r="J678" s="191">
        <v>8</v>
      </c>
      <c r="K678" s="192" t="s">
        <v>1271</v>
      </c>
      <c r="L678" s="193" t="s">
        <v>396</v>
      </c>
      <c r="M678" s="193" t="s">
        <v>309</v>
      </c>
      <c r="N678" s="193"/>
      <c r="O678" s="193" t="s">
        <v>743</v>
      </c>
      <c r="P678" s="193" t="s">
        <v>381</v>
      </c>
      <c r="Q678" s="193" t="s">
        <v>295</v>
      </c>
      <c r="R678" s="192" t="s">
        <v>379</v>
      </c>
      <c r="S678" s="181" t="s">
        <v>743</v>
      </c>
      <c r="T678" s="181" t="s">
        <v>381</v>
      </c>
      <c r="U678" s="181" t="s">
        <v>295</v>
      </c>
      <c r="V678" s="199" t="s">
        <v>379</v>
      </c>
    </row>
    <row r="679" spans="1:22" outlineLevel="1">
      <c r="A679" s="199" t="s">
        <v>274</v>
      </c>
      <c r="B679" s="181" t="s">
        <v>748</v>
      </c>
      <c r="C679" s="190">
        <v>43646</v>
      </c>
      <c r="D679" s="199" t="s">
        <v>750</v>
      </c>
      <c r="E679" s="182" t="s">
        <v>1363</v>
      </c>
      <c r="F679" s="183">
        <v>76340</v>
      </c>
      <c r="G679" s="184">
        <v>5.13</v>
      </c>
      <c r="H679" s="181">
        <v>6</v>
      </c>
      <c r="I679" s="181" t="s">
        <v>292</v>
      </c>
      <c r="J679" s="191">
        <v>6</v>
      </c>
      <c r="K679" s="192" t="s">
        <v>1271</v>
      </c>
      <c r="L679" s="193" t="s">
        <v>396</v>
      </c>
      <c r="M679" s="193" t="s">
        <v>309</v>
      </c>
      <c r="N679" s="193"/>
      <c r="O679" s="193" t="s">
        <v>743</v>
      </c>
      <c r="P679" s="193" t="s">
        <v>381</v>
      </c>
      <c r="Q679" s="193" t="s">
        <v>295</v>
      </c>
      <c r="R679" s="192" t="s">
        <v>379</v>
      </c>
      <c r="S679" s="181" t="s">
        <v>743</v>
      </c>
      <c r="T679" s="181" t="s">
        <v>381</v>
      </c>
      <c r="U679" s="181" t="s">
        <v>295</v>
      </c>
      <c r="V679" s="199" t="s">
        <v>379</v>
      </c>
    </row>
    <row r="680" spans="1:22" outlineLevel="1">
      <c r="A680" s="199" t="s">
        <v>274</v>
      </c>
      <c r="B680" s="181" t="s">
        <v>748</v>
      </c>
      <c r="C680" s="190">
        <v>43646</v>
      </c>
      <c r="D680" s="199" t="s">
        <v>750</v>
      </c>
      <c r="E680" s="182" t="s">
        <v>1364</v>
      </c>
      <c r="F680" s="183">
        <v>76340</v>
      </c>
      <c r="G680" s="184">
        <v>1.71</v>
      </c>
      <c r="H680" s="181">
        <v>2</v>
      </c>
      <c r="I680" s="181" t="s">
        <v>292</v>
      </c>
      <c r="J680" s="191">
        <v>2</v>
      </c>
      <c r="K680" s="192" t="s">
        <v>1271</v>
      </c>
      <c r="L680" s="193" t="s">
        <v>396</v>
      </c>
      <c r="M680" s="193" t="s">
        <v>309</v>
      </c>
      <c r="N680" s="193"/>
      <c r="O680" s="193" t="s">
        <v>743</v>
      </c>
      <c r="P680" s="193" t="s">
        <v>381</v>
      </c>
      <c r="Q680" s="193" t="s">
        <v>295</v>
      </c>
      <c r="R680" s="192" t="s">
        <v>379</v>
      </c>
      <c r="S680" s="181" t="s">
        <v>743</v>
      </c>
      <c r="T680" s="181" t="s">
        <v>381</v>
      </c>
      <c r="U680" s="181" t="s">
        <v>295</v>
      </c>
      <c r="V680" s="199" t="s">
        <v>379</v>
      </c>
    </row>
    <row r="681" spans="1:22" outlineLevel="1">
      <c r="A681" s="199" t="s">
        <v>274</v>
      </c>
      <c r="B681" s="181" t="s">
        <v>748</v>
      </c>
      <c r="C681" s="190">
        <v>43646</v>
      </c>
      <c r="D681" s="199" t="s">
        <v>754</v>
      </c>
      <c r="E681" s="182" t="s">
        <v>1365</v>
      </c>
      <c r="F681" s="183">
        <v>76341</v>
      </c>
      <c r="G681" s="184">
        <v>12.06</v>
      </c>
      <c r="H681" s="181">
        <v>16.010000000000002</v>
      </c>
      <c r="I681" s="181" t="s">
        <v>292</v>
      </c>
      <c r="J681" s="191">
        <v>16.010000000000002</v>
      </c>
      <c r="K681" s="192" t="s">
        <v>1271</v>
      </c>
      <c r="L681" s="193" t="s">
        <v>396</v>
      </c>
      <c r="M681" s="193" t="s">
        <v>309</v>
      </c>
      <c r="N681" s="193"/>
      <c r="O681" s="193" t="s">
        <v>740</v>
      </c>
      <c r="P681" s="193" t="s">
        <v>381</v>
      </c>
      <c r="Q681" s="193" t="s">
        <v>295</v>
      </c>
      <c r="R681" s="192" t="s">
        <v>379</v>
      </c>
      <c r="S681" s="181" t="s">
        <v>740</v>
      </c>
      <c r="T681" s="181" t="s">
        <v>381</v>
      </c>
      <c r="U681" s="181" t="s">
        <v>295</v>
      </c>
      <c r="V681" s="199" t="s">
        <v>379</v>
      </c>
    </row>
    <row r="682" spans="1:22" outlineLevel="1">
      <c r="A682" s="199" t="s">
        <v>274</v>
      </c>
      <c r="B682" s="181" t="s">
        <v>748</v>
      </c>
      <c r="C682" s="190">
        <v>43646</v>
      </c>
      <c r="D682" s="199" t="s">
        <v>754</v>
      </c>
      <c r="E682" s="182" t="s">
        <v>1366</v>
      </c>
      <c r="F682" s="183">
        <v>76341</v>
      </c>
      <c r="G682" s="184">
        <v>564.91999999999996</v>
      </c>
      <c r="H682" s="181">
        <v>750</v>
      </c>
      <c r="I682" s="181" t="s">
        <v>292</v>
      </c>
      <c r="J682" s="191">
        <v>750</v>
      </c>
      <c r="K682" s="192" t="s">
        <v>1271</v>
      </c>
      <c r="L682" s="193" t="s">
        <v>396</v>
      </c>
      <c r="M682" s="193" t="s">
        <v>309</v>
      </c>
      <c r="N682" s="193"/>
      <c r="O682" s="193" t="s">
        <v>740</v>
      </c>
      <c r="P682" s="193" t="s">
        <v>381</v>
      </c>
      <c r="Q682" s="193" t="s">
        <v>295</v>
      </c>
      <c r="R682" s="192" t="s">
        <v>379</v>
      </c>
      <c r="S682" s="181" t="s">
        <v>740</v>
      </c>
      <c r="T682" s="181" t="s">
        <v>381</v>
      </c>
      <c r="U682" s="181" t="s">
        <v>295</v>
      </c>
      <c r="V682" s="199" t="s">
        <v>379</v>
      </c>
    </row>
    <row r="683" spans="1:22" outlineLevel="1">
      <c r="A683" s="199" t="s">
        <v>274</v>
      </c>
      <c r="B683" s="181" t="s">
        <v>748</v>
      </c>
      <c r="C683" s="190">
        <v>43646</v>
      </c>
      <c r="D683" s="199" t="s">
        <v>754</v>
      </c>
      <c r="E683" s="182" t="s">
        <v>1367</v>
      </c>
      <c r="F683" s="183">
        <v>76341</v>
      </c>
      <c r="G683" s="184">
        <v>101.69</v>
      </c>
      <c r="H683" s="181">
        <v>135</v>
      </c>
      <c r="I683" s="181" t="s">
        <v>292</v>
      </c>
      <c r="J683" s="191">
        <v>135</v>
      </c>
      <c r="K683" s="192" t="s">
        <v>1271</v>
      </c>
      <c r="L683" s="193" t="s">
        <v>396</v>
      </c>
      <c r="M683" s="193" t="s">
        <v>309</v>
      </c>
      <c r="N683" s="193"/>
      <c r="O683" s="193" t="s">
        <v>740</v>
      </c>
      <c r="P683" s="193" t="s">
        <v>381</v>
      </c>
      <c r="Q683" s="193" t="s">
        <v>295</v>
      </c>
      <c r="R683" s="192" t="s">
        <v>379</v>
      </c>
      <c r="S683" s="181" t="s">
        <v>740</v>
      </c>
      <c r="T683" s="181" t="s">
        <v>381</v>
      </c>
      <c r="U683" s="181" t="s">
        <v>295</v>
      </c>
      <c r="V683" s="199" t="s">
        <v>379</v>
      </c>
    </row>
    <row r="684" spans="1:22" outlineLevel="1">
      <c r="A684" s="199" t="s">
        <v>274</v>
      </c>
      <c r="B684" s="181" t="s">
        <v>748</v>
      </c>
      <c r="C684" s="190">
        <v>43646</v>
      </c>
      <c r="D684" s="199" t="s">
        <v>750</v>
      </c>
      <c r="E684" s="182" t="s">
        <v>1368</v>
      </c>
      <c r="F684" s="183">
        <v>76330</v>
      </c>
      <c r="G684" s="184">
        <v>15.06</v>
      </c>
      <c r="H684" s="181">
        <v>20</v>
      </c>
      <c r="I684" s="181" t="s">
        <v>292</v>
      </c>
      <c r="J684" s="191">
        <v>19.010000000000002</v>
      </c>
      <c r="K684" s="192" t="s">
        <v>752</v>
      </c>
      <c r="L684" s="193" t="s">
        <v>396</v>
      </c>
      <c r="M684" s="193" t="s">
        <v>309</v>
      </c>
      <c r="N684" s="193"/>
      <c r="O684" s="193" t="s">
        <v>737</v>
      </c>
      <c r="P684" s="193" t="s">
        <v>381</v>
      </c>
      <c r="Q684" s="193" t="s">
        <v>295</v>
      </c>
      <c r="R684" s="192" t="s">
        <v>379</v>
      </c>
      <c r="S684" s="181" t="s">
        <v>737</v>
      </c>
      <c r="T684" s="181" t="s">
        <v>381</v>
      </c>
      <c r="U684" s="181" t="s">
        <v>295</v>
      </c>
      <c r="V684" s="199" t="s">
        <v>379</v>
      </c>
    </row>
    <row r="685" spans="1:22" outlineLevel="1">
      <c r="A685" s="199" t="s">
        <v>274</v>
      </c>
      <c r="B685" s="181" t="s">
        <v>748</v>
      </c>
      <c r="C685" s="190">
        <v>43646</v>
      </c>
      <c r="D685" s="199" t="s">
        <v>750</v>
      </c>
      <c r="E685" s="182" t="s">
        <v>1369</v>
      </c>
      <c r="F685" s="183">
        <v>76330</v>
      </c>
      <c r="G685" s="184">
        <v>2.41</v>
      </c>
      <c r="H685" s="181">
        <v>3.2</v>
      </c>
      <c r="I685" s="181" t="s">
        <v>292</v>
      </c>
      <c r="J685" s="191">
        <v>3.04</v>
      </c>
      <c r="K685" s="192" t="s">
        <v>752</v>
      </c>
      <c r="L685" s="193" t="s">
        <v>396</v>
      </c>
      <c r="M685" s="193" t="s">
        <v>309</v>
      </c>
      <c r="N685" s="193"/>
      <c r="O685" s="193" t="s">
        <v>737</v>
      </c>
      <c r="P685" s="193" t="s">
        <v>381</v>
      </c>
      <c r="Q685" s="193" t="s">
        <v>295</v>
      </c>
      <c r="R685" s="192" t="s">
        <v>379</v>
      </c>
      <c r="S685" s="181" t="s">
        <v>737</v>
      </c>
      <c r="T685" s="181" t="s">
        <v>381</v>
      </c>
      <c r="U685" s="181" t="s">
        <v>295</v>
      </c>
      <c r="V685" s="199" t="s">
        <v>379</v>
      </c>
    </row>
    <row r="686" spans="1:22" outlineLevel="1">
      <c r="A686" s="199" t="s">
        <v>274</v>
      </c>
      <c r="B686" s="181" t="s">
        <v>748</v>
      </c>
      <c r="C686" s="190">
        <v>43646</v>
      </c>
      <c r="D686" s="199" t="s">
        <v>750</v>
      </c>
      <c r="E686" s="182" t="s">
        <v>1370</v>
      </c>
      <c r="F686" s="183">
        <v>76330</v>
      </c>
      <c r="G686" s="184">
        <v>56.49</v>
      </c>
      <c r="H686" s="181">
        <v>75</v>
      </c>
      <c r="I686" s="181" t="s">
        <v>292</v>
      </c>
      <c r="J686" s="191">
        <v>71.3</v>
      </c>
      <c r="K686" s="192" t="s">
        <v>752</v>
      </c>
      <c r="L686" s="193" t="s">
        <v>396</v>
      </c>
      <c r="M686" s="193" t="s">
        <v>309</v>
      </c>
      <c r="N686" s="193"/>
      <c r="O686" s="193" t="s">
        <v>737</v>
      </c>
      <c r="P686" s="193" t="s">
        <v>381</v>
      </c>
      <c r="Q686" s="193" t="s">
        <v>295</v>
      </c>
      <c r="R686" s="192" t="s">
        <v>379</v>
      </c>
      <c r="S686" s="181" t="s">
        <v>737</v>
      </c>
      <c r="T686" s="181" t="s">
        <v>381</v>
      </c>
      <c r="U686" s="181" t="s">
        <v>295</v>
      </c>
      <c r="V686" s="199" t="s">
        <v>379</v>
      </c>
    </row>
    <row r="687" spans="1:22" outlineLevel="1">
      <c r="A687" s="199" t="s">
        <v>274</v>
      </c>
      <c r="B687" s="181" t="s">
        <v>748</v>
      </c>
      <c r="C687" s="190">
        <v>43646</v>
      </c>
      <c r="D687" s="199" t="s">
        <v>750</v>
      </c>
      <c r="E687" s="182" t="s">
        <v>1371</v>
      </c>
      <c r="F687" s="183">
        <v>76330</v>
      </c>
      <c r="G687" s="184">
        <v>9.1</v>
      </c>
      <c r="H687" s="181">
        <v>12</v>
      </c>
      <c r="I687" s="181" t="s">
        <v>292</v>
      </c>
      <c r="J687" s="191">
        <v>11.41</v>
      </c>
      <c r="K687" s="192" t="s">
        <v>752</v>
      </c>
      <c r="L687" s="193" t="s">
        <v>396</v>
      </c>
      <c r="M687" s="193" t="s">
        <v>309</v>
      </c>
      <c r="N687" s="193"/>
      <c r="O687" s="193" t="s">
        <v>737</v>
      </c>
      <c r="P687" s="193" t="s">
        <v>381</v>
      </c>
      <c r="Q687" s="193" t="s">
        <v>295</v>
      </c>
      <c r="R687" s="192" t="s">
        <v>379</v>
      </c>
      <c r="S687" s="181" t="s">
        <v>737</v>
      </c>
      <c r="T687" s="181" t="s">
        <v>381</v>
      </c>
      <c r="U687" s="181" t="s">
        <v>295</v>
      </c>
      <c r="V687" s="199" t="s">
        <v>379</v>
      </c>
    </row>
    <row r="688" spans="1:22" outlineLevel="1">
      <c r="A688" s="199" t="s">
        <v>274</v>
      </c>
      <c r="B688" s="181" t="s">
        <v>748</v>
      </c>
      <c r="C688" s="190">
        <v>43646</v>
      </c>
      <c r="D688" s="199" t="s">
        <v>750</v>
      </c>
      <c r="E688" s="182" t="s">
        <v>1368</v>
      </c>
      <c r="F688" s="183">
        <v>76330</v>
      </c>
      <c r="G688" s="184">
        <v>3.77</v>
      </c>
      <c r="H688" s="181">
        <v>5</v>
      </c>
      <c r="I688" s="181" t="s">
        <v>292</v>
      </c>
      <c r="J688" s="191">
        <v>4.76</v>
      </c>
      <c r="K688" s="192" t="s">
        <v>752</v>
      </c>
      <c r="L688" s="193" t="s">
        <v>396</v>
      </c>
      <c r="M688" s="193" t="s">
        <v>309</v>
      </c>
      <c r="N688" s="193"/>
      <c r="O688" s="193" t="s">
        <v>737</v>
      </c>
      <c r="P688" s="193" t="s">
        <v>381</v>
      </c>
      <c r="Q688" s="193" t="s">
        <v>295</v>
      </c>
      <c r="R688" s="192" t="s">
        <v>379</v>
      </c>
      <c r="S688" s="181" t="s">
        <v>737</v>
      </c>
      <c r="T688" s="181" t="s">
        <v>381</v>
      </c>
      <c r="U688" s="181" t="s">
        <v>295</v>
      </c>
      <c r="V688" s="199" t="s">
        <v>379</v>
      </c>
    </row>
    <row r="689" spans="1:22" outlineLevel="1">
      <c r="A689" s="199" t="s">
        <v>274</v>
      </c>
      <c r="B689" s="181" t="s">
        <v>748</v>
      </c>
      <c r="C689" s="190">
        <v>43646</v>
      </c>
      <c r="D689" s="199" t="s">
        <v>750</v>
      </c>
      <c r="E689" s="182" t="s">
        <v>1369</v>
      </c>
      <c r="F689" s="183">
        <v>76330</v>
      </c>
      <c r="G689" s="184">
        <v>0.6</v>
      </c>
      <c r="H689" s="181">
        <v>0.8</v>
      </c>
      <c r="I689" s="181" t="s">
        <v>292</v>
      </c>
      <c r="J689" s="191">
        <v>0.76</v>
      </c>
      <c r="K689" s="192" t="s">
        <v>752</v>
      </c>
      <c r="L689" s="193" t="s">
        <v>396</v>
      </c>
      <c r="M689" s="193" t="s">
        <v>309</v>
      </c>
      <c r="N689" s="193"/>
      <c r="O689" s="193" t="s">
        <v>737</v>
      </c>
      <c r="P689" s="193" t="s">
        <v>381</v>
      </c>
      <c r="Q689" s="193" t="s">
        <v>295</v>
      </c>
      <c r="R689" s="192" t="s">
        <v>379</v>
      </c>
      <c r="S689" s="181" t="s">
        <v>737</v>
      </c>
      <c r="T689" s="181" t="s">
        <v>381</v>
      </c>
      <c r="U689" s="181" t="s">
        <v>295</v>
      </c>
      <c r="V689" s="199" t="s">
        <v>379</v>
      </c>
    </row>
    <row r="690" spans="1:22" outlineLevel="1">
      <c r="A690" s="199" t="s">
        <v>274</v>
      </c>
      <c r="B690" s="181" t="s">
        <v>748</v>
      </c>
      <c r="C690" s="190">
        <v>43646</v>
      </c>
      <c r="D690" s="199" t="s">
        <v>750</v>
      </c>
      <c r="E690" s="182" t="s">
        <v>1372</v>
      </c>
      <c r="F690" s="183">
        <v>76330</v>
      </c>
      <c r="G690" s="184">
        <v>586.91</v>
      </c>
      <c r="H690" s="181">
        <v>779.19</v>
      </c>
      <c r="I690" s="181" t="s">
        <v>292</v>
      </c>
      <c r="J690" s="191">
        <v>740.82</v>
      </c>
      <c r="K690" s="192" t="s">
        <v>752</v>
      </c>
      <c r="L690" s="193" t="s">
        <v>396</v>
      </c>
      <c r="M690" s="193" t="s">
        <v>309</v>
      </c>
      <c r="N690" s="193"/>
      <c r="O690" s="193" t="s">
        <v>737</v>
      </c>
      <c r="P690" s="193" t="s">
        <v>381</v>
      </c>
      <c r="Q690" s="193" t="s">
        <v>295</v>
      </c>
      <c r="R690" s="192" t="s">
        <v>379</v>
      </c>
      <c r="S690" s="181" t="s">
        <v>737</v>
      </c>
      <c r="T690" s="181" t="s">
        <v>381</v>
      </c>
      <c r="U690" s="181" t="s">
        <v>295</v>
      </c>
      <c r="V690" s="199" t="s">
        <v>379</v>
      </c>
    </row>
    <row r="691" spans="1:22" outlineLevel="1">
      <c r="A691" s="199" t="s">
        <v>274</v>
      </c>
      <c r="B691" s="181" t="s">
        <v>748</v>
      </c>
      <c r="C691" s="190">
        <v>43646</v>
      </c>
      <c r="D691" s="199" t="s">
        <v>750</v>
      </c>
      <c r="E691" s="182" t="s">
        <v>1369</v>
      </c>
      <c r="F691" s="183">
        <v>76330</v>
      </c>
      <c r="G691" s="184">
        <v>93.91</v>
      </c>
      <c r="H691" s="181">
        <v>124.67</v>
      </c>
      <c r="I691" s="181" t="s">
        <v>292</v>
      </c>
      <c r="J691" s="191">
        <v>118.54</v>
      </c>
      <c r="K691" s="192" t="s">
        <v>752</v>
      </c>
      <c r="L691" s="193" t="s">
        <v>396</v>
      </c>
      <c r="M691" s="193" t="s">
        <v>309</v>
      </c>
      <c r="N691" s="193"/>
      <c r="O691" s="193" t="s">
        <v>737</v>
      </c>
      <c r="P691" s="193" t="s">
        <v>381</v>
      </c>
      <c r="Q691" s="193" t="s">
        <v>295</v>
      </c>
      <c r="R691" s="192" t="s">
        <v>379</v>
      </c>
      <c r="S691" s="181" t="s">
        <v>737</v>
      </c>
      <c r="T691" s="181" t="s">
        <v>381</v>
      </c>
      <c r="U691" s="181" t="s">
        <v>295</v>
      </c>
      <c r="V691" s="199" t="s">
        <v>379</v>
      </c>
    </row>
    <row r="692" spans="1:22" outlineLevel="1">
      <c r="A692" s="199" t="s">
        <v>274</v>
      </c>
      <c r="B692" s="181" t="s">
        <v>748</v>
      </c>
      <c r="C692" s="190">
        <v>43646</v>
      </c>
      <c r="D692" s="199" t="s">
        <v>750</v>
      </c>
      <c r="E692" s="182" t="s">
        <v>1373</v>
      </c>
      <c r="F692" s="183">
        <v>76330</v>
      </c>
      <c r="G692" s="184">
        <v>11.3</v>
      </c>
      <c r="H692" s="181">
        <v>15</v>
      </c>
      <c r="I692" s="181" t="s">
        <v>292</v>
      </c>
      <c r="J692" s="191">
        <v>14.26</v>
      </c>
      <c r="K692" s="192" t="s">
        <v>752</v>
      </c>
      <c r="L692" s="193" t="s">
        <v>396</v>
      </c>
      <c r="M692" s="193" t="s">
        <v>309</v>
      </c>
      <c r="N692" s="193"/>
      <c r="O692" s="193" t="s">
        <v>737</v>
      </c>
      <c r="P692" s="193" t="s">
        <v>381</v>
      </c>
      <c r="Q692" s="193" t="s">
        <v>295</v>
      </c>
      <c r="R692" s="192" t="s">
        <v>379</v>
      </c>
      <c r="S692" s="181" t="s">
        <v>737</v>
      </c>
      <c r="T692" s="181" t="s">
        <v>381</v>
      </c>
      <c r="U692" s="181" t="s">
        <v>295</v>
      </c>
      <c r="V692" s="199" t="s">
        <v>379</v>
      </c>
    </row>
    <row r="693" spans="1:22" outlineLevel="1">
      <c r="A693" s="199" t="s">
        <v>274</v>
      </c>
      <c r="B693" s="181" t="s">
        <v>748</v>
      </c>
      <c r="C693" s="190">
        <v>43646</v>
      </c>
      <c r="D693" s="199" t="s">
        <v>750</v>
      </c>
      <c r="E693" s="182" t="s">
        <v>1374</v>
      </c>
      <c r="F693" s="183">
        <v>76330</v>
      </c>
      <c r="G693" s="184">
        <v>0.75</v>
      </c>
      <c r="H693" s="181">
        <v>1</v>
      </c>
      <c r="I693" s="181" t="s">
        <v>292</v>
      </c>
      <c r="J693" s="191">
        <v>0.95</v>
      </c>
      <c r="K693" s="192" t="s">
        <v>752</v>
      </c>
      <c r="L693" s="193" t="s">
        <v>396</v>
      </c>
      <c r="M693" s="193" t="s">
        <v>309</v>
      </c>
      <c r="N693" s="193"/>
      <c r="O693" s="193" t="s">
        <v>737</v>
      </c>
      <c r="P693" s="193" t="s">
        <v>381</v>
      </c>
      <c r="Q693" s="193" t="s">
        <v>295</v>
      </c>
      <c r="R693" s="192" t="s">
        <v>379</v>
      </c>
      <c r="S693" s="181" t="s">
        <v>737</v>
      </c>
      <c r="T693" s="181" t="s">
        <v>381</v>
      </c>
      <c r="U693" s="181" t="s">
        <v>295</v>
      </c>
      <c r="V693" s="199" t="s">
        <v>379</v>
      </c>
    </row>
    <row r="694" spans="1:22" outlineLevel="1">
      <c r="A694" s="199" t="s">
        <v>274</v>
      </c>
      <c r="B694" s="181" t="s">
        <v>748</v>
      </c>
      <c r="C694" s="190">
        <v>43646</v>
      </c>
      <c r="D694" s="199" t="s">
        <v>750</v>
      </c>
      <c r="E694" s="182" t="s">
        <v>1375</v>
      </c>
      <c r="F694" s="183">
        <v>76330</v>
      </c>
      <c r="G694" s="184">
        <v>0.12</v>
      </c>
      <c r="H694" s="181">
        <v>0.16</v>
      </c>
      <c r="I694" s="181" t="s">
        <v>292</v>
      </c>
      <c r="J694" s="191">
        <v>0.15</v>
      </c>
      <c r="K694" s="192" t="s">
        <v>752</v>
      </c>
      <c r="L694" s="193" t="s">
        <v>396</v>
      </c>
      <c r="M694" s="193" t="s">
        <v>309</v>
      </c>
      <c r="N694" s="193"/>
      <c r="O694" s="193" t="s">
        <v>737</v>
      </c>
      <c r="P694" s="193" t="s">
        <v>381</v>
      </c>
      <c r="Q694" s="193" t="s">
        <v>295</v>
      </c>
      <c r="R694" s="192" t="s">
        <v>379</v>
      </c>
      <c r="S694" s="181" t="s">
        <v>737</v>
      </c>
      <c r="T694" s="181" t="s">
        <v>381</v>
      </c>
      <c r="U694" s="181" t="s">
        <v>295</v>
      </c>
      <c r="V694" s="199" t="s">
        <v>379</v>
      </c>
    </row>
    <row r="695" spans="1:22" outlineLevel="1">
      <c r="A695" s="199" t="s">
        <v>274</v>
      </c>
      <c r="B695" s="181" t="s">
        <v>748</v>
      </c>
      <c r="C695" s="190">
        <v>43646</v>
      </c>
      <c r="D695" s="199" t="s">
        <v>750</v>
      </c>
      <c r="E695" s="182" t="s">
        <v>1376</v>
      </c>
      <c r="F695" s="183">
        <v>76330</v>
      </c>
      <c r="G695" s="184">
        <v>1.51</v>
      </c>
      <c r="H695" s="181">
        <v>2</v>
      </c>
      <c r="I695" s="181" t="s">
        <v>292</v>
      </c>
      <c r="J695" s="191">
        <v>1.91</v>
      </c>
      <c r="K695" s="192" t="s">
        <v>752</v>
      </c>
      <c r="L695" s="193" t="s">
        <v>396</v>
      </c>
      <c r="M695" s="193" t="s">
        <v>309</v>
      </c>
      <c r="N695" s="193"/>
      <c r="O695" s="193" t="s">
        <v>737</v>
      </c>
      <c r="P695" s="193" t="s">
        <v>381</v>
      </c>
      <c r="Q695" s="193" t="s">
        <v>295</v>
      </c>
      <c r="R695" s="192" t="s">
        <v>379</v>
      </c>
      <c r="S695" s="181" t="s">
        <v>737</v>
      </c>
      <c r="T695" s="181" t="s">
        <v>381</v>
      </c>
      <c r="U695" s="181" t="s">
        <v>295</v>
      </c>
      <c r="V695" s="199" t="s">
        <v>379</v>
      </c>
    </row>
    <row r="696" spans="1:22" outlineLevel="1">
      <c r="A696" s="199" t="s">
        <v>274</v>
      </c>
      <c r="B696" s="181" t="s">
        <v>748</v>
      </c>
      <c r="C696" s="190">
        <v>43646</v>
      </c>
      <c r="D696" s="199" t="s">
        <v>750</v>
      </c>
      <c r="E696" s="182" t="s">
        <v>1377</v>
      </c>
      <c r="F696" s="183">
        <v>76330</v>
      </c>
      <c r="G696" s="184">
        <v>0.24</v>
      </c>
      <c r="H696" s="181">
        <v>0.32</v>
      </c>
      <c r="I696" s="181" t="s">
        <v>292</v>
      </c>
      <c r="J696" s="191">
        <v>0.3</v>
      </c>
      <c r="K696" s="192" t="s">
        <v>752</v>
      </c>
      <c r="L696" s="193" t="s">
        <v>396</v>
      </c>
      <c r="M696" s="193" t="s">
        <v>309</v>
      </c>
      <c r="N696" s="193"/>
      <c r="O696" s="193" t="s">
        <v>737</v>
      </c>
      <c r="P696" s="193" t="s">
        <v>381</v>
      </c>
      <c r="Q696" s="193" t="s">
        <v>295</v>
      </c>
      <c r="R696" s="192" t="s">
        <v>379</v>
      </c>
      <c r="S696" s="181" t="s">
        <v>737</v>
      </c>
      <c r="T696" s="181" t="s">
        <v>381</v>
      </c>
      <c r="U696" s="181" t="s">
        <v>295</v>
      </c>
      <c r="V696" s="199" t="s">
        <v>379</v>
      </c>
    </row>
    <row r="697" spans="1:22" outlineLevel="1">
      <c r="A697" s="199" t="s">
        <v>274</v>
      </c>
      <c r="B697" s="181" t="s">
        <v>748</v>
      </c>
      <c r="C697" s="190">
        <v>43646</v>
      </c>
      <c r="D697" s="199" t="s">
        <v>750</v>
      </c>
      <c r="E697" s="182" t="s">
        <v>1378</v>
      </c>
      <c r="F697" s="183">
        <v>76330</v>
      </c>
      <c r="G697" s="184">
        <v>195.09</v>
      </c>
      <c r="H697" s="181">
        <v>259</v>
      </c>
      <c r="I697" s="181" t="s">
        <v>292</v>
      </c>
      <c r="J697" s="191">
        <v>246.25</v>
      </c>
      <c r="K697" s="192" t="s">
        <v>752</v>
      </c>
      <c r="L697" s="193" t="s">
        <v>396</v>
      </c>
      <c r="M697" s="193" t="s">
        <v>309</v>
      </c>
      <c r="N697" s="193"/>
      <c r="O697" s="193" t="s">
        <v>737</v>
      </c>
      <c r="P697" s="193" t="s">
        <v>381</v>
      </c>
      <c r="Q697" s="193" t="s">
        <v>295</v>
      </c>
      <c r="R697" s="192" t="s">
        <v>379</v>
      </c>
      <c r="S697" s="181" t="s">
        <v>737</v>
      </c>
      <c r="T697" s="181" t="s">
        <v>381</v>
      </c>
      <c r="U697" s="181" t="s">
        <v>295</v>
      </c>
      <c r="V697" s="199" t="s">
        <v>379</v>
      </c>
    </row>
    <row r="698" spans="1:22" outlineLevel="1">
      <c r="A698" s="199" t="s">
        <v>274</v>
      </c>
      <c r="B698" s="181" t="s">
        <v>748</v>
      </c>
      <c r="C698" s="190">
        <v>43646</v>
      </c>
      <c r="D698" s="199" t="s">
        <v>750</v>
      </c>
      <c r="E698" s="182" t="s">
        <v>1379</v>
      </c>
      <c r="F698" s="183">
        <v>76330</v>
      </c>
      <c r="G698" s="184">
        <v>140.1</v>
      </c>
      <c r="H698" s="181">
        <v>186</v>
      </c>
      <c r="I698" s="181" t="s">
        <v>292</v>
      </c>
      <c r="J698" s="191">
        <v>176.84</v>
      </c>
      <c r="K698" s="192" t="s">
        <v>752</v>
      </c>
      <c r="L698" s="193" t="s">
        <v>396</v>
      </c>
      <c r="M698" s="193" t="s">
        <v>309</v>
      </c>
      <c r="N698" s="193"/>
      <c r="O698" s="193" t="s">
        <v>737</v>
      </c>
      <c r="P698" s="193" t="s">
        <v>381</v>
      </c>
      <c r="Q698" s="193" t="s">
        <v>295</v>
      </c>
      <c r="R698" s="192" t="s">
        <v>379</v>
      </c>
      <c r="S698" s="181" t="s">
        <v>737</v>
      </c>
      <c r="T698" s="181" t="s">
        <v>381</v>
      </c>
      <c r="U698" s="181" t="s">
        <v>295</v>
      </c>
      <c r="V698" s="199" t="s">
        <v>379</v>
      </c>
    </row>
    <row r="699" spans="1:22" outlineLevel="1">
      <c r="A699" s="199" t="s">
        <v>274</v>
      </c>
      <c r="B699" s="181" t="s">
        <v>748</v>
      </c>
      <c r="C699" s="190">
        <v>43646</v>
      </c>
      <c r="D699" s="199" t="s">
        <v>750</v>
      </c>
      <c r="E699" s="182" t="s">
        <v>1380</v>
      </c>
      <c r="F699" s="183">
        <v>76330</v>
      </c>
      <c r="G699" s="184">
        <v>125.04</v>
      </c>
      <c r="H699" s="181">
        <v>166</v>
      </c>
      <c r="I699" s="181" t="s">
        <v>292</v>
      </c>
      <c r="J699" s="191">
        <v>157.83000000000001</v>
      </c>
      <c r="K699" s="192" t="s">
        <v>752</v>
      </c>
      <c r="L699" s="193" t="s">
        <v>396</v>
      </c>
      <c r="M699" s="193" t="s">
        <v>309</v>
      </c>
      <c r="N699" s="193"/>
      <c r="O699" s="193" t="s">
        <v>737</v>
      </c>
      <c r="P699" s="193" t="s">
        <v>381</v>
      </c>
      <c r="Q699" s="193" t="s">
        <v>295</v>
      </c>
      <c r="R699" s="192" t="s">
        <v>379</v>
      </c>
      <c r="S699" s="181" t="s">
        <v>737</v>
      </c>
      <c r="T699" s="181" t="s">
        <v>381</v>
      </c>
      <c r="U699" s="181" t="s">
        <v>295</v>
      </c>
      <c r="V699" s="199" t="s">
        <v>379</v>
      </c>
    </row>
    <row r="700" spans="1:22" outlineLevel="1">
      <c r="A700" s="199" t="s">
        <v>274</v>
      </c>
      <c r="B700" s="181" t="s">
        <v>748</v>
      </c>
      <c r="C700" s="190">
        <v>43646</v>
      </c>
      <c r="D700" s="199" t="s">
        <v>750</v>
      </c>
      <c r="E700" s="182" t="s">
        <v>1368</v>
      </c>
      <c r="F700" s="183">
        <v>76330</v>
      </c>
      <c r="G700" s="184">
        <v>3.77</v>
      </c>
      <c r="H700" s="181">
        <v>5</v>
      </c>
      <c r="I700" s="181" t="s">
        <v>292</v>
      </c>
      <c r="J700" s="191">
        <v>4.76</v>
      </c>
      <c r="K700" s="192" t="s">
        <v>752</v>
      </c>
      <c r="L700" s="193" t="s">
        <v>396</v>
      </c>
      <c r="M700" s="193" t="s">
        <v>309</v>
      </c>
      <c r="N700" s="193"/>
      <c r="O700" s="193" t="s">
        <v>737</v>
      </c>
      <c r="P700" s="193" t="s">
        <v>381</v>
      </c>
      <c r="Q700" s="193" t="s">
        <v>295</v>
      </c>
      <c r="R700" s="192" t="s">
        <v>379</v>
      </c>
      <c r="S700" s="181" t="s">
        <v>737</v>
      </c>
      <c r="T700" s="181" t="s">
        <v>381</v>
      </c>
      <c r="U700" s="181" t="s">
        <v>295</v>
      </c>
      <c r="V700" s="199" t="s">
        <v>379</v>
      </c>
    </row>
    <row r="701" spans="1:22" outlineLevel="1">
      <c r="A701" s="199" t="s">
        <v>274</v>
      </c>
      <c r="B701" s="181" t="s">
        <v>748</v>
      </c>
      <c r="C701" s="190">
        <v>43646</v>
      </c>
      <c r="D701" s="199" t="s">
        <v>750</v>
      </c>
      <c r="E701" s="182" t="s">
        <v>1306</v>
      </c>
      <c r="F701" s="183">
        <v>76330</v>
      </c>
      <c r="G701" s="184">
        <v>0.6</v>
      </c>
      <c r="H701" s="181">
        <v>0.8</v>
      </c>
      <c r="I701" s="181" t="s">
        <v>292</v>
      </c>
      <c r="J701" s="191">
        <v>0.76</v>
      </c>
      <c r="K701" s="192" t="s">
        <v>752</v>
      </c>
      <c r="L701" s="193" t="s">
        <v>396</v>
      </c>
      <c r="M701" s="193" t="s">
        <v>309</v>
      </c>
      <c r="N701" s="193"/>
      <c r="O701" s="193" t="s">
        <v>737</v>
      </c>
      <c r="P701" s="193" t="s">
        <v>381</v>
      </c>
      <c r="Q701" s="193" t="s">
        <v>295</v>
      </c>
      <c r="R701" s="192" t="s">
        <v>379</v>
      </c>
      <c r="S701" s="181" t="s">
        <v>737</v>
      </c>
      <c r="T701" s="181" t="s">
        <v>381</v>
      </c>
      <c r="U701" s="181" t="s">
        <v>295</v>
      </c>
      <c r="V701" s="199" t="s">
        <v>379</v>
      </c>
    </row>
    <row r="702" spans="1:22" outlineLevel="1">
      <c r="A702" s="199" t="s">
        <v>274</v>
      </c>
      <c r="B702" s="181" t="s">
        <v>748</v>
      </c>
      <c r="C702" s="190">
        <v>43646</v>
      </c>
      <c r="D702" s="199" t="s">
        <v>750</v>
      </c>
      <c r="E702" s="182" t="s">
        <v>1381</v>
      </c>
      <c r="F702" s="183">
        <v>76330</v>
      </c>
      <c r="G702" s="184">
        <v>190.57</v>
      </c>
      <c r="H702" s="181">
        <v>253</v>
      </c>
      <c r="I702" s="181" t="s">
        <v>292</v>
      </c>
      <c r="J702" s="191">
        <v>240.54</v>
      </c>
      <c r="K702" s="192" t="s">
        <v>752</v>
      </c>
      <c r="L702" s="193" t="s">
        <v>396</v>
      </c>
      <c r="M702" s="193" t="s">
        <v>309</v>
      </c>
      <c r="N702" s="193"/>
      <c r="O702" s="193" t="s">
        <v>737</v>
      </c>
      <c r="P702" s="193" t="s">
        <v>381</v>
      </c>
      <c r="Q702" s="193" t="s">
        <v>295</v>
      </c>
      <c r="R702" s="192" t="s">
        <v>379</v>
      </c>
      <c r="S702" s="181" t="s">
        <v>737</v>
      </c>
      <c r="T702" s="181" t="s">
        <v>381</v>
      </c>
      <c r="U702" s="181" t="s">
        <v>295</v>
      </c>
      <c r="V702" s="199" t="s">
        <v>379</v>
      </c>
    </row>
    <row r="703" spans="1:22" outlineLevel="1">
      <c r="A703" s="199" t="s">
        <v>274</v>
      </c>
      <c r="B703" s="181" t="s">
        <v>748</v>
      </c>
      <c r="C703" s="190">
        <v>43646</v>
      </c>
      <c r="D703" s="199" t="s">
        <v>750</v>
      </c>
      <c r="E703" s="182" t="s">
        <v>1382</v>
      </c>
      <c r="F703" s="183">
        <v>76330</v>
      </c>
      <c r="G703" s="184">
        <v>138.59</v>
      </c>
      <c r="H703" s="181">
        <v>184</v>
      </c>
      <c r="I703" s="181" t="s">
        <v>292</v>
      </c>
      <c r="J703" s="191">
        <v>174.93</v>
      </c>
      <c r="K703" s="192" t="s">
        <v>752</v>
      </c>
      <c r="L703" s="193" t="s">
        <v>396</v>
      </c>
      <c r="M703" s="193" t="s">
        <v>309</v>
      </c>
      <c r="N703" s="193"/>
      <c r="O703" s="193" t="s">
        <v>737</v>
      </c>
      <c r="P703" s="193" t="s">
        <v>381</v>
      </c>
      <c r="Q703" s="193" t="s">
        <v>295</v>
      </c>
      <c r="R703" s="192" t="s">
        <v>379</v>
      </c>
      <c r="S703" s="181" t="s">
        <v>737</v>
      </c>
      <c r="T703" s="181" t="s">
        <v>381</v>
      </c>
      <c r="U703" s="181" t="s">
        <v>295</v>
      </c>
      <c r="V703" s="199" t="s">
        <v>379</v>
      </c>
    </row>
    <row r="704" spans="1:22" outlineLevel="1">
      <c r="A704" s="199" t="s">
        <v>274</v>
      </c>
      <c r="B704" s="181" t="s">
        <v>748</v>
      </c>
      <c r="C704" s="190">
        <v>43646</v>
      </c>
      <c r="D704" s="199" t="s">
        <v>750</v>
      </c>
      <c r="E704" s="182" t="s">
        <v>1383</v>
      </c>
      <c r="F704" s="183">
        <v>76330</v>
      </c>
      <c r="G704" s="184">
        <v>121.27</v>
      </c>
      <c r="H704" s="181">
        <v>161</v>
      </c>
      <c r="I704" s="181" t="s">
        <v>292</v>
      </c>
      <c r="J704" s="191">
        <v>153.07</v>
      </c>
      <c r="K704" s="192" t="s">
        <v>752</v>
      </c>
      <c r="L704" s="193" t="s">
        <v>396</v>
      </c>
      <c r="M704" s="193" t="s">
        <v>309</v>
      </c>
      <c r="N704" s="193"/>
      <c r="O704" s="193" t="s">
        <v>737</v>
      </c>
      <c r="P704" s="193" t="s">
        <v>381</v>
      </c>
      <c r="Q704" s="193" t="s">
        <v>295</v>
      </c>
      <c r="R704" s="192" t="s">
        <v>379</v>
      </c>
      <c r="S704" s="181" t="s">
        <v>737</v>
      </c>
      <c r="T704" s="181" t="s">
        <v>381</v>
      </c>
      <c r="U704" s="181" t="s">
        <v>295</v>
      </c>
      <c r="V704" s="199" t="s">
        <v>379</v>
      </c>
    </row>
    <row r="705" spans="1:22" outlineLevel="1">
      <c r="A705" s="199" t="s">
        <v>274</v>
      </c>
      <c r="B705" s="181" t="s">
        <v>748</v>
      </c>
      <c r="C705" s="190">
        <v>43646</v>
      </c>
      <c r="D705" s="199" t="s">
        <v>750</v>
      </c>
      <c r="E705" s="182" t="s">
        <v>1368</v>
      </c>
      <c r="F705" s="183">
        <v>76330</v>
      </c>
      <c r="G705" s="184">
        <v>3.77</v>
      </c>
      <c r="H705" s="181">
        <v>5</v>
      </c>
      <c r="I705" s="181" t="s">
        <v>292</v>
      </c>
      <c r="J705" s="191">
        <v>4.76</v>
      </c>
      <c r="K705" s="192" t="s">
        <v>752</v>
      </c>
      <c r="L705" s="193" t="s">
        <v>396</v>
      </c>
      <c r="M705" s="193" t="s">
        <v>309</v>
      </c>
      <c r="N705" s="193"/>
      <c r="O705" s="193" t="s">
        <v>737</v>
      </c>
      <c r="P705" s="193" t="s">
        <v>381</v>
      </c>
      <c r="Q705" s="193" t="s">
        <v>295</v>
      </c>
      <c r="R705" s="192" t="s">
        <v>379</v>
      </c>
      <c r="S705" s="181" t="s">
        <v>737</v>
      </c>
      <c r="T705" s="181" t="s">
        <v>381</v>
      </c>
      <c r="U705" s="181" t="s">
        <v>295</v>
      </c>
      <c r="V705" s="199" t="s">
        <v>379</v>
      </c>
    </row>
    <row r="706" spans="1:22" outlineLevel="1">
      <c r="A706" s="199" t="s">
        <v>274</v>
      </c>
      <c r="B706" s="181" t="s">
        <v>748</v>
      </c>
      <c r="C706" s="190">
        <v>43646</v>
      </c>
      <c r="D706" s="199" t="s">
        <v>750</v>
      </c>
      <c r="E706" s="182" t="s">
        <v>1306</v>
      </c>
      <c r="F706" s="183">
        <v>76330</v>
      </c>
      <c r="G706" s="184">
        <v>0.6</v>
      </c>
      <c r="H706" s="181">
        <v>0.8</v>
      </c>
      <c r="I706" s="181" t="s">
        <v>292</v>
      </c>
      <c r="J706" s="191">
        <v>0.76</v>
      </c>
      <c r="K706" s="192" t="s">
        <v>752</v>
      </c>
      <c r="L706" s="193" t="s">
        <v>396</v>
      </c>
      <c r="M706" s="193" t="s">
        <v>309</v>
      </c>
      <c r="N706" s="193"/>
      <c r="O706" s="193" t="s">
        <v>737</v>
      </c>
      <c r="P706" s="193" t="s">
        <v>381</v>
      </c>
      <c r="Q706" s="193" t="s">
        <v>295</v>
      </c>
      <c r="R706" s="192" t="s">
        <v>379</v>
      </c>
      <c r="S706" s="181" t="s">
        <v>737</v>
      </c>
      <c r="T706" s="181" t="s">
        <v>381</v>
      </c>
      <c r="U706" s="181" t="s">
        <v>295</v>
      </c>
      <c r="V706" s="199" t="s">
        <v>379</v>
      </c>
    </row>
    <row r="707" spans="1:22" outlineLevel="1">
      <c r="A707" s="199" t="s">
        <v>274</v>
      </c>
      <c r="B707" s="181" t="s">
        <v>748</v>
      </c>
      <c r="C707" s="190">
        <v>43646</v>
      </c>
      <c r="D707" s="199" t="s">
        <v>750</v>
      </c>
      <c r="E707" s="182" t="s">
        <v>1384</v>
      </c>
      <c r="F707" s="183">
        <v>76330</v>
      </c>
      <c r="G707" s="184">
        <v>190.57</v>
      </c>
      <c r="H707" s="181">
        <v>253</v>
      </c>
      <c r="I707" s="181" t="s">
        <v>292</v>
      </c>
      <c r="J707" s="191">
        <v>240.54</v>
      </c>
      <c r="K707" s="192" t="s">
        <v>752</v>
      </c>
      <c r="L707" s="193" t="s">
        <v>396</v>
      </c>
      <c r="M707" s="193" t="s">
        <v>309</v>
      </c>
      <c r="N707" s="193"/>
      <c r="O707" s="193" t="s">
        <v>737</v>
      </c>
      <c r="P707" s="193" t="s">
        <v>381</v>
      </c>
      <c r="Q707" s="193" t="s">
        <v>295</v>
      </c>
      <c r="R707" s="192" t="s">
        <v>379</v>
      </c>
      <c r="S707" s="181" t="s">
        <v>737</v>
      </c>
      <c r="T707" s="181" t="s">
        <v>381</v>
      </c>
      <c r="U707" s="181" t="s">
        <v>295</v>
      </c>
      <c r="V707" s="199" t="s">
        <v>379</v>
      </c>
    </row>
    <row r="708" spans="1:22" outlineLevel="1">
      <c r="A708" s="199" t="s">
        <v>274</v>
      </c>
      <c r="B708" s="181" t="s">
        <v>748</v>
      </c>
      <c r="C708" s="190">
        <v>43646</v>
      </c>
      <c r="D708" s="199" t="s">
        <v>750</v>
      </c>
      <c r="E708" s="182" t="s">
        <v>1385</v>
      </c>
      <c r="F708" s="183">
        <v>76330</v>
      </c>
      <c r="G708" s="184">
        <v>138.59</v>
      </c>
      <c r="H708" s="181">
        <v>184</v>
      </c>
      <c r="I708" s="181" t="s">
        <v>292</v>
      </c>
      <c r="J708" s="191">
        <v>174.93</v>
      </c>
      <c r="K708" s="192" t="s">
        <v>752</v>
      </c>
      <c r="L708" s="193" t="s">
        <v>396</v>
      </c>
      <c r="M708" s="193" t="s">
        <v>309</v>
      </c>
      <c r="N708" s="193"/>
      <c r="O708" s="193" t="s">
        <v>737</v>
      </c>
      <c r="P708" s="193" t="s">
        <v>381</v>
      </c>
      <c r="Q708" s="193" t="s">
        <v>295</v>
      </c>
      <c r="R708" s="192" t="s">
        <v>379</v>
      </c>
      <c r="S708" s="181" t="s">
        <v>737</v>
      </c>
      <c r="T708" s="181" t="s">
        <v>381</v>
      </c>
      <c r="U708" s="181" t="s">
        <v>295</v>
      </c>
      <c r="V708" s="199" t="s">
        <v>379</v>
      </c>
    </row>
    <row r="709" spans="1:22" outlineLevel="1">
      <c r="A709" s="199" t="s">
        <v>274</v>
      </c>
      <c r="B709" s="181" t="s">
        <v>748</v>
      </c>
      <c r="C709" s="190">
        <v>43646</v>
      </c>
      <c r="D709" s="199" t="s">
        <v>750</v>
      </c>
      <c r="E709" s="182" t="s">
        <v>1386</v>
      </c>
      <c r="F709" s="183">
        <v>76330</v>
      </c>
      <c r="G709" s="184">
        <v>121.27</v>
      </c>
      <c r="H709" s="181">
        <v>161</v>
      </c>
      <c r="I709" s="181" t="s">
        <v>292</v>
      </c>
      <c r="J709" s="191">
        <v>153.07</v>
      </c>
      <c r="K709" s="192" t="s">
        <v>752</v>
      </c>
      <c r="L709" s="193" t="s">
        <v>396</v>
      </c>
      <c r="M709" s="193" t="s">
        <v>309</v>
      </c>
      <c r="N709" s="193"/>
      <c r="O709" s="193" t="s">
        <v>737</v>
      </c>
      <c r="P709" s="193" t="s">
        <v>381</v>
      </c>
      <c r="Q709" s="193" t="s">
        <v>295</v>
      </c>
      <c r="R709" s="192" t="s">
        <v>379</v>
      </c>
      <c r="S709" s="181" t="s">
        <v>737</v>
      </c>
      <c r="T709" s="181" t="s">
        <v>381</v>
      </c>
      <c r="U709" s="181" t="s">
        <v>295</v>
      </c>
      <c r="V709" s="199" t="s">
        <v>379</v>
      </c>
    </row>
    <row r="710" spans="1:22" outlineLevel="1">
      <c r="A710" s="199" t="s">
        <v>274</v>
      </c>
      <c r="B710" s="181" t="s">
        <v>748</v>
      </c>
      <c r="C710" s="190">
        <v>43646</v>
      </c>
      <c r="D710" s="199" t="s">
        <v>750</v>
      </c>
      <c r="E710" s="182" t="s">
        <v>1368</v>
      </c>
      <c r="F710" s="183">
        <v>76330</v>
      </c>
      <c r="G710" s="184">
        <v>3.77</v>
      </c>
      <c r="H710" s="181">
        <v>5</v>
      </c>
      <c r="I710" s="181" t="s">
        <v>292</v>
      </c>
      <c r="J710" s="191">
        <v>4.76</v>
      </c>
      <c r="K710" s="192" t="s">
        <v>752</v>
      </c>
      <c r="L710" s="193" t="s">
        <v>396</v>
      </c>
      <c r="M710" s="193" t="s">
        <v>309</v>
      </c>
      <c r="N710" s="193"/>
      <c r="O710" s="193" t="s">
        <v>737</v>
      </c>
      <c r="P710" s="193" t="s">
        <v>381</v>
      </c>
      <c r="Q710" s="193" t="s">
        <v>295</v>
      </c>
      <c r="R710" s="192" t="s">
        <v>379</v>
      </c>
      <c r="S710" s="181" t="s">
        <v>737</v>
      </c>
      <c r="T710" s="181" t="s">
        <v>381</v>
      </c>
      <c r="U710" s="181" t="s">
        <v>295</v>
      </c>
      <c r="V710" s="199" t="s">
        <v>379</v>
      </c>
    </row>
    <row r="711" spans="1:22" outlineLevel="1">
      <c r="A711" s="199" t="s">
        <v>274</v>
      </c>
      <c r="B711" s="181" t="s">
        <v>748</v>
      </c>
      <c r="C711" s="190">
        <v>43646</v>
      </c>
      <c r="D711" s="199" t="s">
        <v>750</v>
      </c>
      <c r="E711" s="182" t="s">
        <v>1306</v>
      </c>
      <c r="F711" s="183">
        <v>76330</v>
      </c>
      <c r="G711" s="184">
        <v>0.6</v>
      </c>
      <c r="H711" s="181">
        <v>0.8</v>
      </c>
      <c r="I711" s="181" t="s">
        <v>292</v>
      </c>
      <c r="J711" s="191">
        <v>0.76</v>
      </c>
      <c r="K711" s="192" t="s">
        <v>752</v>
      </c>
      <c r="L711" s="193" t="s">
        <v>396</v>
      </c>
      <c r="M711" s="193" t="s">
        <v>309</v>
      </c>
      <c r="N711" s="193"/>
      <c r="O711" s="193" t="s">
        <v>737</v>
      </c>
      <c r="P711" s="193" t="s">
        <v>381</v>
      </c>
      <c r="Q711" s="193" t="s">
        <v>295</v>
      </c>
      <c r="R711" s="192" t="s">
        <v>379</v>
      </c>
      <c r="S711" s="181" t="s">
        <v>737</v>
      </c>
      <c r="T711" s="181" t="s">
        <v>381</v>
      </c>
      <c r="U711" s="181" t="s">
        <v>295</v>
      </c>
      <c r="V711" s="199" t="s">
        <v>379</v>
      </c>
    </row>
    <row r="712" spans="1:22" outlineLevel="1">
      <c r="A712" s="199" t="s">
        <v>274</v>
      </c>
      <c r="B712" s="181" t="s">
        <v>748</v>
      </c>
      <c r="C712" s="190">
        <v>43646</v>
      </c>
      <c r="D712" s="199" t="s">
        <v>750</v>
      </c>
      <c r="E712" s="182" t="s">
        <v>1387</v>
      </c>
      <c r="F712" s="183">
        <v>76330</v>
      </c>
      <c r="G712" s="184">
        <v>602.58000000000004</v>
      </c>
      <c r="H712" s="181">
        <v>800</v>
      </c>
      <c r="I712" s="181" t="s">
        <v>292</v>
      </c>
      <c r="J712" s="191">
        <v>760.6</v>
      </c>
      <c r="K712" s="192" t="s">
        <v>752</v>
      </c>
      <c r="L712" s="193" t="s">
        <v>396</v>
      </c>
      <c r="M712" s="193" t="s">
        <v>309</v>
      </c>
      <c r="N712" s="193"/>
      <c r="O712" s="193" t="s">
        <v>737</v>
      </c>
      <c r="P712" s="193" t="s">
        <v>381</v>
      </c>
      <c r="Q712" s="193" t="s">
        <v>295</v>
      </c>
      <c r="R712" s="192" t="s">
        <v>379</v>
      </c>
      <c r="S712" s="181" t="s">
        <v>737</v>
      </c>
      <c r="T712" s="181" t="s">
        <v>381</v>
      </c>
      <c r="U712" s="181" t="s">
        <v>295</v>
      </c>
      <c r="V712" s="199" t="s">
        <v>379</v>
      </c>
    </row>
    <row r="713" spans="1:22" outlineLevel="1">
      <c r="A713" s="199" t="s">
        <v>274</v>
      </c>
      <c r="B713" s="181" t="s">
        <v>748</v>
      </c>
      <c r="C713" s="190">
        <v>43646</v>
      </c>
      <c r="D713" s="199" t="s">
        <v>750</v>
      </c>
      <c r="E713" s="182" t="s">
        <v>1388</v>
      </c>
      <c r="F713" s="183">
        <v>76330</v>
      </c>
      <c r="G713" s="184">
        <v>60.26</v>
      </c>
      <c r="H713" s="181">
        <v>80</v>
      </c>
      <c r="I713" s="181" t="s">
        <v>292</v>
      </c>
      <c r="J713" s="191">
        <v>76.06</v>
      </c>
      <c r="K713" s="192" t="s">
        <v>752</v>
      </c>
      <c r="L713" s="193" t="s">
        <v>396</v>
      </c>
      <c r="M713" s="193" t="s">
        <v>309</v>
      </c>
      <c r="N713" s="193"/>
      <c r="O713" s="193" t="s">
        <v>737</v>
      </c>
      <c r="P713" s="193" t="s">
        <v>381</v>
      </c>
      <c r="Q713" s="193" t="s">
        <v>295</v>
      </c>
      <c r="R713" s="192" t="s">
        <v>379</v>
      </c>
      <c r="S713" s="181" t="s">
        <v>737</v>
      </c>
      <c r="T713" s="181" t="s">
        <v>381</v>
      </c>
      <c r="U713" s="181" t="s">
        <v>295</v>
      </c>
      <c r="V713" s="199" t="s">
        <v>379</v>
      </c>
    </row>
    <row r="714" spans="1:22" outlineLevel="1">
      <c r="A714" s="199" t="s">
        <v>274</v>
      </c>
      <c r="B714" s="181" t="s">
        <v>748</v>
      </c>
      <c r="C714" s="190">
        <v>43646</v>
      </c>
      <c r="D714" s="199" t="s">
        <v>750</v>
      </c>
      <c r="E714" s="182" t="s">
        <v>1389</v>
      </c>
      <c r="F714" s="183">
        <v>76330</v>
      </c>
      <c r="G714" s="184">
        <v>22.6</v>
      </c>
      <c r="H714" s="181">
        <v>30</v>
      </c>
      <c r="I714" s="181" t="s">
        <v>292</v>
      </c>
      <c r="J714" s="191">
        <v>28.53</v>
      </c>
      <c r="K714" s="192" t="s">
        <v>752</v>
      </c>
      <c r="L714" s="193" t="s">
        <v>396</v>
      </c>
      <c r="M714" s="193" t="s">
        <v>309</v>
      </c>
      <c r="N714" s="193"/>
      <c r="O714" s="193" t="s">
        <v>737</v>
      </c>
      <c r="P714" s="193" t="s">
        <v>381</v>
      </c>
      <c r="Q714" s="193" t="s">
        <v>295</v>
      </c>
      <c r="R714" s="192" t="s">
        <v>379</v>
      </c>
      <c r="S714" s="181" t="s">
        <v>737</v>
      </c>
      <c r="T714" s="181" t="s">
        <v>381</v>
      </c>
      <c r="U714" s="181" t="s">
        <v>295</v>
      </c>
      <c r="V714" s="199" t="s">
        <v>379</v>
      </c>
    </row>
    <row r="715" spans="1:22" outlineLevel="1">
      <c r="A715" s="199" t="s">
        <v>274</v>
      </c>
      <c r="B715" s="181" t="s">
        <v>748</v>
      </c>
      <c r="C715" s="190">
        <v>43646</v>
      </c>
      <c r="D715" s="199" t="s">
        <v>750</v>
      </c>
      <c r="E715" s="182" t="s">
        <v>1390</v>
      </c>
      <c r="F715" s="183">
        <v>76330</v>
      </c>
      <c r="G715" s="184">
        <v>15.06</v>
      </c>
      <c r="H715" s="181">
        <v>20</v>
      </c>
      <c r="I715" s="181" t="s">
        <v>292</v>
      </c>
      <c r="J715" s="191">
        <v>19.010000000000002</v>
      </c>
      <c r="K715" s="192" t="s">
        <v>752</v>
      </c>
      <c r="L715" s="193" t="s">
        <v>396</v>
      </c>
      <c r="M715" s="193" t="s">
        <v>309</v>
      </c>
      <c r="N715" s="193"/>
      <c r="O715" s="193" t="s">
        <v>737</v>
      </c>
      <c r="P715" s="193" t="s">
        <v>381</v>
      </c>
      <c r="Q715" s="193" t="s">
        <v>295</v>
      </c>
      <c r="R715" s="192" t="s">
        <v>379</v>
      </c>
      <c r="S715" s="181" t="s">
        <v>737</v>
      </c>
      <c r="T715" s="181" t="s">
        <v>381</v>
      </c>
      <c r="U715" s="181" t="s">
        <v>295</v>
      </c>
      <c r="V715" s="199" t="s">
        <v>379</v>
      </c>
    </row>
    <row r="716" spans="1:22" outlineLevel="1">
      <c r="A716" s="199" t="s">
        <v>274</v>
      </c>
      <c r="B716" s="181" t="s">
        <v>748</v>
      </c>
      <c r="C716" s="190">
        <v>43646</v>
      </c>
      <c r="D716" s="199" t="s">
        <v>750</v>
      </c>
      <c r="E716" s="182" t="s">
        <v>1391</v>
      </c>
      <c r="F716" s="183">
        <v>76330</v>
      </c>
      <c r="G716" s="184">
        <v>263.63</v>
      </c>
      <c r="H716" s="181">
        <v>350</v>
      </c>
      <c r="I716" s="181" t="s">
        <v>292</v>
      </c>
      <c r="J716" s="191">
        <v>332.76</v>
      </c>
      <c r="K716" s="192" t="s">
        <v>752</v>
      </c>
      <c r="L716" s="193" t="s">
        <v>396</v>
      </c>
      <c r="M716" s="193" t="s">
        <v>309</v>
      </c>
      <c r="N716" s="193"/>
      <c r="O716" s="193" t="s">
        <v>737</v>
      </c>
      <c r="P716" s="193" t="s">
        <v>381</v>
      </c>
      <c r="Q716" s="193" t="s">
        <v>295</v>
      </c>
      <c r="R716" s="192" t="s">
        <v>379</v>
      </c>
      <c r="S716" s="181" t="s">
        <v>737</v>
      </c>
      <c r="T716" s="181" t="s">
        <v>381</v>
      </c>
      <c r="U716" s="181" t="s">
        <v>295</v>
      </c>
      <c r="V716" s="199" t="s">
        <v>379</v>
      </c>
    </row>
    <row r="717" spans="1:22" outlineLevel="1">
      <c r="A717" s="199" t="s">
        <v>274</v>
      </c>
      <c r="B717" s="181" t="s">
        <v>748</v>
      </c>
      <c r="C717" s="190">
        <v>43646</v>
      </c>
      <c r="D717" s="199" t="s">
        <v>750</v>
      </c>
      <c r="E717" s="182" t="s">
        <v>1392</v>
      </c>
      <c r="F717" s="183">
        <v>76330</v>
      </c>
      <c r="G717" s="184">
        <v>195.09</v>
      </c>
      <c r="H717" s="181">
        <v>259</v>
      </c>
      <c r="I717" s="181" t="s">
        <v>292</v>
      </c>
      <c r="J717" s="191">
        <v>246.25</v>
      </c>
      <c r="K717" s="192" t="s">
        <v>752</v>
      </c>
      <c r="L717" s="193" t="s">
        <v>396</v>
      </c>
      <c r="M717" s="193" t="s">
        <v>309</v>
      </c>
      <c r="N717" s="193"/>
      <c r="O717" s="193" t="s">
        <v>737</v>
      </c>
      <c r="P717" s="193" t="s">
        <v>381</v>
      </c>
      <c r="Q717" s="193" t="s">
        <v>295</v>
      </c>
      <c r="R717" s="192" t="s">
        <v>379</v>
      </c>
      <c r="S717" s="181" t="s">
        <v>737</v>
      </c>
      <c r="T717" s="181" t="s">
        <v>381</v>
      </c>
      <c r="U717" s="181" t="s">
        <v>295</v>
      </c>
      <c r="V717" s="199" t="s">
        <v>379</v>
      </c>
    </row>
    <row r="718" spans="1:22" outlineLevel="1">
      <c r="A718" s="199" t="s">
        <v>274</v>
      </c>
      <c r="B718" s="181" t="s">
        <v>748</v>
      </c>
      <c r="C718" s="190">
        <v>43646</v>
      </c>
      <c r="D718" s="199" t="s">
        <v>750</v>
      </c>
      <c r="E718" s="182" t="s">
        <v>1393</v>
      </c>
      <c r="F718" s="183">
        <v>76330</v>
      </c>
      <c r="G718" s="184">
        <v>140.1</v>
      </c>
      <c r="H718" s="181">
        <v>186</v>
      </c>
      <c r="I718" s="181" t="s">
        <v>292</v>
      </c>
      <c r="J718" s="191">
        <v>176.84</v>
      </c>
      <c r="K718" s="192" t="s">
        <v>752</v>
      </c>
      <c r="L718" s="193" t="s">
        <v>396</v>
      </c>
      <c r="M718" s="193" t="s">
        <v>309</v>
      </c>
      <c r="N718" s="193"/>
      <c r="O718" s="193" t="s">
        <v>737</v>
      </c>
      <c r="P718" s="193" t="s">
        <v>381</v>
      </c>
      <c r="Q718" s="193" t="s">
        <v>295</v>
      </c>
      <c r="R718" s="192" t="s">
        <v>379</v>
      </c>
      <c r="S718" s="181" t="s">
        <v>737</v>
      </c>
      <c r="T718" s="181" t="s">
        <v>381</v>
      </c>
      <c r="U718" s="181" t="s">
        <v>295</v>
      </c>
      <c r="V718" s="199" t="s">
        <v>379</v>
      </c>
    </row>
    <row r="719" spans="1:22" outlineLevel="1">
      <c r="A719" s="199" t="s">
        <v>274</v>
      </c>
      <c r="B719" s="181" t="s">
        <v>748</v>
      </c>
      <c r="C719" s="190">
        <v>43646</v>
      </c>
      <c r="D719" s="199" t="s">
        <v>750</v>
      </c>
      <c r="E719" s="182" t="s">
        <v>1394</v>
      </c>
      <c r="F719" s="183">
        <v>76330</v>
      </c>
      <c r="G719" s="184">
        <v>451.94</v>
      </c>
      <c r="H719" s="181">
        <v>600</v>
      </c>
      <c r="I719" s="181" t="s">
        <v>292</v>
      </c>
      <c r="J719" s="191">
        <v>570.45000000000005</v>
      </c>
      <c r="K719" s="192" t="s">
        <v>752</v>
      </c>
      <c r="L719" s="193" t="s">
        <v>396</v>
      </c>
      <c r="M719" s="193" t="s">
        <v>309</v>
      </c>
      <c r="N719" s="193"/>
      <c r="O719" s="193" t="s">
        <v>737</v>
      </c>
      <c r="P719" s="193" t="s">
        <v>381</v>
      </c>
      <c r="Q719" s="193" t="s">
        <v>295</v>
      </c>
      <c r="R719" s="192" t="s">
        <v>379</v>
      </c>
      <c r="S719" s="181" t="s">
        <v>737</v>
      </c>
      <c r="T719" s="181" t="s">
        <v>381</v>
      </c>
      <c r="U719" s="181" t="s">
        <v>295</v>
      </c>
      <c r="V719" s="199" t="s">
        <v>379</v>
      </c>
    </row>
    <row r="720" spans="1:22" outlineLevel="1">
      <c r="A720" s="199" t="s">
        <v>274</v>
      </c>
      <c r="B720" s="181" t="s">
        <v>748</v>
      </c>
      <c r="C720" s="190">
        <v>43646</v>
      </c>
      <c r="D720" s="199" t="s">
        <v>750</v>
      </c>
      <c r="E720" s="182" t="s">
        <v>1395</v>
      </c>
      <c r="F720" s="183">
        <v>76330</v>
      </c>
      <c r="G720" s="184">
        <v>125.04</v>
      </c>
      <c r="H720" s="181">
        <v>166</v>
      </c>
      <c r="I720" s="181" t="s">
        <v>292</v>
      </c>
      <c r="J720" s="191">
        <v>157.83000000000001</v>
      </c>
      <c r="K720" s="192" t="s">
        <v>752</v>
      </c>
      <c r="L720" s="193" t="s">
        <v>396</v>
      </c>
      <c r="M720" s="193" t="s">
        <v>309</v>
      </c>
      <c r="N720" s="193"/>
      <c r="O720" s="193" t="s">
        <v>737</v>
      </c>
      <c r="P720" s="193" t="s">
        <v>381</v>
      </c>
      <c r="Q720" s="193" t="s">
        <v>295</v>
      </c>
      <c r="R720" s="192" t="s">
        <v>379</v>
      </c>
      <c r="S720" s="181" t="s">
        <v>737</v>
      </c>
      <c r="T720" s="181" t="s">
        <v>381</v>
      </c>
      <c r="U720" s="181" t="s">
        <v>295</v>
      </c>
      <c r="V720" s="199" t="s">
        <v>379</v>
      </c>
    </row>
    <row r="721" spans="1:22" outlineLevel="1">
      <c r="A721" s="199" t="s">
        <v>274</v>
      </c>
      <c r="B721" s="181" t="s">
        <v>748</v>
      </c>
      <c r="C721" s="190">
        <v>43646</v>
      </c>
      <c r="D721" s="199" t="s">
        <v>750</v>
      </c>
      <c r="E721" s="182" t="s">
        <v>1396</v>
      </c>
      <c r="F721" s="183">
        <v>76330</v>
      </c>
      <c r="G721" s="184">
        <v>75.319999999999993</v>
      </c>
      <c r="H721" s="181">
        <v>100</v>
      </c>
      <c r="I721" s="181" t="s">
        <v>292</v>
      </c>
      <c r="J721" s="191">
        <v>95.07</v>
      </c>
      <c r="K721" s="192" t="s">
        <v>752</v>
      </c>
      <c r="L721" s="193" t="s">
        <v>396</v>
      </c>
      <c r="M721" s="193" t="s">
        <v>309</v>
      </c>
      <c r="N721" s="193"/>
      <c r="O721" s="193" t="s">
        <v>737</v>
      </c>
      <c r="P721" s="193" t="s">
        <v>381</v>
      </c>
      <c r="Q721" s="193" t="s">
        <v>295</v>
      </c>
      <c r="R721" s="192" t="s">
        <v>379</v>
      </c>
      <c r="S721" s="181" t="s">
        <v>737</v>
      </c>
      <c r="T721" s="181" t="s">
        <v>381</v>
      </c>
      <c r="U721" s="181" t="s">
        <v>295</v>
      </c>
      <c r="V721" s="199" t="s">
        <v>379</v>
      </c>
    </row>
    <row r="722" spans="1:22" outlineLevel="1">
      <c r="A722" s="199" t="s">
        <v>274</v>
      </c>
      <c r="B722" s="181" t="s">
        <v>748</v>
      </c>
      <c r="C722" s="190">
        <v>43646</v>
      </c>
      <c r="D722" s="199" t="s">
        <v>750</v>
      </c>
      <c r="E722" s="182" t="s">
        <v>1396</v>
      </c>
      <c r="F722" s="183">
        <v>76330</v>
      </c>
      <c r="G722" s="184">
        <v>75.319999999999993</v>
      </c>
      <c r="H722" s="181">
        <v>100</v>
      </c>
      <c r="I722" s="181" t="s">
        <v>292</v>
      </c>
      <c r="J722" s="191">
        <v>95.07</v>
      </c>
      <c r="K722" s="192" t="s">
        <v>752</v>
      </c>
      <c r="L722" s="193" t="s">
        <v>396</v>
      </c>
      <c r="M722" s="193" t="s">
        <v>309</v>
      </c>
      <c r="N722" s="193"/>
      <c r="O722" s="193" t="s">
        <v>737</v>
      </c>
      <c r="P722" s="193" t="s">
        <v>381</v>
      </c>
      <c r="Q722" s="193" t="s">
        <v>295</v>
      </c>
      <c r="R722" s="192" t="s">
        <v>379</v>
      </c>
      <c r="S722" s="181" t="s">
        <v>737</v>
      </c>
      <c r="T722" s="181" t="s">
        <v>381</v>
      </c>
      <c r="U722" s="181" t="s">
        <v>295</v>
      </c>
      <c r="V722" s="199" t="s">
        <v>379</v>
      </c>
    </row>
    <row r="723" spans="1:22" outlineLevel="1">
      <c r="A723" s="199" t="s">
        <v>274</v>
      </c>
      <c r="B723" s="181" t="s">
        <v>748</v>
      </c>
      <c r="C723" s="190">
        <v>43646</v>
      </c>
      <c r="D723" s="199" t="s">
        <v>750</v>
      </c>
      <c r="E723" s="182" t="s">
        <v>1396</v>
      </c>
      <c r="F723" s="183">
        <v>76330</v>
      </c>
      <c r="G723" s="184">
        <v>75.319999999999993</v>
      </c>
      <c r="H723" s="181">
        <v>100</v>
      </c>
      <c r="I723" s="181" t="s">
        <v>292</v>
      </c>
      <c r="J723" s="191">
        <v>95.07</v>
      </c>
      <c r="K723" s="192" t="s">
        <v>752</v>
      </c>
      <c r="L723" s="193" t="s">
        <v>396</v>
      </c>
      <c r="M723" s="193" t="s">
        <v>309</v>
      </c>
      <c r="N723" s="193"/>
      <c r="O723" s="193" t="s">
        <v>737</v>
      </c>
      <c r="P723" s="193" t="s">
        <v>381</v>
      </c>
      <c r="Q723" s="193" t="s">
        <v>295</v>
      </c>
      <c r="R723" s="192" t="s">
        <v>379</v>
      </c>
      <c r="S723" s="181" t="s">
        <v>737</v>
      </c>
      <c r="T723" s="181" t="s">
        <v>381</v>
      </c>
      <c r="U723" s="181" t="s">
        <v>295</v>
      </c>
      <c r="V723" s="199" t="s">
        <v>379</v>
      </c>
    </row>
    <row r="724" spans="1:22" outlineLevel="1">
      <c r="A724" s="199" t="s">
        <v>274</v>
      </c>
      <c r="B724" s="181" t="s">
        <v>748</v>
      </c>
      <c r="C724" s="190">
        <v>43646</v>
      </c>
      <c r="D724" s="199" t="s">
        <v>750</v>
      </c>
      <c r="E724" s="182" t="s">
        <v>1397</v>
      </c>
      <c r="F724" s="183">
        <v>76330</v>
      </c>
      <c r="G724" s="184">
        <v>45.19</v>
      </c>
      <c r="H724" s="181">
        <v>60</v>
      </c>
      <c r="I724" s="181" t="s">
        <v>292</v>
      </c>
      <c r="J724" s="191">
        <v>57.04</v>
      </c>
      <c r="K724" s="192" t="s">
        <v>752</v>
      </c>
      <c r="L724" s="193" t="s">
        <v>396</v>
      </c>
      <c r="M724" s="193" t="s">
        <v>309</v>
      </c>
      <c r="N724" s="193"/>
      <c r="O724" s="193" t="s">
        <v>737</v>
      </c>
      <c r="P724" s="193" t="s">
        <v>381</v>
      </c>
      <c r="Q724" s="193" t="s">
        <v>295</v>
      </c>
      <c r="R724" s="192" t="s">
        <v>379</v>
      </c>
      <c r="S724" s="181" t="s">
        <v>737</v>
      </c>
      <c r="T724" s="181" t="s">
        <v>381</v>
      </c>
      <c r="U724" s="181" t="s">
        <v>295</v>
      </c>
      <c r="V724" s="199" t="s">
        <v>379</v>
      </c>
    </row>
    <row r="725" spans="1:22" outlineLevel="1">
      <c r="A725" s="199" t="s">
        <v>274</v>
      </c>
      <c r="B725" s="181" t="s">
        <v>748</v>
      </c>
      <c r="C725" s="190">
        <v>43646</v>
      </c>
      <c r="D725" s="199" t="s">
        <v>750</v>
      </c>
      <c r="E725" s="182" t="s">
        <v>1398</v>
      </c>
      <c r="F725" s="183">
        <v>76330</v>
      </c>
      <c r="G725" s="184">
        <v>15.06</v>
      </c>
      <c r="H725" s="181">
        <v>20</v>
      </c>
      <c r="I725" s="181" t="s">
        <v>292</v>
      </c>
      <c r="J725" s="191">
        <v>19.010000000000002</v>
      </c>
      <c r="K725" s="192" t="s">
        <v>752</v>
      </c>
      <c r="L725" s="193" t="s">
        <v>396</v>
      </c>
      <c r="M725" s="193" t="s">
        <v>309</v>
      </c>
      <c r="N725" s="193"/>
      <c r="O725" s="193" t="s">
        <v>737</v>
      </c>
      <c r="P725" s="193" t="s">
        <v>381</v>
      </c>
      <c r="Q725" s="193" t="s">
        <v>295</v>
      </c>
      <c r="R725" s="192" t="s">
        <v>379</v>
      </c>
      <c r="S725" s="181" t="s">
        <v>737</v>
      </c>
      <c r="T725" s="181" t="s">
        <v>381</v>
      </c>
      <c r="U725" s="181" t="s">
        <v>295</v>
      </c>
      <c r="V725" s="199" t="s">
        <v>379</v>
      </c>
    </row>
    <row r="726" spans="1:22" outlineLevel="1">
      <c r="A726" s="199" t="s">
        <v>274</v>
      </c>
      <c r="B726" s="181" t="s">
        <v>748</v>
      </c>
      <c r="C726" s="190">
        <v>43646</v>
      </c>
      <c r="D726" s="199" t="s">
        <v>750</v>
      </c>
      <c r="E726" s="182" t="s">
        <v>1318</v>
      </c>
      <c r="F726" s="183">
        <v>76330</v>
      </c>
      <c r="G726" s="184">
        <v>15.06</v>
      </c>
      <c r="H726" s="181">
        <v>20</v>
      </c>
      <c r="I726" s="181" t="s">
        <v>292</v>
      </c>
      <c r="J726" s="191">
        <v>19.010000000000002</v>
      </c>
      <c r="K726" s="192" t="s">
        <v>752</v>
      </c>
      <c r="L726" s="193" t="s">
        <v>396</v>
      </c>
      <c r="M726" s="193" t="s">
        <v>309</v>
      </c>
      <c r="N726" s="193"/>
      <c r="O726" s="193" t="s">
        <v>737</v>
      </c>
      <c r="P726" s="193" t="s">
        <v>381</v>
      </c>
      <c r="Q726" s="193" t="s">
        <v>295</v>
      </c>
      <c r="R726" s="192" t="s">
        <v>379</v>
      </c>
      <c r="S726" s="181" t="s">
        <v>737</v>
      </c>
      <c r="T726" s="181" t="s">
        <v>381</v>
      </c>
      <c r="U726" s="181" t="s">
        <v>295</v>
      </c>
      <c r="V726" s="199" t="s">
        <v>379</v>
      </c>
    </row>
    <row r="727" spans="1:22" outlineLevel="1">
      <c r="A727" s="199" t="s">
        <v>274</v>
      </c>
      <c r="B727" s="181" t="s">
        <v>748</v>
      </c>
      <c r="C727" s="190">
        <v>43646</v>
      </c>
      <c r="D727" s="199" t="s">
        <v>750</v>
      </c>
      <c r="E727" s="182" t="s">
        <v>1389</v>
      </c>
      <c r="F727" s="183">
        <v>76330</v>
      </c>
      <c r="G727" s="184">
        <v>22.6</v>
      </c>
      <c r="H727" s="181">
        <v>30</v>
      </c>
      <c r="I727" s="181" t="s">
        <v>292</v>
      </c>
      <c r="J727" s="191">
        <v>28.53</v>
      </c>
      <c r="K727" s="192" t="s">
        <v>752</v>
      </c>
      <c r="L727" s="193" t="s">
        <v>396</v>
      </c>
      <c r="M727" s="193" t="s">
        <v>309</v>
      </c>
      <c r="N727" s="193"/>
      <c r="O727" s="193" t="s">
        <v>737</v>
      </c>
      <c r="P727" s="193" t="s">
        <v>381</v>
      </c>
      <c r="Q727" s="193" t="s">
        <v>295</v>
      </c>
      <c r="R727" s="192" t="s">
        <v>379</v>
      </c>
      <c r="S727" s="181" t="s">
        <v>737</v>
      </c>
      <c r="T727" s="181" t="s">
        <v>381</v>
      </c>
      <c r="U727" s="181" t="s">
        <v>295</v>
      </c>
      <c r="V727" s="199" t="s">
        <v>379</v>
      </c>
    </row>
    <row r="728" spans="1:22" outlineLevel="1">
      <c r="A728" s="199" t="s">
        <v>274</v>
      </c>
      <c r="B728" s="181" t="s">
        <v>748</v>
      </c>
      <c r="C728" s="190">
        <v>43646</v>
      </c>
      <c r="D728" s="199" t="s">
        <v>750</v>
      </c>
      <c r="E728" s="182" t="s">
        <v>1398</v>
      </c>
      <c r="F728" s="183">
        <v>76330</v>
      </c>
      <c r="G728" s="184">
        <v>15.06</v>
      </c>
      <c r="H728" s="181">
        <v>20</v>
      </c>
      <c r="I728" s="181" t="s">
        <v>292</v>
      </c>
      <c r="J728" s="191">
        <v>19.010000000000002</v>
      </c>
      <c r="K728" s="192" t="s">
        <v>752</v>
      </c>
      <c r="L728" s="193" t="s">
        <v>396</v>
      </c>
      <c r="M728" s="193" t="s">
        <v>309</v>
      </c>
      <c r="N728" s="193"/>
      <c r="O728" s="193" t="s">
        <v>737</v>
      </c>
      <c r="P728" s="193" t="s">
        <v>381</v>
      </c>
      <c r="Q728" s="193" t="s">
        <v>295</v>
      </c>
      <c r="R728" s="192" t="s">
        <v>379</v>
      </c>
      <c r="S728" s="181" t="s">
        <v>737</v>
      </c>
      <c r="T728" s="181" t="s">
        <v>381</v>
      </c>
      <c r="U728" s="181" t="s">
        <v>295</v>
      </c>
      <c r="V728" s="199" t="s">
        <v>379</v>
      </c>
    </row>
    <row r="729" spans="1:22" outlineLevel="1">
      <c r="A729" s="199" t="s">
        <v>274</v>
      </c>
      <c r="B729" s="181" t="s">
        <v>748</v>
      </c>
      <c r="C729" s="190">
        <v>43646</v>
      </c>
      <c r="D729" s="199" t="s">
        <v>750</v>
      </c>
      <c r="E729" s="182" t="s">
        <v>1390</v>
      </c>
      <c r="F729" s="183">
        <v>76330</v>
      </c>
      <c r="G729" s="184">
        <v>15.06</v>
      </c>
      <c r="H729" s="181">
        <v>20</v>
      </c>
      <c r="I729" s="181" t="s">
        <v>292</v>
      </c>
      <c r="J729" s="191">
        <v>19.010000000000002</v>
      </c>
      <c r="K729" s="192" t="s">
        <v>752</v>
      </c>
      <c r="L729" s="193" t="s">
        <v>396</v>
      </c>
      <c r="M729" s="193" t="s">
        <v>309</v>
      </c>
      <c r="N729" s="193"/>
      <c r="O729" s="193" t="s">
        <v>737</v>
      </c>
      <c r="P729" s="193" t="s">
        <v>381</v>
      </c>
      <c r="Q729" s="193" t="s">
        <v>295</v>
      </c>
      <c r="R729" s="192" t="s">
        <v>379</v>
      </c>
      <c r="S729" s="181" t="s">
        <v>737</v>
      </c>
      <c r="T729" s="181" t="s">
        <v>381</v>
      </c>
      <c r="U729" s="181" t="s">
        <v>295</v>
      </c>
      <c r="V729" s="199" t="s">
        <v>379</v>
      </c>
    </row>
    <row r="730" spans="1:22" outlineLevel="1">
      <c r="A730" s="199" t="s">
        <v>274</v>
      </c>
      <c r="B730" s="181" t="s">
        <v>748</v>
      </c>
      <c r="C730" s="190">
        <v>43646</v>
      </c>
      <c r="D730" s="199" t="s">
        <v>750</v>
      </c>
      <c r="E730" s="182" t="s">
        <v>1399</v>
      </c>
      <c r="F730" s="183">
        <v>76330</v>
      </c>
      <c r="G730" s="184">
        <v>75.319999999999993</v>
      </c>
      <c r="H730" s="181">
        <v>100</v>
      </c>
      <c r="I730" s="181" t="s">
        <v>292</v>
      </c>
      <c r="J730" s="191">
        <v>95.07</v>
      </c>
      <c r="K730" s="192" t="s">
        <v>752</v>
      </c>
      <c r="L730" s="193" t="s">
        <v>396</v>
      </c>
      <c r="M730" s="193" t="s">
        <v>309</v>
      </c>
      <c r="N730" s="193"/>
      <c r="O730" s="193" t="s">
        <v>737</v>
      </c>
      <c r="P730" s="193" t="s">
        <v>381</v>
      </c>
      <c r="Q730" s="193" t="s">
        <v>295</v>
      </c>
      <c r="R730" s="192" t="s">
        <v>379</v>
      </c>
      <c r="S730" s="181" t="s">
        <v>737</v>
      </c>
      <c r="T730" s="181" t="s">
        <v>381</v>
      </c>
      <c r="U730" s="181" t="s">
        <v>295</v>
      </c>
      <c r="V730" s="199" t="s">
        <v>379</v>
      </c>
    </row>
    <row r="731" spans="1:22" outlineLevel="1">
      <c r="A731" s="199" t="s">
        <v>274</v>
      </c>
      <c r="B731" s="181" t="s">
        <v>748</v>
      </c>
      <c r="C731" s="190">
        <v>43646</v>
      </c>
      <c r="D731" s="199" t="s">
        <v>750</v>
      </c>
      <c r="E731" s="182" t="s">
        <v>1400</v>
      </c>
      <c r="F731" s="183">
        <v>76330</v>
      </c>
      <c r="G731" s="184">
        <v>22.6</v>
      </c>
      <c r="H731" s="181">
        <v>30</v>
      </c>
      <c r="I731" s="181" t="s">
        <v>292</v>
      </c>
      <c r="J731" s="191">
        <v>28.53</v>
      </c>
      <c r="K731" s="192" t="s">
        <v>752</v>
      </c>
      <c r="L731" s="193" t="s">
        <v>396</v>
      </c>
      <c r="M731" s="193" t="s">
        <v>309</v>
      </c>
      <c r="N731" s="193"/>
      <c r="O731" s="193" t="s">
        <v>737</v>
      </c>
      <c r="P731" s="193" t="s">
        <v>381</v>
      </c>
      <c r="Q731" s="193" t="s">
        <v>295</v>
      </c>
      <c r="R731" s="192" t="s">
        <v>379</v>
      </c>
      <c r="S731" s="181" t="s">
        <v>737</v>
      </c>
      <c r="T731" s="181" t="s">
        <v>381</v>
      </c>
      <c r="U731" s="181" t="s">
        <v>295</v>
      </c>
      <c r="V731" s="199" t="s">
        <v>379</v>
      </c>
    </row>
    <row r="732" spans="1:22" outlineLevel="1">
      <c r="A732" s="199" t="s">
        <v>274</v>
      </c>
      <c r="B732" s="181" t="s">
        <v>748</v>
      </c>
      <c r="C732" s="190">
        <v>43646</v>
      </c>
      <c r="D732" s="199" t="s">
        <v>750</v>
      </c>
      <c r="E732" s="182" t="s">
        <v>1401</v>
      </c>
      <c r="F732" s="183">
        <v>76330</v>
      </c>
      <c r="G732" s="184">
        <v>96.41</v>
      </c>
      <c r="H732" s="181">
        <v>128</v>
      </c>
      <c r="I732" s="181" t="s">
        <v>292</v>
      </c>
      <c r="J732" s="191">
        <v>121.69</v>
      </c>
      <c r="K732" s="192" t="s">
        <v>752</v>
      </c>
      <c r="L732" s="193" t="s">
        <v>396</v>
      </c>
      <c r="M732" s="193" t="s">
        <v>309</v>
      </c>
      <c r="N732" s="193"/>
      <c r="O732" s="193" t="s">
        <v>737</v>
      </c>
      <c r="P732" s="193" t="s">
        <v>381</v>
      </c>
      <c r="Q732" s="193" t="s">
        <v>295</v>
      </c>
      <c r="R732" s="192" t="s">
        <v>379</v>
      </c>
      <c r="S732" s="181" t="s">
        <v>737</v>
      </c>
      <c r="T732" s="181" t="s">
        <v>381</v>
      </c>
      <c r="U732" s="181" t="s">
        <v>295</v>
      </c>
      <c r="V732" s="199" t="s">
        <v>379</v>
      </c>
    </row>
    <row r="733" spans="1:22" outlineLevel="1">
      <c r="A733" s="199" t="s">
        <v>274</v>
      </c>
      <c r="B733" s="181" t="s">
        <v>748</v>
      </c>
      <c r="C733" s="190">
        <v>43646</v>
      </c>
      <c r="D733" s="199" t="s">
        <v>750</v>
      </c>
      <c r="E733" s="182" t="s">
        <v>1402</v>
      </c>
      <c r="F733" s="183">
        <v>76330</v>
      </c>
      <c r="G733" s="184">
        <v>135.28</v>
      </c>
      <c r="H733" s="181">
        <v>179.6</v>
      </c>
      <c r="I733" s="181" t="s">
        <v>292</v>
      </c>
      <c r="J733" s="191">
        <v>170.76</v>
      </c>
      <c r="K733" s="192" t="s">
        <v>752</v>
      </c>
      <c r="L733" s="193" t="s">
        <v>396</v>
      </c>
      <c r="M733" s="193" t="s">
        <v>309</v>
      </c>
      <c r="N733" s="193"/>
      <c r="O733" s="193" t="s">
        <v>737</v>
      </c>
      <c r="P733" s="193" t="s">
        <v>381</v>
      </c>
      <c r="Q733" s="193" t="s">
        <v>295</v>
      </c>
      <c r="R733" s="192" t="s">
        <v>379</v>
      </c>
      <c r="S733" s="181" t="s">
        <v>737</v>
      </c>
      <c r="T733" s="181" t="s">
        <v>381</v>
      </c>
      <c r="U733" s="181" t="s">
        <v>295</v>
      </c>
      <c r="V733" s="199" t="s">
        <v>379</v>
      </c>
    </row>
    <row r="734" spans="1:22" outlineLevel="1">
      <c r="A734" s="199" t="s">
        <v>274</v>
      </c>
      <c r="B734" s="181" t="s">
        <v>748</v>
      </c>
      <c r="C734" s="190">
        <v>43646</v>
      </c>
      <c r="D734" s="199" t="s">
        <v>750</v>
      </c>
      <c r="E734" s="182" t="s">
        <v>1403</v>
      </c>
      <c r="F734" s="183">
        <v>76330</v>
      </c>
      <c r="G734" s="184">
        <v>15.06</v>
      </c>
      <c r="H734" s="181">
        <v>20</v>
      </c>
      <c r="I734" s="181" t="s">
        <v>292</v>
      </c>
      <c r="J734" s="191">
        <v>19.010000000000002</v>
      </c>
      <c r="K734" s="192" t="s">
        <v>752</v>
      </c>
      <c r="L734" s="193" t="s">
        <v>396</v>
      </c>
      <c r="M734" s="193" t="s">
        <v>309</v>
      </c>
      <c r="N734" s="193"/>
      <c r="O734" s="193" t="s">
        <v>737</v>
      </c>
      <c r="P734" s="193" t="s">
        <v>381</v>
      </c>
      <c r="Q734" s="193" t="s">
        <v>295</v>
      </c>
      <c r="R734" s="192" t="s">
        <v>379</v>
      </c>
      <c r="S734" s="181" t="s">
        <v>737</v>
      </c>
      <c r="T734" s="181" t="s">
        <v>381</v>
      </c>
      <c r="U734" s="181" t="s">
        <v>295</v>
      </c>
      <c r="V734" s="199" t="s">
        <v>379</v>
      </c>
    </row>
    <row r="735" spans="1:22" outlineLevel="1">
      <c r="A735" s="199" t="s">
        <v>274</v>
      </c>
      <c r="B735" s="181" t="s">
        <v>748</v>
      </c>
      <c r="C735" s="190">
        <v>43646</v>
      </c>
      <c r="D735" s="199" t="s">
        <v>750</v>
      </c>
      <c r="E735" s="182" t="s">
        <v>1389</v>
      </c>
      <c r="F735" s="183">
        <v>76330</v>
      </c>
      <c r="G735" s="184">
        <v>22.6</v>
      </c>
      <c r="H735" s="181">
        <v>30</v>
      </c>
      <c r="I735" s="181" t="s">
        <v>292</v>
      </c>
      <c r="J735" s="191">
        <v>28.53</v>
      </c>
      <c r="K735" s="192" t="s">
        <v>752</v>
      </c>
      <c r="L735" s="193" t="s">
        <v>396</v>
      </c>
      <c r="M735" s="193" t="s">
        <v>309</v>
      </c>
      <c r="N735" s="193"/>
      <c r="O735" s="193" t="s">
        <v>737</v>
      </c>
      <c r="P735" s="193" t="s">
        <v>381</v>
      </c>
      <c r="Q735" s="193" t="s">
        <v>295</v>
      </c>
      <c r="R735" s="192" t="s">
        <v>379</v>
      </c>
      <c r="S735" s="181" t="s">
        <v>737</v>
      </c>
      <c r="T735" s="181" t="s">
        <v>381</v>
      </c>
      <c r="U735" s="181" t="s">
        <v>295</v>
      </c>
      <c r="V735" s="199" t="s">
        <v>379</v>
      </c>
    </row>
    <row r="736" spans="1:22" outlineLevel="1">
      <c r="A736" s="199" t="s">
        <v>274</v>
      </c>
      <c r="B736" s="181" t="s">
        <v>748</v>
      </c>
      <c r="C736" s="190">
        <v>43646</v>
      </c>
      <c r="D736" s="199" t="s">
        <v>750</v>
      </c>
      <c r="E736" s="182" t="s">
        <v>1404</v>
      </c>
      <c r="F736" s="183">
        <v>76330</v>
      </c>
      <c r="G736" s="184">
        <v>22.6</v>
      </c>
      <c r="H736" s="181">
        <v>30</v>
      </c>
      <c r="I736" s="181" t="s">
        <v>292</v>
      </c>
      <c r="J736" s="191">
        <v>28.53</v>
      </c>
      <c r="K736" s="192" t="s">
        <v>752</v>
      </c>
      <c r="L736" s="193" t="s">
        <v>396</v>
      </c>
      <c r="M736" s="193" t="s">
        <v>309</v>
      </c>
      <c r="N736" s="193"/>
      <c r="O736" s="193" t="s">
        <v>737</v>
      </c>
      <c r="P736" s="193" t="s">
        <v>381</v>
      </c>
      <c r="Q736" s="193" t="s">
        <v>295</v>
      </c>
      <c r="R736" s="192" t="s">
        <v>379</v>
      </c>
      <c r="S736" s="181" t="s">
        <v>737</v>
      </c>
      <c r="T736" s="181" t="s">
        <v>381</v>
      </c>
      <c r="U736" s="181" t="s">
        <v>295</v>
      </c>
      <c r="V736" s="199" t="s">
        <v>379</v>
      </c>
    </row>
    <row r="737" spans="1:22" outlineLevel="1">
      <c r="A737" s="199" t="s">
        <v>274</v>
      </c>
      <c r="B737" s="181" t="s">
        <v>748</v>
      </c>
      <c r="C737" s="190">
        <v>43646</v>
      </c>
      <c r="D737" s="199" t="s">
        <v>750</v>
      </c>
      <c r="E737" s="182" t="s">
        <v>1405</v>
      </c>
      <c r="F737" s="183">
        <v>76330</v>
      </c>
      <c r="G737" s="184">
        <v>75.319999999999993</v>
      </c>
      <c r="H737" s="181">
        <v>100</v>
      </c>
      <c r="I737" s="181" t="s">
        <v>292</v>
      </c>
      <c r="J737" s="191">
        <v>95.07</v>
      </c>
      <c r="K737" s="192" t="s">
        <v>752</v>
      </c>
      <c r="L737" s="193" t="s">
        <v>396</v>
      </c>
      <c r="M737" s="193" t="s">
        <v>309</v>
      </c>
      <c r="N737" s="193"/>
      <c r="O737" s="193" t="s">
        <v>737</v>
      </c>
      <c r="P737" s="193" t="s">
        <v>381</v>
      </c>
      <c r="Q737" s="193" t="s">
        <v>295</v>
      </c>
      <c r="R737" s="192" t="s">
        <v>379</v>
      </c>
      <c r="S737" s="181" t="s">
        <v>737</v>
      </c>
      <c r="T737" s="181" t="s">
        <v>381</v>
      </c>
      <c r="U737" s="181" t="s">
        <v>295</v>
      </c>
      <c r="V737" s="199" t="s">
        <v>379</v>
      </c>
    </row>
    <row r="738" spans="1:22" outlineLevel="1">
      <c r="A738" s="199" t="s">
        <v>274</v>
      </c>
      <c r="B738" s="181" t="s">
        <v>748</v>
      </c>
      <c r="C738" s="190">
        <v>43646</v>
      </c>
      <c r="D738" s="199" t="s">
        <v>750</v>
      </c>
      <c r="E738" s="182" t="s">
        <v>1406</v>
      </c>
      <c r="F738" s="183">
        <v>76330</v>
      </c>
      <c r="G738" s="184">
        <v>135.28</v>
      </c>
      <c r="H738" s="181">
        <v>179.6</v>
      </c>
      <c r="I738" s="181" t="s">
        <v>292</v>
      </c>
      <c r="J738" s="191">
        <v>170.76</v>
      </c>
      <c r="K738" s="192" t="s">
        <v>752</v>
      </c>
      <c r="L738" s="193" t="s">
        <v>396</v>
      </c>
      <c r="M738" s="193" t="s">
        <v>309</v>
      </c>
      <c r="N738" s="193"/>
      <c r="O738" s="193" t="s">
        <v>737</v>
      </c>
      <c r="P738" s="193" t="s">
        <v>381</v>
      </c>
      <c r="Q738" s="193" t="s">
        <v>295</v>
      </c>
      <c r="R738" s="192" t="s">
        <v>379</v>
      </c>
      <c r="S738" s="181" t="s">
        <v>737</v>
      </c>
      <c r="T738" s="181" t="s">
        <v>381</v>
      </c>
      <c r="U738" s="181" t="s">
        <v>295</v>
      </c>
      <c r="V738" s="199" t="s">
        <v>379</v>
      </c>
    </row>
    <row r="739" spans="1:22" outlineLevel="1">
      <c r="A739" s="199" t="s">
        <v>274</v>
      </c>
      <c r="B739" s="181" t="s">
        <v>748</v>
      </c>
      <c r="C739" s="190">
        <v>43646</v>
      </c>
      <c r="D739" s="199" t="s">
        <v>750</v>
      </c>
      <c r="E739" s="182" t="s">
        <v>1390</v>
      </c>
      <c r="F739" s="183">
        <v>76330</v>
      </c>
      <c r="G739" s="184">
        <v>15.06</v>
      </c>
      <c r="H739" s="181">
        <v>20</v>
      </c>
      <c r="I739" s="181" t="s">
        <v>292</v>
      </c>
      <c r="J739" s="191">
        <v>19.010000000000002</v>
      </c>
      <c r="K739" s="192" t="s">
        <v>752</v>
      </c>
      <c r="L739" s="193" t="s">
        <v>396</v>
      </c>
      <c r="M739" s="193" t="s">
        <v>309</v>
      </c>
      <c r="N739" s="193"/>
      <c r="O739" s="193" t="s">
        <v>737</v>
      </c>
      <c r="P739" s="193" t="s">
        <v>381</v>
      </c>
      <c r="Q739" s="193" t="s">
        <v>295</v>
      </c>
      <c r="R739" s="192" t="s">
        <v>379</v>
      </c>
      <c r="S739" s="181" t="s">
        <v>737</v>
      </c>
      <c r="T739" s="181" t="s">
        <v>381</v>
      </c>
      <c r="U739" s="181" t="s">
        <v>295</v>
      </c>
      <c r="V739" s="199" t="s">
        <v>379</v>
      </c>
    </row>
    <row r="740" spans="1:22" outlineLevel="1">
      <c r="A740" s="199" t="s">
        <v>274</v>
      </c>
      <c r="B740" s="181" t="s">
        <v>748</v>
      </c>
      <c r="C740" s="190">
        <v>43646</v>
      </c>
      <c r="D740" s="199" t="s">
        <v>750</v>
      </c>
      <c r="E740" s="182" t="s">
        <v>1407</v>
      </c>
      <c r="F740" s="183">
        <v>76330</v>
      </c>
      <c r="G740" s="184">
        <v>15.06</v>
      </c>
      <c r="H740" s="181">
        <v>20</v>
      </c>
      <c r="I740" s="181" t="s">
        <v>292</v>
      </c>
      <c r="J740" s="191">
        <v>19.010000000000002</v>
      </c>
      <c r="K740" s="192" t="s">
        <v>752</v>
      </c>
      <c r="L740" s="193" t="s">
        <v>396</v>
      </c>
      <c r="M740" s="193" t="s">
        <v>309</v>
      </c>
      <c r="N740" s="193"/>
      <c r="O740" s="193" t="s">
        <v>737</v>
      </c>
      <c r="P740" s="193" t="s">
        <v>381</v>
      </c>
      <c r="Q740" s="193" t="s">
        <v>295</v>
      </c>
      <c r="R740" s="192" t="s">
        <v>379</v>
      </c>
      <c r="S740" s="181" t="s">
        <v>737</v>
      </c>
      <c r="T740" s="181" t="s">
        <v>381</v>
      </c>
      <c r="U740" s="181" t="s">
        <v>295</v>
      </c>
      <c r="V740" s="199" t="s">
        <v>379</v>
      </c>
    </row>
    <row r="741" spans="1:22" outlineLevel="1">
      <c r="A741" s="199" t="s">
        <v>274</v>
      </c>
      <c r="B741" s="181" t="s">
        <v>748</v>
      </c>
      <c r="C741" s="190">
        <v>43646</v>
      </c>
      <c r="D741" s="199" t="s">
        <v>750</v>
      </c>
      <c r="E741" s="182" t="s">
        <v>1408</v>
      </c>
      <c r="F741" s="183">
        <v>76330</v>
      </c>
      <c r="G741" s="184">
        <v>7.53</v>
      </c>
      <c r="H741" s="181">
        <v>10</v>
      </c>
      <c r="I741" s="181" t="s">
        <v>292</v>
      </c>
      <c r="J741" s="191">
        <v>9.5</v>
      </c>
      <c r="K741" s="192" t="s">
        <v>752</v>
      </c>
      <c r="L741" s="193" t="s">
        <v>396</v>
      </c>
      <c r="M741" s="193" t="s">
        <v>309</v>
      </c>
      <c r="N741" s="193"/>
      <c r="O741" s="193" t="s">
        <v>737</v>
      </c>
      <c r="P741" s="193" t="s">
        <v>381</v>
      </c>
      <c r="Q741" s="193" t="s">
        <v>295</v>
      </c>
      <c r="R741" s="192" t="s">
        <v>379</v>
      </c>
      <c r="S741" s="181" t="s">
        <v>737</v>
      </c>
      <c r="T741" s="181" t="s">
        <v>381</v>
      </c>
      <c r="U741" s="181" t="s">
        <v>295</v>
      </c>
      <c r="V741" s="199" t="s">
        <v>379</v>
      </c>
    </row>
    <row r="742" spans="1:22" outlineLevel="1">
      <c r="A742" s="199" t="s">
        <v>274</v>
      </c>
      <c r="B742" s="181" t="s">
        <v>748</v>
      </c>
      <c r="C742" s="190">
        <v>43646</v>
      </c>
      <c r="D742" s="199" t="s">
        <v>750</v>
      </c>
      <c r="E742" s="182" t="s">
        <v>1409</v>
      </c>
      <c r="F742" s="183">
        <v>76330</v>
      </c>
      <c r="G742" s="184">
        <v>75.319999999999993</v>
      </c>
      <c r="H742" s="181">
        <v>100</v>
      </c>
      <c r="I742" s="181" t="s">
        <v>292</v>
      </c>
      <c r="J742" s="191">
        <v>95.07</v>
      </c>
      <c r="K742" s="192" t="s">
        <v>752</v>
      </c>
      <c r="L742" s="193" t="s">
        <v>396</v>
      </c>
      <c r="M742" s="193" t="s">
        <v>309</v>
      </c>
      <c r="N742" s="193"/>
      <c r="O742" s="193" t="s">
        <v>737</v>
      </c>
      <c r="P742" s="193" t="s">
        <v>381</v>
      </c>
      <c r="Q742" s="193" t="s">
        <v>295</v>
      </c>
      <c r="R742" s="192" t="s">
        <v>379</v>
      </c>
      <c r="S742" s="181" t="s">
        <v>737</v>
      </c>
      <c r="T742" s="181" t="s">
        <v>381</v>
      </c>
      <c r="U742" s="181" t="s">
        <v>295</v>
      </c>
      <c r="V742" s="199" t="s">
        <v>379</v>
      </c>
    </row>
    <row r="743" spans="1:22" outlineLevel="1">
      <c r="A743" s="199" t="s">
        <v>274</v>
      </c>
      <c r="B743" s="181" t="s">
        <v>748</v>
      </c>
      <c r="C743" s="190">
        <v>43646</v>
      </c>
      <c r="D743" s="199" t="s">
        <v>750</v>
      </c>
      <c r="E743" s="182" t="s">
        <v>1409</v>
      </c>
      <c r="F743" s="183">
        <v>76330</v>
      </c>
      <c r="G743" s="184">
        <v>75.319999999999993</v>
      </c>
      <c r="H743" s="181">
        <v>100</v>
      </c>
      <c r="I743" s="181" t="s">
        <v>292</v>
      </c>
      <c r="J743" s="191">
        <v>95.07</v>
      </c>
      <c r="K743" s="192" t="s">
        <v>752</v>
      </c>
      <c r="L743" s="193" t="s">
        <v>396</v>
      </c>
      <c r="M743" s="193" t="s">
        <v>309</v>
      </c>
      <c r="N743" s="193"/>
      <c r="O743" s="193" t="s">
        <v>737</v>
      </c>
      <c r="P743" s="193" t="s">
        <v>381</v>
      </c>
      <c r="Q743" s="193" t="s">
        <v>295</v>
      </c>
      <c r="R743" s="192" t="s">
        <v>379</v>
      </c>
      <c r="S743" s="181" t="s">
        <v>737</v>
      </c>
      <c r="T743" s="181" t="s">
        <v>381</v>
      </c>
      <c r="U743" s="181" t="s">
        <v>295</v>
      </c>
      <c r="V743" s="199" t="s">
        <v>379</v>
      </c>
    </row>
    <row r="744" spans="1:22" outlineLevel="1">
      <c r="A744" s="199" t="s">
        <v>274</v>
      </c>
      <c r="B744" s="181" t="s">
        <v>748</v>
      </c>
      <c r="C744" s="190">
        <v>43646</v>
      </c>
      <c r="D744" s="199" t="s">
        <v>750</v>
      </c>
      <c r="E744" s="182" t="s">
        <v>1409</v>
      </c>
      <c r="F744" s="183">
        <v>76330</v>
      </c>
      <c r="G744" s="184">
        <v>75.319999999999993</v>
      </c>
      <c r="H744" s="181">
        <v>100</v>
      </c>
      <c r="I744" s="181" t="s">
        <v>292</v>
      </c>
      <c r="J744" s="191">
        <v>95.07</v>
      </c>
      <c r="K744" s="192" t="s">
        <v>752</v>
      </c>
      <c r="L744" s="193" t="s">
        <v>396</v>
      </c>
      <c r="M744" s="193" t="s">
        <v>309</v>
      </c>
      <c r="N744" s="193"/>
      <c r="O744" s="193" t="s">
        <v>737</v>
      </c>
      <c r="P744" s="193" t="s">
        <v>381</v>
      </c>
      <c r="Q744" s="193" t="s">
        <v>295</v>
      </c>
      <c r="R744" s="192" t="s">
        <v>379</v>
      </c>
      <c r="S744" s="181" t="s">
        <v>737</v>
      </c>
      <c r="T744" s="181" t="s">
        <v>381</v>
      </c>
      <c r="U744" s="181" t="s">
        <v>295</v>
      </c>
      <c r="V744" s="199" t="s">
        <v>379</v>
      </c>
    </row>
    <row r="745" spans="1:22" outlineLevel="1">
      <c r="A745" s="199" t="s">
        <v>274</v>
      </c>
      <c r="B745" s="181" t="s">
        <v>748</v>
      </c>
      <c r="C745" s="190">
        <v>43646</v>
      </c>
      <c r="D745" s="199" t="s">
        <v>750</v>
      </c>
      <c r="E745" s="182" t="s">
        <v>1410</v>
      </c>
      <c r="F745" s="183">
        <v>76330</v>
      </c>
      <c r="G745" s="184">
        <v>527.26</v>
      </c>
      <c r="H745" s="181">
        <v>700</v>
      </c>
      <c r="I745" s="181" t="s">
        <v>292</v>
      </c>
      <c r="J745" s="191">
        <v>665.53</v>
      </c>
      <c r="K745" s="192" t="s">
        <v>752</v>
      </c>
      <c r="L745" s="193" t="s">
        <v>396</v>
      </c>
      <c r="M745" s="193" t="s">
        <v>309</v>
      </c>
      <c r="N745" s="193"/>
      <c r="O745" s="193" t="s">
        <v>737</v>
      </c>
      <c r="P745" s="193" t="s">
        <v>381</v>
      </c>
      <c r="Q745" s="193" t="s">
        <v>295</v>
      </c>
      <c r="R745" s="192" t="s">
        <v>379</v>
      </c>
      <c r="S745" s="181" t="s">
        <v>737</v>
      </c>
      <c r="T745" s="181" t="s">
        <v>381</v>
      </c>
      <c r="U745" s="181" t="s">
        <v>295</v>
      </c>
      <c r="V745" s="199" t="s">
        <v>379</v>
      </c>
    </row>
    <row r="746" spans="1:22" outlineLevel="1">
      <c r="A746" s="199" t="s">
        <v>274</v>
      </c>
      <c r="B746" s="181" t="s">
        <v>748</v>
      </c>
      <c r="C746" s="190">
        <v>43646</v>
      </c>
      <c r="D746" s="199" t="s">
        <v>750</v>
      </c>
      <c r="E746" s="182" t="s">
        <v>1411</v>
      </c>
      <c r="F746" s="183">
        <v>76330</v>
      </c>
      <c r="G746" s="184">
        <v>451.94</v>
      </c>
      <c r="H746" s="181">
        <v>600</v>
      </c>
      <c r="I746" s="181" t="s">
        <v>292</v>
      </c>
      <c r="J746" s="191">
        <v>570.45000000000005</v>
      </c>
      <c r="K746" s="192" t="s">
        <v>752</v>
      </c>
      <c r="L746" s="193" t="s">
        <v>396</v>
      </c>
      <c r="M746" s="193" t="s">
        <v>309</v>
      </c>
      <c r="N746" s="193"/>
      <c r="O746" s="193" t="s">
        <v>737</v>
      </c>
      <c r="P746" s="193" t="s">
        <v>381</v>
      </c>
      <c r="Q746" s="193" t="s">
        <v>295</v>
      </c>
      <c r="R746" s="192" t="s">
        <v>379</v>
      </c>
      <c r="S746" s="181" t="s">
        <v>737</v>
      </c>
      <c r="T746" s="181" t="s">
        <v>381</v>
      </c>
      <c r="U746" s="181" t="s">
        <v>295</v>
      </c>
      <c r="V746" s="199" t="s">
        <v>379</v>
      </c>
    </row>
    <row r="747" spans="1:22" outlineLevel="1">
      <c r="A747" s="199" t="s">
        <v>274</v>
      </c>
      <c r="B747" s="181" t="s">
        <v>748</v>
      </c>
      <c r="C747" s="190">
        <v>43646</v>
      </c>
      <c r="D747" s="199" t="s">
        <v>750</v>
      </c>
      <c r="E747" s="182" t="s">
        <v>1389</v>
      </c>
      <c r="F747" s="183">
        <v>76330</v>
      </c>
      <c r="G747" s="184">
        <v>22.6</v>
      </c>
      <c r="H747" s="181">
        <v>30</v>
      </c>
      <c r="I747" s="181" t="s">
        <v>292</v>
      </c>
      <c r="J747" s="191">
        <v>28.53</v>
      </c>
      <c r="K747" s="192" t="s">
        <v>752</v>
      </c>
      <c r="L747" s="193" t="s">
        <v>396</v>
      </c>
      <c r="M747" s="193" t="s">
        <v>309</v>
      </c>
      <c r="N747" s="193"/>
      <c r="O747" s="193" t="s">
        <v>737</v>
      </c>
      <c r="P747" s="193" t="s">
        <v>381</v>
      </c>
      <c r="Q747" s="193" t="s">
        <v>295</v>
      </c>
      <c r="R747" s="192" t="s">
        <v>379</v>
      </c>
      <c r="S747" s="181" t="s">
        <v>737</v>
      </c>
      <c r="T747" s="181" t="s">
        <v>381</v>
      </c>
      <c r="U747" s="181" t="s">
        <v>295</v>
      </c>
      <c r="V747" s="199" t="s">
        <v>379</v>
      </c>
    </row>
    <row r="748" spans="1:22" outlineLevel="1">
      <c r="A748" s="199" t="s">
        <v>274</v>
      </c>
      <c r="B748" s="181" t="s">
        <v>748</v>
      </c>
      <c r="C748" s="190">
        <v>43646</v>
      </c>
      <c r="D748" s="199" t="s">
        <v>750</v>
      </c>
      <c r="E748" s="182" t="s">
        <v>1390</v>
      </c>
      <c r="F748" s="183">
        <v>76330</v>
      </c>
      <c r="G748" s="184">
        <v>15.06</v>
      </c>
      <c r="H748" s="181">
        <v>20</v>
      </c>
      <c r="I748" s="181" t="s">
        <v>292</v>
      </c>
      <c r="J748" s="191">
        <v>19.010000000000002</v>
      </c>
      <c r="K748" s="192" t="s">
        <v>752</v>
      </c>
      <c r="L748" s="193" t="s">
        <v>396</v>
      </c>
      <c r="M748" s="193" t="s">
        <v>309</v>
      </c>
      <c r="N748" s="193"/>
      <c r="O748" s="193" t="s">
        <v>737</v>
      </c>
      <c r="P748" s="193" t="s">
        <v>381</v>
      </c>
      <c r="Q748" s="193" t="s">
        <v>295</v>
      </c>
      <c r="R748" s="192" t="s">
        <v>379</v>
      </c>
      <c r="S748" s="181" t="s">
        <v>737</v>
      </c>
      <c r="T748" s="181" t="s">
        <v>381</v>
      </c>
      <c r="U748" s="181" t="s">
        <v>295</v>
      </c>
      <c r="V748" s="199" t="s">
        <v>379</v>
      </c>
    </row>
    <row r="749" spans="1:22" outlineLevel="1">
      <c r="A749" s="199" t="s">
        <v>274</v>
      </c>
      <c r="B749" s="181" t="s">
        <v>748</v>
      </c>
      <c r="C749" s="190">
        <v>43646</v>
      </c>
      <c r="D749" s="199" t="s">
        <v>750</v>
      </c>
      <c r="E749" s="182" t="s">
        <v>1412</v>
      </c>
      <c r="F749" s="183">
        <v>76330</v>
      </c>
      <c r="G749" s="184">
        <v>36.909999999999997</v>
      </c>
      <c r="H749" s="181">
        <v>49</v>
      </c>
      <c r="I749" s="181" t="s">
        <v>292</v>
      </c>
      <c r="J749" s="191">
        <v>46.59</v>
      </c>
      <c r="K749" s="192" t="s">
        <v>752</v>
      </c>
      <c r="L749" s="193" t="s">
        <v>396</v>
      </c>
      <c r="M749" s="193" t="s">
        <v>309</v>
      </c>
      <c r="N749" s="193"/>
      <c r="O749" s="193" t="s">
        <v>737</v>
      </c>
      <c r="P749" s="193" t="s">
        <v>381</v>
      </c>
      <c r="Q749" s="193" t="s">
        <v>295</v>
      </c>
      <c r="R749" s="192" t="s">
        <v>379</v>
      </c>
      <c r="S749" s="181" t="s">
        <v>737</v>
      </c>
      <c r="T749" s="181" t="s">
        <v>381</v>
      </c>
      <c r="U749" s="181" t="s">
        <v>295</v>
      </c>
      <c r="V749" s="199" t="s">
        <v>379</v>
      </c>
    </row>
    <row r="750" spans="1:22" outlineLevel="1">
      <c r="A750" s="199" t="s">
        <v>274</v>
      </c>
      <c r="B750" s="181" t="s">
        <v>748</v>
      </c>
      <c r="C750" s="190">
        <v>43646</v>
      </c>
      <c r="D750" s="199" t="s">
        <v>750</v>
      </c>
      <c r="E750" s="182" t="s">
        <v>1413</v>
      </c>
      <c r="F750" s="183">
        <v>76330</v>
      </c>
      <c r="G750" s="184">
        <v>164.96</v>
      </c>
      <c r="H750" s="181">
        <v>219</v>
      </c>
      <c r="I750" s="181" t="s">
        <v>292</v>
      </c>
      <c r="J750" s="191">
        <v>208.22</v>
      </c>
      <c r="K750" s="192" t="s">
        <v>752</v>
      </c>
      <c r="L750" s="193" t="s">
        <v>396</v>
      </c>
      <c r="M750" s="193" t="s">
        <v>309</v>
      </c>
      <c r="N750" s="193"/>
      <c r="O750" s="193" t="s">
        <v>737</v>
      </c>
      <c r="P750" s="193" t="s">
        <v>381</v>
      </c>
      <c r="Q750" s="193" t="s">
        <v>295</v>
      </c>
      <c r="R750" s="192" t="s">
        <v>379</v>
      </c>
      <c r="S750" s="181" t="s">
        <v>737</v>
      </c>
      <c r="T750" s="181" t="s">
        <v>381</v>
      </c>
      <c r="U750" s="181" t="s">
        <v>295</v>
      </c>
      <c r="V750" s="199" t="s">
        <v>379</v>
      </c>
    </row>
    <row r="751" spans="1:22" outlineLevel="1">
      <c r="A751" s="199" t="s">
        <v>274</v>
      </c>
      <c r="B751" s="181" t="s">
        <v>748</v>
      </c>
      <c r="C751" s="190">
        <v>43646</v>
      </c>
      <c r="D751" s="199" t="s">
        <v>750</v>
      </c>
      <c r="E751" s="182" t="s">
        <v>1414</v>
      </c>
      <c r="F751" s="183">
        <v>76330</v>
      </c>
      <c r="G751" s="184">
        <v>221.45</v>
      </c>
      <c r="H751" s="181">
        <v>294</v>
      </c>
      <c r="I751" s="181" t="s">
        <v>292</v>
      </c>
      <c r="J751" s="191">
        <v>279.52</v>
      </c>
      <c r="K751" s="192" t="s">
        <v>752</v>
      </c>
      <c r="L751" s="193" t="s">
        <v>396</v>
      </c>
      <c r="M751" s="193" t="s">
        <v>309</v>
      </c>
      <c r="N751" s="193"/>
      <c r="O751" s="193" t="s">
        <v>737</v>
      </c>
      <c r="P751" s="193" t="s">
        <v>381</v>
      </c>
      <c r="Q751" s="193" t="s">
        <v>295</v>
      </c>
      <c r="R751" s="192" t="s">
        <v>379</v>
      </c>
      <c r="S751" s="181" t="s">
        <v>737</v>
      </c>
      <c r="T751" s="181" t="s">
        <v>381</v>
      </c>
      <c r="U751" s="181" t="s">
        <v>295</v>
      </c>
      <c r="V751" s="199" t="s">
        <v>379</v>
      </c>
    </row>
    <row r="752" spans="1:22" outlineLevel="1">
      <c r="A752" s="199" t="s">
        <v>274</v>
      </c>
      <c r="B752" s="181" t="s">
        <v>748</v>
      </c>
      <c r="C752" s="190">
        <v>43646</v>
      </c>
      <c r="D752" s="199" t="s">
        <v>750</v>
      </c>
      <c r="E752" s="182" t="s">
        <v>1415</v>
      </c>
      <c r="F752" s="183">
        <v>76330</v>
      </c>
      <c r="G752" s="184">
        <v>180.78</v>
      </c>
      <c r="H752" s="181">
        <v>240</v>
      </c>
      <c r="I752" s="181" t="s">
        <v>292</v>
      </c>
      <c r="J752" s="191">
        <v>228.19</v>
      </c>
      <c r="K752" s="192" t="s">
        <v>752</v>
      </c>
      <c r="L752" s="193" t="s">
        <v>396</v>
      </c>
      <c r="M752" s="193" t="s">
        <v>309</v>
      </c>
      <c r="N752" s="193"/>
      <c r="O752" s="193" t="s">
        <v>737</v>
      </c>
      <c r="P752" s="193" t="s">
        <v>381</v>
      </c>
      <c r="Q752" s="193" t="s">
        <v>295</v>
      </c>
      <c r="R752" s="192" t="s">
        <v>379</v>
      </c>
      <c r="S752" s="181" t="s">
        <v>737</v>
      </c>
      <c r="T752" s="181" t="s">
        <v>381</v>
      </c>
      <c r="U752" s="181" t="s">
        <v>295</v>
      </c>
      <c r="V752" s="199" t="s">
        <v>379</v>
      </c>
    </row>
    <row r="753" spans="1:22" outlineLevel="1">
      <c r="A753" s="199" t="s">
        <v>274</v>
      </c>
      <c r="B753" s="181" t="s">
        <v>748</v>
      </c>
      <c r="C753" s="190">
        <v>43646</v>
      </c>
      <c r="D753" s="199" t="s">
        <v>750</v>
      </c>
      <c r="E753" s="182" t="s">
        <v>1407</v>
      </c>
      <c r="F753" s="183">
        <v>76330</v>
      </c>
      <c r="G753" s="184">
        <v>15.06</v>
      </c>
      <c r="H753" s="181">
        <v>20</v>
      </c>
      <c r="I753" s="181" t="s">
        <v>292</v>
      </c>
      <c r="J753" s="191">
        <v>19.010000000000002</v>
      </c>
      <c r="K753" s="192" t="s">
        <v>752</v>
      </c>
      <c r="L753" s="193" t="s">
        <v>396</v>
      </c>
      <c r="M753" s="193" t="s">
        <v>309</v>
      </c>
      <c r="N753" s="193"/>
      <c r="O753" s="193" t="s">
        <v>737</v>
      </c>
      <c r="P753" s="193" t="s">
        <v>381</v>
      </c>
      <c r="Q753" s="193" t="s">
        <v>295</v>
      </c>
      <c r="R753" s="192" t="s">
        <v>379</v>
      </c>
      <c r="S753" s="181" t="s">
        <v>737</v>
      </c>
      <c r="T753" s="181" t="s">
        <v>381</v>
      </c>
      <c r="U753" s="181" t="s">
        <v>295</v>
      </c>
      <c r="V753" s="199" t="s">
        <v>379</v>
      </c>
    </row>
    <row r="754" spans="1:22" outlineLevel="1">
      <c r="A754" s="199" t="s">
        <v>274</v>
      </c>
      <c r="B754" s="181" t="s">
        <v>748</v>
      </c>
      <c r="C754" s="190">
        <v>43646</v>
      </c>
      <c r="D754" s="199" t="s">
        <v>750</v>
      </c>
      <c r="E754" s="182" t="s">
        <v>1416</v>
      </c>
      <c r="F754" s="183">
        <v>76330</v>
      </c>
      <c r="G754" s="184">
        <v>75.319999999999993</v>
      </c>
      <c r="H754" s="181">
        <v>100</v>
      </c>
      <c r="I754" s="181" t="s">
        <v>292</v>
      </c>
      <c r="J754" s="191">
        <v>95.07</v>
      </c>
      <c r="K754" s="192" t="s">
        <v>752</v>
      </c>
      <c r="L754" s="193" t="s">
        <v>396</v>
      </c>
      <c r="M754" s="193" t="s">
        <v>309</v>
      </c>
      <c r="N754" s="193"/>
      <c r="O754" s="193" t="s">
        <v>737</v>
      </c>
      <c r="P754" s="193" t="s">
        <v>381</v>
      </c>
      <c r="Q754" s="193" t="s">
        <v>295</v>
      </c>
      <c r="R754" s="192" t="s">
        <v>379</v>
      </c>
      <c r="S754" s="181" t="s">
        <v>737</v>
      </c>
      <c r="T754" s="181" t="s">
        <v>381</v>
      </c>
      <c r="U754" s="181" t="s">
        <v>295</v>
      </c>
      <c r="V754" s="199" t="s">
        <v>379</v>
      </c>
    </row>
    <row r="755" spans="1:22" outlineLevel="1">
      <c r="A755" s="199" t="s">
        <v>274</v>
      </c>
      <c r="B755" s="181" t="s">
        <v>748</v>
      </c>
      <c r="C755" s="190">
        <v>43646</v>
      </c>
      <c r="D755" s="199" t="s">
        <v>750</v>
      </c>
      <c r="E755" s="182" t="s">
        <v>1417</v>
      </c>
      <c r="F755" s="183">
        <v>76330</v>
      </c>
      <c r="G755" s="184">
        <v>75.319999999999993</v>
      </c>
      <c r="H755" s="181">
        <v>100</v>
      </c>
      <c r="I755" s="181" t="s">
        <v>292</v>
      </c>
      <c r="J755" s="191">
        <v>95.07</v>
      </c>
      <c r="K755" s="192" t="s">
        <v>752</v>
      </c>
      <c r="L755" s="193" t="s">
        <v>396</v>
      </c>
      <c r="M755" s="193" t="s">
        <v>309</v>
      </c>
      <c r="N755" s="193"/>
      <c r="O755" s="193" t="s">
        <v>737</v>
      </c>
      <c r="P755" s="193" t="s">
        <v>381</v>
      </c>
      <c r="Q755" s="193" t="s">
        <v>295</v>
      </c>
      <c r="R755" s="192" t="s">
        <v>379</v>
      </c>
      <c r="S755" s="181" t="s">
        <v>737</v>
      </c>
      <c r="T755" s="181" t="s">
        <v>381</v>
      </c>
      <c r="U755" s="181" t="s">
        <v>295</v>
      </c>
      <c r="V755" s="199" t="s">
        <v>379</v>
      </c>
    </row>
    <row r="756" spans="1:22" outlineLevel="1">
      <c r="A756" s="199" t="s">
        <v>274</v>
      </c>
      <c r="B756" s="181" t="s">
        <v>748</v>
      </c>
      <c r="C756" s="190">
        <v>43646</v>
      </c>
      <c r="D756" s="199" t="s">
        <v>750</v>
      </c>
      <c r="E756" s="182" t="s">
        <v>1417</v>
      </c>
      <c r="F756" s="183">
        <v>76330</v>
      </c>
      <c r="G756" s="184">
        <v>75.319999999999993</v>
      </c>
      <c r="H756" s="181">
        <v>100</v>
      </c>
      <c r="I756" s="181" t="s">
        <v>292</v>
      </c>
      <c r="J756" s="191">
        <v>95.07</v>
      </c>
      <c r="K756" s="192" t="s">
        <v>752</v>
      </c>
      <c r="L756" s="193" t="s">
        <v>396</v>
      </c>
      <c r="M756" s="193" t="s">
        <v>309</v>
      </c>
      <c r="N756" s="193"/>
      <c r="O756" s="193" t="s">
        <v>737</v>
      </c>
      <c r="P756" s="193" t="s">
        <v>381</v>
      </c>
      <c r="Q756" s="193" t="s">
        <v>295</v>
      </c>
      <c r="R756" s="192" t="s">
        <v>379</v>
      </c>
      <c r="S756" s="181" t="s">
        <v>737</v>
      </c>
      <c r="T756" s="181" t="s">
        <v>381</v>
      </c>
      <c r="U756" s="181" t="s">
        <v>295</v>
      </c>
      <c r="V756" s="199" t="s">
        <v>379</v>
      </c>
    </row>
    <row r="757" spans="1:22" outlineLevel="1">
      <c r="A757" s="199" t="s">
        <v>274</v>
      </c>
      <c r="B757" s="181" t="s">
        <v>748</v>
      </c>
      <c r="C757" s="190">
        <v>43646</v>
      </c>
      <c r="D757" s="199" t="s">
        <v>750</v>
      </c>
      <c r="E757" s="182" t="s">
        <v>1418</v>
      </c>
      <c r="F757" s="183">
        <v>76330</v>
      </c>
      <c r="G757" s="184">
        <v>527.26</v>
      </c>
      <c r="H757" s="181">
        <v>700</v>
      </c>
      <c r="I757" s="181" t="s">
        <v>292</v>
      </c>
      <c r="J757" s="191">
        <v>665.53</v>
      </c>
      <c r="K757" s="192" t="s">
        <v>752</v>
      </c>
      <c r="L757" s="193" t="s">
        <v>396</v>
      </c>
      <c r="M757" s="193" t="s">
        <v>309</v>
      </c>
      <c r="N757" s="193"/>
      <c r="O757" s="193" t="s">
        <v>737</v>
      </c>
      <c r="P757" s="193" t="s">
        <v>381</v>
      </c>
      <c r="Q757" s="193" t="s">
        <v>295</v>
      </c>
      <c r="R757" s="192" t="s">
        <v>379</v>
      </c>
      <c r="S757" s="181" t="s">
        <v>737</v>
      </c>
      <c r="T757" s="181" t="s">
        <v>381</v>
      </c>
      <c r="U757" s="181" t="s">
        <v>295</v>
      </c>
      <c r="V757" s="199" t="s">
        <v>379</v>
      </c>
    </row>
    <row r="758" spans="1:22" outlineLevel="1">
      <c r="A758" s="199" t="s">
        <v>274</v>
      </c>
      <c r="B758" s="181" t="s">
        <v>748</v>
      </c>
      <c r="C758" s="190">
        <v>43646</v>
      </c>
      <c r="D758" s="199" t="s">
        <v>750</v>
      </c>
      <c r="E758" s="182" t="s">
        <v>1419</v>
      </c>
      <c r="F758" s="183">
        <v>76330</v>
      </c>
      <c r="G758" s="184">
        <v>451.94</v>
      </c>
      <c r="H758" s="181">
        <v>600</v>
      </c>
      <c r="I758" s="181" t="s">
        <v>292</v>
      </c>
      <c r="J758" s="191">
        <v>570.45000000000005</v>
      </c>
      <c r="K758" s="192" t="s">
        <v>752</v>
      </c>
      <c r="L758" s="193" t="s">
        <v>396</v>
      </c>
      <c r="M758" s="193" t="s">
        <v>309</v>
      </c>
      <c r="N758" s="193"/>
      <c r="O758" s="193" t="s">
        <v>737</v>
      </c>
      <c r="P758" s="193" t="s">
        <v>381</v>
      </c>
      <c r="Q758" s="193" t="s">
        <v>295</v>
      </c>
      <c r="R758" s="192" t="s">
        <v>379</v>
      </c>
      <c r="S758" s="181" t="s">
        <v>737</v>
      </c>
      <c r="T758" s="181" t="s">
        <v>381</v>
      </c>
      <c r="U758" s="181" t="s">
        <v>295</v>
      </c>
      <c r="V758" s="199" t="s">
        <v>379</v>
      </c>
    </row>
    <row r="759" spans="1:22" outlineLevel="1">
      <c r="A759" s="199" t="s">
        <v>274</v>
      </c>
      <c r="B759" s="181" t="s">
        <v>748</v>
      </c>
      <c r="C759" s="190">
        <v>43646</v>
      </c>
      <c r="D759" s="199" t="s">
        <v>754</v>
      </c>
      <c r="E759" s="182" t="s">
        <v>1285</v>
      </c>
      <c r="F759" s="183">
        <v>76341</v>
      </c>
      <c r="G759" s="184">
        <v>13.3</v>
      </c>
      <c r="H759" s="181">
        <v>17.66</v>
      </c>
      <c r="I759" s="181" t="s">
        <v>292</v>
      </c>
      <c r="J759" s="191">
        <v>17.66</v>
      </c>
      <c r="K759" s="192" t="s">
        <v>752</v>
      </c>
      <c r="L759" s="193" t="s">
        <v>396</v>
      </c>
      <c r="M759" s="193" t="s">
        <v>309</v>
      </c>
      <c r="N759" s="193"/>
      <c r="O759" s="193" t="s">
        <v>740</v>
      </c>
      <c r="P759" s="193" t="s">
        <v>381</v>
      </c>
      <c r="Q759" s="193" t="s">
        <v>295</v>
      </c>
      <c r="R759" s="192" t="s">
        <v>379</v>
      </c>
      <c r="S759" s="181" t="s">
        <v>740</v>
      </c>
      <c r="T759" s="181" t="s">
        <v>381</v>
      </c>
      <c r="U759" s="181" t="s">
        <v>295</v>
      </c>
      <c r="V759" s="199" t="s">
        <v>379</v>
      </c>
    </row>
    <row r="760" spans="1:22" outlineLevel="1">
      <c r="A760" s="199" t="s">
        <v>274</v>
      </c>
      <c r="B760" s="181" t="s">
        <v>748</v>
      </c>
      <c r="C760" s="190">
        <v>43646</v>
      </c>
      <c r="D760" s="199" t="s">
        <v>754</v>
      </c>
      <c r="E760" s="182" t="s">
        <v>1287</v>
      </c>
      <c r="F760" s="183">
        <v>76341</v>
      </c>
      <c r="G760" s="184">
        <v>60.26</v>
      </c>
      <c r="H760" s="181">
        <v>80</v>
      </c>
      <c r="I760" s="181" t="s">
        <v>292</v>
      </c>
      <c r="J760" s="191">
        <v>80</v>
      </c>
      <c r="K760" s="192" t="s">
        <v>752</v>
      </c>
      <c r="L760" s="193" t="s">
        <v>396</v>
      </c>
      <c r="M760" s="193" t="s">
        <v>309</v>
      </c>
      <c r="N760" s="193"/>
      <c r="O760" s="193" t="s">
        <v>740</v>
      </c>
      <c r="P760" s="193" t="s">
        <v>381</v>
      </c>
      <c r="Q760" s="193" t="s">
        <v>295</v>
      </c>
      <c r="R760" s="192" t="s">
        <v>379</v>
      </c>
      <c r="S760" s="181" t="s">
        <v>740</v>
      </c>
      <c r="T760" s="181" t="s">
        <v>381</v>
      </c>
      <c r="U760" s="181" t="s">
        <v>295</v>
      </c>
      <c r="V760" s="199" t="s">
        <v>379</v>
      </c>
    </row>
    <row r="761" spans="1:22" outlineLevel="1">
      <c r="A761" s="199" t="s">
        <v>274</v>
      </c>
      <c r="B761" s="181" t="s">
        <v>748</v>
      </c>
      <c r="C761" s="190">
        <v>43646</v>
      </c>
      <c r="D761" s="199" t="s">
        <v>754</v>
      </c>
      <c r="E761" s="182" t="s">
        <v>1288</v>
      </c>
      <c r="F761" s="183">
        <v>76341</v>
      </c>
      <c r="G761" s="184">
        <v>60.26</v>
      </c>
      <c r="H761" s="181">
        <v>80</v>
      </c>
      <c r="I761" s="181" t="s">
        <v>292</v>
      </c>
      <c r="J761" s="191">
        <v>80</v>
      </c>
      <c r="K761" s="192" t="s">
        <v>752</v>
      </c>
      <c r="L761" s="193" t="s">
        <v>396</v>
      </c>
      <c r="M761" s="193" t="s">
        <v>309</v>
      </c>
      <c r="N761" s="193"/>
      <c r="O761" s="193" t="s">
        <v>740</v>
      </c>
      <c r="P761" s="193" t="s">
        <v>381</v>
      </c>
      <c r="Q761" s="193" t="s">
        <v>295</v>
      </c>
      <c r="R761" s="192" t="s">
        <v>379</v>
      </c>
      <c r="S761" s="181" t="s">
        <v>740</v>
      </c>
      <c r="T761" s="181" t="s">
        <v>381</v>
      </c>
      <c r="U761" s="181" t="s">
        <v>295</v>
      </c>
      <c r="V761" s="199" t="s">
        <v>379</v>
      </c>
    </row>
    <row r="762" spans="1:22" outlineLevel="1">
      <c r="A762" s="199" t="s">
        <v>274</v>
      </c>
      <c r="B762" s="181" t="s">
        <v>748</v>
      </c>
      <c r="C762" s="190">
        <v>43646</v>
      </c>
      <c r="D762" s="199" t="s">
        <v>754</v>
      </c>
      <c r="E762" s="182" t="s">
        <v>1289</v>
      </c>
      <c r="F762" s="183">
        <v>76341</v>
      </c>
      <c r="G762" s="184">
        <v>7.53</v>
      </c>
      <c r="H762" s="181">
        <v>10</v>
      </c>
      <c r="I762" s="181" t="s">
        <v>292</v>
      </c>
      <c r="J762" s="191">
        <v>10</v>
      </c>
      <c r="K762" s="192" t="s">
        <v>752</v>
      </c>
      <c r="L762" s="193" t="s">
        <v>396</v>
      </c>
      <c r="M762" s="193" t="s">
        <v>309</v>
      </c>
      <c r="N762" s="193"/>
      <c r="O762" s="193" t="s">
        <v>740</v>
      </c>
      <c r="P762" s="193" t="s">
        <v>381</v>
      </c>
      <c r="Q762" s="193" t="s">
        <v>295</v>
      </c>
      <c r="R762" s="192" t="s">
        <v>379</v>
      </c>
      <c r="S762" s="181" t="s">
        <v>740</v>
      </c>
      <c r="T762" s="181" t="s">
        <v>381</v>
      </c>
      <c r="U762" s="181" t="s">
        <v>295</v>
      </c>
      <c r="V762" s="199" t="s">
        <v>379</v>
      </c>
    </row>
    <row r="763" spans="1:22" outlineLevel="1">
      <c r="A763" s="199" t="s">
        <v>274</v>
      </c>
      <c r="B763" s="181" t="s">
        <v>748</v>
      </c>
      <c r="C763" s="190">
        <v>43646</v>
      </c>
      <c r="D763" s="199" t="s">
        <v>754</v>
      </c>
      <c r="E763" s="182" t="s">
        <v>1290</v>
      </c>
      <c r="F763" s="183">
        <v>76341</v>
      </c>
      <c r="G763" s="184">
        <v>7.53</v>
      </c>
      <c r="H763" s="181">
        <v>10</v>
      </c>
      <c r="I763" s="181" t="s">
        <v>292</v>
      </c>
      <c r="J763" s="191">
        <v>10</v>
      </c>
      <c r="K763" s="192" t="s">
        <v>752</v>
      </c>
      <c r="L763" s="193" t="s">
        <v>396</v>
      </c>
      <c r="M763" s="193" t="s">
        <v>309</v>
      </c>
      <c r="N763" s="193"/>
      <c r="O763" s="193" t="s">
        <v>740</v>
      </c>
      <c r="P763" s="193" t="s">
        <v>381</v>
      </c>
      <c r="Q763" s="193" t="s">
        <v>295</v>
      </c>
      <c r="R763" s="192" t="s">
        <v>379</v>
      </c>
      <c r="S763" s="181" t="s">
        <v>740</v>
      </c>
      <c r="T763" s="181" t="s">
        <v>381</v>
      </c>
      <c r="U763" s="181" t="s">
        <v>295</v>
      </c>
      <c r="V763" s="199" t="s">
        <v>379</v>
      </c>
    </row>
    <row r="764" spans="1:22" outlineLevel="1">
      <c r="A764" s="199" t="s">
        <v>274</v>
      </c>
      <c r="B764" s="181" t="s">
        <v>748</v>
      </c>
      <c r="C764" s="190">
        <v>43646</v>
      </c>
      <c r="D764" s="199" t="s">
        <v>750</v>
      </c>
      <c r="E764" s="182" t="s">
        <v>1420</v>
      </c>
      <c r="F764" s="183">
        <v>76330</v>
      </c>
      <c r="G764" s="184">
        <v>75.319999999999993</v>
      </c>
      <c r="H764" s="181">
        <v>100</v>
      </c>
      <c r="I764" s="181" t="s">
        <v>292</v>
      </c>
      <c r="J764" s="191">
        <v>95.07</v>
      </c>
      <c r="K764" s="192" t="s">
        <v>752</v>
      </c>
      <c r="L764" s="193" t="s">
        <v>396</v>
      </c>
      <c r="M764" s="193" t="s">
        <v>309</v>
      </c>
      <c r="N764" s="193"/>
      <c r="O764" s="193" t="s">
        <v>737</v>
      </c>
      <c r="P764" s="193" t="s">
        <v>381</v>
      </c>
      <c r="Q764" s="193" t="s">
        <v>295</v>
      </c>
      <c r="R764" s="192" t="s">
        <v>379</v>
      </c>
      <c r="S764" s="181" t="s">
        <v>737</v>
      </c>
      <c r="T764" s="181" t="s">
        <v>381</v>
      </c>
      <c r="U764" s="181" t="s">
        <v>295</v>
      </c>
      <c r="V764" s="199" t="s">
        <v>379</v>
      </c>
    </row>
    <row r="765" spans="1:22" outlineLevel="1">
      <c r="A765" s="199" t="s">
        <v>274</v>
      </c>
      <c r="B765" s="181" t="s">
        <v>748</v>
      </c>
      <c r="C765" s="190">
        <v>43646</v>
      </c>
      <c r="D765" s="199" t="s">
        <v>750</v>
      </c>
      <c r="E765" s="182" t="s">
        <v>1421</v>
      </c>
      <c r="F765" s="183">
        <v>76330</v>
      </c>
      <c r="G765" s="184">
        <v>75.319999999999993</v>
      </c>
      <c r="H765" s="181">
        <v>100</v>
      </c>
      <c r="I765" s="181" t="s">
        <v>292</v>
      </c>
      <c r="J765" s="191">
        <v>95.07</v>
      </c>
      <c r="K765" s="192" t="s">
        <v>752</v>
      </c>
      <c r="L765" s="193" t="s">
        <v>396</v>
      </c>
      <c r="M765" s="193" t="s">
        <v>309</v>
      </c>
      <c r="N765" s="193"/>
      <c r="O765" s="193" t="s">
        <v>737</v>
      </c>
      <c r="P765" s="193" t="s">
        <v>381</v>
      </c>
      <c r="Q765" s="193" t="s">
        <v>295</v>
      </c>
      <c r="R765" s="192" t="s">
        <v>379</v>
      </c>
      <c r="S765" s="181" t="s">
        <v>737</v>
      </c>
      <c r="T765" s="181" t="s">
        <v>381</v>
      </c>
      <c r="U765" s="181" t="s">
        <v>295</v>
      </c>
      <c r="V765" s="199" t="s">
        <v>379</v>
      </c>
    </row>
    <row r="766" spans="1:22" outlineLevel="1">
      <c r="A766" s="199" t="s">
        <v>274</v>
      </c>
      <c r="B766" s="181" t="s">
        <v>748</v>
      </c>
      <c r="C766" s="190">
        <v>43646</v>
      </c>
      <c r="D766" s="199" t="s">
        <v>750</v>
      </c>
      <c r="E766" s="182" t="s">
        <v>1421</v>
      </c>
      <c r="F766" s="183">
        <v>76330</v>
      </c>
      <c r="G766" s="184">
        <v>75.319999999999993</v>
      </c>
      <c r="H766" s="181">
        <v>100</v>
      </c>
      <c r="I766" s="181" t="s">
        <v>292</v>
      </c>
      <c r="J766" s="191">
        <v>95.07</v>
      </c>
      <c r="K766" s="192" t="s">
        <v>752</v>
      </c>
      <c r="L766" s="193" t="s">
        <v>396</v>
      </c>
      <c r="M766" s="193" t="s">
        <v>309</v>
      </c>
      <c r="N766" s="193"/>
      <c r="O766" s="193" t="s">
        <v>737</v>
      </c>
      <c r="P766" s="193" t="s">
        <v>381</v>
      </c>
      <c r="Q766" s="193" t="s">
        <v>295</v>
      </c>
      <c r="R766" s="192" t="s">
        <v>379</v>
      </c>
      <c r="S766" s="181" t="s">
        <v>737</v>
      </c>
      <c r="T766" s="181" t="s">
        <v>381</v>
      </c>
      <c r="U766" s="181" t="s">
        <v>295</v>
      </c>
      <c r="V766" s="199" t="s">
        <v>379</v>
      </c>
    </row>
    <row r="767" spans="1:22" outlineLevel="1">
      <c r="A767" s="199" t="s">
        <v>274</v>
      </c>
      <c r="B767" s="181" t="s">
        <v>748</v>
      </c>
      <c r="C767" s="190">
        <v>43646</v>
      </c>
      <c r="D767" s="199" t="s">
        <v>750</v>
      </c>
      <c r="E767" s="182" t="s">
        <v>1421</v>
      </c>
      <c r="F767" s="183">
        <v>76330</v>
      </c>
      <c r="G767" s="184">
        <v>75.319999999999993</v>
      </c>
      <c r="H767" s="181">
        <v>100</v>
      </c>
      <c r="I767" s="181" t="s">
        <v>292</v>
      </c>
      <c r="J767" s="191">
        <v>95.07</v>
      </c>
      <c r="K767" s="192" t="s">
        <v>752</v>
      </c>
      <c r="L767" s="193" t="s">
        <v>396</v>
      </c>
      <c r="M767" s="193" t="s">
        <v>309</v>
      </c>
      <c r="N767" s="193"/>
      <c r="O767" s="193" t="s">
        <v>737</v>
      </c>
      <c r="P767" s="193" t="s">
        <v>381</v>
      </c>
      <c r="Q767" s="193" t="s">
        <v>295</v>
      </c>
      <c r="R767" s="192" t="s">
        <v>379</v>
      </c>
      <c r="S767" s="181" t="s">
        <v>737</v>
      </c>
      <c r="T767" s="181" t="s">
        <v>381</v>
      </c>
      <c r="U767" s="181" t="s">
        <v>295</v>
      </c>
      <c r="V767" s="199" t="s">
        <v>379</v>
      </c>
    </row>
    <row r="768" spans="1:22" outlineLevel="1">
      <c r="A768" s="199" t="s">
        <v>274</v>
      </c>
      <c r="B768" s="181" t="s">
        <v>748</v>
      </c>
      <c r="C768" s="190">
        <v>43646</v>
      </c>
      <c r="D768" s="199" t="s">
        <v>750</v>
      </c>
      <c r="E768" s="182" t="s">
        <v>1422</v>
      </c>
      <c r="F768" s="183">
        <v>76330</v>
      </c>
      <c r="G768" s="184">
        <v>527.26</v>
      </c>
      <c r="H768" s="181">
        <v>700</v>
      </c>
      <c r="I768" s="181" t="s">
        <v>292</v>
      </c>
      <c r="J768" s="191">
        <v>665.53</v>
      </c>
      <c r="K768" s="192" t="s">
        <v>752</v>
      </c>
      <c r="L768" s="193" t="s">
        <v>396</v>
      </c>
      <c r="M768" s="193" t="s">
        <v>309</v>
      </c>
      <c r="N768" s="193"/>
      <c r="O768" s="193" t="s">
        <v>737</v>
      </c>
      <c r="P768" s="193" t="s">
        <v>381</v>
      </c>
      <c r="Q768" s="193" t="s">
        <v>295</v>
      </c>
      <c r="R768" s="192" t="s">
        <v>379</v>
      </c>
      <c r="S768" s="181" t="s">
        <v>737</v>
      </c>
      <c r="T768" s="181" t="s">
        <v>381</v>
      </c>
      <c r="U768" s="181" t="s">
        <v>295</v>
      </c>
      <c r="V768" s="199" t="s">
        <v>379</v>
      </c>
    </row>
    <row r="769" spans="1:22" outlineLevel="1">
      <c r="A769" s="199" t="s">
        <v>274</v>
      </c>
      <c r="B769" s="181" t="s">
        <v>748</v>
      </c>
      <c r="C769" s="190">
        <v>43646</v>
      </c>
      <c r="D769" s="199" t="s">
        <v>750</v>
      </c>
      <c r="E769" s="182" t="s">
        <v>1423</v>
      </c>
      <c r="F769" s="183">
        <v>76330</v>
      </c>
      <c r="G769" s="184">
        <v>451.94</v>
      </c>
      <c r="H769" s="181">
        <v>600</v>
      </c>
      <c r="I769" s="181" t="s">
        <v>292</v>
      </c>
      <c r="J769" s="191">
        <v>570.45000000000005</v>
      </c>
      <c r="K769" s="192" t="s">
        <v>752</v>
      </c>
      <c r="L769" s="193" t="s">
        <v>396</v>
      </c>
      <c r="M769" s="193" t="s">
        <v>309</v>
      </c>
      <c r="N769" s="193"/>
      <c r="O769" s="193" t="s">
        <v>737</v>
      </c>
      <c r="P769" s="193" t="s">
        <v>381</v>
      </c>
      <c r="Q769" s="193" t="s">
        <v>295</v>
      </c>
      <c r="R769" s="192" t="s">
        <v>379</v>
      </c>
      <c r="S769" s="181" t="s">
        <v>737</v>
      </c>
      <c r="T769" s="181" t="s">
        <v>381</v>
      </c>
      <c r="U769" s="181" t="s">
        <v>295</v>
      </c>
      <c r="V769" s="199" t="s">
        <v>379</v>
      </c>
    </row>
    <row r="770" spans="1:22" outlineLevel="1">
      <c r="A770" s="199" t="s">
        <v>274</v>
      </c>
      <c r="B770" s="181" t="s">
        <v>748</v>
      </c>
      <c r="C770" s="190">
        <v>43646</v>
      </c>
      <c r="D770" s="199" t="s">
        <v>754</v>
      </c>
      <c r="E770" s="182" t="s">
        <v>1424</v>
      </c>
      <c r="F770" s="183">
        <v>76341</v>
      </c>
      <c r="G770" s="184">
        <v>13.3</v>
      </c>
      <c r="H770" s="181">
        <v>17.66</v>
      </c>
      <c r="I770" s="181" t="s">
        <v>292</v>
      </c>
      <c r="J770" s="191">
        <v>17.66</v>
      </c>
      <c r="K770" s="192" t="s">
        <v>752</v>
      </c>
      <c r="L770" s="193" t="s">
        <v>396</v>
      </c>
      <c r="M770" s="193" t="s">
        <v>309</v>
      </c>
      <c r="N770" s="193"/>
      <c r="O770" s="193" t="s">
        <v>740</v>
      </c>
      <c r="P770" s="193" t="s">
        <v>381</v>
      </c>
      <c r="Q770" s="193" t="s">
        <v>295</v>
      </c>
      <c r="R770" s="192" t="s">
        <v>379</v>
      </c>
      <c r="S770" s="181" t="s">
        <v>740</v>
      </c>
      <c r="T770" s="181" t="s">
        <v>381</v>
      </c>
      <c r="U770" s="181" t="s">
        <v>295</v>
      </c>
      <c r="V770" s="199" t="s">
        <v>379</v>
      </c>
    </row>
    <row r="771" spans="1:22" outlineLevel="1">
      <c r="A771" s="199" t="s">
        <v>274</v>
      </c>
      <c r="B771" s="181" t="s">
        <v>748</v>
      </c>
      <c r="C771" s="190">
        <v>43646</v>
      </c>
      <c r="D771" s="199" t="s">
        <v>754</v>
      </c>
      <c r="E771" s="182" t="s">
        <v>1287</v>
      </c>
      <c r="F771" s="183">
        <v>76341</v>
      </c>
      <c r="G771" s="184">
        <v>60.26</v>
      </c>
      <c r="H771" s="181">
        <v>80</v>
      </c>
      <c r="I771" s="181" t="s">
        <v>292</v>
      </c>
      <c r="J771" s="191">
        <v>80</v>
      </c>
      <c r="K771" s="192" t="s">
        <v>752</v>
      </c>
      <c r="L771" s="193" t="s">
        <v>396</v>
      </c>
      <c r="M771" s="193" t="s">
        <v>309</v>
      </c>
      <c r="N771" s="193"/>
      <c r="O771" s="193" t="s">
        <v>740</v>
      </c>
      <c r="P771" s="193" t="s">
        <v>381</v>
      </c>
      <c r="Q771" s="193" t="s">
        <v>295</v>
      </c>
      <c r="R771" s="192" t="s">
        <v>379</v>
      </c>
      <c r="S771" s="181" t="s">
        <v>740</v>
      </c>
      <c r="T771" s="181" t="s">
        <v>381</v>
      </c>
      <c r="U771" s="181" t="s">
        <v>295</v>
      </c>
      <c r="V771" s="199" t="s">
        <v>379</v>
      </c>
    </row>
    <row r="772" spans="1:22" outlineLevel="1">
      <c r="A772" s="199" t="s">
        <v>274</v>
      </c>
      <c r="B772" s="181" t="s">
        <v>748</v>
      </c>
      <c r="C772" s="190">
        <v>43646</v>
      </c>
      <c r="D772" s="199" t="s">
        <v>754</v>
      </c>
      <c r="E772" s="182" t="s">
        <v>1288</v>
      </c>
      <c r="F772" s="183">
        <v>76341</v>
      </c>
      <c r="G772" s="184">
        <v>60.26</v>
      </c>
      <c r="H772" s="181">
        <v>80</v>
      </c>
      <c r="I772" s="181" t="s">
        <v>292</v>
      </c>
      <c r="J772" s="191">
        <v>80</v>
      </c>
      <c r="K772" s="192" t="s">
        <v>752</v>
      </c>
      <c r="L772" s="193" t="s">
        <v>396</v>
      </c>
      <c r="M772" s="193" t="s">
        <v>309</v>
      </c>
      <c r="N772" s="193"/>
      <c r="O772" s="193" t="s">
        <v>740</v>
      </c>
      <c r="P772" s="193" t="s">
        <v>381</v>
      </c>
      <c r="Q772" s="193" t="s">
        <v>295</v>
      </c>
      <c r="R772" s="192" t="s">
        <v>379</v>
      </c>
      <c r="S772" s="181" t="s">
        <v>740</v>
      </c>
      <c r="T772" s="181" t="s">
        <v>381</v>
      </c>
      <c r="U772" s="181" t="s">
        <v>295</v>
      </c>
      <c r="V772" s="199" t="s">
        <v>379</v>
      </c>
    </row>
    <row r="773" spans="1:22" outlineLevel="1">
      <c r="A773" s="199" t="s">
        <v>274</v>
      </c>
      <c r="B773" s="181" t="s">
        <v>748</v>
      </c>
      <c r="C773" s="190">
        <v>43646</v>
      </c>
      <c r="D773" s="199" t="s">
        <v>754</v>
      </c>
      <c r="E773" s="182" t="s">
        <v>1289</v>
      </c>
      <c r="F773" s="183">
        <v>76341</v>
      </c>
      <c r="G773" s="184">
        <v>7.53</v>
      </c>
      <c r="H773" s="181">
        <v>10</v>
      </c>
      <c r="I773" s="181" t="s">
        <v>292</v>
      </c>
      <c r="J773" s="191">
        <v>10</v>
      </c>
      <c r="K773" s="192" t="s">
        <v>752</v>
      </c>
      <c r="L773" s="193" t="s">
        <v>396</v>
      </c>
      <c r="M773" s="193" t="s">
        <v>309</v>
      </c>
      <c r="N773" s="193"/>
      <c r="O773" s="193" t="s">
        <v>740</v>
      </c>
      <c r="P773" s="193" t="s">
        <v>381</v>
      </c>
      <c r="Q773" s="193" t="s">
        <v>295</v>
      </c>
      <c r="R773" s="192" t="s">
        <v>379</v>
      </c>
      <c r="S773" s="181" t="s">
        <v>740</v>
      </c>
      <c r="T773" s="181" t="s">
        <v>381</v>
      </c>
      <c r="U773" s="181" t="s">
        <v>295</v>
      </c>
      <c r="V773" s="199" t="s">
        <v>379</v>
      </c>
    </row>
    <row r="774" spans="1:22" outlineLevel="1">
      <c r="A774" s="199" t="s">
        <v>274</v>
      </c>
      <c r="B774" s="181" t="s">
        <v>748</v>
      </c>
      <c r="C774" s="190">
        <v>43646</v>
      </c>
      <c r="D774" s="199" t="s">
        <v>754</v>
      </c>
      <c r="E774" s="182" t="s">
        <v>1290</v>
      </c>
      <c r="F774" s="183">
        <v>76341</v>
      </c>
      <c r="G774" s="184">
        <v>7.53</v>
      </c>
      <c r="H774" s="181">
        <v>10</v>
      </c>
      <c r="I774" s="181" t="s">
        <v>292</v>
      </c>
      <c r="J774" s="191">
        <v>10</v>
      </c>
      <c r="K774" s="192" t="s">
        <v>752</v>
      </c>
      <c r="L774" s="193" t="s">
        <v>396</v>
      </c>
      <c r="M774" s="193" t="s">
        <v>309</v>
      </c>
      <c r="N774" s="193"/>
      <c r="O774" s="193" t="s">
        <v>740</v>
      </c>
      <c r="P774" s="193" t="s">
        <v>381</v>
      </c>
      <c r="Q774" s="193" t="s">
        <v>295</v>
      </c>
      <c r="R774" s="192" t="s">
        <v>379</v>
      </c>
      <c r="S774" s="181" t="s">
        <v>740</v>
      </c>
      <c r="T774" s="181" t="s">
        <v>381</v>
      </c>
      <c r="U774" s="181" t="s">
        <v>295</v>
      </c>
      <c r="V774" s="199" t="s">
        <v>379</v>
      </c>
    </row>
    <row r="775" spans="1:22" outlineLevel="1">
      <c r="A775" s="199" t="s">
        <v>274</v>
      </c>
      <c r="B775" s="181" t="s">
        <v>748</v>
      </c>
      <c r="C775" s="190">
        <v>43646</v>
      </c>
      <c r="D775" s="199" t="s">
        <v>754</v>
      </c>
      <c r="E775" s="182" t="s">
        <v>1287</v>
      </c>
      <c r="F775" s="183">
        <v>76341</v>
      </c>
      <c r="G775" s="184">
        <v>60.26</v>
      </c>
      <c r="H775" s="181">
        <v>80</v>
      </c>
      <c r="I775" s="181" t="s">
        <v>292</v>
      </c>
      <c r="J775" s="191">
        <v>80</v>
      </c>
      <c r="K775" s="192" t="s">
        <v>752</v>
      </c>
      <c r="L775" s="193" t="s">
        <v>396</v>
      </c>
      <c r="M775" s="193" t="s">
        <v>309</v>
      </c>
      <c r="N775" s="193"/>
      <c r="O775" s="193" t="s">
        <v>740</v>
      </c>
      <c r="P775" s="193" t="s">
        <v>381</v>
      </c>
      <c r="Q775" s="193" t="s">
        <v>295</v>
      </c>
      <c r="R775" s="192" t="s">
        <v>379</v>
      </c>
      <c r="S775" s="181" t="s">
        <v>740</v>
      </c>
      <c r="T775" s="181" t="s">
        <v>381</v>
      </c>
      <c r="U775" s="181" t="s">
        <v>295</v>
      </c>
      <c r="V775" s="199" t="s">
        <v>379</v>
      </c>
    </row>
    <row r="776" spans="1:22" outlineLevel="1">
      <c r="A776" s="199" t="s">
        <v>274</v>
      </c>
      <c r="B776" s="181" t="s">
        <v>748</v>
      </c>
      <c r="C776" s="190">
        <v>43646</v>
      </c>
      <c r="D776" s="199" t="s">
        <v>754</v>
      </c>
      <c r="E776" s="182" t="s">
        <v>1288</v>
      </c>
      <c r="F776" s="183">
        <v>76341</v>
      </c>
      <c r="G776" s="184">
        <v>60.26</v>
      </c>
      <c r="H776" s="181">
        <v>80</v>
      </c>
      <c r="I776" s="181" t="s">
        <v>292</v>
      </c>
      <c r="J776" s="191">
        <v>80</v>
      </c>
      <c r="K776" s="192" t="s">
        <v>752</v>
      </c>
      <c r="L776" s="193" t="s">
        <v>396</v>
      </c>
      <c r="M776" s="193" t="s">
        <v>309</v>
      </c>
      <c r="N776" s="193"/>
      <c r="O776" s="193" t="s">
        <v>740</v>
      </c>
      <c r="P776" s="193" t="s">
        <v>381</v>
      </c>
      <c r="Q776" s="193" t="s">
        <v>295</v>
      </c>
      <c r="R776" s="192" t="s">
        <v>379</v>
      </c>
      <c r="S776" s="181" t="s">
        <v>740</v>
      </c>
      <c r="T776" s="181" t="s">
        <v>381</v>
      </c>
      <c r="U776" s="181" t="s">
        <v>295</v>
      </c>
      <c r="V776" s="199" t="s">
        <v>379</v>
      </c>
    </row>
    <row r="777" spans="1:22" outlineLevel="1">
      <c r="A777" s="199" t="s">
        <v>274</v>
      </c>
      <c r="B777" s="181" t="s">
        <v>748</v>
      </c>
      <c r="C777" s="190">
        <v>43646</v>
      </c>
      <c r="D777" s="199" t="s">
        <v>754</v>
      </c>
      <c r="E777" s="182" t="s">
        <v>1289</v>
      </c>
      <c r="F777" s="183">
        <v>76341</v>
      </c>
      <c r="G777" s="184">
        <v>7.53</v>
      </c>
      <c r="H777" s="181">
        <v>10</v>
      </c>
      <c r="I777" s="181" t="s">
        <v>292</v>
      </c>
      <c r="J777" s="191">
        <v>10</v>
      </c>
      <c r="K777" s="192" t="s">
        <v>752</v>
      </c>
      <c r="L777" s="193" t="s">
        <v>396</v>
      </c>
      <c r="M777" s="193" t="s">
        <v>309</v>
      </c>
      <c r="N777" s="193"/>
      <c r="O777" s="193" t="s">
        <v>740</v>
      </c>
      <c r="P777" s="193" t="s">
        <v>381</v>
      </c>
      <c r="Q777" s="193" t="s">
        <v>295</v>
      </c>
      <c r="R777" s="192" t="s">
        <v>379</v>
      </c>
      <c r="S777" s="181" t="s">
        <v>740</v>
      </c>
      <c r="T777" s="181" t="s">
        <v>381</v>
      </c>
      <c r="U777" s="181" t="s">
        <v>295</v>
      </c>
      <c r="V777" s="199" t="s">
        <v>379</v>
      </c>
    </row>
    <row r="778" spans="1:22" outlineLevel="1">
      <c r="A778" s="199" t="s">
        <v>274</v>
      </c>
      <c r="B778" s="181" t="s">
        <v>748</v>
      </c>
      <c r="C778" s="190">
        <v>43646</v>
      </c>
      <c r="D778" s="199" t="s">
        <v>754</v>
      </c>
      <c r="E778" s="182" t="s">
        <v>1290</v>
      </c>
      <c r="F778" s="183">
        <v>76341</v>
      </c>
      <c r="G778" s="184">
        <v>7.53</v>
      </c>
      <c r="H778" s="181">
        <v>10</v>
      </c>
      <c r="I778" s="181" t="s">
        <v>292</v>
      </c>
      <c r="J778" s="191">
        <v>10</v>
      </c>
      <c r="K778" s="192" t="s">
        <v>752</v>
      </c>
      <c r="L778" s="193" t="s">
        <v>396</v>
      </c>
      <c r="M778" s="193" t="s">
        <v>309</v>
      </c>
      <c r="N778" s="193"/>
      <c r="O778" s="193" t="s">
        <v>740</v>
      </c>
      <c r="P778" s="193" t="s">
        <v>381</v>
      </c>
      <c r="Q778" s="193" t="s">
        <v>295</v>
      </c>
      <c r="R778" s="192" t="s">
        <v>379</v>
      </c>
      <c r="S778" s="181" t="s">
        <v>740</v>
      </c>
      <c r="T778" s="181" t="s">
        <v>381</v>
      </c>
      <c r="U778" s="181" t="s">
        <v>295</v>
      </c>
      <c r="V778" s="199" t="s">
        <v>379</v>
      </c>
    </row>
    <row r="779" spans="1:22">
      <c r="A779" s="194" t="s">
        <v>378</v>
      </c>
      <c r="B779" s="194"/>
      <c r="C779" s="194"/>
      <c r="D779" s="194"/>
      <c r="E779" s="195"/>
      <c r="F779" s="196"/>
      <c r="G779" s="197">
        <f>SUM(G568:G778)</f>
        <v>22924.989999999958</v>
      </c>
      <c r="H779" s="198">
        <f>SUM(H568:H778)</f>
        <v>29623.519999999986</v>
      </c>
      <c r="I779" s="194"/>
      <c r="J779" s="198">
        <f>SUM(J568:J778)</f>
        <v>29010.679999999953</v>
      </c>
      <c r="K779" s="194"/>
      <c r="L779" s="194"/>
      <c r="M779" s="194"/>
      <c r="N779" s="194"/>
      <c r="O779" s="194"/>
      <c r="P779" s="194"/>
      <c r="Q779" s="194"/>
      <c r="R779" s="194"/>
      <c r="S779" s="181"/>
      <c r="T779" s="181"/>
      <c r="U779" s="181"/>
      <c r="V779" s="181"/>
    </row>
    <row r="780" spans="1:22" outlineLevel="1">
      <c r="A780" s="199" t="s">
        <v>275</v>
      </c>
      <c r="B780" s="181" t="s">
        <v>777</v>
      </c>
      <c r="C780" s="190">
        <v>43613</v>
      </c>
      <c r="D780" s="199" t="s">
        <v>803</v>
      </c>
      <c r="E780" s="182" t="s">
        <v>1425</v>
      </c>
      <c r="F780" s="183">
        <v>75987</v>
      </c>
      <c r="G780" s="184">
        <v>9.2100000000000009</v>
      </c>
      <c r="H780" s="181">
        <v>12</v>
      </c>
      <c r="I780" s="181" t="s">
        <v>292</v>
      </c>
      <c r="J780" s="191">
        <v>12</v>
      </c>
      <c r="K780" s="192" t="s">
        <v>604</v>
      </c>
      <c r="L780" s="193" t="s">
        <v>396</v>
      </c>
      <c r="M780" s="193" t="s">
        <v>309</v>
      </c>
      <c r="N780" s="193" t="s">
        <v>584</v>
      </c>
      <c r="O780" s="193"/>
      <c r="P780" s="193" t="s">
        <v>381</v>
      </c>
      <c r="Q780" s="193" t="s">
        <v>295</v>
      </c>
      <c r="R780" s="192" t="s">
        <v>379</v>
      </c>
      <c r="S780" s="181"/>
      <c r="T780" s="181" t="s">
        <v>381</v>
      </c>
      <c r="U780" s="181" t="s">
        <v>295</v>
      </c>
      <c r="V780" s="199" t="s">
        <v>379</v>
      </c>
    </row>
    <row r="781" spans="1:22" outlineLevel="1">
      <c r="A781" s="199" t="s">
        <v>275</v>
      </c>
      <c r="B781" s="181" t="s">
        <v>777</v>
      </c>
      <c r="C781" s="190">
        <v>43613</v>
      </c>
      <c r="D781" s="199" t="s">
        <v>803</v>
      </c>
      <c r="E781" s="182" t="s">
        <v>1426</v>
      </c>
      <c r="F781" s="183">
        <v>75987</v>
      </c>
      <c r="G781" s="184">
        <v>118.19</v>
      </c>
      <c r="H781" s="181">
        <v>154</v>
      </c>
      <c r="I781" s="181" t="s">
        <v>292</v>
      </c>
      <c r="J781" s="191">
        <v>153.99</v>
      </c>
      <c r="K781" s="192" t="s">
        <v>615</v>
      </c>
      <c r="L781" s="193" t="s">
        <v>396</v>
      </c>
      <c r="M781" s="193" t="s">
        <v>309</v>
      </c>
      <c r="N781" s="193" t="s">
        <v>584</v>
      </c>
      <c r="O781" s="193"/>
      <c r="P781" s="193" t="s">
        <v>381</v>
      </c>
      <c r="Q781" s="193" t="s">
        <v>295</v>
      </c>
      <c r="R781" s="192" t="s">
        <v>379</v>
      </c>
      <c r="S781" s="181"/>
      <c r="T781" s="181" t="s">
        <v>381</v>
      </c>
      <c r="U781" s="181" t="s">
        <v>295</v>
      </c>
      <c r="V781" s="199" t="s">
        <v>379</v>
      </c>
    </row>
    <row r="782" spans="1:22" outlineLevel="1">
      <c r="A782" s="199" t="s">
        <v>275</v>
      </c>
      <c r="B782" s="181" t="s">
        <v>748</v>
      </c>
      <c r="C782" s="190">
        <v>43619</v>
      </c>
      <c r="D782" s="199" t="s">
        <v>1229</v>
      </c>
      <c r="E782" s="182" t="s">
        <v>1427</v>
      </c>
      <c r="F782" s="183">
        <v>76315</v>
      </c>
      <c r="G782" s="184">
        <v>13.13</v>
      </c>
      <c r="H782" s="181">
        <v>16.57</v>
      </c>
      <c r="I782" s="181" t="s">
        <v>292</v>
      </c>
      <c r="J782" s="191">
        <v>16.57</v>
      </c>
      <c r="K782" s="192" t="s">
        <v>604</v>
      </c>
      <c r="L782" s="193" t="s">
        <v>396</v>
      </c>
      <c r="M782" s="193" t="s">
        <v>309</v>
      </c>
      <c r="N782" s="193" t="s">
        <v>1428</v>
      </c>
      <c r="O782" s="193"/>
      <c r="P782" s="193" t="s">
        <v>381</v>
      </c>
      <c r="Q782" s="193" t="s">
        <v>295</v>
      </c>
      <c r="R782" s="192" t="s">
        <v>379</v>
      </c>
      <c r="S782" s="181"/>
      <c r="T782" s="181" t="s">
        <v>381</v>
      </c>
      <c r="U782" s="181" t="s">
        <v>295</v>
      </c>
      <c r="V782" s="199" t="s">
        <v>379</v>
      </c>
    </row>
    <row r="783" spans="1:22" outlineLevel="1">
      <c r="A783" s="199" t="s">
        <v>275</v>
      </c>
      <c r="B783" s="181" t="s">
        <v>748</v>
      </c>
      <c r="C783" s="190">
        <v>43623</v>
      </c>
      <c r="D783" s="199" t="s">
        <v>1229</v>
      </c>
      <c r="E783" s="182" t="s">
        <v>1429</v>
      </c>
      <c r="F783" s="183">
        <v>76315</v>
      </c>
      <c r="G783" s="184">
        <v>13.35</v>
      </c>
      <c r="H783" s="181">
        <v>16.850000000000001</v>
      </c>
      <c r="I783" s="181" t="s">
        <v>292</v>
      </c>
      <c r="J783" s="191">
        <v>16.850000000000001</v>
      </c>
      <c r="K783" s="192" t="s">
        <v>604</v>
      </c>
      <c r="L783" s="193" t="s">
        <v>396</v>
      </c>
      <c r="M783" s="193" t="s">
        <v>309</v>
      </c>
      <c r="N783" s="193" t="s">
        <v>1428</v>
      </c>
      <c r="O783" s="193"/>
      <c r="P783" s="193" t="s">
        <v>381</v>
      </c>
      <c r="Q783" s="193" t="s">
        <v>295</v>
      </c>
      <c r="R783" s="192" t="s">
        <v>379</v>
      </c>
      <c r="S783" s="181"/>
      <c r="T783" s="181" t="s">
        <v>381</v>
      </c>
      <c r="U783" s="181" t="s">
        <v>295</v>
      </c>
      <c r="V783" s="199" t="s">
        <v>379</v>
      </c>
    </row>
    <row r="784" spans="1:22" outlineLevel="1">
      <c r="A784" s="199" t="s">
        <v>275</v>
      </c>
      <c r="B784" s="181" t="s">
        <v>748</v>
      </c>
      <c r="C784" s="190">
        <v>43643</v>
      </c>
      <c r="D784" s="199" t="s">
        <v>1117</v>
      </c>
      <c r="E784" s="182" t="s">
        <v>1430</v>
      </c>
      <c r="F784" s="183">
        <v>76315</v>
      </c>
      <c r="G784" s="184">
        <v>221.83</v>
      </c>
      <c r="H784" s="181">
        <v>280</v>
      </c>
      <c r="I784" s="181" t="s">
        <v>292</v>
      </c>
      <c r="J784" s="191">
        <v>280</v>
      </c>
      <c r="K784" s="192" t="s">
        <v>610</v>
      </c>
      <c r="L784" s="193" t="s">
        <v>396</v>
      </c>
      <c r="M784" s="193" t="s">
        <v>309</v>
      </c>
      <c r="N784" s="193" t="s">
        <v>1428</v>
      </c>
      <c r="O784" s="193"/>
      <c r="P784" s="193" t="s">
        <v>381</v>
      </c>
      <c r="Q784" s="193" t="s">
        <v>295</v>
      </c>
      <c r="R784" s="192" t="s">
        <v>379</v>
      </c>
      <c r="S784" s="181"/>
      <c r="T784" s="181" t="s">
        <v>381</v>
      </c>
      <c r="U784" s="181" t="s">
        <v>295</v>
      </c>
      <c r="V784" s="199" t="s">
        <v>379</v>
      </c>
    </row>
    <row r="785" spans="1:22" outlineLevel="1">
      <c r="A785" s="199" t="s">
        <v>275</v>
      </c>
      <c r="B785" s="181" t="s">
        <v>748</v>
      </c>
      <c r="C785" s="190">
        <v>43619</v>
      </c>
      <c r="D785" s="199" t="s">
        <v>1431</v>
      </c>
      <c r="E785" s="182" t="s">
        <v>1432</v>
      </c>
      <c r="F785" s="183">
        <v>76315</v>
      </c>
      <c r="G785" s="184">
        <v>94.28</v>
      </c>
      <c r="H785" s="181">
        <v>119</v>
      </c>
      <c r="I785" s="181" t="s">
        <v>292</v>
      </c>
      <c r="J785" s="191">
        <v>119</v>
      </c>
      <c r="K785" s="192" t="s">
        <v>615</v>
      </c>
      <c r="L785" s="193" t="s">
        <v>396</v>
      </c>
      <c r="M785" s="193" t="s">
        <v>309</v>
      </c>
      <c r="N785" s="193" t="s">
        <v>558</v>
      </c>
      <c r="O785" s="193"/>
      <c r="P785" s="193" t="s">
        <v>381</v>
      </c>
      <c r="Q785" s="193" t="s">
        <v>295</v>
      </c>
      <c r="R785" s="192" t="s">
        <v>379</v>
      </c>
      <c r="S785" s="181"/>
      <c r="T785" s="181" t="s">
        <v>381</v>
      </c>
      <c r="U785" s="181" t="s">
        <v>295</v>
      </c>
      <c r="V785" s="199" t="s">
        <v>379</v>
      </c>
    </row>
    <row r="786" spans="1:22" outlineLevel="1">
      <c r="A786" s="199" t="s">
        <v>275</v>
      </c>
      <c r="B786" s="181" t="s">
        <v>748</v>
      </c>
      <c r="C786" s="190">
        <v>43619</v>
      </c>
      <c r="D786" s="199" t="s">
        <v>1431</v>
      </c>
      <c r="E786" s="182" t="s">
        <v>1433</v>
      </c>
      <c r="F786" s="183">
        <v>76315</v>
      </c>
      <c r="G786" s="184">
        <v>1414.95</v>
      </c>
      <c r="H786" s="181">
        <v>1786</v>
      </c>
      <c r="I786" s="181" t="s">
        <v>292</v>
      </c>
      <c r="J786" s="191">
        <v>1786</v>
      </c>
      <c r="K786" s="192" t="s">
        <v>714</v>
      </c>
      <c r="L786" s="193" t="s">
        <v>396</v>
      </c>
      <c r="M786" s="193" t="s">
        <v>309</v>
      </c>
      <c r="N786" s="193"/>
      <c r="O786" s="193"/>
      <c r="P786" s="193" t="s">
        <v>381</v>
      </c>
      <c r="Q786" s="193" t="s">
        <v>295</v>
      </c>
      <c r="R786" s="192" t="s">
        <v>379</v>
      </c>
      <c r="S786" s="181"/>
      <c r="T786" s="181" t="s">
        <v>381</v>
      </c>
      <c r="U786" s="181" t="s">
        <v>295</v>
      </c>
      <c r="V786" s="199" t="s">
        <v>379</v>
      </c>
    </row>
    <row r="787" spans="1:22" outlineLevel="1">
      <c r="A787" s="199" t="s">
        <v>275</v>
      </c>
      <c r="B787" s="181" t="s">
        <v>748</v>
      </c>
      <c r="C787" s="190">
        <v>43622</v>
      </c>
      <c r="D787" s="199" t="s">
        <v>1434</v>
      </c>
      <c r="E787" s="182" t="s">
        <v>1435</v>
      </c>
      <c r="F787" s="183">
        <v>76315</v>
      </c>
      <c r="G787" s="184">
        <v>39.61</v>
      </c>
      <c r="H787" s="181">
        <v>50</v>
      </c>
      <c r="I787" s="181" t="s">
        <v>292</v>
      </c>
      <c r="J787" s="191">
        <v>50</v>
      </c>
      <c r="K787" s="192" t="s">
        <v>714</v>
      </c>
      <c r="L787" s="193" t="s">
        <v>396</v>
      </c>
      <c r="M787" s="193" t="s">
        <v>309</v>
      </c>
      <c r="N787" s="193"/>
      <c r="O787" s="193"/>
      <c r="P787" s="193" t="s">
        <v>381</v>
      </c>
      <c r="Q787" s="193" t="s">
        <v>295</v>
      </c>
      <c r="R787" s="192" t="s">
        <v>379</v>
      </c>
      <c r="S787" s="181"/>
      <c r="T787" s="181" t="s">
        <v>381</v>
      </c>
      <c r="U787" s="181" t="s">
        <v>295</v>
      </c>
      <c r="V787" s="199" t="s">
        <v>379</v>
      </c>
    </row>
    <row r="788" spans="1:22" outlineLevel="1">
      <c r="A788" s="199" t="s">
        <v>275</v>
      </c>
      <c r="B788" s="181" t="s">
        <v>748</v>
      </c>
      <c r="C788" s="190">
        <v>43622</v>
      </c>
      <c r="D788" s="199" t="s">
        <v>1436</v>
      </c>
      <c r="E788" s="182" t="s">
        <v>1437</v>
      </c>
      <c r="F788" s="183">
        <v>76315</v>
      </c>
      <c r="G788" s="184">
        <v>15.84</v>
      </c>
      <c r="H788" s="181">
        <v>20</v>
      </c>
      <c r="I788" s="181" t="s">
        <v>292</v>
      </c>
      <c r="J788" s="191">
        <v>19.989999999999998</v>
      </c>
      <c r="K788" s="192" t="s">
        <v>714</v>
      </c>
      <c r="L788" s="193" t="s">
        <v>396</v>
      </c>
      <c r="M788" s="193" t="s">
        <v>309</v>
      </c>
      <c r="N788" s="193"/>
      <c r="O788" s="193"/>
      <c r="P788" s="193" t="s">
        <v>381</v>
      </c>
      <c r="Q788" s="193" t="s">
        <v>295</v>
      </c>
      <c r="R788" s="192" t="s">
        <v>379</v>
      </c>
      <c r="S788" s="181"/>
      <c r="T788" s="181" t="s">
        <v>381</v>
      </c>
      <c r="U788" s="181" t="s">
        <v>295</v>
      </c>
      <c r="V788" s="199" t="s">
        <v>379</v>
      </c>
    </row>
    <row r="789" spans="1:22" outlineLevel="1">
      <c r="A789" s="199" t="s">
        <v>275</v>
      </c>
      <c r="B789" s="181" t="s">
        <v>748</v>
      </c>
      <c r="C789" s="190">
        <v>43622</v>
      </c>
      <c r="D789" s="199" t="s">
        <v>1434</v>
      </c>
      <c r="E789" s="182" t="s">
        <v>1438</v>
      </c>
      <c r="F789" s="183">
        <v>76315</v>
      </c>
      <c r="G789" s="184">
        <v>1574.98</v>
      </c>
      <c r="H789" s="181">
        <v>1988</v>
      </c>
      <c r="I789" s="181" t="s">
        <v>292</v>
      </c>
      <c r="J789" s="191">
        <v>1988</v>
      </c>
      <c r="K789" s="192" t="s">
        <v>718</v>
      </c>
      <c r="L789" s="193" t="s">
        <v>396</v>
      </c>
      <c r="M789" s="193" t="s">
        <v>309</v>
      </c>
      <c r="N789" s="193"/>
      <c r="O789" s="193"/>
      <c r="P789" s="193" t="s">
        <v>381</v>
      </c>
      <c r="Q789" s="193" t="s">
        <v>295</v>
      </c>
      <c r="R789" s="192" t="s">
        <v>379</v>
      </c>
      <c r="S789" s="181"/>
      <c r="T789" s="181" t="s">
        <v>381</v>
      </c>
      <c r="U789" s="181" t="s">
        <v>295</v>
      </c>
      <c r="V789" s="199" t="s">
        <v>379</v>
      </c>
    </row>
    <row r="790" spans="1:22" outlineLevel="1">
      <c r="A790" s="199" t="s">
        <v>275</v>
      </c>
      <c r="B790" s="181" t="s">
        <v>748</v>
      </c>
      <c r="C790" s="190">
        <v>43622</v>
      </c>
      <c r="D790" s="199" t="s">
        <v>1436</v>
      </c>
      <c r="E790" s="182" t="s">
        <v>1438</v>
      </c>
      <c r="F790" s="183">
        <v>76315</v>
      </c>
      <c r="G790" s="184">
        <v>998.23</v>
      </c>
      <c r="H790" s="181">
        <v>1260</v>
      </c>
      <c r="I790" s="181" t="s">
        <v>292</v>
      </c>
      <c r="J790" s="191">
        <v>1260</v>
      </c>
      <c r="K790" s="192" t="s">
        <v>718</v>
      </c>
      <c r="L790" s="193" t="s">
        <v>396</v>
      </c>
      <c r="M790" s="193" t="s">
        <v>309</v>
      </c>
      <c r="N790" s="193"/>
      <c r="O790" s="193"/>
      <c r="P790" s="193" t="s">
        <v>381</v>
      </c>
      <c r="Q790" s="193" t="s">
        <v>295</v>
      </c>
      <c r="R790" s="192" t="s">
        <v>379</v>
      </c>
      <c r="S790" s="181"/>
      <c r="T790" s="181" t="s">
        <v>381</v>
      </c>
      <c r="U790" s="181" t="s">
        <v>295</v>
      </c>
      <c r="V790" s="199" t="s">
        <v>379</v>
      </c>
    </row>
    <row r="791" spans="1:22" outlineLevel="1">
      <c r="A791" s="199" t="s">
        <v>275</v>
      </c>
      <c r="B791" s="181" t="s">
        <v>748</v>
      </c>
      <c r="C791" s="190">
        <v>43630</v>
      </c>
      <c r="D791" s="199" t="s">
        <v>774</v>
      </c>
      <c r="E791" s="182" t="s">
        <v>775</v>
      </c>
      <c r="F791" s="183">
        <v>76315</v>
      </c>
      <c r="G791" s="184">
        <v>163.99</v>
      </c>
      <c r="H791" s="181">
        <v>207</v>
      </c>
      <c r="I791" s="181" t="s">
        <v>292</v>
      </c>
      <c r="J791" s="191">
        <v>206.99</v>
      </c>
      <c r="K791" s="192" t="s">
        <v>776</v>
      </c>
      <c r="L791" s="193" t="s">
        <v>396</v>
      </c>
      <c r="M791" s="193" t="s">
        <v>309</v>
      </c>
      <c r="N791" s="193"/>
      <c r="O791" s="193"/>
      <c r="P791" s="193" t="s">
        <v>381</v>
      </c>
      <c r="Q791" s="193" t="s">
        <v>295</v>
      </c>
      <c r="R791" s="192" t="s">
        <v>379</v>
      </c>
      <c r="S791" s="181"/>
      <c r="T791" s="181" t="s">
        <v>381</v>
      </c>
      <c r="U791" s="181" t="s">
        <v>295</v>
      </c>
      <c r="V791" s="199" t="s">
        <v>379</v>
      </c>
    </row>
    <row r="792" spans="1:22">
      <c r="A792" s="194" t="s">
        <v>378</v>
      </c>
      <c r="B792" s="194"/>
      <c r="C792" s="194"/>
      <c r="D792" s="194"/>
      <c r="E792" s="195"/>
      <c r="F792" s="196"/>
      <c r="G792" s="197">
        <f>SUM(G780:G791)</f>
        <v>4677.59</v>
      </c>
      <c r="H792" s="198">
        <f>SUM(H780:H791)</f>
        <v>5909.42</v>
      </c>
      <c r="I792" s="194"/>
      <c r="J792" s="198">
        <f>SUM(J780:J791)</f>
        <v>5909.3899999999994</v>
      </c>
      <c r="K792" s="194"/>
      <c r="L792" s="194"/>
      <c r="M792" s="194"/>
      <c r="N792" s="194"/>
      <c r="O792" s="194"/>
      <c r="P792" s="194"/>
      <c r="Q792" s="194"/>
      <c r="R792" s="194"/>
      <c r="S792" s="181"/>
      <c r="T792" s="181"/>
      <c r="U792" s="181"/>
      <c r="V792" s="181"/>
    </row>
    <row r="793" spans="1:22" outlineLevel="1">
      <c r="A793" s="199" t="s">
        <v>276</v>
      </c>
      <c r="B793" s="181" t="s">
        <v>747</v>
      </c>
      <c r="C793" s="190">
        <v>43573</v>
      </c>
      <c r="D793" s="199" t="s">
        <v>1235</v>
      </c>
      <c r="E793" s="182" t="s">
        <v>1439</v>
      </c>
      <c r="F793" s="183">
        <v>75701</v>
      </c>
      <c r="G793" s="184">
        <v>2377.61</v>
      </c>
      <c r="H793" s="181">
        <v>3101</v>
      </c>
      <c r="I793" s="181" t="s">
        <v>292</v>
      </c>
      <c r="J793" s="191">
        <v>3101</v>
      </c>
      <c r="K793" s="192" t="s">
        <v>714</v>
      </c>
      <c r="L793" s="193" t="s">
        <v>396</v>
      </c>
      <c r="M793" s="193" t="s">
        <v>309</v>
      </c>
      <c r="N793" s="193"/>
      <c r="O793" s="193"/>
      <c r="P793" s="193" t="s">
        <v>381</v>
      </c>
      <c r="Q793" s="193" t="s">
        <v>295</v>
      </c>
      <c r="R793" s="192" t="s">
        <v>379</v>
      </c>
      <c r="S793" s="181"/>
      <c r="T793" s="181" t="s">
        <v>381</v>
      </c>
      <c r="U793" s="181" t="s">
        <v>295</v>
      </c>
      <c r="V793" s="199" t="s">
        <v>379</v>
      </c>
    </row>
    <row r="794" spans="1:22" outlineLevel="1">
      <c r="A794" s="199" t="s">
        <v>276</v>
      </c>
      <c r="B794" s="181" t="s">
        <v>747</v>
      </c>
      <c r="C794" s="190">
        <v>43573</v>
      </c>
      <c r="D794" s="199" t="s">
        <v>1235</v>
      </c>
      <c r="E794" s="182" t="s">
        <v>1440</v>
      </c>
      <c r="F794" s="183">
        <v>75701</v>
      </c>
      <c r="G794" s="184">
        <v>1372.43</v>
      </c>
      <c r="H794" s="181">
        <v>1790</v>
      </c>
      <c r="I794" s="181" t="s">
        <v>292</v>
      </c>
      <c r="J794" s="191">
        <v>1789.99</v>
      </c>
      <c r="K794" s="192" t="s">
        <v>718</v>
      </c>
      <c r="L794" s="193" t="s">
        <v>396</v>
      </c>
      <c r="M794" s="193" t="s">
        <v>309</v>
      </c>
      <c r="N794" s="193"/>
      <c r="O794" s="193"/>
      <c r="P794" s="193" t="s">
        <v>381</v>
      </c>
      <c r="Q794" s="193" t="s">
        <v>295</v>
      </c>
      <c r="R794" s="192" t="s">
        <v>379</v>
      </c>
      <c r="S794" s="181"/>
      <c r="T794" s="181" t="s">
        <v>381</v>
      </c>
      <c r="U794" s="181" t="s">
        <v>295</v>
      </c>
      <c r="V794" s="199" t="s">
        <v>379</v>
      </c>
    </row>
    <row r="795" spans="1:22" outlineLevel="1">
      <c r="A795" s="199" t="s">
        <v>276</v>
      </c>
      <c r="B795" s="181" t="s">
        <v>747</v>
      </c>
      <c r="C795" s="190">
        <v>43563</v>
      </c>
      <c r="D795" s="199" t="s">
        <v>790</v>
      </c>
      <c r="E795" s="182" t="s">
        <v>1441</v>
      </c>
      <c r="F795" s="183">
        <v>75701</v>
      </c>
      <c r="G795" s="184">
        <v>118.92</v>
      </c>
      <c r="H795" s="181">
        <v>155.1</v>
      </c>
      <c r="I795" s="181" t="s">
        <v>292</v>
      </c>
      <c r="J795" s="191">
        <v>155.1</v>
      </c>
      <c r="K795" s="192" t="s">
        <v>1442</v>
      </c>
      <c r="L795" s="193" t="s">
        <v>396</v>
      </c>
      <c r="M795" s="193" t="s">
        <v>309</v>
      </c>
      <c r="N795" s="193"/>
      <c r="O795" s="193"/>
      <c r="P795" s="193" t="s">
        <v>381</v>
      </c>
      <c r="Q795" s="193" t="s">
        <v>295</v>
      </c>
      <c r="R795" s="192" t="s">
        <v>379</v>
      </c>
      <c r="S795" s="181"/>
      <c r="T795" s="181" t="s">
        <v>381</v>
      </c>
      <c r="U795" s="181" t="s">
        <v>295</v>
      </c>
      <c r="V795" s="199" t="s">
        <v>379</v>
      </c>
    </row>
    <row r="796" spans="1:22" outlineLevel="1">
      <c r="A796" s="199" t="s">
        <v>276</v>
      </c>
      <c r="B796" s="181" t="s">
        <v>747</v>
      </c>
      <c r="C796" s="190">
        <v>43573</v>
      </c>
      <c r="D796" s="199" t="s">
        <v>1235</v>
      </c>
      <c r="E796" s="182" t="s">
        <v>1443</v>
      </c>
      <c r="F796" s="183">
        <v>75701</v>
      </c>
      <c r="G796" s="184">
        <v>79.430000000000007</v>
      </c>
      <c r="H796" s="181">
        <v>103.6</v>
      </c>
      <c r="I796" s="181" t="s">
        <v>292</v>
      </c>
      <c r="J796" s="191">
        <v>103.6</v>
      </c>
      <c r="K796" s="192" t="s">
        <v>1128</v>
      </c>
      <c r="L796" s="193" t="s">
        <v>396</v>
      </c>
      <c r="M796" s="193" t="s">
        <v>309</v>
      </c>
      <c r="N796" s="193"/>
      <c r="O796" s="193"/>
      <c r="P796" s="193" t="s">
        <v>381</v>
      </c>
      <c r="Q796" s="193" t="s">
        <v>295</v>
      </c>
      <c r="R796" s="192" t="s">
        <v>379</v>
      </c>
      <c r="S796" s="181"/>
      <c r="T796" s="181" t="s">
        <v>381</v>
      </c>
      <c r="U796" s="181" t="s">
        <v>295</v>
      </c>
      <c r="V796" s="199" t="s">
        <v>379</v>
      </c>
    </row>
    <row r="797" spans="1:22" outlineLevel="1">
      <c r="A797" s="199" t="s">
        <v>276</v>
      </c>
      <c r="B797" s="181" t="s">
        <v>748</v>
      </c>
      <c r="C797" s="190">
        <v>43646</v>
      </c>
      <c r="D797" s="199" t="s">
        <v>754</v>
      </c>
      <c r="E797" s="182" t="s">
        <v>758</v>
      </c>
      <c r="F797" s="183">
        <v>76341</v>
      </c>
      <c r="G797" s="184">
        <v>376.62</v>
      </c>
      <c r="H797" s="181">
        <v>500</v>
      </c>
      <c r="I797" s="181" t="s">
        <v>292</v>
      </c>
      <c r="J797" s="191">
        <v>500</v>
      </c>
      <c r="K797" s="192" t="s">
        <v>752</v>
      </c>
      <c r="L797" s="193" t="s">
        <v>396</v>
      </c>
      <c r="M797" s="193" t="s">
        <v>309</v>
      </c>
      <c r="N797" s="193"/>
      <c r="O797" s="193" t="s">
        <v>740</v>
      </c>
      <c r="P797" s="193" t="s">
        <v>381</v>
      </c>
      <c r="Q797" s="193" t="s">
        <v>295</v>
      </c>
      <c r="R797" s="192" t="s">
        <v>379</v>
      </c>
      <c r="S797" s="181" t="s">
        <v>740</v>
      </c>
      <c r="T797" s="181" t="s">
        <v>381</v>
      </c>
      <c r="U797" s="181" t="s">
        <v>295</v>
      </c>
      <c r="V797" s="199" t="s">
        <v>379</v>
      </c>
    </row>
    <row r="798" spans="1:22" outlineLevel="1">
      <c r="A798" s="199" t="s">
        <v>276</v>
      </c>
      <c r="B798" s="181" t="s">
        <v>748</v>
      </c>
      <c r="C798" s="190">
        <v>43646</v>
      </c>
      <c r="D798" s="199" t="s">
        <v>754</v>
      </c>
      <c r="E798" s="182" t="s">
        <v>759</v>
      </c>
      <c r="F798" s="183">
        <v>76341</v>
      </c>
      <c r="G798" s="184">
        <v>376.62</v>
      </c>
      <c r="H798" s="181">
        <v>500</v>
      </c>
      <c r="I798" s="181" t="s">
        <v>292</v>
      </c>
      <c r="J798" s="191">
        <v>500</v>
      </c>
      <c r="K798" s="192" t="s">
        <v>752</v>
      </c>
      <c r="L798" s="193" t="s">
        <v>396</v>
      </c>
      <c r="M798" s="193" t="s">
        <v>309</v>
      </c>
      <c r="N798" s="193"/>
      <c r="O798" s="193" t="s">
        <v>740</v>
      </c>
      <c r="P798" s="193" t="s">
        <v>381</v>
      </c>
      <c r="Q798" s="193" t="s">
        <v>295</v>
      </c>
      <c r="R798" s="192" t="s">
        <v>379</v>
      </c>
      <c r="S798" s="181" t="s">
        <v>740</v>
      </c>
      <c r="T798" s="181" t="s">
        <v>381</v>
      </c>
      <c r="U798" s="181" t="s">
        <v>295</v>
      </c>
      <c r="V798" s="199" t="s">
        <v>379</v>
      </c>
    </row>
    <row r="799" spans="1:22" outlineLevel="1">
      <c r="A799" s="199" t="s">
        <v>276</v>
      </c>
      <c r="B799" s="181" t="s">
        <v>748</v>
      </c>
      <c r="C799" s="190">
        <v>43646</v>
      </c>
      <c r="D799" s="199" t="s">
        <v>754</v>
      </c>
      <c r="E799" s="182" t="s">
        <v>757</v>
      </c>
      <c r="F799" s="183">
        <v>76341</v>
      </c>
      <c r="G799" s="184">
        <v>37.659999999999997</v>
      </c>
      <c r="H799" s="181">
        <v>50</v>
      </c>
      <c r="I799" s="181" t="s">
        <v>292</v>
      </c>
      <c r="J799" s="191">
        <v>50</v>
      </c>
      <c r="K799" s="192" t="s">
        <v>752</v>
      </c>
      <c r="L799" s="193" t="s">
        <v>396</v>
      </c>
      <c r="M799" s="193" t="s">
        <v>309</v>
      </c>
      <c r="N799" s="193"/>
      <c r="O799" s="193" t="s">
        <v>740</v>
      </c>
      <c r="P799" s="193" t="s">
        <v>381</v>
      </c>
      <c r="Q799" s="193" t="s">
        <v>295</v>
      </c>
      <c r="R799" s="192" t="s">
        <v>379</v>
      </c>
      <c r="S799" s="181" t="s">
        <v>740</v>
      </c>
      <c r="T799" s="181" t="s">
        <v>381</v>
      </c>
      <c r="U799" s="181" t="s">
        <v>295</v>
      </c>
      <c r="V799" s="199" t="s">
        <v>379</v>
      </c>
    </row>
    <row r="800" spans="1:22" outlineLevel="1">
      <c r="A800" s="199" t="s">
        <v>276</v>
      </c>
      <c r="B800" s="181" t="s">
        <v>748</v>
      </c>
      <c r="C800" s="190">
        <v>43646</v>
      </c>
      <c r="D800" s="199" t="s">
        <v>750</v>
      </c>
      <c r="E800" s="182" t="s">
        <v>1444</v>
      </c>
      <c r="F800" s="183">
        <v>76330</v>
      </c>
      <c r="G800" s="184">
        <v>4541.9799999999996</v>
      </c>
      <c r="H800" s="181">
        <v>6030</v>
      </c>
      <c r="I800" s="181" t="s">
        <v>292</v>
      </c>
      <c r="J800" s="191">
        <v>5733.05</v>
      </c>
      <c r="K800" s="192" t="s">
        <v>752</v>
      </c>
      <c r="L800" s="193" t="s">
        <v>396</v>
      </c>
      <c r="M800" s="193" t="s">
        <v>309</v>
      </c>
      <c r="N800" s="193"/>
      <c r="O800" s="193" t="s">
        <v>737</v>
      </c>
      <c r="P800" s="193" t="s">
        <v>381</v>
      </c>
      <c r="Q800" s="193" t="s">
        <v>295</v>
      </c>
      <c r="R800" s="192" t="s">
        <v>379</v>
      </c>
      <c r="S800" s="181" t="s">
        <v>737</v>
      </c>
      <c r="T800" s="181" t="s">
        <v>381</v>
      </c>
      <c r="U800" s="181" t="s">
        <v>295</v>
      </c>
      <c r="V800" s="199" t="s">
        <v>379</v>
      </c>
    </row>
    <row r="801" spans="1:22" outlineLevel="1">
      <c r="A801" s="199" t="s">
        <v>276</v>
      </c>
      <c r="B801" s="181" t="s">
        <v>748</v>
      </c>
      <c r="C801" s="190">
        <v>43646</v>
      </c>
      <c r="D801" s="199" t="s">
        <v>754</v>
      </c>
      <c r="E801" s="182" t="s">
        <v>1445</v>
      </c>
      <c r="F801" s="183">
        <v>76341</v>
      </c>
      <c r="G801" s="184">
        <v>297.14999999999998</v>
      </c>
      <c r="H801" s="181">
        <v>394.5</v>
      </c>
      <c r="I801" s="181" t="s">
        <v>292</v>
      </c>
      <c r="J801" s="191">
        <v>394.5</v>
      </c>
      <c r="K801" s="192" t="s">
        <v>752</v>
      </c>
      <c r="L801" s="193" t="s">
        <v>396</v>
      </c>
      <c r="M801" s="193" t="s">
        <v>309</v>
      </c>
      <c r="N801" s="193"/>
      <c r="O801" s="193" t="s">
        <v>740</v>
      </c>
      <c r="P801" s="193" t="s">
        <v>381</v>
      </c>
      <c r="Q801" s="193" t="s">
        <v>295</v>
      </c>
      <c r="R801" s="192" t="s">
        <v>379</v>
      </c>
      <c r="S801" s="181" t="s">
        <v>740</v>
      </c>
      <c r="T801" s="181" t="s">
        <v>381</v>
      </c>
      <c r="U801" s="181" t="s">
        <v>295</v>
      </c>
      <c r="V801" s="199" t="s">
        <v>379</v>
      </c>
    </row>
    <row r="802" spans="1:22" outlineLevel="1">
      <c r="A802" s="199" t="s">
        <v>276</v>
      </c>
      <c r="B802" s="181" t="s">
        <v>748</v>
      </c>
      <c r="C802" s="190">
        <v>43646</v>
      </c>
      <c r="D802" s="199" t="s">
        <v>754</v>
      </c>
      <c r="E802" s="182" t="s">
        <v>759</v>
      </c>
      <c r="F802" s="183">
        <v>76341</v>
      </c>
      <c r="G802" s="184">
        <v>376.62</v>
      </c>
      <c r="H802" s="181">
        <v>500</v>
      </c>
      <c r="I802" s="181" t="s">
        <v>292</v>
      </c>
      <c r="J802" s="191">
        <v>500</v>
      </c>
      <c r="K802" s="192" t="s">
        <v>752</v>
      </c>
      <c r="L802" s="193" t="s">
        <v>396</v>
      </c>
      <c r="M802" s="193" t="s">
        <v>309</v>
      </c>
      <c r="N802" s="193"/>
      <c r="O802" s="193" t="s">
        <v>740</v>
      </c>
      <c r="P802" s="193" t="s">
        <v>381</v>
      </c>
      <c r="Q802" s="193" t="s">
        <v>295</v>
      </c>
      <c r="R802" s="192" t="s">
        <v>379</v>
      </c>
      <c r="S802" s="181" t="s">
        <v>740</v>
      </c>
      <c r="T802" s="181" t="s">
        <v>381</v>
      </c>
      <c r="U802" s="181" t="s">
        <v>295</v>
      </c>
      <c r="V802" s="199" t="s">
        <v>379</v>
      </c>
    </row>
    <row r="803" spans="1:22" outlineLevel="1">
      <c r="A803" s="199" t="s">
        <v>276</v>
      </c>
      <c r="B803" s="181" t="s">
        <v>748</v>
      </c>
      <c r="C803" s="190">
        <v>43646</v>
      </c>
      <c r="D803" s="199" t="s">
        <v>754</v>
      </c>
      <c r="E803" s="182" t="s">
        <v>757</v>
      </c>
      <c r="F803" s="183">
        <v>76341</v>
      </c>
      <c r="G803" s="184">
        <v>37.659999999999997</v>
      </c>
      <c r="H803" s="181">
        <v>50</v>
      </c>
      <c r="I803" s="181" t="s">
        <v>292</v>
      </c>
      <c r="J803" s="191">
        <v>50</v>
      </c>
      <c r="K803" s="192" t="s">
        <v>752</v>
      </c>
      <c r="L803" s="193" t="s">
        <v>396</v>
      </c>
      <c r="M803" s="193" t="s">
        <v>309</v>
      </c>
      <c r="N803" s="193"/>
      <c r="O803" s="193" t="s">
        <v>740</v>
      </c>
      <c r="P803" s="193" t="s">
        <v>381</v>
      </c>
      <c r="Q803" s="193" t="s">
        <v>295</v>
      </c>
      <c r="R803" s="192" t="s">
        <v>379</v>
      </c>
      <c r="S803" s="181" t="s">
        <v>740</v>
      </c>
      <c r="T803" s="181" t="s">
        <v>381</v>
      </c>
      <c r="U803" s="181" t="s">
        <v>295</v>
      </c>
      <c r="V803" s="199" t="s">
        <v>379</v>
      </c>
    </row>
    <row r="804" spans="1:22" outlineLevel="1">
      <c r="A804" s="199" t="s">
        <v>276</v>
      </c>
      <c r="B804" s="181" t="s">
        <v>748</v>
      </c>
      <c r="C804" s="190">
        <v>43646</v>
      </c>
      <c r="D804" s="199" t="s">
        <v>754</v>
      </c>
      <c r="E804" s="182" t="s">
        <v>758</v>
      </c>
      <c r="F804" s="183">
        <v>76341</v>
      </c>
      <c r="G804" s="184">
        <v>376.62</v>
      </c>
      <c r="H804" s="181">
        <v>500</v>
      </c>
      <c r="I804" s="181" t="s">
        <v>292</v>
      </c>
      <c r="J804" s="191">
        <v>500</v>
      </c>
      <c r="K804" s="192" t="s">
        <v>752</v>
      </c>
      <c r="L804" s="193" t="s">
        <v>396</v>
      </c>
      <c r="M804" s="193" t="s">
        <v>309</v>
      </c>
      <c r="N804" s="193"/>
      <c r="O804" s="193" t="s">
        <v>740</v>
      </c>
      <c r="P804" s="193" t="s">
        <v>381</v>
      </c>
      <c r="Q804" s="193" t="s">
        <v>295</v>
      </c>
      <c r="R804" s="192" t="s">
        <v>379</v>
      </c>
      <c r="S804" s="181" t="s">
        <v>740</v>
      </c>
      <c r="T804" s="181" t="s">
        <v>381</v>
      </c>
      <c r="U804" s="181" t="s">
        <v>295</v>
      </c>
      <c r="V804" s="199" t="s">
        <v>379</v>
      </c>
    </row>
    <row r="805" spans="1:22" outlineLevel="1">
      <c r="A805" s="199" t="s">
        <v>276</v>
      </c>
      <c r="B805" s="181" t="s">
        <v>748</v>
      </c>
      <c r="C805" s="190">
        <v>43646</v>
      </c>
      <c r="D805" s="199" t="s">
        <v>754</v>
      </c>
      <c r="E805" s="182" t="s">
        <v>758</v>
      </c>
      <c r="F805" s="183">
        <v>76341</v>
      </c>
      <c r="G805" s="184">
        <v>376.62</v>
      </c>
      <c r="H805" s="181">
        <v>500</v>
      </c>
      <c r="I805" s="181" t="s">
        <v>292</v>
      </c>
      <c r="J805" s="191">
        <v>500</v>
      </c>
      <c r="K805" s="192" t="s">
        <v>752</v>
      </c>
      <c r="L805" s="193" t="s">
        <v>396</v>
      </c>
      <c r="M805" s="193" t="s">
        <v>309</v>
      </c>
      <c r="N805" s="193"/>
      <c r="O805" s="193" t="s">
        <v>740</v>
      </c>
      <c r="P805" s="193" t="s">
        <v>381</v>
      </c>
      <c r="Q805" s="193" t="s">
        <v>295</v>
      </c>
      <c r="R805" s="192" t="s">
        <v>379</v>
      </c>
      <c r="S805" s="181" t="s">
        <v>740</v>
      </c>
      <c r="T805" s="181" t="s">
        <v>381</v>
      </c>
      <c r="U805" s="181" t="s">
        <v>295</v>
      </c>
      <c r="V805" s="199" t="s">
        <v>379</v>
      </c>
    </row>
    <row r="806" spans="1:22" outlineLevel="1">
      <c r="A806" s="199" t="s">
        <v>276</v>
      </c>
      <c r="B806" s="181" t="s">
        <v>748</v>
      </c>
      <c r="C806" s="190">
        <v>43646</v>
      </c>
      <c r="D806" s="199" t="s">
        <v>754</v>
      </c>
      <c r="E806" s="182" t="s">
        <v>759</v>
      </c>
      <c r="F806" s="183">
        <v>76341</v>
      </c>
      <c r="G806" s="184">
        <v>376.62</v>
      </c>
      <c r="H806" s="181">
        <v>500</v>
      </c>
      <c r="I806" s="181" t="s">
        <v>292</v>
      </c>
      <c r="J806" s="191">
        <v>500</v>
      </c>
      <c r="K806" s="192" t="s">
        <v>752</v>
      </c>
      <c r="L806" s="193" t="s">
        <v>396</v>
      </c>
      <c r="M806" s="193" t="s">
        <v>309</v>
      </c>
      <c r="N806" s="193"/>
      <c r="O806" s="193" t="s">
        <v>740</v>
      </c>
      <c r="P806" s="193" t="s">
        <v>381</v>
      </c>
      <c r="Q806" s="193" t="s">
        <v>295</v>
      </c>
      <c r="R806" s="192" t="s">
        <v>379</v>
      </c>
      <c r="S806" s="181" t="s">
        <v>740</v>
      </c>
      <c r="T806" s="181" t="s">
        <v>381</v>
      </c>
      <c r="U806" s="181" t="s">
        <v>295</v>
      </c>
      <c r="V806" s="199" t="s">
        <v>379</v>
      </c>
    </row>
    <row r="807" spans="1:22" outlineLevel="1">
      <c r="A807" s="199" t="s">
        <v>276</v>
      </c>
      <c r="B807" s="181" t="s">
        <v>748</v>
      </c>
      <c r="C807" s="190">
        <v>43646</v>
      </c>
      <c r="D807" s="199" t="s">
        <v>754</v>
      </c>
      <c r="E807" s="182" t="s">
        <v>757</v>
      </c>
      <c r="F807" s="183">
        <v>76341</v>
      </c>
      <c r="G807" s="184">
        <v>37.659999999999997</v>
      </c>
      <c r="H807" s="181">
        <v>50</v>
      </c>
      <c r="I807" s="181" t="s">
        <v>292</v>
      </c>
      <c r="J807" s="191">
        <v>50</v>
      </c>
      <c r="K807" s="192" t="s">
        <v>752</v>
      </c>
      <c r="L807" s="193" t="s">
        <v>396</v>
      </c>
      <c r="M807" s="193" t="s">
        <v>309</v>
      </c>
      <c r="N807" s="193"/>
      <c r="O807" s="193" t="s">
        <v>740</v>
      </c>
      <c r="P807" s="193" t="s">
        <v>381</v>
      </c>
      <c r="Q807" s="193" t="s">
        <v>295</v>
      </c>
      <c r="R807" s="192" t="s">
        <v>379</v>
      </c>
      <c r="S807" s="181" t="s">
        <v>740</v>
      </c>
      <c r="T807" s="181" t="s">
        <v>381</v>
      </c>
      <c r="U807" s="181" t="s">
        <v>295</v>
      </c>
      <c r="V807" s="199" t="s">
        <v>379</v>
      </c>
    </row>
    <row r="808" spans="1:22" outlineLevel="1">
      <c r="A808" s="199" t="s">
        <v>276</v>
      </c>
      <c r="B808" s="181" t="s">
        <v>748</v>
      </c>
      <c r="C808" s="190">
        <v>43646</v>
      </c>
      <c r="D808" s="199" t="s">
        <v>754</v>
      </c>
      <c r="E808" s="182" t="s">
        <v>1446</v>
      </c>
      <c r="F808" s="183">
        <v>76341</v>
      </c>
      <c r="G808" s="184">
        <v>112.98</v>
      </c>
      <c r="H808" s="181">
        <v>150</v>
      </c>
      <c r="I808" s="181" t="s">
        <v>292</v>
      </c>
      <c r="J808" s="191">
        <v>150</v>
      </c>
      <c r="K808" s="192" t="s">
        <v>752</v>
      </c>
      <c r="L808" s="193" t="s">
        <v>396</v>
      </c>
      <c r="M808" s="193" t="s">
        <v>309</v>
      </c>
      <c r="N808" s="193"/>
      <c r="O808" s="193" t="s">
        <v>740</v>
      </c>
      <c r="P808" s="193" t="s">
        <v>381</v>
      </c>
      <c r="Q808" s="193" t="s">
        <v>295</v>
      </c>
      <c r="R808" s="192" t="s">
        <v>379</v>
      </c>
      <c r="S808" s="181" t="s">
        <v>740</v>
      </c>
      <c r="T808" s="181" t="s">
        <v>381</v>
      </c>
      <c r="U808" s="181" t="s">
        <v>295</v>
      </c>
      <c r="V808" s="199" t="s">
        <v>379</v>
      </c>
    </row>
    <row r="809" spans="1:22" outlineLevel="1">
      <c r="A809" s="199" t="s">
        <v>276</v>
      </c>
      <c r="B809" s="181" t="s">
        <v>748</v>
      </c>
      <c r="C809" s="190">
        <v>43646</v>
      </c>
      <c r="D809" s="199" t="s">
        <v>754</v>
      </c>
      <c r="E809" s="182" t="s">
        <v>1447</v>
      </c>
      <c r="F809" s="183">
        <v>76341</v>
      </c>
      <c r="G809" s="184">
        <v>22.6</v>
      </c>
      <c r="H809" s="181">
        <v>30</v>
      </c>
      <c r="I809" s="181" t="s">
        <v>292</v>
      </c>
      <c r="J809" s="191">
        <v>30</v>
      </c>
      <c r="K809" s="192" t="s">
        <v>752</v>
      </c>
      <c r="L809" s="193" t="s">
        <v>396</v>
      </c>
      <c r="M809" s="193" t="s">
        <v>309</v>
      </c>
      <c r="N809" s="193"/>
      <c r="O809" s="193" t="s">
        <v>740</v>
      </c>
      <c r="P809" s="193" t="s">
        <v>381</v>
      </c>
      <c r="Q809" s="193" t="s">
        <v>295</v>
      </c>
      <c r="R809" s="192" t="s">
        <v>379</v>
      </c>
      <c r="S809" s="181" t="s">
        <v>740</v>
      </c>
      <c r="T809" s="181" t="s">
        <v>381</v>
      </c>
      <c r="U809" s="181" t="s">
        <v>295</v>
      </c>
      <c r="V809" s="199" t="s">
        <v>379</v>
      </c>
    </row>
    <row r="810" spans="1:22" outlineLevel="1">
      <c r="A810" s="199" t="s">
        <v>276</v>
      </c>
      <c r="B810" s="181" t="s">
        <v>748</v>
      </c>
      <c r="C810" s="190">
        <v>43646</v>
      </c>
      <c r="D810" s="199" t="s">
        <v>754</v>
      </c>
      <c r="E810" s="182" t="s">
        <v>1448</v>
      </c>
      <c r="F810" s="183">
        <v>76341</v>
      </c>
      <c r="G810" s="184">
        <v>37.659999999999997</v>
      </c>
      <c r="H810" s="181">
        <v>50</v>
      </c>
      <c r="I810" s="181" t="s">
        <v>292</v>
      </c>
      <c r="J810" s="191">
        <v>50</v>
      </c>
      <c r="K810" s="192" t="s">
        <v>752</v>
      </c>
      <c r="L810" s="193" t="s">
        <v>396</v>
      </c>
      <c r="M810" s="193" t="s">
        <v>309</v>
      </c>
      <c r="N810" s="193"/>
      <c r="O810" s="193" t="s">
        <v>740</v>
      </c>
      <c r="P810" s="193" t="s">
        <v>381</v>
      </c>
      <c r="Q810" s="193" t="s">
        <v>295</v>
      </c>
      <c r="R810" s="192" t="s">
        <v>379</v>
      </c>
      <c r="S810" s="181" t="s">
        <v>740</v>
      </c>
      <c r="T810" s="181" t="s">
        <v>381</v>
      </c>
      <c r="U810" s="181" t="s">
        <v>295</v>
      </c>
      <c r="V810" s="199" t="s">
        <v>379</v>
      </c>
    </row>
    <row r="811" spans="1:22" outlineLevel="1">
      <c r="A811" s="199" t="s">
        <v>276</v>
      </c>
      <c r="B811" s="181" t="s">
        <v>748</v>
      </c>
      <c r="C811" s="190">
        <v>43646</v>
      </c>
      <c r="D811" s="199" t="s">
        <v>754</v>
      </c>
      <c r="E811" s="182" t="s">
        <v>1449</v>
      </c>
      <c r="F811" s="183">
        <v>76341</v>
      </c>
      <c r="G811" s="184">
        <v>37.659999999999997</v>
      </c>
      <c r="H811" s="181">
        <v>50</v>
      </c>
      <c r="I811" s="181" t="s">
        <v>292</v>
      </c>
      <c r="J811" s="191">
        <v>50</v>
      </c>
      <c r="K811" s="192" t="s">
        <v>752</v>
      </c>
      <c r="L811" s="193" t="s">
        <v>396</v>
      </c>
      <c r="M811" s="193" t="s">
        <v>309</v>
      </c>
      <c r="N811" s="193"/>
      <c r="O811" s="193" t="s">
        <v>740</v>
      </c>
      <c r="P811" s="193" t="s">
        <v>381</v>
      </c>
      <c r="Q811" s="193" t="s">
        <v>295</v>
      </c>
      <c r="R811" s="192" t="s">
        <v>379</v>
      </c>
      <c r="S811" s="181" t="s">
        <v>740</v>
      </c>
      <c r="T811" s="181" t="s">
        <v>381</v>
      </c>
      <c r="U811" s="181" t="s">
        <v>295</v>
      </c>
      <c r="V811" s="199" t="s">
        <v>379</v>
      </c>
    </row>
    <row r="812" spans="1:22" outlineLevel="1">
      <c r="A812" s="199" t="s">
        <v>276</v>
      </c>
      <c r="B812" s="181" t="s">
        <v>748</v>
      </c>
      <c r="C812" s="190">
        <v>43646</v>
      </c>
      <c r="D812" s="199" t="s">
        <v>754</v>
      </c>
      <c r="E812" s="182" t="s">
        <v>764</v>
      </c>
      <c r="F812" s="183">
        <v>76341</v>
      </c>
      <c r="G812" s="184">
        <v>84.74</v>
      </c>
      <c r="H812" s="181">
        <v>112.5</v>
      </c>
      <c r="I812" s="181" t="s">
        <v>292</v>
      </c>
      <c r="J812" s="191">
        <v>112.5</v>
      </c>
      <c r="K812" s="192" t="s">
        <v>752</v>
      </c>
      <c r="L812" s="193" t="s">
        <v>396</v>
      </c>
      <c r="M812" s="193" t="s">
        <v>309</v>
      </c>
      <c r="N812" s="193"/>
      <c r="O812" s="193" t="s">
        <v>740</v>
      </c>
      <c r="P812" s="193" t="s">
        <v>381</v>
      </c>
      <c r="Q812" s="193" t="s">
        <v>295</v>
      </c>
      <c r="R812" s="192" t="s">
        <v>379</v>
      </c>
      <c r="S812" s="181" t="s">
        <v>740</v>
      </c>
      <c r="T812" s="181" t="s">
        <v>381</v>
      </c>
      <c r="U812" s="181" t="s">
        <v>295</v>
      </c>
      <c r="V812" s="199" t="s">
        <v>379</v>
      </c>
    </row>
    <row r="813" spans="1:22" outlineLevel="1">
      <c r="A813" s="199" t="s">
        <v>276</v>
      </c>
      <c r="B813" s="181" t="s">
        <v>748</v>
      </c>
      <c r="C813" s="190">
        <v>43646</v>
      </c>
      <c r="D813" s="199" t="s">
        <v>754</v>
      </c>
      <c r="E813" s="182" t="s">
        <v>1450</v>
      </c>
      <c r="F813" s="183">
        <v>76341</v>
      </c>
      <c r="G813" s="184">
        <v>26.36</v>
      </c>
      <c r="H813" s="181">
        <v>35</v>
      </c>
      <c r="I813" s="181" t="s">
        <v>292</v>
      </c>
      <c r="J813" s="191">
        <v>35</v>
      </c>
      <c r="K813" s="192" t="s">
        <v>752</v>
      </c>
      <c r="L813" s="193" t="s">
        <v>396</v>
      </c>
      <c r="M813" s="193" t="s">
        <v>309</v>
      </c>
      <c r="N813" s="193"/>
      <c r="O813" s="193" t="s">
        <v>740</v>
      </c>
      <c r="P813" s="193" t="s">
        <v>381</v>
      </c>
      <c r="Q813" s="193" t="s">
        <v>295</v>
      </c>
      <c r="R813" s="192" t="s">
        <v>379</v>
      </c>
      <c r="S813" s="181" t="s">
        <v>740</v>
      </c>
      <c r="T813" s="181" t="s">
        <v>381</v>
      </c>
      <c r="U813" s="181" t="s">
        <v>295</v>
      </c>
      <c r="V813" s="199" t="s">
        <v>379</v>
      </c>
    </row>
    <row r="814" spans="1:22" outlineLevel="1">
      <c r="A814" s="199" t="s">
        <v>276</v>
      </c>
      <c r="B814" s="181" t="s">
        <v>748</v>
      </c>
      <c r="C814" s="190">
        <v>43646</v>
      </c>
      <c r="D814" s="199" t="s">
        <v>754</v>
      </c>
      <c r="E814" s="182" t="s">
        <v>1451</v>
      </c>
      <c r="F814" s="183">
        <v>76341</v>
      </c>
      <c r="G814" s="184">
        <v>13.56</v>
      </c>
      <c r="H814" s="181">
        <v>18</v>
      </c>
      <c r="I814" s="181" t="s">
        <v>292</v>
      </c>
      <c r="J814" s="191">
        <v>18</v>
      </c>
      <c r="K814" s="192" t="s">
        <v>752</v>
      </c>
      <c r="L814" s="193" t="s">
        <v>396</v>
      </c>
      <c r="M814" s="193" t="s">
        <v>309</v>
      </c>
      <c r="N814" s="193"/>
      <c r="O814" s="193" t="s">
        <v>740</v>
      </c>
      <c r="P814" s="193" t="s">
        <v>381</v>
      </c>
      <c r="Q814" s="193" t="s">
        <v>295</v>
      </c>
      <c r="R814" s="192" t="s">
        <v>379</v>
      </c>
      <c r="S814" s="181" t="s">
        <v>740</v>
      </c>
      <c r="T814" s="181" t="s">
        <v>381</v>
      </c>
      <c r="U814" s="181" t="s">
        <v>295</v>
      </c>
      <c r="V814" s="199" t="s">
        <v>379</v>
      </c>
    </row>
    <row r="815" spans="1:22" outlineLevel="1">
      <c r="A815" s="199" t="s">
        <v>276</v>
      </c>
      <c r="B815" s="181" t="s">
        <v>748</v>
      </c>
      <c r="C815" s="190">
        <v>43646</v>
      </c>
      <c r="D815" s="199" t="s">
        <v>754</v>
      </c>
      <c r="E815" s="182" t="s">
        <v>1452</v>
      </c>
      <c r="F815" s="183">
        <v>76341</v>
      </c>
      <c r="G815" s="184">
        <v>47.17</v>
      </c>
      <c r="H815" s="181">
        <v>62.62</v>
      </c>
      <c r="I815" s="181" t="s">
        <v>292</v>
      </c>
      <c r="J815" s="191">
        <v>62.62</v>
      </c>
      <c r="K815" s="192" t="s">
        <v>752</v>
      </c>
      <c r="L815" s="193" t="s">
        <v>396</v>
      </c>
      <c r="M815" s="193" t="s">
        <v>309</v>
      </c>
      <c r="N815" s="193"/>
      <c r="O815" s="193" t="s">
        <v>740</v>
      </c>
      <c r="P815" s="193" t="s">
        <v>381</v>
      </c>
      <c r="Q815" s="193" t="s">
        <v>295</v>
      </c>
      <c r="R815" s="192" t="s">
        <v>379</v>
      </c>
      <c r="S815" s="181" t="s">
        <v>740</v>
      </c>
      <c r="T815" s="181" t="s">
        <v>381</v>
      </c>
      <c r="U815" s="181" t="s">
        <v>295</v>
      </c>
      <c r="V815" s="199" t="s">
        <v>379</v>
      </c>
    </row>
    <row r="816" spans="1:22" outlineLevel="1">
      <c r="A816" s="199" t="s">
        <v>276</v>
      </c>
      <c r="B816" s="181" t="s">
        <v>748</v>
      </c>
      <c r="C816" s="190">
        <v>43646</v>
      </c>
      <c r="D816" s="199" t="s">
        <v>754</v>
      </c>
      <c r="E816" s="182" t="s">
        <v>1453</v>
      </c>
      <c r="F816" s="183">
        <v>76341</v>
      </c>
      <c r="G816" s="184">
        <v>527.26</v>
      </c>
      <c r="H816" s="181">
        <v>700</v>
      </c>
      <c r="I816" s="181" t="s">
        <v>292</v>
      </c>
      <c r="J816" s="191">
        <v>700</v>
      </c>
      <c r="K816" s="192" t="s">
        <v>752</v>
      </c>
      <c r="L816" s="193" t="s">
        <v>396</v>
      </c>
      <c r="M816" s="193" t="s">
        <v>309</v>
      </c>
      <c r="N816" s="193"/>
      <c r="O816" s="193" t="s">
        <v>740</v>
      </c>
      <c r="P816" s="193" t="s">
        <v>381</v>
      </c>
      <c r="Q816" s="193" t="s">
        <v>295</v>
      </c>
      <c r="R816" s="192" t="s">
        <v>379</v>
      </c>
      <c r="S816" s="181" t="s">
        <v>740</v>
      </c>
      <c r="T816" s="181" t="s">
        <v>381</v>
      </c>
      <c r="U816" s="181" t="s">
        <v>295</v>
      </c>
      <c r="V816" s="199" t="s">
        <v>379</v>
      </c>
    </row>
    <row r="817" spans="1:22" outlineLevel="1">
      <c r="A817" s="199" t="s">
        <v>276</v>
      </c>
      <c r="B817" s="181" t="s">
        <v>748</v>
      </c>
      <c r="C817" s="190">
        <v>43646</v>
      </c>
      <c r="D817" s="199" t="s">
        <v>754</v>
      </c>
      <c r="E817" s="182" t="s">
        <v>1454</v>
      </c>
      <c r="F817" s="183">
        <v>76341</v>
      </c>
      <c r="G817" s="184">
        <v>527.26</v>
      </c>
      <c r="H817" s="181">
        <v>700</v>
      </c>
      <c r="I817" s="181" t="s">
        <v>292</v>
      </c>
      <c r="J817" s="191">
        <v>700</v>
      </c>
      <c r="K817" s="192" t="s">
        <v>752</v>
      </c>
      <c r="L817" s="193" t="s">
        <v>396</v>
      </c>
      <c r="M817" s="193" t="s">
        <v>309</v>
      </c>
      <c r="N817" s="193"/>
      <c r="O817" s="193" t="s">
        <v>740</v>
      </c>
      <c r="P817" s="193" t="s">
        <v>381</v>
      </c>
      <c r="Q817" s="193" t="s">
        <v>295</v>
      </c>
      <c r="R817" s="192" t="s">
        <v>379</v>
      </c>
      <c r="S817" s="181" t="s">
        <v>740</v>
      </c>
      <c r="T817" s="181" t="s">
        <v>381</v>
      </c>
      <c r="U817" s="181" t="s">
        <v>295</v>
      </c>
      <c r="V817" s="199" t="s">
        <v>379</v>
      </c>
    </row>
    <row r="818" spans="1:22" outlineLevel="1">
      <c r="A818" s="199" t="s">
        <v>276</v>
      </c>
      <c r="B818" s="181" t="s">
        <v>748</v>
      </c>
      <c r="C818" s="190">
        <v>43646</v>
      </c>
      <c r="D818" s="199" t="s">
        <v>754</v>
      </c>
      <c r="E818" s="182" t="s">
        <v>757</v>
      </c>
      <c r="F818" s="183">
        <v>76341</v>
      </c>
      <c r="G818" s="184">
        <v>75.319999999999993</v>
      </c>
      <c r="H818" s="181">
        <v>100</v>
      </c>
      <c r="I818" s="181" t="s">
        <v>292</v>
      </c>
      <c r="J818" s="191">
        <v>100</v>
      </c>
      <c r="K818" s="192" t="s">
        <v>752</v>
      </c>
      <c r="L818" s="193" t="s">
        <v>396</v>
      </c>
      <c r="M818" s="193" t="s">
        <v>309</v>
      </c>
      <c r="N818" s="193"/>
      <c r="O818" s="193" t="s">
        <v>740</v>
      </c>
      <c r="P818" s="193" t="s">
        <v>381</v>
      </c>
      <c r="Q818" s="193" t="s">
        <v>295</v>
      </c>
      <c r="R818" s="192" t="s">
        <v>379</v>
      </c>
      <c r="S818" s="181" t="s">
        <v>740</v>
      </c>
      <c r="T818" s="181" t="s">
        <v>381</v>
      </c>
      <c r="U818" s="181" t="s">
        <v>295</v>
      </c>
      <c r="V818" s="199" t="s">
        <v>379</v>
      </c>
    </row>
    <row r="819" spans="1:22" outlineLevel="1">
      <c r="A819" s="199" t="s">
        <v>276</v>
      </c>
      <c r="B819" s="181" t="s">
        <v>748</v>
      </c>
      <c r="C819" s="190">
        <v>43646</v>
      </c>
      <c r="D819" s="199" t="s">
        <v>754</v>
      </c>
      <c r="E819" s="182" t="s">
        <v>759</v>
      </c>
      <c r="F819" s="183">
        <v>76341</v>
      </c>
      <c r="G819" s="184">
        <v>527.26</v>
      </c>
      <c r="H819" s="181">
        <v>700</v>
      </c>
      <c r="I819" s="181" t="s">
        <v>292</v>
      </c>
      <c r="J819" s="191">
        <v>700</v>
      </c>
      <c r="K819" s="192" t="s">
        <v>752</v>
      </c>
      <c r="L819" s="193" t="s">
        <v>396</v>
      </c>
      <c r="M819" s="193" t="s">
        <v>309</v>
      </c>
      <c r="N819" s="193"/>
      <c r="O819" s="193" t="s">
        <v>740</v>
      </c>
      <c r="P819" s="193" t="s">
        <v>381</v>
      </c>
      <c r="Q819" s="193" t="s">
        <v>295</v>
      </c>
      <c r="R819" s="192" t="s">
        <v>379</v>
      </c>
      <c r="S819" s="181" t="s">
        <v>740</v>
      </c>
      <c r="T819" s="181" t="s">
        <v>381</v>
      </c>
      <c r="U819" s="181" t="s">
        <v>295</v>
      </c>
      <c r="V819" s="199" t="s">
        <v>379</v>
      </c>
    </row>
    <row r="820" spans="1:22">
      <c r="A820" s="194" t="s">
        <v>378</v>
      </c>
      <c r="B820" s="194"/>
      <c r="C820" s="194"/>
      <c r="D820" s="194"/>
      <c r="E820" s="195"/>
      <c r="F820" s="196"/>
      <c r="G820" s="197">
        <f>SUM(G793:G819)</f>
        <v>13200.050000000003</v>
      </c>
      <c r="H820" s="198">
        <f>SUM(H793:H819)</f>
        <v>17432.32</v>
      </c>
      <c r="I820" s="194"/>
      <c r="J820" s="198">
        <f>SUM(J793:J819)</f>
        <v>17135.36</v>
      </c>
      <c r="K820" s="194"/>
      <c r="L820" s="194"/>
      <c r="M820" s="194"/>
      <c r="N820" s="194"/>
      <c r="O820" s="194"/>
      <c r="P820" s="194"/>
      <c r="Q820" s="194"/>
      <c r="R820" s="194"/>
      <c r="S820" s="181"/>
      <c r="T820" s="181"/>
      <c r="U820" s="181"/>
      <c r="V820" s="181"/>
    </row>
    <row r="821" spans="1:22" outlineLevel="1">
      <c r="A821" s="199" t="s">
        <v>277</v>
      </c>
      <c r="B821" s="181" t="s">
        <v>747</v>
      </c>
      <c r="C821" s="190">
        <v>43565</v>
      </c>
      <c r="D821" s="199" t="s">
        <v>1073</v>
      </c>
      <c r="E821" s="182" t="s">
        <v>1455</v>
      </c>
      <c r="F821" s="183">
        <v>75701</v>
      </c>
      <c r="G821" s="184">
        <v>7.67</v>
      </c>
      <c r="H821" s="181">
        <v>10</v>
      </c>
      <c r="I821" s="181" t="s">
        <v>292</v>
      </c>
      <c r="J821" s="191">
        <v>10</v>
      </c>
      <c r="K821" s="192" t="s">
        <v>604</v>
      </c>
      <c r="L821" s="193" t="s">
        <v>396</v>
      </c>
      <c r="M821" s="193" t="s">
        <v>309</v>
      </c>
      <c r="N821" s="193" t="s">
        <v>628</v>
      </c>
      <c r="O821" s="193"/>
      <c r="P821" s="193" t="s">
        <v>381</v>
      </c>
      <c r="Q821" s="193" t="s">
        <v>295</v>
      </c>
      <c r="R821" s="192" t="s">
        <v>379</v>
      </c>
      <c r="S821" s="181"/>
      <c r="T821" s="181" t="s">
        <v>381</v>
      </c>
      <c r="U821" s="181" t="s">
        <v>295</v>
      </c>
      <c r="V821" s="199" t="s">
        <v>379</v>
      </c>
    </row>
    <row r="822" spans="1:22" outlineLevel="1">
      <c r="A822" s="199" t="s">
        <v>277</v>
      </c>
      <c r="B822" s="181" t="s">
        <v>747</v>
      </c>
      <c r="C822" s="190">
        <v>43565</v>
      </c>
      <c r="D822" s="199" t="s">
        <v>1073</v>
      </c>
      <c r="E822" s="182" t="s">
        <v>1456</v>
      </c>
      <c r="F822" s="183">
        <v>75701</v>
      </c>
      <c r="G822" s="184">
        <v>3.83</v>
      </c>
      <c r="H822" s="181">
        <v>5</v>
      </c>
      <c r="I822" s="181" t="s">
        <v>292</v>
      </c>
      <c r="J822" s="191">
        <v>5</v>
      </c>
      <c r="K822" s="192" t="s">
        <v>604</v>
      </c>
      <c r="L822" s="193" t="s">
        <v>396</v>
      </c>
      <c r="M822" s="193" t="s">
        <v>309</v>
      </c>
      <c r="N822" s="193" t="s">
        <v>628</v>
      </c>
      <c r="O822" s="193"/>
      <c r="P822" s="193" t="s">
        <v>381</v>
      </c>
      <c r="Q822" s="193" t="s">
        <v>295</v>
      </c>
      <c r="R822" s="192" t="s">
        <v>379</v>
      </c>
      <c r="S822" s="181"/>
      <c r="T822" s="181" t="s">
        <v>381</v>
      </c>
      <c r="U822" s="181" t="s">
        <v>295</v>
      </c>
      <c r="V822" s="199" t="s">
        <v>379</v>
      </c>
    </row>
    <row r="823" spans="1:22" outlineLevel="1">
      <c r="A823" s="199" t="s">
        <v>277</v>
      </c>
      <c r="B823" s="181" t="s">
        <v>747</v>
      </c>
      <c r="C823" s="190">
        <v>43558</v>
      </c>
      <c r="D823" s="199" t="s">
        <v>1457</v>
      </c>
      <c r="E823" s="182" t="s">
        <v>1458</v>
      </c>
      <c r="F823" s="183">
        <v>75701</v>
      </c>
      <c r="G823" s="184">
        <v>168.68</v>
      </c>
      <c r="H823" s="181">
        <v>220</v>
      </c>
      <c r="I823" s="181" t="s">
        <v>292</v>
      </c>
      <c r="J823" s="191">
        <v>220</v>
      </c>
      <c r="K823" s="192" t="s">
        <v>610</v>
      </c>
      <c r="L823" s="193" t="s">
        <v>396</v>
      </c>
      <c r="M823" s="193" t="s">
        <v>309</v>
      </c>
      <c r="N823" s="193" t="s">
        <v>1110</v>
      </c>
      <c r="O823" s="193"/>
      <c r="P823" s="193" t="s">
        <v>381</v>
      </c>
      <c r="Q823" s="193" t="s">
        <v>295</v>
      </c>
      <c r="R823" s="192" t="s">
        <v>379</v>
      </c>
      <c r="S823" s="181"/>
      <c r="T823" s="181" t="s">
        <v>381</v>
      </c>
      <c r="U823" s="181" t="s">
        <v>295</v>
      </c>
      <c r="V823" s="199" t="s">
        <v>379</v>
      </c>
    </row>
    <row r="824" spans="1:22" outlineLevel="1">
      <c r="A824" s="199" t="s">
        <v>277</v>
      </c>
      <c r="B824" s="181" t="s">
        <v>747</v>
      </c>
      <c r="C824" s="190">
        <v>43558</v>
      </c>
      <c r="D824" s="199" t="s">
        <v>1457</v>
      </c>
      <c r="E824" s="182" t="s">
        <v>1459</v>
      </c>
      <c r="F824" s="183">
        <v>75701</v>
      </c>
      <c r="G824" s="184">
        <v>168.68</v>
      </c>
      <c r="H824" s="181">
        <v>220</v>
      </c>
      <c r="I824" s="181" t="s">
        <v>292</v>
      </c>
      <c r="J824" s="191">
        <v>220</v>
      </c>
      <c r="K824" s="192" t="s">
        <v>610</v>
      </c>
      <c r="L824" s="193" t="s">
        <v>396</v>
      </c>
      <c r="M824" s="193" t="s">
        <v>309</v>
      </c>
      <c r="N824" s="193" t="s">
        <v>397</v>
      </c>
      <c r="O824" s="193"/>
      <c r="P824" s="193" t="s">
        <v>381</v>
      </c>
      <c r="Q824" s="193" t="s">
        <v>295</v>
      </c>
      <c r="R824" s="192" t="s">
        <v>379</v>
      </c>
      <c r="S824" s="181"/>
      <c r="T824" s="181" t="s">
        <v>381</v>
      </c>
      <c r="U824" s="181" t="s">
        <v>295</v>
      </c>
      <c r="V824" s="199" t="s">
        <v>379</v>
      </c>
    </row>
    <row r="825" spans="1:22" outlineLevel="1">
      <c r="A825" s="199" t="s">
        <v>277</v>
      </c>
      <c r="B825" s="181" t="s">
        <v>747</v>
      </c>
      <c r="C825" s="190">
        <v>43558</v>
      </c>
      <c r="D825" s="199" t="s">
        <v>1457</v>
      </c>
      <c r="E825" s="182" t="s">
        <v>1460</v>
      </c>
      <c r="F825" s="183">
        <v>75701</v>
      </c>
      <c r="G825" s="184">
        <v>42.39</v>
      </c>
      <c r="H825" s="181">
        <v>55</v>
      </c>
      <c r="I825" s="181" t="s">
        <v>292</v>
      </c>
      <c r="J825" s="191">
        <v>55</v>
      </c>
      <c r="K825" s="192" t="s">
        <v>610</v>
      </c>
      <c r="L825" s="193" t="s">
        <v>396</v>
      </c>
      <c r="M825" s="193" t="s">
        <v>309</v>
      </c>
      <c r="N825" s="193" t="s">
        <v>558</v>
      </c>
      <c r="O825" s="193"/>
      <c r="P825" s="193" t="s">
        <v>381</v>
      </c>
      <c r="Q825" s="193" t="s">
        <v>295</v>
      </c>
      <c r="R825" s="192" t="s">
        <v>379</v>
      </c>
      <c r="S825" s="181"/>
      <c r="T825" s="181" t="s">
        <v>381</v>
      </c>
      <c r="U825" s="181" t="s">
        <v>295</v>
      </c>
      <c r="V825" s="199" t="s">
        <v>379</v>
      </c>
    </row>
    <row r="826" spans="1:22" outlineLevel="1">
      <c r="A826" s="199" t="s">
        <v>277</v>
      </c>
      <c r="B826" s="181" t="s">
        <v>747</v>
      </c>
      <c r="C826" s="190">
        <v>43558</v>
      </c>
      <c r="D826" s="199" t="s">
        <v>1457</v>
      </c>
      <c r="E826" s="182" t="s">
        <v>1461</v>
      </c>
      <c r="F826" s="183">
        <v>75701</v>
      </c>
      <c r="G826" s="184">
        <v>168.68</v>
      </c>
      <c r="H826" s="181">
        <v>220</v>
      </c>
      <c r="I826" s="181" t="s">
        <v>292</v>
      </c>
      <c r="J826" s="191">
        <v>220</v>
      </c>
      <c r="K826" s="192" t="s">
        <v>610</v>
      </c>
      <c r="L826" s="193" t="s">
        <v>396</v>
      </c>
      <c r="M826" s="193" t="s">
        <v>309</v>
      </c>
      <c r="N826" s="193" t="s">
        <v>628</v>
      </c>
      <c r="O826" s="193"/>
      <c r="P826" s="193" t="s">
        <v>381</v>
      </c>
      <c r="Q826" s="193" t="s">
        <v>295</v>
      </c>
      <c r="R826" s="192" t="s">
        <v>379</v>
      </c>
      <c r="S826" s="181"/>
      <c r="T826" s="181" t="s">
        <v>381</v>
      </c>
      <c r="U826" s="181" t="s">
        <v>295</v>
      </c>
      <c r="V826" s="199" t="s">
        <v>379</v>
      </c>
    </row>
    <row r="827" spans="1:22" outlineLevel="1">
      <c r="A827" s="199" t="s">
        <v>277</v>
      </c>
      <c r="B827" s="181" t="s">
        <v>747</v>
      </c>
      <c r="C827" s="190">
        <v>43571</v>
      </c>
      <c r="D827" s="199" t="s">
        <v>1462</v>
      </c>
      <c r="E827" s="182" t="s">
        <v>1463</v>
      </c>
      <c r="F827" s="183">
        <v>75701</v>
      </c>
      <c r="G827" s="184">
        <v>23</v>
      </c>
      <c r="H827" s="181">
        <v>30</v>
      </c>
      <c r="I827" s="181" t="s">
        <v>292</v>
      </c>
      <c r="J827" s="191">
        <v>30</v>
      </c>
      <c r="K827" s="192" t="s">
        <v>610</v>
      </c>
      <c r="L827" s="193" t="s">
        <v>396</v>
      </c>
      <c r="M827" s="193" t="s">
        <v>309</v>
      </c>
      <c r="N827" s="193" t="s">
        <v>397</v>
      </c>
      <c r="O827" s="193"/>
      <c r="P827" s="193" t="s">
        <v>381</v>
      </c>
      <c r="Q827" s="193" t="s">
        <v>295</v>
      </c>
      <c r="R827" s="192" t="s">
        <v>379</v>
      </c>
      <c r="S827" s="181"/>
      <c r="T827" s="181" t="s">
        <v>381</v>
      </c>
      <c r="U827" s="181" t="s">
        <v>295</v>
      </c>
      <c r="V827" s="199" t="s">
        <v>379</v>
      </c>
    </row>
    <row r="828" spans="1:22" outlineLevel="1">
      <c r="A828" s="199" t="s">
        <v>277</v>
      </c>
      <c r="B828" s="181" t="s">
        <v>747</v>
      </c>
      <c r="C828" s="190">
        <v>43585</v>
      </c>
      <c r="D828" s="199" t="s">
        <v>1464</v>
      </c>
      <c r="E828" s="182" t="s">
        <v>1465</v>
      </c>
      <c r="F828" s="183">
        <v>75701</v>
      </c>
      <c r="G828" s="184">
        <v>69.010000000000005</v>
      </c>
      <c r="H828" s="181">
        <v>90</v>
      </c>
      <c r="I828" s="181" t="s">
        <v>292</v>
      </c>
      <c r="J828" s="191">
        <v>90.01</v>
      </c>
      <c r="K828" s="192" t="s">
        <v>610</v>
      </c>
      <c r="L828" s="193" t="s">
        <v>396</v>
      </c>
      <c r="M828" s="193" t="s">
        <v>309</v>
      </c>
      <c r="N828" s="193" t="s">
        <v>1110</v>
      </c>
      <c r="O828" s="193"/>
      <c r="P828" s="193" t="s">
        <v>381</v>
      </c>
      <c r="Q828" s="193" t="s">
        <v>295</v>
      </c>
      <c r="R828" s="192" t="s">
        <v>379</v>
      </c>
      <c r="S828" s="181"/>
      <c r="T828" s="181" t="s">
        <v>381</v>
      </c>
      <c r="U828" s="181" t="s">
        <v>295</v>
      </c>
      <c r="V828" s="199" t="s">
        <v>379</v>
      </c>
    </row>
    <row r="829" spans="1:22" outlineLevel="1">
      <c r="A829" s="199" t="s">
        <v>277</v>
      </c>
      <c r="B829" s="181" t="s">
        <v>747</v>
      </c>
      <c r="C829" s="190">
        <v>43585</v>
      </c>
      <c r="D829" s="199" t="s">
        <v>1464</v>
      </c>
      <c r="E829" s="182" t="s">
        <v>1466</v>
      </c>
      <c r="F829" s="183">
        <v>75701</v>
      </c>
      <c r="G829" s="184">
        <v>46</v>
      </c>
      <c r="H829" s="181">
        <v>60</v>
      </c>
      <c r="I829" s="181" t="s">
        <v>292</v>
      </c>
      <c r="J829" s="191">
        <v>60</v>
      </c>
      <c r="K829" s="192" t="s">
        <v>610</v>
      </c>
      <c r="L829" s="193" t="s">
        <v>396</v>
      </c>
      <c r="M829" s="193" t="s">
        <v>309</v>
      </c>
      <c r="N829" s="193" t="s">
        <v>397</v>
      </c>
      <c r="O829" s="193"/>
      <c r="P829" s="193" t="s">
        <v>381</v>
      </c>
      <c r="Q829" s="193" t="s">
        <v>295</v>
      </c>
      <c r="R829" s="192" t="s">
        <v>379</v>
      </c>
      <c r="S829" s="181"/>
      <c r="T829" s="181" t="s">
        <v>381</v>
      </c>
      <c r="U829" s="181" t="s">
        <v>295</v>
      </c>
      <c r="V829" s="199" t="s">
        <v>379</v>
      </c>
    </row>
    <row r="830" spans="1:22" outlineLevel="1">
      <c r="A830" s="199" t="s">
        <v>277</v>
      </c>
      <c r="B830" s="181" t="s">
        <v>747</v>
      </c>
      <c r="C830" s="190">
        <v>43585</v>
      </c>
      <c r="D830" s="199" t="s">
        <v>1464</v>
      </c>
      <c r="E830" s="182" t="s">
        <v>1467</v>
      </c>
      <c r="F830" s="183">
        <v>75701</v>
      </c>
      <c r="G830" s="184">
        <v>69.010000000000005</v>
      </c>
      <c r="H830" s="181">
        <v>90</v>
      </c>
      <c r="I830" s="181" t="s">
        <v>292</v>
      </c>
      <c r="J830" s="191">
        <v>90.01</v>
      </c>
      <c r="K830" s="192" t="s">
        <v>610</v>
      </c>
      <c r="L830" s="193" t="s">
        <v>396</v>
      </c>
      <c r="M830" s="193" t="s">
        <v>309</v>
      </c>
      <c r="N830" s="193" t="s">
        <v>558</v>
      </c>
      <c r="O830" s="193"/>
      <c r="P830" s="193" t="s">
        <v>381</v>
      </c>
      <c r="Q830" s="193" t="s">
        <v>295</v>
      </c>
      <c r="R830" s="192" t="s">
        <v>379</v>
      </c>
      <c r="S830" s="181"/>
      <c r="T830" s="181" t="s">
        <v>381</v>
      </c>
      <c r="U830" s="181" t="s">
        <v>295</v>
      </c>
      <c r="V830" s="199" t="s">
        <v>379</v>
      </c>
    </row>
    <row r="831" spans="1:22" outlineLevel="1">
      <c r="A831" s="199" t="s">
        <v>277</v>
      </c>
      <c r="B831" s="181" t="s">
        <v>747</v>
      </c>
      <c r="C831" s="190">
        <v>43585</v>
      </c>
      <c r="D831" s="199" t="s">
        <v>1464</v>
      </c>
      <c r="E831" s="182" t="s">
        <v>1468</v>
      </c>
      <c r="F831" s="183">
        <v>75701</v>
      </c>
      <c r="G831" s="184">
        <v>69.010000000000005</v>
      </c>
      <c r="H831" s="181">
        <v>90</v>
      </c>
      <c r="I831" s="181" t="s">
        <v>292</v>
      </c>
      <c r="J831" s="191">
        <v>90.01</v>
      </c>
      <c r="K831" s="192" t="s">
        <v>610</v>
      </c>
      <c r="L831" s="193" t="s">
        <v>396</v>
      </c>
      <c r="M831" s="193" t="s">
        <v>309</v>
      </c>
      <c r="N831" s="193" t="s">
        <v>628</v>
      </c>
      <c r="O831" s="193"/>
      <c r="P831" s="193" t="s">
        <v>381</v>
      </c>
      <c r="Q831" s="193" t="s">
        <v>295</v>
      </c>
      <c r="R831" s="192" t="s">
        <v>379</v>
      </c>
      <c r="S831" s="181"/>
      <c r="T831" s="181" t="s">
        <v>381</v>
      </c>
      <c r="U831" s="181" t="s">
        <v>295</v>
      </c>
      <c r="V831" s="199" t="s">
        <v>379</v>
      </c>
    </row>
    <row r="832" spans="1:22" outlineLevel="1">
      <c r="A832" s="199" t="s">
        <v>277</v>
      </c>
      <c r="B832" s="181" t="s">
        <v>747</v>
      </c>
      <c r="C832" s="190">
        <v>43565</v>
      </c>
      <c r="D832" s="199" t="s">
        <v>1073</v>
      </c>
      <c r="E832" s="182" t="s">
        <v>1469</v>
      </c>
      <c r="F832" s="183">
        <v>75701</v>
      </c>
      <c r="G832" s="184">
        <v>141.84</v>
      </c>
      <c r="H832" s="181">
        <v>185</v>
      </c>
      <c r="I832" s="181" t="s">
        <v>292</v>
      </c>
      <c r="J832" s="191">
        <v>185</v>
      </c>
      <c r="K832" s="192" t="s">
        <v>615</v>
      </c>
      <c r="L832" s="193" t="s">
        <v>396</v>
      </c>
      <c r="M832" s="193" t="s">
        <v>309</v>
      </c>
      <c r="N832" s="193" t="s">
        <v>628</v>
      </c>
      <c r="O832" s="193"/>
      <c r="P832" s="193" t="s">
        <v>381</v>
      </c>
      <c r="Q832" s="193" t="s">
        <v>295</v>
      </c>
      <c r="R832" s="192" t="s">
        <v>379</v>
      </c>
      <c r="S832" s="181"/>
      <c r="T832" s="181" t="s">
        <v>381</v>
      </c>
      <c r="U832" s="181" t="s">
        <v>295</v>
      </c>
      <c r="V832" s="199" t="s">
        <v>379</v>
      </c>
    </row>
    <row r="833" spans="1:22" outlineLevel="1">
      <c r="A833" s="199" t="s">
        <v>277</v>
      </c>
      <c r="B833" s="181" t="s">
        <v>747</v>
      </c>
      <c r="C833" s="190">
        <v>43565</v>
      </c>
      <c r="D833" s="199" t="s">
        <v>1470</v>
      </c>
      <c r="E833" s="182" t="s">
        <v>1471</v>
      </c>
      <c r="F833" s="183">
        <v>75701</v>
      </c>
      <c r="G833" s="184">
        <v>141.84</v>
      </c>
      <c r="H833" s="181">
        <v>185</v>
      </c>
      <c r="I833" s="181" t="s">
        <v>292</v>
      </c>
      <c r="J833" s="191">
        <v>185</v>
      </c>
      <c r="K833" s="192" t="s">
        <v>615</v>
      </c>
      <c r="L833" s="193" t="s">
        <v>396</v>
      </c>
      <c r="M833" s="193" t="s">
        <v>309</v>
      </c>
      <c r="N833" s="193" t="s">
        <v>1110</v>
      </c>
      <c r="O833" s="193"/>
      <c r="P833" s="193" t="s">
        <v>381</v>
      </c>
      <c r="Q833" s="193" t="s">
        <v>295</v>
      </c>
      <c r="R833" s="192" t="s">
        <v>379</v>
      </c>
      <c r="S833" s="181"/>
      <c r="T833" s="181" t="s">
        <v>381</v>
      </c>
      <c r="U833" s="181" t="s">
        <v>295</v>
      </c>
      <c r="V833" s="199" t="s">
        <v>379</v>
      </c>
    </row>
    <row r="834" spans="1:22" outlineLevel="1">
      <c r="A834" s="199" t="s">
        <v>277</v>
      </c>
      <c r="B834" s="181" t="s">
        <v>747</v>
      </c>
      <c r="C834" s="190">
        <v>43573</v>
      </c>
      <c r="D834" s="199" t="s">
        <v>1472</v>
      </c>
      <c r="E834" s="182" t="s">
        <v>1473</v>
      </c>
      <c r="F834" s="183">
        <v>75701</v>
      </c>
      <c r="G834" s="184">
        <v>103.51</v>
      </c>
      <c r="H834" s="181">
        <v>135</v>
      </c>
      <c r="I834" s="181" t="s">
        <v>292</v>
      </c>
      <c r="J834" s="191">
        <v>135</v>
      </c>
      <c r="K834" s="192" t="s">
        <v>615</v>
      </c>
      <c r="L834" s="193" t="s">
        <v>396</v>
      </c>
      <c r="M834" s="193" t="s">
        <v>309</v>
      </c>
      <c r="N834" s="193" t="s">
        <v>397</v>
      </c>
      <c r="O834" s="193"/>
      <c r="P834" s="193" t="s">
        <v>381</v>
      </c>
      <c r="Q834" s="193" t="s">
        <v>295</v>
      </c>
      <c r="R834" s="192" t="s">
        <v>379</v>
      </c>
      <c r="S834" s="181"/>
      <c r="T834" s="181" t="s">
        <v>381</v>
      </c>
      <c r="U834" s="181" t="s">
        <v>295</v>
      </c>
      <c r="V834" s="199" t="s">
        <v>379</v>
      </c>
    </row>
    <row r="835" spans="1:22" outlineLevel="1">
      <c r="A835" s="199" t="s">
        <v>277</v>
      </c>
      <c r="B835" s="181" t="s">
        <v>747</v>
      </c>
      <c r="C835" s="190">
        <v>43573</v>
      </c>
      <c r="D835" s="199" t="s">
        <v>1235</v>
      </c>
      <c r="E835" s="182" t="s">
        <v>1439</v>
      </c>
      <c r="F835" s="183">
        <v>75701</v>
      </c>
      <c r="G835" s="184">
        <v>452.37</v>
      </c>
      <c r="H835" s="181">
        <v>590</v>
      </c>
      <c r="I835" s="181" t="s">
        <v>292</v>
      </c>
      <c r="J835" s="191">
        <v>590</v>
      </c>
      <c r="K835" s="192" t="s">
        <v>714</v>
      </c>
      <c r="L835" s="193" t="s">
        <v>396</v>
      </c>
      <c r="M835" s="193" t="s">
        <v>309</v>
      </c>
      <c r="N835" s="193"/>
      <c r="O835" s="193"/>
      <c r="P835" s="193" t="s">
        <v>381</v>
      </c>
      <c r="Q835" s="193" t="s">
        <v>295</v>
      </c>
      <c r="R835" s="192" t="s">
        <v>379</v>
      </c>
      <c r="S835" s="181"/>
      <c r="T835" s="181" t="s">
        <v>381</v>
      </c>
      <c r="U835" s="181" t="s">
        <v>295</v>
      </c>
      <c r="V835" s="199" t="s">
        <v>379</v>
      </c>
    </row>
    <row r="836" spans="1:22" outlineLevel="1">
      <c r="A836" s="199" t="s">
        <v>277</v>
      </c>
      <c r="B836" s="181" t="s">
        <v>747</v>
      </c>
      <c r="C836" s="190">
        <v>43558</v>
      </c>
      <c r="D836" s="199" t="s">
        <v>1457</v>
      </c>
      <c r="E836" s="182" t="s">
        <v>1474</v>
      </c>
      <c r="F836" s="183">
        <v>75701</v>
      </c>
      <c r="G836" s="184">
        <v>1412.69</v>
      </c>
      <c r="H836" s="181">
        <v>1842.5</v>
      </c>
      <c r="I836" s="181" t="s">
        <v>292</v>
      </c>
      <c r="J836" s="191">
        <v>1842.5</v>
      </c>
      <c r="K836" s="192" t="s">
        <v>716</v>
      </c>
      <c r="L836" s="193" t="s">
        <v>396</v>
      </c>
      <c r="M836" s="193" t="s">
        <v>309</v>
      </c>
      <c r="N836" s="193"/>
      <c r="O836" s="193"/>
      <c r="P836" s="193" t="s">
        <v>381</v>
      </c>
      <c r="Q836" s="193" t="s">
        <v>295</v>
      </c>
      <c r="R836" s="192" t="s">
        <v>379</v>
      </c>
      <c r="S836" s="181"/>
      <c r="T836" s="181" t="s">
        <v>381</v>
      </c>
      <c r="U836" s="181" t="s">
        <v>295</v>
      </c>
      <c r="V836" s="199" t="s">
        <v>379</v>
      </c>
    </row>
    <row r="837" spans="1:22" outlineLevel="1">
      <c r="A837" s="199" t="s">
        <v>277</v>
      </c>
      <c r="B837" s="181" t="s">
        <v>747</v>
      </c>
      <c r="C837" s="190">
        <v>43571</v>
      </c>
      <c r="D837" s="199" t="s">
        <v>1462</v>
      </c>
      <c r="E837" s="182" t="s">
        <v>1475</v>
      </c>
      <c r="F837" s="183">
        <v>75701</v>
      </c>
      <c r="G837" s="184">
        <v>634.85</v>
      </c>
      <c r="H837" s="181">
        <v>828</v>
      </c>
      <c r="I837" s="181" t="s">
        <v>292</v>
      </c>
      <c r="J837" s="191">
        <v>828</v>
      </c>
      <c r="K837" s="192" t="s">
        <v>716</v>
      </c>
      <c r="L837" s="193" t="s">
        <v>396</v>
      </c>
      <c r="M837" s="193" t="s">
        <v>309</v>
      </c>
      <c r="N837" s="193"/>
      <c r="O837" s="193"/>
      <c r="P837" s="193" t="s">
        <v>381</v>
      </c>
      <c r="Q837" s="193" t="s">
        <v>295</v>
      </c>
      <c r="R837" s="192" t="s">
        <v>379</v>
      </c>
      <c r="S837" s="181"/>
      <c r="T837" s="181" t="s">
        <v>381</v>
      </c>
      <c r="U837" s="181" t="s">
        <v>295</v>
      </c>
      <c r="V837" s="199" t="s">
        <v>379</v>
      </c>
    </row>
    <row r="838" spans="1:22" outlineLevel="1">
      <c r="A838" s="199" t="s">
        <v>277</v>
      </c>
      <c r="B838" s="181" t="s">
        <v>747</v>
      </c>
      <c r="C838" s="190">
        <v>43585</v>
      </c>
      <c r="D838" s="199" t="s">
        <v>1464</v>
      </c>
      <c r="E838" s="182" t="s">
        <v>1476</v>
      </c>
      <c r="F838" s="183">
        <v>75701</v>
      </c>
      <c r="G838" s="184">
        <v>943.07</v>
      </c>
      <c r="H838" s="181">
        <v>1230</v>
      </c>
      <c r="I838" s="181" t="s">
        <v>292</v>
      </c>
      <c r="J838" s="191">
        <v>1230</v>
      </c>
      <c r="K838" s="192" t="s">
        <v>716</v>
      </c>
      <c r="L838" s="193" t="s">
        <v>396</v>
      </c>
      <c r="M838" s="193" t="s">
        <v>309</v>
      </c>
      <c r="N838" s="193"/>
      <c r="O838" s="193"/>
      <c r="P838" s="193" t="s">
        <v>381</v>
      </c>
      <c r="Q838" s="193" t="s">
        <v>295</v>
      </c>
      <c r="R838" s="192" t="s">
        <v>379</v>
      </c>
      <c r="S838" s="181"/>
      <c r="T838" s="181" t="s">
        <v>381</v>
      </c>
      <c r="U838" s="181" t="s">
        <v>295</v>
      </c>
      <c r="V838" s="199" t="s">
        <v>379</v>
      </c>
    </row>
    <row r="839" spans="1:22" outlineLevel="1">
      <c r="A839" s="199" t="s">
        <v>277</v>
      </c>
      <c r="B839" s="181" t="s">
        <v>747</v>
      </c>
      <c r="C839" s="190">
        <v>43573</v>
      </c>
      <c r="D839" s="199" t="s">
        <v>1235</v>
      </c>
      <c r="E839" s="182" t="s">
        <v>1440</v>
      </c>
      <c r="F839" s="183">
        <v>75701</v>
      </c>
      <c r="G839" s="184">
        <v>805.06</v>
      </c>
      <c r="H839" s="181">
        <v>1050</v>
      </c>
      <c r="I839" s="181" t="s">
        <v>292</v>
      </c>
      <c r="J839" s="191">
        <v>1050</v>
      </c>
      <c r="K839" s="192" t="s">
        <v>718</v>
      </c>
      <c r="L839" s="193" t="s">
        <v>396</v>
      </c>
      <c r="M839" s="193" t="s">
        <v>309</v>
      </c>
      <c r="N839" s="193"/>
      <c r="O839" s="193"/>
      <c r="P839" s="193" t="s">
        <v>381</v>
      </c>
      <c r="Q839" s="193" t="s">
        <v>295</v>
      </c>
      <c r="R839" s="192" t="s">
        <v>379</v>
      </c>
      <c r="S839" s="181"/>
      <c r="T839" s="181" t="s">
        <v>381</v>
      </c>
      <c r="U839" s="181" t="s">
        <v>295</v>
      </c>
      <c r="V839" s="199" t="s">
        <v>379</v>
      </c>
    </row>
    <row r="840" spans="1:22" outlineLevel="1">
      <c r="A840" s="199" t="s">
        <v>277</v>
      </c>
      <c r="B840" s="181" t="s">
        <v>747</v>
      </c>
      <c r="C840" s="190">
        <v>43558</v>
      </c>
      <c r="D840" s="199" t="s">
        <v>1457</v>
      </c>
      <c r="E840" s="182" t="s">
        <v>1477</v>
      </c>
      <c r="F840" s="183">
        <v>75701</v>
      </c>
      <c r="G840" s="184">
        <v>76.67</v>
      </c>
      <c r="H840" s="181">
        <v>100</v>
      </c>
      <c r="I840" s="181" t="s">
        <v>292</v>
      </c>
      <c r="J840" s="191">
        <v>100</v>
      </c>
      <c r="K840" s="192" t="s">
        <v>1478</v>
      </c>
      <c r="L840" s="193" t="s">
        <v>396</v>
      </c>
      <c r="M840" s="193" t="s">
        <v>309</v>
      </c>
      <c r="N840" s="193"/>
      <c r="O840" s="193"/>
      <c r="P840" s="193" t="s">
        <v>381</v>
      </c>
      <c r="Q840" s="193" t="s">
        <v>295</v>
      </c>
      <c r="R840" s="192" t="s">
        <v>379</v>
      </c>
      <c r="S840" s="181"/>
      <c r="T840" s="181" t="s">
        <v>381</v>
      </c>
      <c r="U840" s="181" t="s">
        <v>295</v>
      </c>
      <c r="V840" s="199" t="s">
        <v>379</v>
      </c>
    </row>
    <row r="841" spans="1:22" outlineLevel="1">
      <c r="A841" s="199" t="s">
        <v>277</v>
      </c>
      <c r="B841" s="181" t="s">
        <v>747</v>
      </c>
      <c r="C841" s="190">
        <v>43571</v>
      </c>
      <c r="D841" s="199" t="s">
        <v>1462</v>
      </c>
      <c r="E841" s="182" t="s">
        <v>1479</v>
      </c>
      <c r="F841" s="183">
        <v>75701</v>
      </c>
      <c r="G841" s="184">
        <v>161.01</v>
      </c>
      <c r="H841" s="181">
        <v>210</v>
      </c>
      <c r="I841" s="181" t="s">
        <v>292</v>
      </c>
      <c r="J841" s="191">
        <v>210</v>
      </c>
      <c r="K841" s="192" t="s">
        <v>1478</v>
      </c>
      <c r="L841" s="193" t="s">
        <v>396</v>
      </c>
      <c r="M841" s="193" t="s">
        <v>309</v>
      </c>
      <c r="N841" s="193"/>
      <c r="O841" s="193"/>
      <c r="P841" s="193" t="s">
        <v>381</v>
      </c>
      <c r="Q841" s="193" t="s">
        <v>295</v>
      </c>
      <c r="R841" s="192" t="s">
        <v>379</v>
      </c>
      <c r="S841" s="181"/>
      <c r="T841" s="181" t="s">
        <v>381</v>
      </c>
      <c r="U841" s="181" t="s">
        <v>295</v>
      </c>
      <c r="V841" s="199" t="s">
        <v>379</v>
      </c>
    </row>
    <row r="842" spans="1:22" outlineLevel="1">
      <c r="A842" s="199" t="s">
        <v>277</v>
      </c>
      <c r="B842" s="181" t="s">
        <v>747</v>
      </c>
      <c r="C842" s="190">
        <v>43558</v>
      </c>
      <c r="D842" s="199" t="s">
        <v>1457</v>
      </c>
      <c r="E842" s="182" t="s">
        <v>1480</v>
      </c>
      <c r="F842" s="183">
        <v>75701</v>
      </c>
      <c r="G842" s="184">
        <v>1021.28</v>
      </c>
      <c r="H842" s="181">
        <v>1332</v>
      </c>
      <c r="I842" s="181" t="s">
        <v>292</v>
      </c>
      <c r="J842" s="191">
        <v>1332.01</v>
      </c>
      <c r="K842" s="192" t="s">
        <v>1128</v>
      </c>
      <c r="L842" s="193" t="s">
        <v>396</v>
      </c>
      <c r="M842" s="193" t="s">
        <v>309</v>
      </c>
      <c r="N842" s="193"/>
      <c r="O842" s="193"/>
      <c r="P842" s="193" t="s">
        <v>381</v>
      </c>
      <c r="Q842" s="193" t="s">
        <v>295</v>
      </c>
      <c r="R842" s="192" t="s">
        <v>379</v>
      </c>
      <c r="S842" s="181"/>
      <c r="T842" s="181" t="s">
        <v>381</v>
      </c>
      <c r="U842" s="181" t="s">
        <v>295</v>
      </c>
      <c r="V842" s="199" t="s">
        <v>379</v>
      </c>
    </row>
    <row r="843" spans="1:22" outlineLevel="1">
      <c r="A843" s="199" t="s">
        <v>277</v>
      </c>
      <c r="B843" s="181" t="s">
        <v>747</v>
      </c>
      <c r="C843" s="190">
        <v>43571</v>
      </c>
      <c r="D843" s="199" t="s">
        <v>1462</v>
      </c>
      <c r="E843" s="182" t="s">
        <v>1481</v>
      </c>
      <c r="F843" s="183">
        <v>75701</v>
      </c>
      <c r="G843" s="184">
        <v>837.26</v>
      </c>
      <c r="H843" s="181">
        <v>1092</v>
      </c>
      <c r="I843" s="181" t="s">
        <v>292</v>
      </c>
      <c r="J843" s="191">
        <v>1092</v>
      </c>
      <c r="K843" s="192" t="s">
        <v>1128</v>
      </c>
      <c r="L843" s="193" t="s">
        <v>396</v>
      </c>
      <c r="M843" s="193" t="s">
        <v>309</v>
      </c>
      <c r="N843" s="193"/>
      <c r="O843" s="193"/>
      <c r="P843" s="193" t="s">
        <v>381</v>
      </c>
      <c r="Q843" s="193" t="s">
        <v>295</v>
      </c>
      <c r="R843" s="192" t="s">
        <v>379</v>
      </c>
      <c r="S843" s="181"/>
      <c r="T843" s="181" t="s">
        <v>381</v>
      </c>
      <c r="U843" s="181" t="s">
        <v>295</v>
      </c>
      <c r="V843" s="199" t="s">
        <v>379</v>
      </c>
    </row>
    <row r="844" spans="1:22" outlineLevel="1">
      <c r="A844" s="199" t="s">
        <v>277</v>
      </c>
      <c r="B844" s="181" t="s">
        <v>748</v>
      </c>
      <c r="C844" s="190">
        <v>43630</v>
      </c>
      <c r="D844" s="199" t="s">
        <v>774</v>
      </c>
      <c r="E844" s="182" t="s">
        <v>1482</v>
      </c>
      <c r="F844" s="183">
        <v>76315</v>
      </c>
      <c r="G844" s="184">
        <v>79.62</v>
      </c>
      <c r="H844" s="181">
        <v>100.5</v>
      </c>
      <c r="I844" s="181" t="s">
        <v>292</v>
      </c>
      <c r="J844" s="191">
        <v>100.5</v>
      </c>
      <c r="K844" s="192" t="s">
        <v>1442</v>
      </c>
      <c r="L844" s="193" t="s">
        <v>396</v>
      </c>
      <c r="M844" s="193" t="s">
        <v>309</v>
      </c>
      <c r="N844" s="193"/>
      <c r="O844" s="193"/>
      <c r="P844" s="193" t="s">
        <v>381</v>
      </c>
      <c r="Q844" s="193" t="s">
        <v>295</v>
      </c>
      <c r="R844" s="192" t="s">
        <v>379</v>
      </c>
      <c r="S844" s="181"/>
      <c r="T844" s="181" t="s">
        <v>381</v>
      </c>
      <c r="U844" s="181" t="s">
        <v>295</v>
      </c>
      <c r="V844" s="199" t="s">
        <v>379</v>
      </c>
    </row>
    <row r="845" spans="1:22">
      <c r="A845" s="194" t="s">
        <v>378</v>
      </c>
      <c r="B845" s="194"/>
      <c r="C845" s="194"/>
      <c r="D845" s="194"/>
      <c r="E845" s="195"/>
      <c r="F845" s="196"/>
      <c r="G845" s="197">
        <f>SUM(G821:G844)</f>
        <v>7647.0300000000007</v>
      </c>
      <c r="H845" s="198">
        <f>SUM(H821:H844)</f>
        <v>9970</v>
      </c>
      <c r="I845" s="194"/>
      <c r="J845" s="198">
        <f>SUM(J821:J844)</f>
        <v>9970.0399999999991</v>
      </c>
      <c r="K845" s="194"/>
      <c r="L845" s="194"/>
      <c r="M845" s="194"/>
      <c r="N845" s="194"/>
      <c r="O845" s="194"/>
      <c r="P845" s="194"/>
      <c r="Q845" s="194"/>
      <c r="R845" s="194"/>
      <c r="S845" s="181"/>
      <c r="T845" s="181"/>
      <c r="U845" s="181"/>
      <c r="V845" s="181"/>
    </row>
    <row r="846" spans="1:22" outlineLevel="1">
      <c r="A846" s="199" t="s">
        <v>279</v>
      </c>
      <c r="B846" s="181" t="s">
        <v>747</v>
      </c>
      <c r="C846" s="190">
        <v>43578</v>
      </c>
      <c r="D846" s="199" t="s">
        <v>1156</v>
      </c>
      <c r="E846" s="182" t="s">
        <v>1483</v>
      </c>
      <c r="F846" s="183">
        <v>75701</v>
      </c>
      <c r="G846" s="184">
        <v>0.84</v>
      </c>
      <c r="H846" s="181">
        <v>1.1000000000000001</v>
      </c>
      <c r="I846" s="181" t="s">
        <v>292</v>
      </c>
      <c r="J846" s="191">
        <v>1.1000000000000001</v>
      </c>
      <c r="K846" s="192" t="s">
        <v>604</v>
      </c>
      <c r="L846" s="193" t="s">
        <v>396</v>
      </c>
      <c r="M846" s="193" t="s">
        <v>309</v>
      </c>
      <c r="N846" s="193" t="s">
        <v>489</v>
      </c>
      <c r="O846" s="193"/>
      <c r="P846" s="193" t="s">
        <v>381</v>
      </c>
      <c r="Q846" s="193" t="s">
        <v>295</v>
      </c>
      <c r="R846" s="192" t="s">
        <v>379</v>
      </c>
      <c r="S846" s="181"/>
      <c r="T846" s="181" t="s">
        <v>381</v>
      </c>
      <c r="U846" s="181" t="s">
        <v>295</v>
      </c>
      <c r="V846" s="199" t="s">
        <v>379</v>
      </c>
    </row>
    <row r="847" spans="1:22" outlineLevel="1">
      <c r="A847" s="199" t="s">
        <v>279</v>
      </c>
      <c r="B847" s="181" t="s">
        <v>747</v>
      </c>
      <c r="C847" s="190">
        <v>43584</v>
      </c>
      <c r="D847" s="199" t="s">
        <v>1156</v>
      </c>
      <c r="E847" s="182" t="s">
        <v>1483</v>
      </c>
      <c r="F847" s="183">
        <v>75701</v>
      </c>
      <c r="G847" s="184">
        <v>1.1499999999999999</v>
      </c>
      <c r="H847" s="181">
        <v>1.5</v>
      </c>
      <c r="I847" s="181" t="s">
        <v>292</v>
      </c>
      <c r="J847" s="191">
        <v>1.5</v>
      </c>
      <c r="K847" s="192" t="s">
        <v>604</v>
      </c>
      <c r="L847" s="193" t="s">
        <v>396</v>
      </c>
      <c r="M847" s="193" t="s">
        <v>309</v>
      </c>
      <c r="N847" s="193" t="s">
        <v>628</v>
      </c>
      <c r="O847" s="193"/>
      <c r="P847" s="193" t="s">
        <v>381</v>
      </c>
      <c r="Q847" s="193" t="s">
        <v>295</v>
      </c>
      <c r="R847" s="192" t="s">
        <v>379</v>
      </c>
      <c r="S847" s="181"/>
      <c r="T847" s="181" t="s">
        <v>381</v>
      </c>
      <c r="U847" s="181" t="s">
        <v>295</v>
      </c>
      <c r="V847" s="199" t="s">
        <v>379</v>
      </c>
    </row>
    <row r="848" spans="1:22" outlineLevel="1">
      <c r="A848" s="199" t="s">
        <v>279</v>
      </c>
      <c r="B848" s="181" t="s">
        <v>747</v>
      </c>
      <c r="C848" s="190">
        <v>43559</v>
      </c>
      <c r="D848" s="199" t="s">
        <v>1484</v>
      </c>
      <c r="E848" s="182" t="s">
        <v>1485</v>
      </c>
      <c r="F848" s="183">
        <v>75701</v>
      </c>
      <c r="G848" s="184">
        <v>84.34</v>
      </c>
      <c r="H848" s="181">
        <v>110</v>
      </c>
      <c r="I848" s="181" t="s">
        <v>292</v>
      </c>
      <c r="J848" s="191">
        <v>110</v>
      </c>
      <c r="K848" s="192" t="s">
        <v>615</v>
      </c>
      <c r="L848" s="193" t="s">
        <v>396</v>
      </c>
      <c r="M848" s="193" t="s">
        <v>309</v>
      </c>
      <c r="N848" s="193" t="s">
        <v>558</v>
      </c>
      <c r="O848" s="193"/>
      <c r="P848" s="193" t="s">
        <v>381</v>
      </c>
      <c r="Q848" s="193" t="s">
        <v>295</v>
      </c>
      <c r="R848" s="192" t="s">
        <v>379</v>
      </c>
      <c r="S848" s="181"/>
      <c r="T848" s="181" t="s">
        <v>381</v>
      </c>
      <c r="U848" s="181" t="s">
        <v>295</v>
      </c>
      <c r="V848" s="199" t="s">
        <v>379</v>
      </c>
    </row>
    <row r="849" spans="1:22" outlineLevel="1">
      <c r="A849" s="199" t="s">
        <v>279</v>
      </c>
      <c r="B849" s="181" t="s">
        <v>747</v>
      </c>
      <c r="C849" s="190">
        <v>43580</v>
      </c>
      <c r="D849" s="199" t="s">
        <v>1486</v>
      </c>
      <c r="E849" s="182" t="s">
        <v>1487</v>
      </c>
      <c r="F849" s="183">
        <v>75702</v>
      </c>
      <c r="G849" s="184">
        <v>725.04</v>
      </c>
      <c r="H849" s="181">
        <v>945.63</v>
      </c>
      <c r="I849" s="181" t="s">
        <v>292</v>
      </c>
      <c r="J849" s="191">
        <v>945.63</v>
      </c>
      <c r="K849" s="192" t="s">
        <v>1488</v>
      </c>
      <c r="L849" s="193" t="s">
        <v>396</v>
      </c>
      <c r="M849" s="193" t="s">
        <v>309</v>
      </c>
      <c r="N849" s="193"/>
      <c r="O849" s="193"/>
      <c r="P849" s="193" t="s">
        <v>381</v>
      </c>
      <c r="Q849" s="193" t="s">
        <v>1209</v>
      </c>
      <c r="R849" s="192" t="s">
        <v>256</v>
      </c>
      <c r="S849" s="181"/>
      <c r="T849" s="181" t="s">
        <v>381</v>
      </c>
      <c r="U849" s="181" t="s">
        <v>1209</v>
      </c>
      <c r="V849" s="199" t="s">
        <v>256</v>
      </c>
    </row>
    <row r="850" spans="1:22" outlineLevel="1">
      <c r="A850" s="199" t="s">
        <v>279</v>
      </c>
      <c r="B850" s="181" t="s">
        <v>747</v>
      </c>
      <c r="C850" s="190">
        <v>43585</v>
      </c>
      <c r="D850" s="199" t="s">
        <v>1489</v>
      </c>
      <c r="E850" s="182" t="s">
        <v>1490</v>
      </c>
      <c r="F850" s="183">
        <v>75702</v>
      </c>
      <c r="G850" s="184">
        <v>84.34</v>
      </c>
      <c r="H850" s="181">
        <v>110</v>
      </c>
      <c r="I850" s="181" t="s">
        <v>292</v>
      </c>
      <c r="J850" s="191">
        <v>110</v>
      </c>
      <c r="K850" s="192" t="s">
        <v>1034</v>
      </c>
      <c r="L850" s="193" t="s">
        <v>396</v>
      </c>
      <c r="M850" s="193" t="s">
        <v>309</v>
      </c>
      <c r="N850" s="193"/>
      <c r="O850" s="193"/>
      <c r="P850" s="193" t="s">
        <v>381</v>
      </c>
      <c r="Q850" s="193" t="s">
        <v>1209</v>
      </c>
      <c r="R850" s="192" t="s">
        <v>256</v>
      </c>
      <c r="S850" s="181"/>
      <c r="T850" s="181" t="s">
        <v>381</v>
      </c>
      <c r="U850" s="181" t="s">
        <v>1209</v>
      </c>
      <c r="V850" s="199" t="s">
        <v>256</v>
      </c>
    </row>
    <row r="851" spans="1:22" outlineLevel="1">
      <c r="A851" s="199" t="s">
        <v>279</v>
      </c>
      <c r="B851" s="181" t="s">
        <v>747</v>
      </c>
      <c r="C851" s="190">
        <v>43559</v>
      </c>
      <c r="D851" s="199" t="s">
        <v>1484</v>
      </c>
      <c r="E851" s="182" t="s">
        <v>1491</v>
      </c>
      <c r="F851" s="183">
        <v>75701</v>
      </c>
      <c r="G851" s="184">
        <v>65.17</v>
      </c>
      <c r="H851" s="181">
        <v>85</v>
      </c>
      <c r="I851" s="181" t="s">
        <v>292</v>
      </c>
      <c r="J851" s="191">
        <v>85</v>
      </c>
      <c r="K851" s="192" t="s">
        <v>592</v>
      </c>
      <c r="L851" s="193" t="s">
        <v>396</v>
      </c>
      <c r="M851" s="193" t="s">
        <v>309</v>
      </c>
      <c r="N851" s="193"/>
      <c r="O851" s="193"/>
      <c r="P851" s="193" t="s">
        <v>381</v>
      </c>
      <c r="Q851" s="193" t="s">
        <v>295</v>
      </c>
      <c r="R851" s="192" t="s">
        <v>379</v>
      </c>
      <c r="S851" s="181"/>
      <c r="T851" s="181" t="s">
        <v>381</v>
      </c>
      <c r="U851" s="181" t="s">
        <v>295</v>
      </c>
      <c r="V851" s="199" t="s">
        <v>379</v>
      </c>
    </row>
    <row r="852" spans="1:22" outlineLevel="1">
      <c r="A852" s="199" t="s">
        <v>279</v>
      </c>
      <c r="B852" s="181" t="s">
        <v>747</v>
      </c>
      <c r="C852" s="190">
        <v>43559</v>
      </c>
      <c r="D852" s="199" t="s">
        <v>1484</v>
      </c>
      <c r="E852" s="182" t="s">
        <v>1492</v>
      </c>
      <c r="F852" s="183">
        <v>75701</v>
      </c>
      <c r="G852" s="184">
        <v>84.34</v>
      </c>
      <c r="H852" s="181">
        <v>110</v>
      </c>
      <c r="I852" s="181" t="s">
        <v>292</v>
      </c>
      <c r="J852" s="191">
        <v>110</v>
      </c>
      <c r="K852" s="192" t="s">
        <v>592</v>
      </c>
      <c r="L852" s="193" t="s">
        <v>396</v>
      </c>
      <c r="M852" s="193" t="s">
        <v>309</v>
      </c>
      <c r="N852" s="193"/>
      <c r="O852" s="193"/>
      <c r="P852" s="193" t="s">
        <v>381</v>
      </c>
      <c r="Q852" s="193" t="s">
        <v>295</v>
      </c>
      <c r="R852" s="192" t="s">
        <v>379</v>
      </c>
      <c r="S852" s="181"/>
      <c r="T852" s="181" t="s">
        <v>381</v>
      </c>
      <c r="U852" s="181" t="s">
        <v>295</v>
      </c>
      <c r="V852" s="199" t="s">
        <v>379</v>
      </c>
    </row>
    <row r="853" spans="1:22" outlineLevel="1">
      <c r="A853" s="199" t="s">
        <v>279</v>
      </c>
      <c r="B853" s="181" t="s">
        <v>747</v>
      </c>
      <c r="C853" s="190">
        <v>43579</v>
      </c>
      <c r="D853" s="199" t="s">
        <v>1156</v>
      </c>
      <c r="E853" s="182" t="s">
        <v>1493</v>
      </c>
      <c r="F853" s="183">
        <v>75701</v>
      </c>
      <c r="G853" s="184">
        <v>38.340000000000003</v>
      </c>
      <c r="H853" s="181">
        <v>50</v>
      </c>
      <c r="I853" s="181" t="s">
        <v>292</v>
      </c>
      <c r="J853" s="191">
        <v>50.01</v>
      </c>
      <c r="K853" s="192" t="s">
        <v>1207</v>
      </c>
      <c r="L853" s="193" t="s">
        <v>396</v>
      </c>
      <c r="M853" s="193" t="s">
        <v>309</v>
      </c>
      <c r="N853" s="193"/>
      <c r="O853" s="193"/>
      <c r="P853" s="193" t="s">
        <v>381</v>
      </c>
      <c r="Q853" s="193" t="s">
        <v>295</v>
      </c>
      <c r="R853" s="192" t="s">
        <v>379</v>
      </c>
      <c r="S853" s="181"/>
      <c r="T853" s="181" t="s">
        <v>381</v>
      </c>
      <c r="U853" s="181" t="s">
        <v>295</v>
      </c>
      <c r="V853" s="199" t="s">
        <v>379</v>
      </c>
    </row>
    <row r="854" spans="1:22" outlineLevel="1">
      <c r="A854" s="199" t="s">
        <v>279</v>
      </c>
      <c r="B854" s="181" t="s">
        <v>777</v>
      </c>
      <c r="C854" s="190">
        <v>43599</v>
      </c>
      <c r="D854" s="199" t="s">
        <v>1494</v>
      </c>
      <c r="E854" s="182" t="s">
        <v>1495</v>
      </c>
      <c r="F854" s="183">
        <v>75987</v>
      </c>
      <c r="G854" s="184">
        <v>429.8</v>
      </c>
      <c r="H854" s="181">
        <v>560</v>
      </c>
      <c r="I854" s="181" t="s">
        <v>292</v>
      </c>
      <c r="J854" s="191">
        <v>560.01</v>
      </c>
      <c r="K854" s="192" t="s">
        <v>1034</v>
      </c>
      <c r="L854" s="193" t="s">
        <v>396</v>
      </c>
      <c r="M854" s="193" t="s">
        <v>309</v>
      </c>
      <c r="N854" s="193"/>
      <c r="O854" s="193"/>
      <c r="P854" s="193" t="s">
        <v>381</v>
      </c>
      <c r="Q854" s="193" t="s">
        <v>295</v>
      </c>
      <c r="R854" s="192" t="s">
        <v>379</v>
      </c>
      <c r="S854" s="181"/>
      <c r="T854" s="181" t="s">
        <v>381</v>
      </c>
      <c r="U854" s="181" t="s">
        <v>295</v>
      </c>
      <c r="V854" s="199" t="s">
        <v>379</v>
      </c>
    </row>
    <row r="855" spans="1:22" outlineLevel="1">
      <c r="A855" s="199" t="s">
        <v>279</v>
      </c>
      <c r="B855" s="181" t="s">
        <v>777</v>
      </c>
      <c r="C855" s="190">
        <v>43601</v>
      </c>
      <c r="D855" s="199" t="s">
        <v>1496</v>
      </c>
      <c r="E855" s="182" t="s">
        <v>1497</v>
      </c>
      <c r="F855" s="183">
        <v>75894</v>
      </c>
      <c r="G855" s="184">
        <v>9977.4</v>
      </c>
      <c r="H855" s="181">
        <v>13000</v>
      </c>
      <c r="I855" s="181" t="s">
        <v>292</v>
      </c>
      <c r="J855" s="191">
        <v>13000</v>
      </c>
      <c r="K855" s="192" t="s">
        <v>640</v>
      </c>
      <c r="L855" s="193" t="s">
        <v>374</v>
      </c>
      <c r="M855" s="193" t="s">
        <v>309</v>
      </c>
      <c r="N855" s="193"/>
      <c r="O855" s="193"/>
      <c r="P855" s="193" t="s">
        <v>381</v>
      </c>
      <c r="Q855" s="193" t="s">
        <v>295</v>
      </c>
      <c r="R855" s="192" t="s">
        <v>279</v>
      </c>
      <c r="S855" s="181"/>
      <c r="T855" s="181" t="s">
        <v>381</v>
      </c>
      <c r="U855" s="181" t="s">
        <v>295</v>
      </c>
      <c r="V855" s="199" t="s">
        <v>279</v>
      </c>
    </row>
    <row r="856" spans="1:22" outlineLevel="1">
      <c r="A856" s="199" t="s">
        <v>279</v>
      </c>
      <c r="B856" s="181" t="s">
        <v>748</v>
      </c>
      <c r="C856" s="190">
        <v>43619</v>
      </c>
      <c r="D856" s="199" t="s">
        <v>1498</v>
      </c>
      <c r="E856" s="182" t="s">
        <v>1499</v>
      </c>
      <c r="F856" s="183">
        <v>76060</v>
      </c>
      <c r="G856" s="184">
        <v>7724.39</v>
      </c>
      <c r="H856" s="181">
        <v>9750</v>
      </c>
      <c r="I856" s="181" t="s">
        <v>292</v>
      </c>
      <c r="J856" s="191">
        <v>9750</v>
      </c>
      <c r="K856" s="192" t="s">
        <v>640</v>
      </c>
      <c r="L856" s="193" t="s">
        <v>374</v>
      </c>
      <c r="M856" s="193" t="s">
        <v>309</v>
      </c>
      <c r="N856" s="193"/>
      <c r="O856" s="193"/>
      <c r="P856" s="193" t="s">
        <v>381</v>
      </c>
      <c r="Q856" s="193" t="s">
        <v>295</v>
      </c>
      <c r="R856" s="192" t="s">
        <v>379</v>
      </c>
      <c r="S856" s="181"/>
      <c r="T856" s="181" t="s">
        <v>381</v>
      </c>
      <c r="U856" s="181" t="s">
        <v>295</v>
      </c>
      <c r="V856" s="199" t="s">
        <v>379</v>
      </c>
    </row>
    <row r="857" spans="1:22" outlineLevel="1">
      <c r="A857" s="199" t="s">
        <v>279</v>
      </c>
      <c r="B857" s="181" t="s">
        <v>748</v>
      </c>
      <c r="C857" s="190">
        <v>43646</v>
      </c>
      <c r="D857" s="199" t="s">
        <v>1500</v>
      </c>
      <c r="E857" s="182" t="s">
        <v>1501</v>
      </c>
      <c r="F857" s="183">
        <v>76356</v>
      </c>
      <c r="G857" s="184">
        <v>190.14</v>
      </c>
      <c r="H857" s="181">
        <v>240</v>
      </c>
      <c r="I857" s="181" t="s">
        <v>292</v>
      </c>
      <c r="J857" s="191">
        <v>240</v>
      </c>
      <c r="K857" s="192" t="s">
        <v>752</v>
      </c>
      <c r="L857" s="193" t="s">
        <v>396</v>
      </c>
      <c r="M857" s="193" t="s">
        <v>309</v>
      </c>
      <c r="N857" s="193"/>
      <c r="O857" s="193" t="s">
        <v>743</v>
      </c>
      <c r="P857" s="193" t="s">
        <v>381</v>
      </c>
      <c r="Q857" s="193" t="s">
        <v>295</v>
      </c>
      <c r="R857" s="192" t="s">
        <v>379</v>
      </c>
      <c r="S857" s="181" t="s">
        <v>743</v>
      </c>
      <c r="T857" s="181" t="s">
        <v>381</v>
      </c>
      <c r="U857" s="181" t="s">
        <v>295</v>
      </c>
      <c r="V857" s="199" t="s">
        <v>379</v>
      </c>
    </row>
    <row r="858" spans="1:22" outlineLevel="1">
      <c r="A858" s="199" t="s">
        <v>279</v>
      </c>
      <c r="B858" s="181" t="s">
        <v>748</v>
      </c>
      <c r="C858" s="190">
        <v>43646</v>
      </c>
      <c r="D858" s="199" t="s">
        <v>1500</v>
      </c>
      <c r="E858" s="182" t="s">
        <v>1502</v>
      </c>
      <c r="F858" s="183">
        <v>76356</v>
      </c>
      <c r="G858" s="184">
        <v>79.22</v>
      </c>
      <c r="H858" s="181">
        <v>100</v>
      </c>
      <c r="I858" s="181" t="s">
        <v>292</v>
      </c>
      <c r="J858" s="191">
        <v>99.99</v>
      </c>
      <c r="K858" s="192" t="s">
        <v>752</v>
      </c>
      <c r="L858" s="193" t="s">
        <v>396</v>
      </c>
      <c r="M858" s="193" t="s">
        <v>309</v>
      </c>
      <c r="N858" s="193"/>
      <c r="O858" s="193" t="s">
        <v>743</v>
      </c>
      <c r="P858" s="193" t="s">
        <v>381</v>
      </c>
      <c r="Q858" s="193" t="s">
        <v>295</v>
      </c>
      <c r="R858" s="192" t="s">
        <v>379</v>
      </c>
      <c r="S858" s="181" t="s">
        <v>743</v>
      </c>
      <c r="T858" s="181" t="s">
        <v>381</v>
      </c>
      <c r="U858" s="181" t="s">
        <v>295</v>
      </c>
      <c r="V858" s="199" t="s">
        <v>379</v>
      </c>
    </row>
    <row r="859" spans="1:22" outlineLevel="1">
      <c r="A859" s="199" t="s">
        <v>279</v>
      </c>
      <c r="B859" s="181" t="s">
        <v>748</v>
      </c>
      <c r="C859" s="190">
        <v>43646</v>
      </c>
      <c r="D859" s="199" t="s">
        <v>1500</v>
      </c>
      <c r="E859" s="182" t="s">
        <v>1503</v>
      </c>
      <c r="F859" s="183">
        <v>76356</v>
      </c>
      <c r="G859" s="184">
        <v>288.38</v>
      </c>
      <c r="H859" s="181">
        <v>364</v>
      </c>
      <c r="I859" s="181" t="s">
        <v>292</v>
      </c>
      <c r="J859" s="191">
        <v>364</v>
      </c>
      <c r="K859" s="192" t="s">
        <v>752</v>
      </c>
      <c r="L859" s="193" t="s">
        <v>396</v>
      </c>
      <c r="M859" s="193" t="s">
        <v>309</v>
      </c>
      <c r="N859" s="193"/>
      <c r="O859" s="193" t="s">
        <v>743</v>
      </c>
      <c r="P859" s="193" t="s">
        <v>381</v>
      </c>
      <c r="Q859" s="193" t="s">
        <v>295</v>
      </c>
      <c r="R859" s="192" t="s">
        <v>379</v>
      </c>
      <c r="S859" s="181" t="s">
        <v>743</v>
      </c>
      <c r="T859" s="181" t="s">
        <v>381</v>
      </c>
      <c r="U859" s="181" t="s">
        <v>295</v>
      </c>
      <c r="V859" s="199" t="s">
        <v>379</v>
      </c>
    </row>
    <row r="860" spans="1:22" outlineLevel="1">
      <c r="A860" s="199" t="s">
        <v>279</v>
      </c>
      <c r="B860" s="181" t="s">
        <v>748</v>
      </c>
      <c r="C860" s="190">
        <v>43646</v>
      </c>
      <c r="D860" s="199" t="s">
        <v>1500</v>
      </c>
      <c r="E860" s="182" t="s">
        <v>1504</v>
      </c>
      <c r="F860" s="183">
        <v>76356</v>
      </c>
      <c r="G860" s="184">
        <v>831.86</v>
      </c>
      <c r="H860" s="181">
        <v>1050</v>
      </c>
      <c r="I860" s="181" t="s">
        <v>292</v>
      </c>
      <c r="J860" s="191">
        <v>1050</v>
      </c>
      <c r="K860" s="192" t="s">
        <v>752</v>
      </c>
      <c r="L860" s="193" t="s">
        <v>396</v>
      </c>
      <c r="M860" s="193" t="s">
        <v>309</v>
      </c>
      <c r="N860" s="193"/>
      <c r="O860" s="193" t="s">
        <v>743</v>
      </c>
      <c r="P860" s="193" t="s">
        <v>381</v>
      </c>
      <c r="Q860" s="193" t="s">
        <v>295</v>
      </c>
      <c r="R860" s="192" t="s">
        <v>379</v>
      </c>
      <c r="S860" s="181" t="s">
        <v>743</v>
      </c>
      <c r="T860" s="181" t="s">
        <v>381</v>
      </c>
      <c r="U860" s="181" t="s">
        <v>295</v>
      </c>
      <c r="V860" s="199" t="s">
        <v>379</v>
      </c>
    </row>
    <row r="861" spans="1:22" outlineLevel="1">
      <c r="A861" s="199" t="s">
        <v>279</v>
      </c>
      <c r="B861" s="181" t="s">
        <v>748</v>
      </c>
      <c r="C861" s="190">
        <v>43646</v>
      </c>
      <c r="D861" s="199" t="s">
        <v>1500</v>
      </c>
      <c r="E861" s="182" t="s">
        <v>1505</v>
      </c>
      <c r="F861" s="183">
        <v>76356</v>
      </c>
      <c r="G861" s="184">
        <v>253.52</v>
      </c>
      <c r="H861" s="181">
        <v>320</v>
      </c>
      <c r="I861" s="181" t="s">
        <v>292</v>
      </c>
      <c r="J861" s="191">
        <v>320</v>
      </c>
      <c r="K861" s="192" t="s">
        <v>752</v>
      </c>
      <c r="L861" s="193" t="s">
        <v>396</v>
      </c>
      <c r="M861" s="193" t="s">
        <v>309</v>
      </c>
      <c r="N861" s="193"/>
      <c r="O861" s="193" t="s">
        <v>743</v>
      </c>
      <c r="P861" s="193" t="s">
        <v>381</v>
      </c>
      <c r="Q861" s="193" t="s">
        <v>295</v>
      </c>
      <c r="R861" s="192" t="s">
        <v>379</v>
      </c>
      <c r="S861" s="181" t="s">
        <v>743</v>
      </c>
      <c r="T861" s="181" t="s">
        <v>381</v>
      </c>
      <c r="U861" s="181" t="s">
        <v>295</v>
      </c>
      <c r="V861" s="199" t="s">
        <v>379</v>
      </c>
    </row>
    <row r="862" spans="1:22" outlineLevel="1">
      <c r="A862" s="199" t="s">
        <v>279</v>
      </c>
      <c r="B862" s="181" t="s">
        <v>748</v>
      </c>
      <c r="C862" s="190">
        <v>43646</v>
      </c>
      <c r="D862" s="199" t="s">
        <v>1500</v>
      </c>
      <c r="E862" s="182" t="s">
        <v>1506</v>
      </c>
      <c r="F862" s="183">
        <v>76356</v>
      </c>
      <c r="G862" s="184">
        <v>404.05</v>
      </c>
      <c r="H862" s="181">
        <v>510</v>
      </c>
      <c r="I862" s="181" t="s">
        <v>292</v>
      </c>
      <c r="J862" s="191">
        <v>510.01</v>
      </c>
      <c r="K862" s="192" t="s">
        <v>752</v>
      </c>
      <c r="L862" s="193" t="s">
        <v>396</v>
      </c>
      <c r="M862" s="193" t="s">
        <v>309</v>
      </c>
      <c r="N862" s="193"/>
      <c r="O862" s="193" t="s">
        <v>743</v>
      </c>
      <c r="P862" s="193" t="s">
        <v>381</v>
      </c>
      <c r="Q862" s="193" t="s">
        <v>295</v>
      </c>
      <c r="R862" s="192" t="s">
        <v>379</v>
      </c>
      <c r="S862" s="181" t="s">
        <v>743</v>
      </c>
      <c r="T862" s="181" t="s">
        <v>381</v>
      </c>
      <c r="U862" s="181" t="s">
        <v>295</v>
      </c>
      <c r="V862" s="199" t="s">
        <v>379</v>
      </c>
    </row>
    <row r="863" spans="1:22" outlineLevel="1">
      <c r="A863" s="199" t="s">
        <v>279</v>
      </c>
      <c r="B863" s="181" t="s">
        <v>748</v>
      </c>
      <c r="C863" s="190">
        <v>43646</v>
      </c>
      <c r="D863" s="199" t="s">
        <v>1500</v>
      </c>
      <c r="E863" s="182" t="s">
        <v>1507</v>
      </c>
      <c r="F863" s="183">
        <v>76356</v>
      </c>
      <c r="G863" s="184">
        <v>2281.67</v>
      </c>
      <c r="H863" s="181">
        <v>2880</v>
      </c>
      <c r="I863" s="181" t="s">
        <v>292</v>
      </c>
      <c r="J863" s="191">
        <v>2880</v>
      </c>
      <c r="K863" s="192" t="s">
        <v>752</v>
      </c>
      <c r="L863" s="193" t="s">
        <v>396</v>
      </c>
      <c r="M863" s="193" t="s">
        <v>309</v>
      </c>
      <c r="N863" s="193"/>
      <c r="O863" s="193" t="s">
        <v>743</v>
      </c>
      <c r="P863" s="193" t="s">
        <v>381</v>
      </c>
      <c r="Q863" s="193" t="s">
        <v>295</v>
      </c>
      <c r="R863" s="192" t="s">
        <v>379</v>
      </c>
      <c r="S863" s="181" t="s">
        <v>743</v>
      </c>
      <c r="T863" s="181" t="s">
        <v>381</v>
      </c>
      <c r="U863" s="181" t="s">
        <v>295</v>
      </c>
      <c r="V863" s="199" t="s">
        <v>379</v>
      </c>
    </row>
    <row r="864" spans="1:22" outlineLevel="1">
      <c r="A864" s="199" t="s">
        <v>279</v>
      </c>
      <c r="B864" s="181" t="s">
        <v>748</v>
      </c>
      <c r="C864" s="190">
        <v>43646</v>
      </c>
      <c r="D864" s="199" t="s">
        <v>1500</v>
      </c>
      <c r="E864" s="182" t="s">
        <v>1508</v>
      </c>
      <c r="F864" s="183">
        <v>76356</v>
      </c>
      <c r="G864" s="184">
        <v>316.89999999999998</v>
      </c>
      <c r="H864" s="181">
        <v>400</v>
      </c>
      <c r="I864" s="181" t="s">
        <v>292</v>
      </c>
      <c r="J864" s="191">
        <v>400</v>
      </c>
      <c r="K864" s="192" t="s">
        <v>752</v>
      </c>
      <c r="L864" s="193" t="s">
        <v>396</v>
      </c>
      <c r="M864" s="193" t="s">
        <v>309</v>
      </c>
      <c r="N864" s="193"/>
      <c r="O864" s="193" t="s">
        <v>743</v>
      </c>
      <c r="P864" s="193" t="s">
        <v>381</v>
      </c>
      <c r="Q864" s="193" t="s">
        <v>295</v>
      </c>
      <c r="R864" s="192" t="s">
        <v>379</v>
      </c>
      <c r="S864" s="181" t="s">
        <v>743</v>
      </c>
      <c r="T864" s="181" t="s">
        <v>381</v>
      </c>
      <c r="U864" s="181" t="s">
        <v>295</v>
      </c>
      <c r="V864" s="199" t="s">
        <v>379</v>
      </c>
    </row>
    <row r="865" spans="1:22" outlineLevel="1">
      <c r="A865" s="199" t="s">
        <v>279</v>
      </c>
      <c r="B865" s="181" t="s">
        <v>748</v>
      </c>
      <c r="C865" s="190">
        <v>43646</v>
      </c>
      <c r="D865" s="199" t="s">
        <v>1509</v>
      </c>
      <c r="E865" s="182" t="s">
        <v>1510</v>
      </c>
      <c r="F865" s="183">
        <v>76356</v>
      </c>
      <c r="G865" s="184">
        <v>633.79999999999995</v>
      </c>
      <c r="H865" s="181">
        <v>800</v>
      </c>
      <c r="I865" s="181" t="s">
        <v>292</v>
      </c>
      <c r="J865" s="191">
        <v>800</v>
      </c>
      <c r="K865" s="192" t="s">
        <v>752</v>
      </c>
      <c r="L865" s="193" t="s">
        <v>396</v>
      </c>
      <c r="M865" s="193" t="s">
        <v>309</v>
      </c>
      <c r="N865" s="193"/>
      <c r="O865" s="193" t="s">
        <v>740</v>
      </c>
      <c r="P865" s="193" t="s">
        <v>381</v>
      </c>
      <c r="Q865" s="193" t="s">
        <v>295</v>
      </c>
      <c r="R865" s="192" t="s">
        <v>379</v>
      </c>
      <c r="S865" s="181" t="s">
        <v>740</v>
      </c>
      <c r="T865" s="181" t="s">
        <v>381</v>
      </c>
      <c r="U865" s="181" t="s">
        <v>295</v>
      </c>
      <c r="V865" s="199" t="s">
        <v>379</v>
      </c>
    </row>
    <row r="866" spans="1:22" outlineLevel="1">
      <c r="A866" s="199" t="s">
        <v>279</v>
      </c>
      <c r="B866" s="181" t="s">
        <v>748</v>
      </c>
      <c r="C866" s="190">
        <v>43646</v>
      </c>
      <c r="D866" s="199" t="s">
        <v>1509</v>
      </c>
      <c r="E866" s="182" t="s">
        <v>1511</v>
      </c>
      <c r="F866" s="183">
        <v>76356</v>
      </c>
      <c r="G866" s="184">
        <v>316.89999999999998</v>
      </c>
      <c r="H866" s="181">
        <v>400</v>
      </c>
      <c r="I866" s="181" t="s">
        <v>292</v>
      </c>
      <c r="J866" s="191">
        <v>400</v>
      </c>
      <c r="K866" s="192" t="s">
        <v>752</v>
      </c>
      <c r="L866" s="193" t="s">
        <v>396</v>
      </c>
      <c r="M866" s="193" t="s">
        <v>309</v>
      </c>
      <c r="N866" s="193"/>
      <c r="O866" s="193" t="s">
        <v>740</v>
      </c>
      <c r="P866" s="193" t="s">
        <v>381</v>
      </c>
      <c r="Q866" s="193" t="s">
        <v>295</v>
      </c>
      <c r="R866" s="192" t="s">
        <v>379</v>
      </c>
      <c r="S866" s="181" t="s">
        <v>740</v>
      </c>
      <c r="T866" s="181" t="s">
        <v>381</v>
      </c>
      <c r="U866" s="181" t="s">
        <v>295</v>
      </c>
      <c r="V866" s="199" t="s">
        <v>379</v>
      </c>
    </row>
    <row r="867" spans="1:22" outlineLevel="1">
      <c r="A867" s="199" t="s">
        <v>279</v>
      </c>
      <c r="B867" s="181" t="s">
        <v>748</v>
      </c>
      <c r="C867" s="190">
        <v>43646</v>
      </c>
      <c r="D867" s="199" t="s">
        <v>1509</v>
      </c>
      <c r="E867" s="182" t="s">
        <v>1512</v>
      </c>
      <c r="F867" s="183">
        <v>76356</v>
      </c>
      <c r="G867" s="184">
        <v>23.77</v>
      </c>
      <c r="H867" s="181">
        <v>30</v>
      </c>
      <c r="I867" s="181" t="s">
        <v>292</v>
      </c>
      <c r="J867" s="191">
        <v>30</v>
      </c>
      <c r="K867" s="192" t="s">
        <v>752</v>
      </c>
      <c r="L867" s="193" t="s">
        <v>396</v>
      </c>
      <c r="M867" s="193" t="s">
        <v>309</v>
      </c>
      <c r="N867" s="193"/>
      <c r="O867" s="193" t="s">
        <v>740</v>
      </c>
      <c r="P867" s="193" t="s">
        <v>381</v>
      </c>
      <c r="Q867" s="193" t="s">
        <v>295</v>
      </c>
      <c r="R867" s="192" t="s">
        <v>379</v>
      </c>
      <c r="S867" s="181" t="s">
        <v>740</v>
      </c>
      <c r="T867" s="181" t="s">
        <v>381</v>
      </c>
      <c r="U867" s="181" t="s">
        <v>295</v>
      </c>
      <c r="V867" s="199" t="s">
        <v>379</v>
      </c>
    </row>
    <row r="868" spans="1:22" outlineLevel="1">
      <c r="A868" s="199" t="s">
        <v>279</v>
      </c>
      <c r="B868" s="181" t="s">
        <v>748</v>
      </c>
      <c r="C868" s="190">
        <v>43646</v>
      </c>
      <c r="D868" s="199" t="s">
        <v>1509</v>
      </c>
      <c r="E868" s="182" t="s">
        <v>1513</v>
      </c>
      <c r="F868" s="183">
        <v>76356</v>
      </c>
      <c r="G868" s="184">
        <v>118.84</v>
      </c>
      <c r="H868" s="181">
        <v>150</v>
      </c>
      <c r="I868" s="181" t="s">
        <v>292</v>
      </c>
      <c r="J868" s="191">
        <v>150</v>
      </c>
      <c r="K868" s="192" t="s">
        <v>752</v>
      </c>
      <c r="L868" s="193" t="s">
        <v>396</v>
      </c>
      <c r="M868" s="193" t="s">
        <v>309</v>
      </c>
      <c r="N868" s="193"/>
      <c r="O868" s="193" t="s">
        <v>740</v>
      </c>
      <c r="P868" s="193" t="s">
        <v>381</v>
      </c>
      <c r="Q868" s="193" t="s">
        <v>295</v>
      </c>
      <c r="R868" s="192" t="s">
        <v>379</v>
      </c>
      <c r="S868" s="181" t="s">
        <v>740</v>
      </c>
      <c r="T868" s="181" t="s">
        <v>381</v>
      </c>
      <c r="U868" s="181" t="s">
        <v>295</v>
      </c>
      <c r="V868" s="199" t="s">
        <v>379</v>
      </c>
    </row>
    <row r="869" spans="1:22" outlineLevel="1">
      <c r="A869" s="199" t="s">
        <v>279</v>
      </c>
      <c r="B869" s="181" t="s">
        <v>748</v>
      </c>
      <c r="C869" s="190">
        <v>43646</v>
      </c>
      <c r="D869" s="199" t="s">
        <v>1509</v>
      </c>
      <c r="E869" s="182" t="s">
        <v>1514</v>
      </c>
      <c r="F869" s="183">
        <v>76356</v>
      </c>
      <c r="G869" s="184">
        <v>59.42</v>
      </c>
      <c r="H869" s="181">
        <v>75</v>
      </c>
      <c r="I869" s="181" t="s">
        <v>292</v>
      </c>
      <c r="J869" s="191">
        <v>75</v>
      </c>
      <c r="K869" s="192" t="s">
        <v>752</v>
      </c>
      <c r="L869" s="193" t="s">
        <v>396</v>
      </c>
      <c r="M869" s="193" t="s">
        <v>309</v>
      </c>
      <c r="N869" s="193"/>
      <c r="O869" s="193" t="s">
        <v>740</v>
      </c>
      <c r="P869" s="193" t="s">
        <v>381</v>
      </c>
      <c r="Q869" s="193" t="s">
        <v>295</v>
      </c>
      <c r="R869" s="192" t="s">
        <v>379</v>
      </c>
      <c r="S869" s="181" t="s">
        <v>740</v>
      </c>
      <c r="T869" s="181" t="s">
        <v>381</v>
      </c>
      <c r="U869" s="181" t="s">
        <v>295</v>
      </c>
      <c r="V869" s="199" t="s">
        <v>379</v>
      </c>
    </row>
    <row r="870" spans="1:22" outlineLevel="1">
      <c r="A870" s="199" t="s">
        <v>279</v>
      </c>
      <c r="B870" s="181" t="s">
        <v>748</v>
      </c>
      <c r="C870" s="190">
        <v>43646</v>
      </c>
      <c r="D870" s="199" t="s">
        <v>1509</v>
      </c>
      <c r="E870" s="182" t="s">
        <v>1515</v>
      </c>
      <c r="F870" s="183">
        <v>76356</v>
      </c>
      <c r="G870" s="184">
        <v>57.64</v>
      </c>
      <c r="H870" s="181">
        <v>72.75</v>
      </c>
      <c r="I870" s="181" t="s">
        <v>292</v>
      </c>
      <c r="J870" s="191">
        <v>72.760000000000005</v>
      </c>
      <c r="K870" s="192" t="s">
        <v>752</v>
      </c>
      <c r="L870" s="193" t="s">
        <v>396</v>
      </c>
      <c r="M870" s="193" t="s">
        <v>309</v>
      </c>
      <c r="N870" s="193"/>
      <c r="O870" s="193" t="s">
        <v>740</v>
      </c>
      <c r="P870" s="193" t="s">
        <v>381</v>
      </c>
      <c r="Q870" s="193" t="s">
        <v>295</v>
      </c>
      <c r="R870" s="192" t="s">
        <v>379</v>
      </c>
      <c r="S870" s="181" t="s">
        <v>740</v>
      </c>
      <c r="T870" s="181" t="s">
        <v>381</v>
      </c>
      <c r="U870" s="181" t="s">
        <v>295</v>
      </c>
      <c r="V870" s="199" t="s">
        <v>379</v>
      </c>
    </row>
    <row r="871" spans="1:22" outlineLevel="1">
      <c r="A871" s="199" t="s">
        <v>279</v>
      </c>
      <c r="B871" s="181" t="s">
        <v>748</v>
      </c>
      <c r="C871" s="190">
        <v>43646</v>
      </c>
      <c r="D871" s="199" t="s">
        <v>1509</v>
      </c>
      <c r="E871" s="182" t="s">
        <v>1516</v>
      </c>
      <c r="F871" s="183">
        <v>76356</v>
      </c>
      <c r="G871" s="184">
        <v>713.02</v>
      </c>
      <c r="H871" s="181">
        <v>900</v>
      </c>
      <c r="I871" s="181" t="s">
        <v>292</v>
      </c>
      <c r="J871" s="191">
        <v>900</v>
      </c>
      <c r="K871" s="192" t="s">
        <v>752</v>
      </c>
      <c r="L871" s="193" t="s">
        <v>396</v>
      </c>
      <c r="M871" s="193" t="s">
        <v>309</v>
      </c>
      <c r="N871" s="193"/>
      <c r="O871" s="193" t="s">
        <v>740</v>
      </c>
      <c r="P871" s="193" t="s">
        <v>381</v>
      </c>
      <c r="Q871" s="193" t="s">
        <v>295</v>
      </c>
      <c r="R871" s="192" t="s">
        <v>379</v>
      </c>
      <c r="S871" s="181" t="s">
        <v>740</v>
      </c>
      <c r="T871" s="181" t="s">
        <v>381</v>
      </c>
      <c r="U871" s="181" t="s">
        <v>295</v>
      </c>
      <c r="V871" s="199" t="s">
        <v>379</v>
      </c>
    </row>
    <row r="872" spans="1:22" outlineLevel="1">
      <c r="A872" s="199" t="s">
        <v>279</v>
      </c>
      <c r="B872" s="181" t="s">
        <v>748</v>
      </c>
      <c r="C872" s="190">
        <v>43619</v>
      </c>
      <c r="D872" s="199" t="s">
        <v>1517</v>
      </c>
      <c r="E872" s="182" t="s">
        <v>1518</v>
      </c>
      <c r="F872" s="183">
        <v>76231</v>
      </c>
      <c r="G872" s="184">
        <v>10.5</v>
      </c>
      <c r="H872" s="181">
        <v>13.25</v>
      </c>
      <c r="I872" s="181" t="s">
        <v>292</v>
      </c>
      <c r="J872" s="191">
        <v>13.25</v>
      </c>
      <c r="K872" s="192" t="s">
        <v>380</v>
      </c>
      <c r="L872" s="193" t="s">
        <v>374</v>
      </c>
      <c r="M872" s="193" t="s">
        <v>309</v>
      </c>
      <c r="N872" s="193"/>
      <c r="O872" s="193"/>
      <c r="P872" s="193" t="s">
        <v>381</v>
      </c>
      <c r="Q872" s="193" t="s">
        <v>295</v>
      </c>
      <c r="R872" s="192" t="s">
        <v>379</v>
      </c>
      <c r="S872" s="181"/>
      <c r="T872" s="181" t="s">
        <v>381</v>
      </c>
      <c r="U872" s="181" t="s">
        <v>295</v>
      </c>
      <c r="V872" s="199" t="s">
        <v>379</v>
      </c>
    </row>
    <row r="873" spans="1:22" outlineLevel="1">
      <c r="A873" s="199" t="s">
        <v>279</v>
      </c>
      <c r="B873" s="181" t="s">
        <v>748</v>
      </c>
      <c r="C873" s="190">
        <v>43634</v>
      </c>
      <c r="D873" s="199" t="s">
        <v>1517</v>
      </c>
      <c r="E873" s="182" t="s">
        <v>1518</v>
      </c>
      <c r="F873" s="183">
        <v>76231</v>
      </c>
      <c r="G873" s="184">
        <v>21.07</v>
      </c>
      <c r="H873" s="181">
        <v>26.6</v>
      </c>
      <c r="I873" s="181" t="s">
        <v>292</v>
      </c>
      <c r="J873" s="191">
        <v>26.6</v>
      </c>
      <c r="K873" s="192" t="s">
        <v>380</v>
      </c>
      <c r="L873" s="193" t="s">
        <v>374</v>
      </c>
      <c r="M873" s="193" t="s">
        <v>309</v>
      </c>
      <c r="N873" s="193"/>
      <c r="O873" s="193"/>
      <c r="P873" s="193" t="s">
        <v>381</v>
      </c>
      <c r="Q873" s="193" t="s">
        <v>295</v>
      </c>
      <c r="R873" s="192" t="s">
        <v>379</v>
      </c>
      <c r="S873" s="181"/>
      <c r="T873" s="181" t="s">
        <v>381</v>
      </c>
      <c r="U873" s="181" t="s">
        <v>295</v>
      </c>
      <c r="V873" s="199" t="s">
        <v>379</v>
      </c>
    </row>
    <row r="874" spans="1:22">
      <c r="A874" s="194" t="s">
        <v>378</v>
      </c>
      <c r="B874" s="194"/>
      <c r="C874" s="194"/>
      <c r="D874" s="194"/>
      <c r="E874" s="195"/>
      <c r="F874" s="196"/>
      <c r="G874" s="197">
        <f>SUM(G846:G873)</f>
        <v>25815.850000000006</v>
      </c>
      <c r="H874" s="198">
        <f>SUM(H846:H873)</f>
        <v>33054.829999999994</v>
      </c>
      <c r="I874" s="194"/>
      <c r="J874" s="198">
        <f>SUM(J846:J873)</f>
        <v>33054.859999999993</v>
      </c>
      <c r="K874" s="194"/>
      <c r="L874" s="194"/>
      <c r="M874" s="194"/>
      <c r="N874" s="194"/>
      <c r="O874" s="194"/>
      <c r="P874" s="194"/>
      <c r="Q874" s="194"/>
      <c r="R874" s="194"/>
      <c r="S874" s="181"/>
      <c r="T874" s="181"/>
      <c r="U874" s="181"/>
      <c r="V874" s="181"/>
    </row>
    <row r="875" spans="1:22" outlineLevel="1">
      <c r="A875" s="199" t="s">
        <v>280</v>
      </c>
      <c r="B875" s="181" t="s">
        <v>748</v>
      </c>
      <c r="C875" s="190">
        <v>43646</v>
      </c>
      <c r="D875" s="199" t="s">
        <v>750</v>
      </c>
      <c r="E875" s="182" t="s">
        <v>1519</v>
      </c>
      <c r="F875" s="183">
        <v>76330</v>
      </c>
      <c r="G875" s="184">
        <v>82.86</v>
      </c>
      <c r="H875" s="181">
        <v>110</v>
      </c>
      <c r="I875" s="181" t="s">
        <v>292</v>
      </c>
      <c r="J875" s="191">
        <v>104.59</v>
      </c>
      <c r="K875" s="192" t="s">
        <v>752</v>
      </c>
      <c r="L875" s="193" t="s">
        <v>396</v>
      </c>
      <c r="M875" s="193" t="s">
        <v>309</v>
      </c>
      <c r="N875" s="193"/>
      <c r="O875" s="193" t="s">
        <v>737</v>
      </c>
      <c r="P875" s="193" t="s">
        <v>381</v>
      </c>
      <c r="Q875" s="193" t="s">
        <v>295</v>
      </c>
      <c r="R875" s="192" t="s">
        <v>379</v>
      </c>
      <c r="S875" s="181" t="s">
        <v>737</v>
      </c>
      <c r="T875" s="181" t="s">
        <v>381</v>
      </c>
      <c r="U875" s="181" t="s">
        <v>295</v>
      </c>
      <c r="V875" s="199" t="s">
        <v>379</v>
      </c>
    </row>
    <row r="876" spans="1:22" outlineLevel="1">
      <c r="A876" s="199" t="s">
        <v>280</v>
      </c>
      <c r="B876" s="181" t="s">
        <v>748</v>
      </c>
      <c r="C876" s="190">
        <v>43646</v>
      </c>
      <c r="D876" s="199" t="s">
        <v>750</v>
      </c>
      <c r="E876" s="182" t="s">
        <v>1520</v>
      </c>
      <c r="F876" s="183">
        <v>76330</v>
      </c>
      <c r="G876" s="184">
        <v>22.6</v>
      </c>
      <c r="H876" s="181">
        <v>30</v>
      </c>
      <c r="I876" s="181" t="s">
        <v>292</v>
      </c>
      <c r="J876" s="191">
        <v>28.53</v>
      </c>
      <c r="K876" s="192" t="s">
        <v>752</v>
      </c>
      <c r="L876" s="193" t="s">
        <v>396</v>
      </c>
      <c r="M876" s="193" t="s">
        <v>309</v>
      </c>
      <c r="N876" s="193"/>
      <c r="O876" s="193" t="s">
        <v>737</v>
      </c>
      <c r="P876" s="193" t="s">
        <v>381</v>
      </c>
      <c r="Q876" s="193" t="s">
        <v>295</v>
      </c>
      <c r="R876" s="192" t="s">
        <v>379</v>
      </c>
      <c r="S876" s="181" t="s">
        <v>737</v>
      </c>
      <c r="T876" s="181" t="s">
        <v>381</v>
      </c>
      <c r="U876" s="181" t="s">
        <v>295</v>
      </c>
      <c r="V876" s="199" t="s">
        <v>379</v>
      </c>
    </row>
    <row r="877" spans="1:22" outlineLevel="1">
      <c r="A877" s="199" t="s">
        <v>280</v>
      </c>
      <c r="B877" s="181" t="s">
        <v>748</v>
      </c>
      <c r="C877" s="190">
        <v>43646</v>
      </c>
      <c r="D877" s="199" t="s">
        <v>750</v>
      </c>
      <c r="E877" s="182" t="s">
        <v>1521</v>
      </c>
      <c r="F877" s="183">
        <v>76330</v>
      </c>
      <c r="G877" s="184">
        <v>150.65</v>
      </c>
      <c r="H877" s="181">
        <v>200</v>
      </c>
      <c r="I877" s="181" t="s">
        <v>292</v>
      </c>
      <c r="J877" s="191">
        <v>190.16</v>
      </c>
      <c r="K877" s="192" t="s">
        <v>752</v>
      </c>
      <c r="L877" s="193" t="s">
        <v>396</v>
      </c>
      <c r="M877" s="193" t="s">
        <v>309</v>
      </c>
      <c r="N877" s="193"/>
      <c r="O877" s="193" t="s">
        <v>737</v>
      </c>
      <c r="P877" s="193" t="s">
        <v>381</v>
      </c>
      <c r="Q877" s="193" t="s">
        <v>295</v>
      </c>
      <c r="R877" s="192" t="s">
        <v>379</v>
      </c>
      <c r="S877" s="181" t="s">
        <v>737</v>
      </c>
      <c r="T877" s="181" t="s">
        <v>381</v>
      </c>
      <c r="U877" s="181" t="s">
        <v>295</v>
      </c>
      <c r="V877" s="199" t="s">
        <v>379</v>
      </c>
    </row>
    <row r="878" spans="1:22" outlineLevel="1">
      <c r="A878" s="199" t="s">
        <v>280</v>
      </c>
      <c r="B878" s="181" t="s">
        <v>748</v>
      </c>
      <c r="C878" s="190">
        <v>43646</v>
      </c>
      <c r="D878" s="199" t="s">
        <v>750</v>
      </c>
      <c r="E878" s="182" t="s">
        <v>1522</v>
      </c>
      <c r="F878" s="183">
        <v>76330</v>
      </c>
      <c r="G878" s="184">
        <v>346.49</v>
      </c>
      <c r="H878" s="181">
        <v>460</v>
      </c>
      <c r="I878" s="181" t="s">
        <v>292</v>
      </c>
      <c r="J878" s="191">
        <v>437.35</v>
      </c>
      <c r="K878" s="192" t="s">
        <v>752</v>
      </c>
      <c r="L878" s="193" t="s">
        <v>396</v>
      </c>
      <c r="M878" s="193" t="s">
        <v>309</v>
      </c>
      <c r="N878" s="193"/>
      <c r="O878" s="193" t="s">
        <v>737</v>
      </c>
      <c r="P878" s="193" t="s">
        <v>381</v>
      </c>
      <c r="Q878" s="193" t="s">
        <v>295</v>
      </c>
      <c r="R878" s="192" t="s">
        <v>379</v>
      </c>
      <c r="S878" s="181" t="s">
        <v>737</v>
      </c>
      <c r="T878" s="181" t="s">
        <v>381</v>
      </c>
      <c r="U878" s="181" t="s">
        <v>295</v>
      </c>
      <c r="V878" s="199" t="s">
        <v>379</v>
      </c>
    </row>
    <row r="879" spans="1:22" outlineLevel="1">
      <c r="A879" s="199" t="s">
        <v>280</v>
      </c>
      <c r="B879" s="181" t="s">
        <v>748</v>
      </c>
      <c r="C879" s="190">
        <v>43646</v>
      </c>
      <c r="D879" s="199" t="s">
        <v>750</v>
      </c>
      <c r="E879" s="182" t="s">
        <v>1523</v>
      </c>
      <c r="F879" s="183">
        <v>76330</v>
      </c>
      <c r="G879" s="184">
        <v>112.98</v>
      </c>
      <c r="H879" s="181">
        <v>150</v>
      </c>
      <c r="I879" s="181" t="s">
        <v>292</v>
      </c>
      <c r="J879" s="191">
        <v>142.61000000000001</v>
      </c>
      <c r="K879" s="192" t="s">
        <v>752</v>
      </c>
      <c r="L879" s="193" t="s">
        <v>396</v>
      </c>
      <c r="M879" s="193" t="s">
        <v>309</v>
      </c>
      <c r="N879" s="193"/>
      <c r="O879" s="193" t="s">
        <v>737</v>
      </c>
      <c r="P879" s="193" t="s">
        <v>381</v>
      </c>
      <c r="Q879" s="193" t="s">
        <v>295</v>
      </c>
      <c r="R879" s="192" t="s">
        <v>379</v>
      </c>
      <c r="S879" s="181" t="s">
        <v>737</v>
      </c>
      <c r="T879" s="181" t="s">
        <v>381</v>
      </c>
      <c r="U879" s="181" t="s">
        <v>295</v>
      </c>
      <c r="V879" s="199" t="s">
        <v>379</v>
      </c>
    </row>
    <row r="880" spans="1:22" outlineLevel="1">
      <c r="A880" s="199" t="s">
        <v>280</v>
      </c>
      <c r="B880" s="181" t="s">
        <v>748</v>
      </c>
      <c r="C880" s="190">
        <v>43646</v>
      </c>
      <c r="D880" s="199" t="s">
        <v>750</v>
      </c>
      <c r="E880" s="182" t="s">
        <v>1520</v>
      </c>
      <c r="F880" s="183">
        <v>76330</v>
      </c>
      <c r="G880" s="184">
        <v>22.6</v>
      </c>
      <c r="H880" s="181">
        <v>30</v>
      </c>
      <c r="I880" s="181" t="s">
        <v>292</v>
      </c>
      <c r="J880" s="191">
        <v>28.53</v>
      </c>
      <c r="K880" s="192" t="s">
        <v>752</v>
      </c>
      <c r="L880" s="193" t="s">
        <v>396</v>
      </c>
      <c r="M880" s="193" t="s">
        <v>309</v>
      </c>
      <c r="N880" s="193"/>
      <c r="O880" s="193" t="s">
        <v>737</v>
      </c>
      <c r="P880" s="193" t="s">
        <v>381</v>
      </c>
      <c r="Q880" s="193" t="s">
        <v>295</v>
      </c>
      <c r="R880" s="192" t="s">
        <v>379</v>
      </c>
      <c r="S880" s="181" t="s">
        <v>737</v>
      </c>
      <c r="T880" s="181" t="s">
        <v>381</v>
      </c>
      <c r="U880" s="181" t="s">
        <v>295</v>
      </c>
      <c r="V880" s="199" t="s">
        <v>379</v>
      </c>
    </row>
    <row r="881" spans="1:22" outlineLevel="1">
      <c r="A881" s="199" t="s">
        <v>280</v>
      </c>
      <c r="B881" s="181" t="s">
        <v>748</v>
      </c>
      <c r="C881" s="190">
        <v>43646</v>
      </c>
      <c r="D881" s="199" t="s">
        <v>750</v>
      </c>
      <c r="E881" s="182" t="s">
        <v>1519</v>
      </c>
      <c r="F881" s="183">
        <v>76330</v>
      </c>
      <c r="G881" s="184">
        <v>82.86</v>
      </c>
      <c r="H881" s="181">
        <v>110</v>
      </c>
      <c r="I881" s="181" t="s">
        <v>292</v>
      </c>
      <c r="J881" s="191">
        <v>104.59</v>
      </c>
      <c r="K881" s="192" t="s">
        <v>752</v>
      </c>
      <c r="L881" s="193" t="s">
        <v>396</v>
      </c>
      <c r="M881" s="193" t="s">
        <v>309</v>
      </c>
      <c r="N881" s="193"/>
      <c r="O881" s="193" t="s">
        <v>737</v>
      </c>
      <c r="P881" s="193" t="s">
        <v>381</v>
      </c>
      <c r="Q881" s="193" t="s">
        <v>295</v>
      </c>
      <c r="R881" s="192" t="s">
        <v>379</v>
      </c>
      <c r="S881" s="181" t="s">
        <v>737</v>
      </c>
      <c r="T881" s="181" t="s">
        <v>381</v>
      </c>
      <c r="U881" s="181" t="s">
        <v>295</v>
      </c>
      <c r="V881" s="199" t="s">
        <v>379</v>
      </c>
    </row>
    <row r="882" spans="1:22" outlineLevel="1">
      <c r="A882" s="199" t="s">
        <v>280</v>
      </c>
      <c r="B882" s="181" t="s">
        <v>748</v>
      </c>
      <c r="C882" s="190">
        <v>43646</v>
      </c>
      <c r="D882" s="199" t="s">
        <v>750</v>
      </c>
      <c r="E882" s="182" t="s">
        <v>1524</v>
      </c>
      <c r="F882" s="183">
        <v>76330</v>
      </c>
      <c r="G882" s="184">
        <v>45.19</v>
      </c>
      <c r="H882" s="181">
        <v>60</v>
      </c>
      <c r="I882" s="181" t="s">
        <v>292</v>
      </c>
      <c r="J882" s="191">
        <v>57.04</v>
      </c>
      <c r="K882" s="192" t="s">
        <v>752</v>
      </c>
      <c r="L882" s="193" t="s">
        <v>396</v>
      </c>
      <c r="M882" s="193" t="s">
        <v>309</v>
      </c>
      <c r="N882" s="193"/>
      <c r="O882" s="193" t="s">
        <v>737</v>
      </c>
      <c r="P882" s="193" t="s">
        <v>381</v>
      </c>
      <c r="Q882" s="193" t="s">
        <v>295</v>
      </c>
      <c r="R882" s="192" t="s">
        <v>379</v>
      </c>
      <c r="S882" s="181" t="s">
        <v>737</v>
      </c>
      <c r="T882" s="181" t="s">
        <v>381</v>
      </c>
      <c r="U882" s="181" t="s">
        <v>295</v>
      </c>
      <c r="V882" s="199" t="s">
        <v>379</v>
      </c>
    </row>
    <row r="883" spans="1:22">
      <c r="A883" s="194" t="s">
        <v>378</v>
      </c>
      <c r="B883" s="194"/>
      <c r="C883" s="194"/>
      <c r="D883" s="194"/>
      <c r="E883" s="195"/>
      <c r="F883" s="196"/>
      <c r="G883" s="197">
        <f>SUM(G875:G882)</f>
        <v>866.23</v>
      </c>
      <c r="H883" s="198">
        <f>SUM(H875:H882)</f>
        <v>1150</v>
      </c>
      <c r="I883" s="194"/>
      <c r="J883" s="198">
        <f>SUM(J875:J882)</f>
        <v>1093.3999999999999</v>
      </c>
      <c r="K883" s="194"/>
      <c r="L883" s="194"/>
      <c r="M883" s="194"/>
      <c r="N883" s="194"/>
      <c r="O883" s="194"/>
      <c r="P883" s="194"/>
      <c r="Q883" s="194"/>
      <c r="R883" s="194"/>
      <c r="S883" s="181"/>
      <c r="T883" s="181"/>
      <c r="U883" s="181"/>
      <c r="V883" s="181"/>
    </row>
    <row r="884" spans="1:22" outlineLevel="1">
      <c r="A884" s="199" t="s">
        <v>283</v>
      </c>
      <c r="B884" s="181" t="s">
        <v>748</v>
      </c>
      <c r="C884" s="190">
        <v>43630</v>
      </c>
      <c r="D884" s="199" t="s">
        <v>1525</v>
      </c>
      <c r="E884" s="182" t="s">
        <v>1526</v>
      </c>
      <c r="F884" s="183">
        <v>76315</v>
      </c>
      <c r="G884" s="184">
        <v>190.14</v>
      </c>
      <c r="H884" s="181">
        <v>240</v>
      </c>
      <c r="I884" s="181" t="s">
        <v>292</v>
      </c>
      <c r="J884" s="191">
        <v>240</v>
      </c>
      <c r="K884" s="192" t="s">
        <v>1034</v>
      </c>
      <c r="L884" s="193" t="s">
        <v>396</v>
      </c>
      <c r="M884" s="193" t="s">
        <v>309</v>
      </c>
      <c r="N884" s="193"/>
      <c r="O884" s="193"/>
      <c r="P884" s="193" t="s">
        <v>381</v>
      </c>
      <c r="Q884" s="193" t="s">
        <v>295</v>
      </c>
      <c r="R884" s="192" t="s">
        <v>379</v>
      </c>
      <c r="S884" s="181"/>
      <c r="T884" s="181" t="s">
        <v>381</v>
      </c>
      <c r="U884" s="181" t="s">
        <v>295</v>
      </c>
      <c r="V884" s="199" t="s">
        <v>379</v>
      </c>
    </row>
    <row r="885" spans="1:22" outlineLevel="1">
      <c r="A885" s="199" t="s">
        <v>283</v>
      </c>
      <c r="B885" s="181" t="s">
        <v>748</v>
      </c>
      <c r="C885" s="190">
        <v>43630</v>
      </c>
      <c r="D885" s="199" t="s">
        <v>1525</v>
      </c>
      <c r="E885" s="182" t="s">
        <v>1527</v>
      </c>
      <c r="F885" s="183">
        <v>76315</v>
      </c>
      <c r="G885" s="184">
        <v>95.07</v>
      </c>
      <c r="H885" s="181">
        <v>120</v>
      </c>
      <c r="I885" s="181" t="s">
        <v>292</v>
      </c>
      <c r="J885" s="191">
        <v>120</v>
      </c>
      <c r="K885" s="192" t="s">
        <v>716</v>
      </c>
      <c r="L885" s="193" t="s">
        <v>396</v>
      </c>
      <c r="M885" s="193" t="s">
        <v>309</v>
      </c>
      <c r="N885" s="193"/>
      <c r="O885" s="193"/>
      <c r="P885" s="193" t="s">
        <v>381</v>
      </c>
      <c r="Q885" s="193" t="s">
        <v>295</v>
      </c>
      <c r="R885" s="192" t="s">
        <v>379</v>
      </c>
      <c r="S885" s="181"/>
      <c r="T885" s="181" t="s">
        <v>381</v>
      </c>
      <c r="U885" s="181" t="s">
        <v>295</v>
      </c>
      <c r="V885" s="199" t="s">
        <v>379</v>
      </c>
    </row>
    <row r="886" spans="1:22" outlineLevel="1">
      <c r="A886" s="199" t="s">
        <v>283</v>
      </c>
      <c r="B886" s="181" t="s">
        <v>748</v>
      </c>
      <c r="C886" s="190">
        <v>43646</v>
      </c>
      <c r="D886" s="199" t="s">
        <v>754</v>
      </c>
      <c r="E886" s="182" t="s">
        <v>1528</v>
      </c>
      <c r="F886" s="183">
        <v>76341</v>
      </c>
      <c r="G886" s="184">
        <v>237.27</v>
      </c>
      <c r="H886" s="181">
        <v>315</v>
      </c>
      <c r="I886" s="181" t="s">
        <v>292</v>
      </c>
      <c r="J886" s="191">
        <v>315</v>
      </c>
      <c r="K886" s="192" t="s">
        <v>1271</v>
      </c>
      <c r="L886" s="193" t="s">
        <v>396</v>
      </c>
      <c r="M886" s="193" t="s">
        <v>309</v>
      </c>
      <c r="N886" s="193"/>
      <c r="O886" s="193" t="s">
        <v>740</v>
      </c>
      <c r="P886" s="193" t="s">
        <v>381</v>
      </c>
      <c r="Q886" s="193" t="s">
        <v>295</v>
      </c>
      <c r="R886" s="192" t="s">
        <v>379</v>
      </c>
      <c r="S886" s="181" t="s">
        <v>740</v>
      </c>
      <c r="T886" s="181" t="s">
        <v>381</v>
      </c>
      <c r="U886" s="181" t="s">
        <v>295</v>
      </c>
      <c r="V886" s="199" t="s">
        <v>379</v>
      </c>
    </row>
    <row r="887" spans="1:22" outlineLevel="1">
      <c r="A887" s="199" t="s">
        <v>283</v>
      </c>
      <c r="B887" s="181" t="s">
        <v>748</v>
      </c>
      <c r="C887" s="190">
        <v>43646</v>
      </c>
      <c r="D887" s="199" t="s">
        <v>754</v>
      </c>
      <c r="E887" s="182" t="s">
        <v>1529</v>
      </c>
      <c r="F887" s="183">
        <v>76341</v>
      </c>
      <c r="G887" s="184">
        <v>237.27</v>
      </c>
      <c r="H887" s="181">
        <v>315</v>
      </c>
      <c r="I887" s="181" t="s">
        <v>292</v>
      </c>
      <c r="J887" s="191">
        <v>315</v>
      </c>
      <c r="K887" s="192" t="s">
        <v>1271</v>
      </c>
      <c r="L887" s="193" t="s">
        <v>396</v>
      </c>
      <c r="M887" s="193" t="s">
        <v>309</v>
      </c>
      <c r="N887" s="193"/>
      <c r="O887" s="193" t="s">
        <v>740</v>
      </c>
      <c r="P887" s="193" t="s">
        <v>381</v>
      </c>
      <c r="Q887" s="193" t="s">
        <v>295</v>
      </c>
      <c r="R887" s="192" t="s">
        <v>379</v>
      </c>
      <c r="S887" s="181" t="s">
        <v>740</v>
      </c>
      <c r="T887" s="181" t="s">
        <v>381</v>
      </c>
      <c r="U887" s="181" t="s">
        <v>295</v>
      </c>
      <c r="V887" s="199" t="s">
        <v>379</v>
      </c>
    </row>
    <row r="888" spans="1:22" outlineLevel="1">
      <c r="A888" s="199" t="s">
        <v>283</v>
      </c>
      <c r="B888" s="181" t="s">
        <v>748</v>
      </c>
      <c r="C888" s="190">
        <v>43646</v>
      </c>
      <c r="D888" s="199" t="s">
        <v>754</v>
      </c>
      <c r="E888" s="182" t="s">
        <v>1530</v>
      </c>
      <c r="F888" s="183">
        <v>76341</v>
      </c>
      <c r="G888" s="184">
        <v>237.27</v>
      </c>
      <c r="H888" s="181">
        <v>315</v>
      </c>
      <c r="I888" s="181" t="s">
        <v>292</v>
      </c>
      <c r="J888" s="191">
        <v>315</v>
      </c>
      <c r="K888" s="192" t="s">
        <v>1271</v>
      </c>
      <c r="L888" s="193" t="s">
        <v>396</v>
      </c>
      <c r="M888" s="193" t="s">
        <v>309</v>
      </c>
      <c r="N888" s="193"/>
      <c r="O888" s="193" t="s">
        <v>740</v>
      </c>
      <c r="P888" s="193" t="s">
        <v>381</v>
      </c>
      <c r="Q888" s="193" t="s">
        <v>295</v>
      </c>
      <c r="R888" s="192" t="s">
        <v>379</v>
      </c>
      <c r="S888" s="181" t="s">
        <v>740</v>
      </c>
      <c r="T888" s="181" t="s">
        <v>381</v>
      </c>
      <c r="U888" s="181" t="s">
        <v>295</v>
      </c>
      <c r="V888" s="199" t="s">
        <v>379</v>
      </c>
    </row>
    <row r="889" spans="1:22" outlineLevel="1">
      <c r="A889" s="199" t="s">
        <v>283</v>
      </c>
      <c r="B889" s="181" t="s">
        <v>748</v>
      </c>
      <c r="C889" s="190">
        <v>43646</v>
      </c>
      <c r="D889" s="199" t="s">
        <v>754</v>
      </c>
      <c r="E889" s="182" t="s">
        <v>1367</v>
      </c>
      <c r="F889" s="183">
        <v>76341</v>
      </c>
      <c r="G889" s="184">
        <v>237.27</v>
      </c>
      <c r="H889" s="181">
        <v>315</v>
      </c>
      <c r="I889" s="181" t="s">
        <v>292</v>
      </c>
      <c r="J889" s="191">
        <v>315</v>
      </c>
      <c r="K889" s="192" t="s">
        <v>1271</v>
      </c>
      <c r="L889" s="193" t="s">
        <v>396</v>
      </c>
      <c r="M889" s="193" t="s">
        <v>309</v>
      </c>
      <c r="N889" s="193"/>
      <c r="O889" s="193" t="s">
        <v>740</v>
      </c>
      <c r="P889" s="193" t="s">
        <v>381</v>
      </c>
      <c r="Q889" s="193" t="s">
        <v>295</v>
      </c>
      <c r="R889" s="192" t="s">
        <v>379</v>
      </c>
      <c r="S889" s="181" t="s">
        <v>740</v>
      </c>
      <c r="T889" s="181" t="s">
        <v>381</v>
      </c>
      <c r="U889" s="181" t="s">
        <v>295</v>
      </c>
      <c r="V889" s="199" t="s">
        <v>379</v>
      </c>
    </row>
    <row r="890" spans="1:22" outlineLevel="1">
      <c r="A890" s="199" t="s">
        <v>283</v>
      </c>
      <c r="B890" s="181" t="s">
        <v>748</v>
      </c>
      <c r="C890" s="190">
        <v>43646</v>
      </c>
      <c r="D890" s="199" t="s">
        <v>754</v>
      </c>
      <c r="E890" s="182" t="s">
        <v>1531</v>
      </c>
      <c r="F890" s="183">
        <v>76341</v>
      </c>
      <c r="G890" s="184">
        <v>301.29000000000002</v>
      </c>
      <c r="H890" s="181">
        <v>400</v>
      </c>
      <c r="I890" s="181" t="s">
        <v>292</v>
      </c>
      <c r="J890" s="191">
        <v>400</v>
      </c>
      <c r="K890" s="192" t="s">
        <v>752</v>
      </c>
      <c r="L890" s="193" t="s">
        <v>396</v>
      </c>
      <c r="M890" s="193" t="s">
        <v>309</v>
      </c>
      <c r="N890" s="193"/>
      <c r="O890" s="193" t="s">
        <v>740</v>
      </c>
      <c r="P890" s="193" t="s">
        <v>381</v>
      </c>
      <c r="Q890" s="193" t="s">
        <v>295</v>
      </c>
      <c r="R890" s="192" t="s">
        <v>379</v>
      </c>
      <c r="S890" s="181" t="s">
        <v>740</v>
      </c>
      <c r="T890" s="181" t="s">
        <v>381</v>
      </c>
      <c r="U890" s="181" t="s">
        <v>295</v>
      </c>
      <c r="V890" s="199" t="s">
        <v>379</v>
      </c>
    </row>
    <row r="891" spans="1:22" outlineLevel="1">
      <c r="A891" s="199" t="s">
        <v>283</v>
      </c>
      <c r="B891" s="181" t="s">
        <v>748</v>
      </c>
      <c r="C891" s="190">
        <v>43646</v>
      </c>
      <c r="D891" s="199" t="s">
        <v>754</v>
      </c>
      <c r="E891" s="182" t="s">
        <v>1532</v>
      </c>
      <c r="F891" s="183">
        <v>76341</v>
      </c>
      <c r="G891" s="184">
        <v>60.26</v>
      </c>
      <c r="H891" s="181">
        <v>80</v>
      </c>
      <c r="I891" s="181" t="s">
        <v>292</v>
      </c>
      <c r="J891" s="191">
        <v>80</v>
      </c>
      <c r="K891" s="192" t="s">
        <v>752</v>
      </c>
      <c r="L891" s="193" t="s">
        <v>396</v>
      </c>
      <c r="M891" s="193" t="s">
        <v>309</v>
      </c>
      <c r="N891" s="193"/>
      <c r="O891" s="193" t="s">
        <v>740</v>
      </c>
      <c r="P891" s="193" t="s">
        <v>381</v>
      </c>
      <c r="Q891" s="193" t="s">
        <v>295</v>
      </c>
      <c r="R891" s="192" t="s">
        <v>379</v>
      </c>
      <c r="S891" s="181" t="s">
        <v>740</v>
      </c>
      <c r="T891" s="181" t="s">
        <v>381</v>
      </c>
      <c r="U891" s="181" t="s">
        <v>295</v>
      </c>
      <c r="V891" s="199" t="s">
        <v>379</v>
      </c>
    </row>
    <row r="892" spans="1:22" outlineLevel="1">
      <c r="A892" s="199" t="s">
        <v>283</v>
      </c>
      <c r="B892" s="181" t="s">
        <v>748</v>
      </c>
      <c r="C892" s="190">
        <v>43646</v>
      </c>
      <c r="D892" s="199" t="s">
        <v>754</v>
      </c>
      <c r="E892" s="182" t="s">
        <v>1533</v>
      </c>
      <c r="F892" s="183">
        <v>76341</v>
      </c>
      <c r="G892" s="184">
        <v>155.69</v>
      </c>
      <c r="H892" s="181">
        <v>206.7</v>
      </c>
      <c r="I892" s="181" t="s">
        <v>292</v>
      </c>
      <c r="J892" s="191">
        <v>206.7</v>
      </c>
      <c r="K892" s="192" t="s">
        <v>752</v>
      </c>
      <c r="L892" s="193" t="s">
        <v>396</v>
      </c>
      <c r="M892" s="193" t="s">
        <v>309</v>
      </c>
      <c r="N892" s="193"/>
      <c r="O892" s="193" t="s">
        <v>740</v>
      </c>
      <c r="P892" s="193" t="s">
        <v>381</v>
      </c>
      <c r="Q892" s="193" t="s">
        <v>295</v>
      </c>
      <c r="R892" s="192" t="s">
        <v>379</v>
      </c>
      <c r="S892" s="181" t="s">
        <v>740</v>
      </c>
      <c r="T892" s="181" t="s">
        <v>381</v>
      </c>
      <c r="U892" s="181" t="s">
        <v>295</v>
      </c>
      <c r="V892" s="199" t="s">
        <v>379</v>
      </c>
    </row>
    <row r="893" spans="1:22" outlineLevel="1">
      <c r="A893" s="199" t="s">
        <v>283</v>
      </c>
      <c r="B893" s="181" t="s">
        <v>748</v>
      </c>
      <c r="C893" s="190">
        <v>43646</v>
      </c>
      <c r="D893" s="199" t="s">
        <v>754</v>
      </c>
      <c r="E893" s="182" t="s">
        <v>1534</v>
      </c>
      <c r="F893" s="183">
        <v>76341</v>
      </c>
      <c r="G893" s="184">
        <v>45.19</v>
      </c>
      <c r="H893" s="181">
        <v>60</v>
      </c>
      <c r="I893" s="181" t="s">
        <v>292</v>
      </c>
      <c r="J893" s="191">
        <v>60</v>
      </c>
      <c r="K893" s="192" t="s">
        <v>752</v>
      </c>
      <c r="L893" s="193" t="s">
        <v>396</v>
      </c>
      <c r="M893" s="193" t="s">
        <v>309</v>
      </c>
      <c r="N893" s="193"/>
      <c r="O893" s="193" t="s">
        <v>740</v>
      </c>
      <c r="P893" s="193" t="s">
        <v>381</v>
      </c>
      <c r="Q893" s="193" t="s">
        <v>295</v>
      </c>
      <c r="R893" s="192" t="s">
        <v>379</v>
      </c>
      <c r="S893" s="181" t="s">
        <v>740</v>
      </c>
      <c r="T893" s="181" t="s">
        <v>381</v>
      </c>
      <c r="U893" s="181" t="s">
        <v>295</v>
      </c>
      <c r="V893" s="199" t="s">
        <v>379</v>
      </c>
    </row>
    <row r="894" spans="1:22" outlineLevel="1">
      <c r="A894" s="199" t="s">
        <v>283</v>
      </c>
      <c r="B894" s="181" t="s">
        <v>748</v>
      </c>
      <c r="C894" s="190">
        <v>43646</v>
      </c>
      <c r="D894" s="199" t="s">
        <v>754</v>
      </c>
      <c r="E894" s="182" t="s">
        <v>1535</v>
      </c>
      <c r="F894" s="183">
        <v>76341</v>
      </c>
      <c r="G894" s="184">
        <v>180.78</v>
      </c>
      <c r="H894" s="181">
        <v>240</v>
      </c>
      <c r="I894" s="181" t="s">
        <v>292</v>
      </c>
      <c r="J894" s="191">
        <v>240</v>
      </c>
      <c r="K894" s="192" t="s">
        <v>752</v>
      </c>
      <c r="L894" s="193" t="s">
        <v>396</v>
      </c>
      <c r="M894" s="193" t="s">
        <v>309</v>
      </c>
      <c r="N894" s="193"/>
      <c r="O894" s="193" t="s">
        <v>740</v>
      </c>
      <c r="P894" s="193" t="s">
        <v>381</v>
      </c>
      <c r="Q894" s="193" t="s">
        <v>295</v>
      </c>
      <c r="R894" s="192" t="s">
        <v>379</v>
      </c>
      <c r="S894" s="181" t="s">
        <v>740</v>
      </c>
      <c r="T894" s="181" t="s">
        <v>381</v>
      </c>
      <c r="U894" s="181" t="s">
        <v>295</v>
      </c>
      <c r="V894" s="199" t="s">
        <v>379</v>
      </c>
    </row>
    <row r="895" spans="1:22" outlineLevel="1">
      <c r="A895" s="199" t="s">
        <v>283</v>
      </c>
      <c r="B895" s="181" t="s">
        <v>748</v>
      </c>
      <c r="C895" s="190">
        <v>43646</v>
      </c>
      <c r="D895" s="199" t="s">
        <v>754</v>
      </c>
      <c r="E895" s="182" t="s">
        <v>1536</v>
      </c>
      <c r="F895" s="183">
        <v>76341</v>
      </c>
      <c r="G895" s="184">
        <v>677.91</v>
      </c>
      <c r="H895" s="181">
        <v>900</v>
      </c>
      <c r="I895" s="181" t="s">
        <v>292</v>
      </c>
      <c r="J895" s="191">
        <v>900</v>
      </c>
      <c r="K895" s="192" t="s">
        <v>752</v>
      </c>
      <c r="L895" s="193" t="s">
        <v>396</v>
      </c>
      <c r="M895" s="193" t="s">
        <v>309</v>
      </c>
      <c r="N895" s="193"/>
      <c r="O895" s="193" t="s">
        <v>740</v>
      </c>
      <c r="P895" s="193" t="s">
        <v>381</v>
      </c>
      <c r="Q895" s="193" t="s">
        <v>295</v>
      </c>
      <c r="R895" s="192" t="s">
        <v>379</v>
      </c>
      <c r="S895" s="181" t="s">
        <v>740</v>
      </c>
      <c r="T895" s="181" t="s">
        <v>381</v>
      </c>
      <c r="U895" s="181" t="s">
        <v>295</v>
      </c>
      <c r="V895" s="199" t="s">
        <v>379</v>
      </c>
    </row>
    <row r="896" spans="1:22">
      <c r="A896" s="194" t="s">
        <v>378</v>
      </c>
      <c r="B896" s="194"/>
      <c r="C896" s="194"/>
      <c r="D896" s="194"/>
      <c r="E896" s="195"/>
      <c r="F896" s="196"/>
      <c r="G896" s="197">
        <f>SUM(G884:G895)</f>
        <v>2655.41</v>
      </c>
      <c r="H896" s="198">
        <f>SUM(H884:H895)</f>
        <v>3506.7</v>
      </c>
      <c r="I896" s="194"/>
      <c r="J896" s="198">
        <f>SUM(J884:J895)</f>
        <v>3506.7</v>
      </c>
      <c r="K896" s="194"/>
      <c r="L896" s="194"/>
      <c r="M896" s="194"/>
      <c r="N896" s="194"/>
      <c r="O896" s="194"/>
      <c r="P896" s="194"/>
      <c r="Q896" s="194"/>
      <c r="R896" s="194"/>
      <c r="S896" s="181"/>
      <c r="T896" s="181"/>
      <c r="U896" s="181"/>
      <c r="V896" s="181"/>
    </row>
    <row r="897" spans="1:22" outlineLevel="1">
      <c r="A897" s="199" t="s">
        <v>284</v>
      </c>
      <c r="B897" s="181" t="s">
        <v>747</v>
      </c>
      <c r="C897" s="190">
        <v>43585</v>
      </c>
      <c r="D897" s="199" t="s">
        <v>829</v>
      </c>
      <c r="E897" s="182" t="s">
        <v>722</v>
      </c>
      <c r="F897" s="183">
        <v>75694</v>
      </c>
      <c r="G897" s="184">
        <v>239.36</v>
      </c>
      <c r="H897" s="181">
        <v>312.18</v>
      </c>
      <c r="I897" s="181" t="s">
        <v>292</v>
      </c>
      <c r="J897" s="191">
        <v>312.19</v>
      </c>
      <c r="K897" s="192" t="s">
        <v>385</v>
      </c>
      <c r="L897" s="193" t="s">
        <v>400</v>
      </c>
      <c r="M897" s="193" t="s">
        <v>309</v>
      </c>
      <c r="N897" s="193" t="s">
        <v>556</v>
      </c>
      <c r="O897" s="193"/>
      <c r="P897" s="193" t="s">
        <v>381</v>
      </c>
      <c r="Q897" s="193" t="s">
        <v>295</v>
      </c>
      <c r="R897" s="192" t="s">
        <v>379</v>
      </c>
      <c r="S897" s="181"/>
      <c r="T897" s="181" t="s">
        <v>381</v>
      </c>
      <c r="U897" s="181" t="s">
        <v>295</v>
      </c>
      <c r="V897" s="199" t="s">
        <v>379</v>
      </c>
    </row>
    <row r="898" spans="1:22" outlineLevel="1">
      <c r="A898" s="199" t="s">
        <v>284</v>
      </c>
      <c r="B898" s="181" t="s">
        <v>747</v>
      </c>
      <c r="C898" s="190">
        <v>43585</v>
      </c>
      <c r="D898" s="199" t="s">
        <v>830</v>
      </c>
      <c r="E898" s="182" t="s">
        <v>723</v>
      </c>
      <c r="F898" s="183">
        <v>75694</v>
      </c>
      <c r="G898" s="184">
        <v>33.4</v>
      </c>
      <c r="H898" s="181">
        <v>43.56</v>
      </c>
      <c r="I898" s="181" t="s">
        <v>292</v>
      </c>
      <c r="J898" s="191">
        <v>43.56</v>
      </c>
      <c r="K898" s="192" t="s">
        <v>391</v>
      </c>
      <c r="L898" s="193" t="s">
        <v>400</v>
      </c>
      <c r="M898" s="193" t="s">
        <v>309</v>
      </c>
      <c r="N898" s="193" t="s">
        <v>556</v>
      </c>
      <c r="O898" s="193"/>
      <c r="P898" s="193" t="s">
        <v>381</v>
      </c>
      <c r="Q898" s="193" t="s">
        <v>295</v>
      </c>
      <c r="R898" s="192" t="s">
        <v>379</v>
      </c>
      <c r="S898" s="181"/>
      <c r="T898" s="181" t="s">
        <v>381</v>
      </c>
      <c r="U898" s="181" t="s">
        <v>295</v>
      </c>
      <c r="V898" s="199" t="s">
        <v>379</v>
      </c>
    </row>
    <row r="899" spans="1:22" outlineLevel="1">
      <c r="A899" s="199" t="s">
        <v>284</v>
      </c>
      <c r="B899" s="181" t="s">
        <v>747</v>
      </c>
      <c r="C899" s="190">
        <v>43584</v>
      </c>
      <c r="D899" s="199" t="s">
        <v>832</v>
      </c>
      <c r="E899" s="182" t="s">
        <v>725</v>
      </c>
      <c r="F899" s="183">
        <v>75694</v>
      </c>
      <c r="G899" s="184">
        <v>0.37</v>
      </c>
      <c r="H899" s="181">
        <v>0.48</v>
      </c>
      <c r="I899" s="181" t="s">
        <v>292</v>
      </c>
      <c r="J899" s="191">
        <v>0.48</v>
      </c>
      <c r="K899" s="192" t="s">
        <v>405</v>
      </c>
      <c r="L899" s="193" t="s">
        <v>400</v>
      </c>
      <c r="M899" s="193" t="s">
        <v>309</v>
      </c>
      <c r="N899" s="193" t="s">
        <v>556</v>
      </c>
      <c r="O899" s="193"/>
      <c r="P899" s="193" t="s">
        <v>381</v>
      </c>
      <c r="Q899" s="193" t="s">
        <v>295</v>
      </c>
      <c r="R899" s="192" t="s">
        <v>379</v>
      </c>
      <c r="S899" s="181"/>
      <c r="T899" s="181" t="s">
        <v>381</v>
      </c>
      <c r="U899" s="181" t="s">
        <v>295</v>
      </c>
      <c r="V899" s="199" t="s">
        <v>379</v>
      </c>
    </row>
    <row r="900" spans="1:22" outlineLevel="1">
      <c r="A900" s="199" t="s">
        <v>284</v>
      </c>
      <c r="B900" s="181" t="s">
        <v>747</v>
      </c>
      <c r="C900" s="190">
        <v>43585</v>
      </c>
      <c r="D900" s="199" t="s">
        <v>831</v>
      </c>
      <c r="E900" s="182" t="s">
        <v>724</v>
      </c>
      <c r="F900" s="183">
        <v>75694</v>
      </c>
      <c r="G900" s="184">
        <v>5.57</v>
      </c>
      <c r="H900" s="181">
        <v>7.26</v>
      </c>
      <c r="I900" s="181" t="s">
        <v>292</v>
      </c>
      <c r="J900" s="191">
        <v>7.26</v>
      </c>
      <c r="K900" s="192" t="s">
        <v>405</v>
      </c>
      <c r="L900" s="193" t="s">
        <v>400</v>
      </c>
      <c r="M900" s="193" t="s">
        <v>309</v>
      </c>
      <c r="N900" s="193" t="s">
        <v>556</v>
      </c>
      <c r="O900" s="193"/>
      <c r="P900" s="193" t="s">
        <v>381</v>
      </c>
      <c r="Q900" s="193" t="s">
        <v>295</v>
      </c>
      <c r="R900" s="192" t="s">
        <v>379</v>
      </c>
      <c r="S900" s="181"/>
      <c r="T900" s="181" t="s">
        <v>381</v>
      </c>
      <c r="U900" s="181" t="s">
        <v>295</v>
      </c>
      <c r="V900" s="199" t="s">
        <v>379</v>
      </c>
    </row>
    <row r="901" spans="1:22" outlineLevel="1">
      <c r="A901" s="199" t="s">
        <v>284</v>
      </c>
      <c r="B901" s="181" t="s">
        <v>777</v>
      </c>
      <c r="C901" s="190">
        <v>43610</v>
      </c>
      <c r="D901" s="199" t="s">
        <v>833</v>
      </c>
      <c r="E901" s="182" t="s">
        <v>722</v>
      </c>
      <c r="F901" s="183">
        <v>75988</v>
      </c>
      <c r="G901" s="184">
        <v>957.16</v>
      </c>
      <c r="H901" s="181">
        <v>1247.1300000000001</v>
      </c>
      <c r="I901" s="181" t="s">
        <v>292</v>
      </c>
      <c r="J901" s="191">
        <v>1247.1300000000001</v>
      </c>
      <c r="K901" s="192" t="s">
        <v>385</v>
      </c>
      <c r="L901" s="193" t="s">
        <v>400</v>
      </c>
      <c r="M901" s="193" t="s">
        <v>309</v>
      </c>
      <c r="N901" s="193" t="s">
        <v>556</v>
      </c>
      <c r="O901" s="193"/>
      <c r="P901" s="193" t="s">
        <v>381</v>
      </c>
      <c r="Q901" s="193" t="s">
        <v>295</v>
      </c>
      <c r="R901" s="192" t="s">
        <v>379</v>
      </c>
      <c r="S901" s="181"/>
      <c r="T901" s="181" t="s">
        <v>381</v>
      </c>
      <c r="U901" s="181" t="s">
        <v>295</v>
      </c>
      <c r="V901" s="199" t="s">
        <v>379</v>
      </c>
    </row>
    <row r="902" spans="1:22" outlineLevel="1">
      <c r="A902" s="199" t="s">
        <v>284</v>
      </c>
      <c r="B902" s="181" t="s">
        <v>777</v>
      </c>
      <c r="C902" s="190">
        <v>43610</v>
      </c>
      <c r="D902" s="199" t="s">
        <v>834</v>
      </c>
      <c r="E902" s="182" t="s">
        <v>1537</v>
      </c>
      <c r="F902" s="183">
        <v>75988</v>
      </c>
      <c r="G902" s="184">
        <v>133.74</v>
      </c>
      <c r="H902" s="181">
        <v>174.26</v>
      </c>
      <c r="I902" s="181" t="s">
        <v>292</v>
      </c>
      <c r="J902" s="191">
        <v>174.26</v>
      </c>
      <c r="K902" s="192" t="s">
        <v>391</v>
      </c>
      <c r="L902" s="193" t="s">
        <v>400</v>
      </c>
      <c r="M902" s="193" t="s">
        <v>309</v>
      </c>
      <c r="N902" s="193" t="s">
        <v>556</v>
      </c>
      <c r="O902" s="193"/>
      <c r="P902" s="193" t="s">
        <v>381</v>
      </c>
      <c r="Q902" s="193" t="s">
        <v>295</v>
      </c>
      <c r="R902" s="192" t="s">
        <v>379</v>
      </c>
      <c r="S902" s="181"/>
      <c r="T902" s="181" t="s">
        <v>381</v>
      </c>
      <c r="U902" s="181" t="s">
        <v>295</v>
      </c>
      <c r="V902" s="199" t="s">
        <v>379</v>
      </c>
    </row>
    <row r="903" spans="1:22" outlineLevel="1">
      <c r="A903" s="199" t="s">
        <v>284</v>
      </c>
      <c r="B903" s="181" t="s">
        <v>777</v>
      </c>
      <c r="C903" s="190">
        <v>43610</v>
      </c>
      <c r="D903" s="199" t="s">
        <v>836</v>
      </c>
      <c r="E903" s="182" t="s">
        <v>724</v>
      </c>
      <c r="F903" s="183">
        <v>75988</v>
      </c>
      <c r="G903" s="184">
        <v>22.29</v>
      </c>
      <c r="H903" s="181">
        <v>29.04</v>
      </c>
      <c r="I903" s="181" t="s">
        <v>292</v>
      </c>
      <c r="J903" s="191">
        <v>29.04</v>
      </c>
      <c r="K903" s="192" t="s">
        <v>405</v>
      </c>
      <c r="L903" s="193" t="s">
        <v>400</v>
      </c>
      <c r="M903" s="193" t="s">
        <v>309</v>
      </c>
      <c r="N903" s="193" t="s">
        <v>556</v>
      </c>
      <c r="O903" s="193"/>
      <c r="P903" s="193" t="s">
        <v>381</v>
      </c>
      <c r="Q903" s="193" t="s">
        <v>295</v>
      </c>
      <c r="R903" s="192" t="s">
        <v>379</v>
      </c>
      <c r="S903" s="181"/>
      <c r="T903" s="181" t="s">
        <v>381</v>
      </c>
      <c r="U903" s="181" t="s">
        <v>295</v>
      </c>
      <c r="V903" s="199" t="s">
        <v>379</v>
      </c>
    </row>
    <row r="904" spans="1:22" outlineLevel="1">
      <c r="A904" s="199" t="s">
        <v>284</v>
      </c>
      <c r="B904" s="181" t="s">
        <v>777</v>
      </c>
      <c r="C904" s="190">
        <v>43616</v>
      </c>
      <c r="D904" s="199" t="s">
        <v>837</v>
      </c>
      <c r="E904" s="182" t="s">
        <v>725</v>
      </c>
      <c r="F904" s="183">
        <v>75988</v>
      </c>
      <c r="G904" s="184">
        <v>1.49</v>
      </c>
      <c r="H904" s="181">
        <v>1.94</v>
      </c>
      <c r="I904" s="181" t="s">
        <v>292</v>
      </c>
      <c r="J904" s="191">
        <v>1.94</v>
      </c>
      <c r="K904" s="192" t="s">
        <v>405</v>
      </c>
      <c r="L904" s="193" t="s">
        <v>400</v>
      </c>
      <c r="M904" s="193" t="s">
        <v>309</v>
      </c>
      <c r="N904" s="193" t="s">
        <v>556</v>
      </c>
      <c r="O904" s="193"/>
      <c r="P904" s="193" t="s">
        <v>381</v>
      </c>
      <c r="Q904" s="193" t="s">
        <v>295</v>
      </c>
      <c r="R904" s="192" t="s">
        <v>379</v>
      </c>
      <c r="S904" s="181"/>
      <c r="T904" s="181" t="s">
        <v>381</v>
      </c>
      <c r="U904" s="181" t="s">
        <v>295</v>
      </c>
      <c r="V904" s="199" t="s">
        <v>379</v>
      </c>
    </row>
    <row r="905" spans="1:22" outlineLevel="1">
      <c r="A905" s="199" t="s">
        <v>284</v>
      </c>
      <c r="B905" s="181" t="s">
        <v>748</v>
      </c>
      <c r="C905" s="190">
        <v>43644</v>
      </c>
      <c r="D905" s="199" t="s">
        <v>838</v>
      </c>
      <c r="E905" s="182" t="s">
        <v>1538</v>
      </c>
      <c r="F905" s="183">
        <v>76250</v>
      </c>
      <c r="G905" s="184">
        <v>491.54</v>
      </c>
      <c r="H905" s="181">
        <v>620.44000000000005</v>
      </c>
      <c r="I905" s="181" t="s">
        <v>292</v>
      </c>
      <c r="J905" s="191">
        <v>620.44000000000005</v>
      </c>
      <c r="K905" s="192" t="s">
        <v>385</v>
      </c>
      <c r="L905" s="193" t="s">
        <v>400</v>
      </c>
      <c r="M905" s="193" t="s">
        <v>309</v>
      </c>
      <c r="N905" s="193" t="s">
        <v>556</v>
      </c>
      <c r="O905" s="193"/>
      <c r="P905" s="193" t="s">
        <v>381</v>
      </c>
      <c r="Q905" s="193" t="s">
        <v>295</v>
      </c>
      <c r="R905" s="192" t="s">
        <v>379</v>
      </c>
      <c r="S905" s="181"/>
      <c r="T905" s="181" t="s">
        <v>381</v>
      </c>
      <c r="U905" s="181" t="s">
        <v>295</v>
      </c>
      <c r="V905" s="199" t="s">
        <v>379</v>
      </c>
    </row>
    <row r="906" spans="1:22" outlineLevel="1">
      <c r="A906" s="199" t="s">
        <v>284</v>
      </c>
      <c r="B906" s="181" t="s">
        <v>748</v>
      </c>
      <c r="C906" s="190">
        <v>43644</v>
      </c>
      <c r="D906" s="199" t="s">
        <v>840</v>
      </c>
      <c r="E906" s="182" t="s">
        <v>1539</v>
      </c>
      <c r="F906" s="183">
        <v>76250</v>
      </c>
      <c r="G906" s="184">
        <v>69.03</v>
      </c>
      <c r="H906" s="181">
        <v>87.13</v>
      </c>
      <c r="I906" s="181" t="s">
        <v>292</v>
      </c>
      <c r="J906" s="191">
        <v>87.13</v>
      </c>
      <c r="K906" s="192" t="s">
        <v>391</v>
      </c>
      <c r="L906" s="193" t="s">
        <v>400</v>
      </c>
      <c r="M906" s="193" t="s">
        <v>309</v>
      </c>
      <c r="N906" s="193" t="s">
        <v>556</v>
      </c>
      <c r="O906" s="193"/>
      <c r="P906" s="193" t="s">
        <v>381</v>
      </c>
      <c r="Q906" s="193" t="s">
        <v>295</v>
      </c>
      <c r="R906" s="192" t="s">
        <v>379</v>
      </c>
      <c r="S906" s="181"/>
      <c r="T906" s="181" t="s">
        <v>381</v>
      </c>
      <c r="U906" s="181" t="s">
        <v>295</v>
      </c>
      <c r="V906" s="199" t="s">
        <v>379</v>
      </c>
    </row>
    <row r="907" spans="1:22" outlineLevel="1">
      <c r="A907" s="199" t="s">
        <v>284</v>
      </c>
      <c r="B907" s="181" t="s">
        <v>748</v>
      </c>
      <c r="C907" s="190">
        <v>43644</v>
      </c>
      <c r="D907" s="199" t="s">
        <v>844</v>
      </c>
      <c r="E907" s="182" t="s">
        <v>725</v>
      </c>
      <c r="F907" s="183">
        <v>76250</v>
      </c>
      <c r="G907" s="184">
        <v>0.77</v>
      </c>
      <c r="H907" s="181">
        <v>0.97</v>
      </c>
      <c r="I907" s="181" t="s">
        <v>292</v>
      </c>
      <c r="J907" s="191">
        <v>0.97</v>
      </c>
      <c r="K907" s="192" t="s">
        <v>405</v>
      </c>
      <c r="L907" s="193" t="s">
        <v>400</v>
      </c>
      <c r="M907" s="193" t="s">
        <v>309</v>
      </c>
      <c r="N907" s="193" t="s">
        <v>556</v>
      </c>
      <c r="O907" s="193"/>
      <c r="P907" s="193" t="s">
        <v>381</v>
      </c>
      <c r="Q907" s="193" t="s">
        <v>295</v>
      </c>
      <c r="R907" s="192" t="s">
        <v>379</v>
      </c>
      <c r="S907" s="181"/>
      <c r="T907" s="181" t="s">
        <v>381</v>
      </c>
      <c r="U907" s="181" t="s">
        <v>295</v>
      </c>
      <c r="V907" s="199" t="s">
        <v>379</v>
      </c>
    </row>
    <row r="908" spans="1:22" outlineLevel="1">
      <c r="A908" s="199" t="s">
        <v>284</v>
      </c>
      <c r="B908" s="181" t="s">
        <v>748</v>
      </c>
      <c r="C908" s="190">
        <v>43644</v>
      </c>
      <c r="D908" s="199" t="s">
        <v>842</v>
      </c>
      <c r="E908" s="182" t="s">
        <v>1540</v>
      </c>
      <c r="F908" s="183">
        <v>76250</v>
      </c>
      <c r="G908" s="184">
        <v>11.5</v>
      </c>
      <c r="H908" s="181">
        <v>14.52</v>
      </c>
      <c r="I908" s="181" t="s">
        <v>292</v>
      </c>
      <c r="J908" s="191">
        <v>14.52</v>
      </c>
      <c r="K908" s="192" t="s">
        <v>405</v>
      </c>
      <c r="L908" s="193" t="s">
        <v>400</v>
      </c>
      <c r="M908" s="193" t="s">
        <v>309</v>
      </c>
      <c r="N908" s="193" t="s">
        <v>556</v>
      </c>
      <c r="O908" s="193"/>
      <c r="P908" s="193" t="s">
        <v>381</v>
      </c>
      <c r="Q908" s="193" t="s">
        <v>295</v>
      </c>
      <c r="R908" s="192" t="s">
        <v>379</v>
      </c>
      <c r="S908" s="181"/>
      <c r="T908" s="181" t="s">
        <v>381</v>
      </c>
      <c r="U908" s="181" t="s">
        <v>295</v>
      </c>
      <c r="V908" s="199" t="s">
        <v>379</v>
      </c>
    </row>
    <row r="909" spans="1:22">
      <c r="A909" s="194" t="s">
        <v>378</v>
      </c>
      <c r="B909" s="194"/>
      <c r="C909" s="194"/>
      <c r="D909" s="194"/>
      <c r="E909" s="195"/>
      <c r="F909" s="196"/>
      <c r="G909" s="197">
        <f>SUM(G897:G908)</f>
        <v>1966.2199999999998</v>
      </c>
      <c r="H909" s="198">
        <f>SUM(H897:H908)</f>
        <v>2538.91</v>
      </c>
      <c r="I909" s="194"/>
      <c r="J909" s="198">
        <f>SUM(J897:J908)</f>
        <v>2538.92</v>
      </c>
      <c r="K909" s="194"/>
      <c r="L909" s="194"/>
      <c r="M909" s="194"/>
      <c r="N909" s="194"/>
      <c r="O909" s="194"/>
      <c r="P909" s="194"/>
      <c r="Q909" s="194"/>
      <c r="R909" s="194"/>
      <c r="S909" s="181"/>
      <c r="T909" s="181"/>
      <c r="U909" s="181"/>
      <c r="V909" s="181"/>
    </row>
    <row r="910" spans="1:22" outlineLevel="1">
      <c r="A910" s="199" t="s">
        <v>285</v>
      </c>
      <c r="B910" s="181" t="s">
        <v>777</v>
      </c>
      <c r="C910" s="190">
        <v>43609</v>
      </c>
      <c r="D910" s="199" t="s">
        <v>793</v>
      </c>
      <c r="E910" s="182" t="s">
        <v>1541</v>
      </c>
      <c r="F910" s="183">
        <v>75987</v>
      </c>
      <c r="G910" s="184">
        <v>87.66</v>
      </c>
      <c r="H910" s="181">
        <v>114.21</v>
      </c>
      <c r="I910" s="181" t="s">
        <v>292</v>
      </c>
      <c r="J910" s="191">
        <v>114.22</v>
      </c>
      <c r="K910" s="192" t="s">
        <v>385</v>
      </c>
      <c r="L910" s="193" t="s">
        <v>396</v>
      </c>
      <c r="M910" s="193" t="s">
        <v>309</v>
      </c>
      <c r="N910" s="193" t="s">
        <v>558</v>
      </c>
      <c r="O910" s="193"/>
      <c r="P910" s="193" t="s">
        <v>381</v>
      </c>
      <c r="Q910" s="193" t="s">
        <v>295</v>
      </c>
      <c r="R910" s="192" t="s">
        <v>379</v>
      </c>
      <c r="S910" s="181"/>
      <c r="T910" s="181" t="s">
        <v>381</v>
      </c>
      <c r="U910" s="181" t="s">
        <v>295</v>
      </c>
      <c r="V910" s="199" t="s">
        <v>379</v>
      </c>
    </row>
    <row r="911" spans="1:22" outlineLevel="1">
      <c r="A911" s="199" t="s">
        <v>285</v>
      </c>
      <c r="B911" s="181" t="s">
        <v>777</v>
      </c>
      <c r="C911" s="190">
        <v>43609</v>
      </c>
      <c r="D911" s="199" t="s">
        <v>795</v>
      </c>
      <c r="E911" s="182" t="s">
        <v>1542</v>
      </c>
      <c r="F911" s="183">
        <v>75987</v>
      </c>
      <c r="G911" s="184">
        <v>9.35</v>
      </c>
      <c r="H911" s="181">
        <v>12.18</v>
      </c>
      <c r="I911" s="181" t="s">
        <v>292</v>
      </c>
      <c r="J911" s="191">
        <v>12.18</v>
      </c>
      <c r="K911" s="192" t="s">
        <v>385</v>
      </c>
      <c r="L911" s="193" t="s">
        <v>396</v>
      </c>
      <c r="M911" s="193" t="s">
        <v>309</v>
      </c>
      <c r="N911" s="193" t="s">
        <v>558</v>
      </c>
      <c r="O911" s="193"/>
      <c r="P911" s="193" t="s">
        <v>381</v>
      </c>
      <c r="Q911" s="193" t="s">
        <v>295</v>
      </c>
      <c r="R911" s="192" t="s">
        <v>379</v>
      </c>
      <c r="S911" s="181"/>
      <c r="T911" s="181" t="s">
        <v>381</v>
      </c>
      <c r="U911" s="181" t="s">
        <v>295</v>
      </c>
      <c r="V911" s="199" t="s">
        <v>379</v>
      </c>
    </row>
    <row r="912" spans="1:22" outlineLevel="1">
      <c r="A912" s="199" t="s">
        <v>285</v>
      </c>
      <c r="B912" s="181" t="s">
        <v>777</v>
      </c>
      <c r="C912" s="190">
        <v>43609</v>
      </c>
      <c r="D912" s="199" t="s">
        <v>797</v>
      </c>
      <c r="E912" s="182" t="s">
        <v>1543</v>
      </c>
      <c r="F912" s="183">
        <v>75987</v>
      </c>
      <c r="G912" s="184">
        <v>12.91</v>
      </c>
      <c r="H912" s="181">
        <v>16.82</v>
      </c>
      <c r="I912" s="181" t="s">
        <v>292</v>
      </c>
      <c r="J912" s="191">
        <v>16.82</v>
      </c>
      <c r="K912" s="192" t="s">
        <v>391</v>
      </c>
      <c r="L912" s="193" t="s">
        <v>396</v>
      </c>
      <c r="M912" s="193" t="s">
        <v>309</v>
      </c>
      <c r="N912" s="193" t="s">
        <v>558</v>
      </c>
      <c r="O912" s="193"/>
      <c r="P912" s="193" t="s">
        <v>381</v>
      </c>
      <c r="Q912" s="193" t="s">
        <v>295</v>
      </c>
      <c r="R912" s="192" t="s">
        <v>379</v>
      </c>
      <c r="S912" s="181"/>
      <c r="T912" s="181" t="s">
        <v>381</v>
      </c>
      <c r="U912" s="181" t="s">
        <v>295</v>
      </c>
      <c r="V912" s="199" t="s">
        <v>379</v>
      </c>
    </row>
    <row r="913" spans="1:22" outlineLevel="1">
      <c r="A913" s="199" t="s">
        <v>285</v>
      </c>
      <c r="B913" s="181" t="s">
        <v>777</v>
      </c>
      <c r="C913" s="190">
        <v>43614</v>
      </c>
      <c r="D913" s="199" t="s">
        <v>803</v>
      </c>
      <c r="E913" s="182" t="s">
        <v>1544</v>
      </c>
      <c r="F913" s="183">
        <v>75987</v>
      </c>
      <c r="G913" s="184">
        <v>0.15</v>
      </c>
      <c r="H913" s="181">
        <v>0.2</v>
      </c>
      <c r="I913" s="181" t="s">
        <v>292</v>
      </c>
      <c r="J913" s="191">
        <v>0.2</v>
      </c>
      <c r="K913" s="192" t="s">
        <v>405</v>
      </c>
      <c r="L913" s="193" t="s">
        <v>396</v>
      </c>
      <c r="M913" s="193" t="s">
        <v>309</v>
      </c>
      <c r="N913" s="193" t="s">
        <v>558</v>
      </c>
      <c r="O913" s="193"/>
      <c r="P913" s="193" t="s">
        <v>381</v>
      </c>
      <c r="Q913" s="193" t="s">
        <v>295</v>
      </c>
      <c r="R913" s="192" t="s">
        <v>379</v>
      </c>
      <c r="S913" s="181"/>
      <c r="T913" s="181" t="s">
        <v>381</v>
      </c>
      <c r="U913" s="181" t="s">
        <v>295</v>
      </c>
      <c r="V913" s="199" t="s">
        <v>379</v>
      </c>
    </row>
    <row r="914" spans="1:22" outlineLevel="1">
      <c r="A914" s="199" t="s">
        <v>285</v>
      </c>
      <c r="B914" s="181" t="s">
        <v>777</v>
      </c>
      <c r="C914" s="190">
        <v>43609</v>
      </c>
      <c r="D914" s="199" t="s">
        <v>801</v>
      </c>
      <c r="E914" s="182" t="s">
        <v>1545</v>
      </c>
      <c r="F914" s="183">
        <v>75987</v>
      </c>
      <c r="G914" s="184">
        <v>2.15</v>
      </c>
      <c r="H914" s="181">
        <v>2.8</v>
      </c>
      <c r="I914" s="181" t="s">
        <v>292</v>
      </c>
      <c r="J914" s="191">
        <v>2.8</v>
      </c>
      <c r="K914" s="192" t="s">
        <v>405</v>
      </c>
      <c r="L914" s="193" t="s">
        <v>396</v>
      </c>
      <c r="M914" s="193" t="s">
        <v>309</v>
      </c>
      <c r="N914" s="193" t="s">
        <v>558</v>
      </c>
      <c r="O914" s="193"/>
      <c r="P914" s="193" t="s">
        <v>381</v>
      </c>
      <c r="Q914" s="193" t="s">
        <v>295</v>
      </c>
      <c r="R914" s="192" t="s">
        <v>379</v>
      </c>
      <c r="S914" s="181"/>
      <c r="T914" s="181" t="s">
        <v>381</v>
      </c>
      <c r="U914" s="181" t="s">
        <v>295</v>
      </c>
      <c r="V914" s="199" t="s">
        <v>379</v>
      </c>
    </row>
    <row r="915" spans="1:22" outlineLevel="1">
      <c r="A915" s="199" t="s">
        <v>285</v>
      </c>
      <c r="B915" s="181" t="s">
        <v>748</v>
      </c>
      <c r="C915" s="190">
        <v>43641</v>
      </c>
      <c r="D915" s="199" t="s">
        <v>807</v>
      </c>
      <c r="E915" s="182" t="s">
        <v>1546</v>
      </c>
      <c r="F915" s="183">
        <v>76315</v>
      </c>
      <c r="G915" s="184">
        <v>82.81</v>
      </c>
      <c r="H915" s="181">
        <v>104.53</v>
      </c>
      <c r="I915" s="181" t="s">
        <v>292</v>
      </c>
      <c r="J915" s="191">
        <v>104.53</v>
      </c>
      <c r="K915" s="192" t="s">
        <v>385</v>
      </c>
      <c r="L915" s="193" t="s">
        <v>396</v>
      </c>
      <c r="M915" s="193" t="s">
        <v>309</v>
      </c>
      <c r="N915" s="193" t="s">
        <v>558</v>
      </c>
      <c r="O915" s="193"/>
      <c r="P915" s="193" t="s">
        <v>381</v>
      </c>
      <c r="Q915" s="193" t="s">
        <v>295</v>
      </c>
      <c r="R915" s="192" t="s">
        <v>379</v>
      </c>
      <c r="S915" s="181"/>
      <c r="T915" s="181" t="s">
        <v>381</v>
      </c>
      <c r="U915" s="181" t="s">
        <v>295</v>
      </c>
      <c r="V915" s="199" t="s">
        <v>379</v>
      </c>
    </row>
    <row r="916" spans="1:22" outlineLevel="1">
      <c r="A916" s="199" t="s">
        <v>285</v>
      </c>
      <c r="B916" s="181" t="s">
        <v>748</v>
      </c>
      <c r="C916" s="190">
        <v>43641</v>
      </c>
      <c r="D916" s="199" t="s">
        <v>805</v>
      </c>
      <c r="E916" s="182" t="s">
        <v>1547</v>
      </c>
      <c r="F916" s="183">
        <v>76315</v>
      </c>
      <c r="G916" s="184">
        <v>773.69</v>
      </c>
      <c r="H916" s="181">
        <v>976.58</v>
      </c>
      <c r="I916" s="181" t="s">
        <v>292</v>
      </c>
      <c r="J916" s="191">
        <v>976.58</v>
      </c>
      <c r="K916" s="192" t="s">
        <v>385</v>
      </c>
      <c r="L916" s="193" t="s">
        <v>396</v>
      </c>
      <c r="M916" s="193" t="s">
        <v>309</v>
      </c>
      <c r="N916" s="193" t="s">
        <v>558</v>
      </c>
      <c r="O916" s="193"/>
      <c r="P916" s="193" t="s">
        <v>381</v>
      </c>
      <c r="Q916" s="193" t="s">
        <v>295</v>
      </c>
      <c r="R916" s="192" t="s">
        <v>379</v>
      </c>
      <c r="S916" s="181"/>
      <c r="T916" s="181" t="s">
        <v>381</v>
      </c>
      <c r="U916" s="181" t="s">
        <v>295</v>
      </c>
      <c r="V916" s="199" t="s">
        <v>379</v>
      </c>
    </row>
    <row r="917" spans="1:22" outlineLevel="1">
      <c r="A917" s="199" t="s">
        <v>285</v>
      </c>
      <c r="B917" s="181" t="s">
        <v>748</v>
      </c>
      <c r="C917" s="190">
        <v>43641</v>
      </c>
      <c r="D917" s="199" t="s">
        <v>809</v>
      </c>
      <c r="E917" s="182" t="s">
        <v>1548</v>
      </c>
      <c r="F917" s="183">
        <v>76315</v>
      </c>
      <c r="G917" s="184">
        <v>113.29</v>
      </c>
      <c r="H917" s="181">
        <v>143</v>
      </c>
      <c r="I917" s="181" t="s">
        <v>292</v>
      </c>
      <c r="J917" s="191">
        <v>143</v>
      </c>
      <c r="K917" s="192" t="s">
        <v>391</v>
      </c>
      <c r="L917" s="193" t="s">
        <v>396</v>
      </c>
      <c r="M917" s="193" t="s">
        <v>309</v>
      </c>
      <c r="N917" s="193" t="s">
        <v>558</v>
      </c>
      <c r="O917" s="193"/>
      <c r="P917" s="193" t="s">
        <v>381</v>
      </c>
      <c r="Q917" s="193" t="s">
        <v>295</v>
      </c>
      <c r="R917" s="192" t="s">
        <v>379</v>
      </c>
      <c r="S917" s="181"/>
      <c r="T917" s="181" t="s">
        <v>381</v>
      </c>
      <c r="U917" s="181" t="s">
        <v>295</v>
      </c>
      <c r="V917" s="199" t="s">
        <v>379</v>
      </c>
    </row>
    <row r="918" spans="1:22" outlineLevel="1">
      <c r="A918" s="199" t="s">
        <v>285</v>
      </c>
      <c r="B918" s="181" t="s">
        <v>748</v>
      </c>
      <c r="C918" s="190">
        <v>43641</v>
      </c>
      <c r="D918" s="199" t="s">
        <v>811</v>
      </c>
      <c r="E918" s="182" t="s">
        <v>1549</v>
      </c>
      <c r="F918" s="183">
        <v>76315</v>
      </c>
      <c r="G918" s="184">
        <v>18.88</v>
      </c>
      <c r="H918" s="181">
        <v>23.83</v>
      </c>
      <c r="I918" s="181" t="s">
        <v>292</v>
      </c>
      <c r="J918" s="191">
        <v>23.83</v>
      </c>
      <c r="K918" s="192" t="s">
        <v>405</v>
      </c>
      <c r="L918" s="193" t="s">
        <v>396</v>
      </c>
      <c r="M918" s="193" t="s">
        <v>309</v>
      </c>
      <c r="N918" s="193" t="s">
        <v>558</v>
      </c>
      <c r="O918" s="193"/>
      <c r="P918" s="193" t="s">
        <v>381</v>
      </c>
      <c r="Q918" s="193" t="s">
        <v>295</v>
      </c>
      <c r="R918" s="192" t="s">
        <v>379</v>
      </c>
      <c r="S918" s="181"/>
      <c r="T918" s="181" t="s">
        <v>381</v>
      </c>
      <c r="U918" s="181" t="s">
        <v>295</v>
      </c>
      <c r="V918" s="199" t="s">
        <v>379</v>
      </c>
    </row>
    <row r="919" spans="1:22">
      <c r="A919" s="194" t="s">
        <v>378</v>
      </c>
      <c r="B919" s="194"/>
      <c r="C919" s="194"/>
      <c r="D919" s="194"/>
      <c r="E919" s="195"/>
      <c r="F919" s="196"/>
      <c r="G919" s="197">
        <f>SUM(G910:G918)</f>
        <v>1100.8900000000001</v>
      </c>
      <c r="H919" s="198">
        <f>SUM(H910:H918)</f>
        <v>1394.1499999999999</v>
      </c>
      <c r="I919" s="194"/>
      <c r="J919" s="198">
        <f>SUM(J910:J918)</f>
        <v>1394.1599999999999</v>
      </c>
      <c r="K919" s="194"/>
      <c r="L919" s="194"/>
      <c r="M919" s="194"/>
      <c r="N919" s="194"/>
      <c r="O919" s="194"/>
      <c r="P919" s="194"/>
      <c r="Q919" s="194"/>
      <c r="R919" s="194"/>
      <c r="S919" s="181"/>
      <c r="T919" s="181"/>
      <c r="U919" s="181"/>
      <c r="V919" s="181"/>
    </row>
    <row r="920" spans="1:22" outlineLevel="1">
      <c r="A920" s="199" t="s">
        <v>287</v>
      </c>
      <c r="B920" s="181" t="s">
        <v>777</v>
      </c>
      <c r="C920" s="190">
        <v>43601</v>
      </c>
      <c r="D920" s="199" t="s">
        <v>1070</v>
      </c>
      <c r="E920" s="182" t="s">
        <v>1550</v>
      </c>
      <c r="F920" s="183">
        <v>75988</v>
      </c>
      <c r="G920" s="184">
        <v>115.12</v>
      </c>
      <c r="H920" s="181">
        <v>150</v>
      </c>
      <c r="I920" s="181" t="s">
        <v>292</v>
      </c>
      <c r="J920" s="191">
        <v>149.99</v>
      </c>
      <c r="K920" s="192" t="s">
        <v>610</v>
      </c>
      <c r="L920" s="193" t="s">
        <v>400</v>
      </c>
      <c r="M920" s="193" t="s">
        <v>309</v>
      </c>
      <c r="N920" s="193" t="s">
        <v>727</v>
      </c>
      <c r="O920" s="193"/>
      <c r="P920" s="193" t="s">
        <v>381</v>
      </c>
      <c r="Q920" s="193" t="s">
        <v>295</v>
      </c>
      <c r="R920" s="192" t="s">
        <v>379</v>
      </c>
      <c r="S920" s="181"/>
      <c r="T920" s="181" t="s">
        <v>381</v>
      </c>
      <c r="U920" s="181" t="s">
        <v>295</v>
      </c>
      <c r="V920" s="199" t="s">
        <v>379</v>
      </c>
    </row>
    <row r="921" spans="1:22" outlineLevel="1">
      <c r="A921" s="199" t="s">
        <v>287</v>
      </c>
      <c r="B921" s="181" t="s">
        <v>777</v>
      </c>
      <c r="C921" s="190">
        <v>43605</v>
      </c>
      <c r="D921" s="199" t="s">
        <v>1551</v>
      </c>
      <c r="E921" s="182" t="s">
        <v>1552</v>
      </c>
      <c r="F921" s="183">
        <v>75988</v>
      </c>
      <c r="G921" s="184">
        <v>76.75</v>
      </c>
      <c r="H921" s="181">
        <v>100</v>
      </c>
      <c r="I921" s="181" t="s">
        <v>292</v>
      </c>
      <c r="J921" s="191">
        <v>100</v>
      </c>
      <c r="K921" s="192" t="s">
        <v>610</v>
      </c>
      <c r="L921" s="193" t="s">
        <v>400</v>
      </c>
      <c r="M921" s="193" t="s">
        <v>309</v>
      </c>
      <c r="N921" s="193" t="s">
        <v>727</v>
      </c>
      <c r="O921" s="193"/>
      <c r="P921" s="193" t="s">
        <v>381</v>
      </c>
      <c r="Q921" s="193" t="s">
        <v>295</v>
      </c>
      <c r="R921" s="192" t="s">
        <v>379</v>
      </c>
      <c r="S921" s="181"/>
      <c r="T921" s="181" t="s">
        <v>381</v>
      </c>
      <c r="U921" s="181" t="s">
        <v>295</v>
      </c>
      <c r="V921" s="199" t="s">
        <v>379</v>
      </c>
    </row>
    <row r="922" spans="1:22">
      <c r="A922" s="194" t="s">
        <v>378</v>
      </c>
      <c r="B922" s="194"/>
      <c r="C922" s="194"/>
      <c r="D922" s="194"/>
      <c r="E922" s="195"/>
      <c r="F922" s="196"/>
      <c r="G922" s="197">
        <f>SUM(G920:G921)</f>
        <v>191.87</v>
      </c>
      <c r="H922" s="198">
        <f>SUM(H920:H921)</f>
        <v>250</v>
      </c>
      <c r="I922" s="194"/>
      <c r="J922" s="198">
        <f>SUM(J920:J921)</f>
        <v>249.99</v>
      </c>
      <c r="K922" s="194"/>
      <c r="L922" s="194"/>
      <c r="M922" s="194"/>
      <c r="N922" s="194"/>
      <c r="O922" s="194"/>
      <c r="P922" s="194"/>
      <c r="Q922" s="194"/>
      <c r="R922" s="194"/>
      <c r="S922" s="181"/>
      <c r="T922" s="181"/>
      <c r="U922" s="181"/>
      <c r="V922" s="181"/>
    </row>
    <row r="923" spans="1:22" outlineLevel="1">
      <c r="A923" s="199" t="s">
        <v>288</v>
      </c>
      <c r="B923" s="181" t="s">
        <v>747</v>
      </c>
      <c r="C923" s="190">
        <v>43585</v>
      </c>
      <c r="D923" s="199" t="s">
        <v>1553</v>
      </c>
      <c r="E923" s="182" t="s">
        <v>1554</v>
      </c>
      <c r="F923" s="183">
        <v>75713</v>
      </c>
      <c r="G923" s="184">
        <v>1616.99</v>
      </c>
      <c r="H923" s="181">
        <v>1616.99</v>
      </c>
      <c r="I923" s="181" t="s">
        <v>293</v>
      </c>
      <c r="J923" s="191">
        <v>2108.96</v>
      </c>
      <c r="K923" s="192" t="s">
        <v>730</v>
      </c>
      <c r="L923" s="193" t="s">
        <v>374</v>
      </c>
      <c r="M923" s="193" t="s">
        <v>309</v>
      </c>
      <c r="N923" s="193"/>
      <c r="O923" s="193"/>
      <c r="P923" s="193" t="s">
        <v>731</v>
      </c>
      <c r="Q923" s="193" t="s">
        <v>295</v>
      </c>
      <c r="R923" s="192" t="s">
        <v>379</v>
      </c>
      <c r="S923" s="181"/>
      <c r="T923" s="181" t="s">
        <v>731</v>
      </c>
      <c r="U923" s="181" t="s">
        <v>295</v>
      </c>
      <c r="V923" s="199" t="s">
        <v>379</v>
      </c>
    </row>
    <row r="924" spans="1:22" outlineLevel="1">
      <c r="A924" s="199" t="s">
        <v>288</v>
      </c>
      <c r="B924" s="181" t="s">
        <v>777</v>
      </c>
      <c r="C924" s="190">
        <v>43616</v>
      </c>
      <c r="D924" s="199" t="s">
        <v>1555</v>
      </c>
      <c r="E924" s="182" t="s">
        <v>1556</v>
      </c>
      <c r="F924" s="183">
        <v>76023</v>
      </c>
      <c r="G924" s="184">
        <v>1941.97</v>
      </c>
      <c r="H924" s="181">
        <v>1941.97</v>
      </c>
      <c r="I924" s="181" t="s">
        <v>293</v>
      </c>
      <c r="J924" s="191">
        <v>2530.2800000000002</v>
      </c>
      <c r="K924" s="192" t="s">
        <v>730</v>
      </c>
      <c r="L924" s="193" t="s">
        <v>374</v>
      </c>
      <c r="M924" s="193" t="s">
        <v>309</v>
      </c>
      <c r="N924" s="193"/>
      <c r="O924" s="193"/>
      <c r="P924" s="193" t="s">
        <v>731</v>
      </c>
      <c r="Q924" s="193" t="s">
        <v>295</v>
      </c>
      <c r="R924" s="192" t="s">
        <v>379</v>
      </c>
      <c r="S924" s="181"/>
      <c r="T924" s="181" t="s">
        <v>731</v>
      </c>
      <c r="U924" s="181" t="s">
        <v>295</v>
      </c>
      <c r="V924" s="199" t="s">
        <v>379</v>
      </c>
    </row>
    <row r="925" spans="1:22" outlineLevel="1">
      <c r="A925" s="199" t="s">
        <v>288</v>
      </c>
      <c r="B925" s="181" t="s">
        <v>748</v>
      </c>
      <c r="C925" s="190">
        <v>43646</v>
      </c>
      <c r="D925" s="199" t="s">
        <v>1557</v>
      </c>
      <c r="E925" s="182" t="s">
        <v>1558</v>
      </c>
      <c r="F925" s="183">
        <v>76406</v>
      </c>
      <c r="G925" s="184">
        <v>6026.81</v>
      </c>
      <c r="H925" s="181">
        <v>6026.81</v>
      </c>
      <c r="I925" s="181" t="s">
        <v>293</v>
      </c>
      <c r="J925" s="191">
        <v>7607.25</v>
      </c>
      <c r="K925" s="192" t="s">
        <v>730</v>
      </c>
      <c r="L925" s="193" t="s">
        <v>374</v>
      </c>
      <c r="M925" s="193" t="s">
        <v>309</v>
      </c>
      <c r="N925" s="193"/>
      <c r="O925" s="193"/>
      <c r="P925" s="193" t="s">
        <v>731</v>
      </c>
      <c r="Q925" s="193" t="s">
        <v>295</v>
      </c>
      <c r="R925" s="192" t="s">
        <v>379</v>
      </c>
      <c r="S925" s="181"/>
      <c r="T925" s="181" t="s">
        <v>731</v>
      </c>
      <c r="U925" s="181" t="s">
        <v>295</v>
      </c>
      <c r="V925" s="199" t="s">
        <v>379</v>
      </c>
    </row>
    <row r="926" spans="1:22">
      <c r="A926" s="194" t="s">
        <v>378</v>
      </c>
      <c r="B926" s="194"/>
      <c r="C926" s="194"/>
      <c r="D926" s="194"/>
      <c r="E926" s="195"/>
      <c r="F926" s="196"/>
      <c r="G926" s="197">
        <f>SUM(G923:G925)</f>
        <v>9585.77</v>
      </c>
      <c r="H926" s="198">
        <f>SUM(H923:H925)</f>
        <v>9585.77</v>
      </c>
      <c r="I926" s="194"/>
      <c r="J926" s="198">
        <f>SUM(J923:J925)</f>
        <v>12246.49</v>
      </c>
      <c r="K926" s="194"/>
      <c r="L926" s="194"/>
      <c r="M926" s="194"/>
      <c r="N926" s="194"/>
      <c r="O926" s="194"/>
      <c r="P926" s="194"/>
      <c r="Q926" s="194"/>
      <c r="R926" s="194"/>
      <c r="S926" s="181"/>
      <c r="T926" s="181"/>
      <c r="U926" s="181"/>
      <c r="V926" s="181"/>
    </row>
    <row r="927" spans="1:22" outlineLevel="1">
      <c r="A927" s="199" t="s">
        <v>733</v>
      </c>
      <c r="B927" s="181" t="s">
        <v>748</v>
      </c>
      <c r="C927" s="190">
        <v>43646</v>
      </c>
      <c r="D927" s="199" t="s">
        <v>1559</v>
      </c>
      <c r="E927" s="182" t="s">
        <v>1560</v>
      </c>
      <c r="F927" s="183">
        <v>76330</v>
      </c>
      <c r="G927" s="184">
        <v>-22147.200000000001</v>
      </c>
      <c r="H927" s="181">
        <v>-29402.94</v>
      </c>
      <c r="I927" s="181" t="s">
        <v>292</v>
      </c>
      <c r="J927" s="191">
        <v>-27954.98</v>
      </c>
      <c r="K927" s="192" t="s">
        <v>736</v>
      </c>
      <c r="L927" s="193" t="s">
        <v>396</v>
      </c>
      <c r="M927" s="193" t="s">
        <v>309</v>
      </c>
      <c r="N927" s="193"/>
      <c r="O927" s="193" t="s">
        <v>737</v>
      </c>
      <c r="P927" s="193" t="s">
        <v>381</v>
      </c>
      <c r="Q927" s="193" t="s">
        <v>295</v>
      </c>
      <c r="R927" s="192" t="s">
        <v>379</v>
      </c>
      <c r="S927" s="181" t="s">
        <v>737</v>
      </c>
      <c r="T927" s="181" t="s">
        <v>381</v>
      </c>
      <c r="U927" s="181" t="s">
        <v>295</v>
      </c>
      <c r="V927" s="199" t="s">
        <v>379</v>
      </c>
    </row>
    <row r="928" spans="1:22" outlineLevel="1">
      <c r="A928" s="199" t="s">
        <v>733</v>
      </c>
      <c r="B928" s="181" t="s">
        <v>748</v>
      </c>
      <c r="C928" s="190">
        <v>43646</v>
      </c>
      <c r="D928" s="199" t="s">
        <v>1561</v>
      </c>
      <c r="E928" s="182" t="s">
        <v>1562</v>
      </c>
      <c r="F928" s="183">
        <v>76340</v>
      </c>
      <c r="G928" s="184">
        <v>-7604.28</v>
      </c>
      <c r="H928" s="181">
        <v>-8893.59</v>
      </c>
      <c r="I928" s="181" t="s">
        <v>292</v>
      </c>
      <c r="J928" s="191">
        <v>-8893.59</v>
      </c>
      <c r="K928" s="192" t="s">
        <v>736</v>
      </c>
      <c r="L928" s="193" t="s">
        <v>396</v>
      </c>
      <c r="M928" s="193" t="s">
        <v>309</v>
      </c>
      <c r="N928" s="193"/>
      <c r="O928" s="193" t="s">
        <v>743</v>
      </c>
      <c r="P928" s="193" t="s">
        <v>381</v>
      </c>
      <c r="Q928" s="193" t="s">
        <v>295</v>
      </c>
      <c r="R928" s="192" t="s">
        <v>379</v>
      </c>
      <c r="S928" s="181" t="s">
        <v>743</v>
      </c>
      <c r="T928" s="181" t="s">
        <v>381</v>
      </c>
      <c r="U928" s="181" t="s">
        <v>295</v>
      </c>
      <c r="V928" s="199" t="s">
        <v>379</v>
      </c>
    </row>
    <row r="929" spans="1:22" outlineLevel="1">
      <c r="A929" s="199" t="s">
        <v>733</v>
      </c>
      <c r="B929" s="181" t="s">
        <v>748</v>
      </c>
      <c r="C929" s="190">
        <v>43646</v>
      </c>
      <c r="D929" s="199" t="s">
        <v>754</v>
      </c>
      <c r="E929" s="182" t="s">
        <v>1563</v>
      </c>
      <c r="F929" s="183">
        <v>76341</v>
      </c>
      <c r="G929" s="184">
        <v>-19778.29</v>
      </c>
      <c r="H929" s="181">
        <v>-26257.91</v>
      </c>
      <c r="I929" s="181" t="s">
        <v>292</v>
      </c>
      <c r="J929" s="191">
        <v>-26257.91</v>
      </c>
      <c r="K929" s="192" t="s">
        <v>736</v>
      </c>
      <c r="L929" s="193" t="s">
        <v>396</v>
      </c>
      <c r="M929" s="193" t="s">
        <v>309</v>
      </c>
      <c r="N929" s="193"/>
      <c r="O929" s="193" t="s">
        <v>740</v>
      </c>
      <c r="P929" s="193" t="s">
        <v>381</v>
      </c>
      <c r="Q929" s="193" t="s">
        <v>295</v>
      </c>
      <c r="R929" s="192" t="s">
        <v>379</v>
      </c>
      <c r="S929" s="181" t="s">
        <v>740</v>
      </c>
      <c r="T929" s="181" t="s">
        <v>381</v>
      </c>
      <c r="U929" s="181" t="s">
        <v>295</v>
      </c>
      <c r="V929" s="199" t="s">
        <v>379</v>
      </c>
    </row>
    <row r="930" spans="1:22" outlineLevel="1">
      <c r="A930" s="199" t="s">
        <v>733</v>
      </c>
      <c r="B930" s="181" t="s">
        <v>748</v>
      </c>
      <c r="C930" s="190">
        <v>43646</v>
      </c>
      <c r="D930" s="199" t="s">
        <v>1500</v>
      </c>
      <c r="E930" s="182" t="s">
        <v>1564</v>
      </c>
      <c r="F930" s="183">
        <v>76356</v>
      </c>
      <c r="G930" s="184">
        <v>-4645.76</v>
      </c>
      <c r="H930" s="181">
        <v>-5864</v>
      </c>
      <c r="I930" s="181" t="s">
        <v>292</v>
      </c>
      <c r="J930" s="191">
        <v>-5864</v>
      </c>
      <c r="K930" s="192" t="s">
        <v>736</v>
      </c>
      <c r="L930" s="193" t="s">
        <v>396</v>
      </c>
      <c r="M930" s="193" t="s">
        <v>309</v>
      </c>
      <c r="N930" s="193"/>
      <c r="O930" s="193" t="s">
        <v>743</v>
      </c>
      <c r="P930" s="193" t="s">
        <v>381</v>
      </c>
      <c r="Q930" s="193" t="s">
        <v>295</v>
      </c>
      <c r="R930" s="192" t="s">
        <v>379</v>
      </c>
      <c r="S930" s="181" t="s">
        <v>743</v>
      </c>
      <c r="T930" s="181" t="s">
        <v>381</v>
      </c>
      <c r="U930" s="181" t="s">
        <v>295</v>
      </c>
      <c r="V930" s="199" t="s">
        <v>379</v>
      </c>
    </row>
    <row r="931" spans="1:22" outlineLevel="1">
      <c r="A931" s="199" t="s">
        <v>733</v>
      </c>
      <c r="B931" s="181" t="s">
        <v>748</v>
      </c>
      <c r="C931" s="190">
        <v>43646</v>
      </c>
      <c r="D931" s="199" t="s">
        <v>1509</v>
      </c>
      <c r="E931" s="182" t="s">
        <v>1565</v>
      </c>
      <c r="F931" s="183">
        <v>76356</v>
      </c>
      <c r="G931" s="184">
        <v>-1923.37</v>
      </c>
      <c r="H931" s="181">
        <v>-2427.75</v>
      </c>
      <c r="I931" s="181" t="s">
        <v>292</v>
      </c>
      <c r="J931" s="191">
        <v>-2427.75</v>
      </c>
      <c r="K931" s="192" t="s">
        <v>736</v>
      </c>
      <c r="L931" s="193" t="s">
        <v>396</v>
      </c>
      <c r="M931" s="193" t="s">
        <v>309</v>
      </c>
      <c r="N931" s="193"/>
      <c r="O931" s="193" t="s">
        <v>740</v>
      </c>
      <c r="P931" s="193" t="s">
        <v>381</v>
      </c>
      <c r="Q931" s="193" t="s">
        <v>295</v>
      </c>
      <c r="R931" s="192" t="s">
        <v>379</v>
      </c>
      <c r="S931" s="181" t="s">
        <v>740</v>
      </c>
      <c r="T931" s="181" t="s">
        <v>381</v>
      </c>
      <c r="U931" s="181" t="s">
        <v>295</v>
      </c>
      <c r="V931" s="199" t="s">
        <v>379</v>
      </c>
    </row>
    <row r="932" spans="1:22">
      <c r="A932" s="194" t="s">
        <v>378</v>
      </c>
      <c r="B932" s="194"/>
      <c r="C932" s="194"/>
      <c r="D932" s="194"/>
      <c r="E932" s="195"/>
      <c r="F932" s="196"/>
      <c r="G932" s="197">
        <f>SUM(G927:G931)</f>
        <v>-56098.900000000009</v>
      </c>
      <c r="H932" s="198">
        <f>SUM(H927:H931)</f>
        <v>-72846.19</v>
      </c>
      <c r="I932" s="194"/>
      <c r="J932" s="198">
        <f>SUM(J927:J931)</f>
        <v>-71398.23</v>
      </c>
      <c r="K932" s="194"/>
      <c r="L932" s="194"/>
      <c r="M932" s="194"/>
      <c r="N932" s="194"/>
      <c r="O932" s="194"/>
      <c r="P932" s="194"/>
      <c r="Q932" s="194"/>
      <c r="R932" s="194"/>
      <c r="S932" s="181"/>
      <c r="T932" s="181"/>
      <c r="U932" s="181"/>
      <c r="V932" s="181"/>
    </row>
    <row r="933" spans="1:22">
      <c r="A933" s="181" t="s">
        <v>744</v>
      </c>
      <c r="B933" s="181"/>
      <c r="C933" s="181"/>
      <c r="D933" s="181"/>
      <c r="E933" s="182"/>
      <c r="F933" s="183"/>
      <c r="G933" s="184"/>
      <c r="H933" s="181"/>
      <c r="I933" s="181"/>
      <c r="J933" s="181"/>
      <c r="K933" s="181"/>
      <c r="L933" s="181"/>
      <c r="M933" s="181"/>
      <c r="N933" s="181"/>
      <c r="O933" s="181"/>
      <c r="P933" s="181"/>
      <c r="Q933" s="181"/>
      <c r="R933" s="181"/>
      <c r="S933" s="181"/>
      <c r="T933" s="181"/>
      <c r="U933" s="181"/>
      <c r="V933" s="181"/>
    </row>
    <row r="934" spans="1:22">
      <c r="A934" s="181"/>
      <c r="B934" s="181"/>
      <c r="C934" s="181"/>
      <c r="D934" s="181"/>
      <c r="E934" s="182"/>
      <c r="F934" s="183"/>
      <c r="G934" s="184">
        <f>+G13+G33+G51+G53+G55+G61+G63+G79+G82+G87+G107+G120+G125+G134+G144+G146+G196+G328+G360+G362+G370+G383+G394+G400+G406+G431+G433+G438+G442+G464+G470+G485+G506+G567+G779+G792+G820+G845+G874+G883+G896+G909+G919+G922+G926+G932</f>
        <v>90419.349999999933</v>
      </c>
      <c r="H934" s="201">
        <f>+H13+H33+H51+H53+H55+H61+H63+H79+H82+H87+H107+H120+H125+H134+H144+H146+H196+H328+H360+H362+H370+H383+H394+H400+H406+H431+H433+H438+H442+H464+H470+H485+H506+H567+H779+H792+H820+H845+H874+H883+H896+H909+H919+H922+H926+H932</f>
        <v>112185.02999999997</v>
      </c>
      <c r="I934" s="181"/>
      <c r="J934" s="201">
        <f>+J13+J33+J51+J53+J55+J61+J63+J79+J82+J87+J107+J120+J125+J134+J144+J146+J196+J328+J360+J362+J370+J383+J394+J400+J406+J431+J433+J438+J442+J464+J470+J485+J506+J567+J779+J792+J820+J845+J874+J883+J896+J909+J919+J922+J926+J932</f>
        <v>116377.61999999998</v>
      </c>
      <c r="K934" s="181"/>
      <c r="L934" s="181"/>
      <c r="M934" s="181"/>
      <c r="N934" s="181"/>
      <c r="O934" s="181"/>
      <c r="P934" s="181"/>
      <c r="Q934" s="181"/>
      <c r="R934" s="181"/>
      <c r="S934" s="181"/>
      <c r="T934" s="181"/>
      <c r="U934" s="181"/>
      <c r="V934" s="181"/>
    </row>
    <row r="935" spans="1:22">
      <c r="F935"/>
    </row>
    <row r="936" spans="1:22">
      <c r="F936"/>
      <c r="J936" s="202">
        <f>J934-J932-J13</f>
        <v>187784.80999999997</v>
      </c>
    </row>
    <row r="937" spans="1:22">
      <c r="F937"/>
    </row>
    <row r="938" spans="1:22">
      <c r="F938"/>
    </row>
    <row r="939" spans="1:22">
      <c r="F939"/>
    </row>
    <row r="940" spans="1:22">
      <c r="F940"/>
    </row>
    <row r="941" spans="1:22">
      <c r="F941"/>
    </row>
    <row r="942" spans="1:22">
      <c r="F942"/>
    </row>
    <row r="943" spans="1:22">
      <c r="F943"/>
    </row>
    <row r="944" spans="1:22">
      <c r="F944"/>
    </row>
    <row r="945" spans="6:6">
      <c r="F945"/>
    </row>
    <row r="946" spans="6:6">
      <c r="F946"/>
    </row>
    <row r="947" spans="6:6">
      <c r="F947"/>
    </row>
    <row r="948" spans="6:6">
      <c r="F948"/>
    </row>
    <row r="949" spans="6:6">
      <c r="F949"/>
    </row>
    <row r="950" spans="6:6">
      <c r="F950"/>
    </row>
    <row r="951" spans="6:6">
      <c r="F951"/>
    </row>
    <row r="952" spans="6:6">
      <c r="F952"/>
    </row>
    <row r="953" spans="6:6">
      <c r="F953"/>
    </row>
    <row r="954" spans="6:6">
      <c r="F954"/>
    </row>
    <row r="955" spans="6:6">
      <c r="F955"/>
    </row>
    <row r="956" spans="6:6">
      <c r="F956"/>
    </row>
    <row r="957" spans="6:6">
      <c r="F957"/>
    </row>
    <row r="958" spans="6:6">
      <c r="F958"/>
    </row>
    <row r="959" spans="6:6">
      <c r="F959"/>
    </row>
    <row r="960" spans="6:6">
      <c r="F960"/>
    </row>
    <row r="961" spans="6:6">
      <c r="F961"/>
    </row>
    <row r="962" spans="6:6">
      <c r="F962"/>
    </row>
    <row r="963" spans="6:6">
      <c r="F963"/>
    </row>
    <row r="964" spans="6:6">
      <c r="F964"/>
    </row>
    <row r="965" spans="6:6">
      <c r="F965"/>
    </row>
    <row r="966" spans="6:6">
      <c r="F966"/>
    </row>
    <row r="967" spans="6:6">
      <c r="F967"/>
    </row>
    <row r="968" spans="6:6">
      <c r="F968"/>
    </row>
    <row r="969" spans="6:6">
      <c r="F969"/>
    </row>
    <row r="970" spans="6:6">
      <c r="F970"/>
    </row>
    <row r="971" spans="6:6">
      <c r="F971"/>
    </row>
    <row r="972" spans="6:6">
      <c r="F972"/>
    </row>
    <row r="973" spans="6:6">
      <c r="F973"/>
    </row>
    <row r="974" spans="6:6">
      <c r="F974"/>
    </row>
    <row r="975" spans="6:6">
      <c r="F975"/>
    </row>
    <row r="976" spans="6:6">
      <c r="F976"/>
    </row>
    <row r="977" spans="6:6">
      <c r="F977"/>
    </row>
    <row r="978" spans="6:6">
      <c r="F978"/>
    </row>
    <row r="979" spans="6:6">
      <c r="F979"/>
    </row>
    <row r="980" spans="6:6">
      <c r="F980"/>
    </row>
    <row r="981" spans="6:6">
      <c r="F981"/>
    </row>
    <row r="982" spans="6:6">
      <c r="F982"/>
    </row>
    <row r="983" spans="6:6">
      <c r="F983"/>
    </row>
    <row r="984" spans="6:6">
      <c r="F984"/>
    </row>
    <row r="985" spans="6:6">
      <c r="F985"/>
    </row>
    <row r="986" spans="6:6">
      <c r="F986"/>
    </row>
    <row r="987" spans="6:6">
      <c r="F987"/>
    </row>
    <row r="988" spans="6:6">
      <c r="F988"/>
    </row>
    <row r="989" spans="6:6">
      <c r="F989"/>
    </row>
    <row r="990" spans="6:6">
      <c r="F990"/>
    </row>
    <row r="991" spans="6:6">
      <c r="F991"/>
    </row>
    <row r="992" spans="6:6">
      <c r="F992"/>
    </row>
    <row r="993" spans="6:6">
      <c r="F993"/>
    </row>
    <row r="994" spans="6:6">
      <c r="F994"/>
    </row>
    <row r="995" spans="6:6">
      <c r="F995"/>
    </row>
    <row r="996" spans="6:6">
      <c r="F996"/>
    </row>
    <row r="997" spans="6:6">
      <c r="F997"/>
    </row>
    <row r="998" spans="6:6">
      <c r="F998"/>
    </row>
    <row r="999" spans="6:6">
      <c r="F999"/>
    </row>
    <row r="1000" spans="6:6">
      <c r="F1000"/>
    </row>
    <row r="1001" spans="6:6">
      <c r="F1001"/>
    </row>
    <row r="1002" spans="6:6">
      <c r="F1002"/>
    </row>
    <row r="1003" spans="6:6">
      <c r="F1003"/>
    </row>
    <row r="1004" spans="6:6">
      <c r="F1004"/>
    </row>
    <row r="1005" spans="6:6">
      <c r="F1005"/>
    </row>
    <row r="1006" spans="6:6">
      <c r="F1006"/>
    </row>
    <row r="1007" spans="6:6">
      <c r="F1007"/>
    </row>
    <row r="1008" spans="6:6">
      <c r="F1008"/>
    </row>
    <row r="1009" spans="6:6">
      <c r="F1009"/>
    </row>
    <row r="1010" spans="6:6">
      <c r="F1010"/>
    </row>
    <row r="1011" spans="6:6">
      <c r="F1011"/>
    </row>
    <row r="1012" spans="6:6">
      <c r="F1012"/>
    </row>
    <row r="1013" spans="6:6">
      <c r="F1013"/>
    </row>
    <row r="1014" spans="6:6">
      <c r="F1014"/>
    </row>
    <row r="1015" spans="6:6">
      <c r="F1015"/>
    </row>
    <row r="1016" spans="6:6">
      <c r="F1016"/>
    </row>
    <row r="1017" spans="6:6">
      <c r="F1017"/>
    </row>
    <row r="1018" spans="6:6">
      <c r="F1018"/>
    </row>
    <row r="1019" spans="6:6">
      <c r="F1019"/>
    </row>
    <row r="1020" spans="6:6">
      <c r="F1020"/>
    </row>
    <row r="1021" spans="6:6">
      <c r="F1021"/>
    </row>
    <row r="1022" spans="6:6">
      <c r="F1022"/>
    </row>
    <row r="1023" spans="6:6">
      <c r="F1023"/>
    </row>
    <row r="1024" spans="6:6">
      <c r="F1024"/>
    </row>
    <row r="1025" spans="6:6">
      <c r="F1025"/>
    </row>
    <row r="1026" spans="6:6">
      <c r="F1026"/>
    </row>
    <row r="1027" spans="6:6">
      <c r="F1027"/>
    </row>
    <row r="1028" spans="6:6">
      <c r="F1028"/>
    </row>
    <row r="1029" spans="6:6">
      <c r="F1029"/>
    </row>
    <row r="1030" spans="6:6">
      <c r="F1030"/>
    </row>
    <row r="1031" spans="6:6">
      <c r="F1031"/>
    </row>
    <row r="1032" spans="6:6" outlineLevel="1">
      <c r="F1032"/>
    </row>
    <row r="1033" spans="6:6" outlineLevel="1">
      <c r="F1033"/>
    </row>
    <row r="1034" spans="6:6" outlineLevel="1">
      <c r="F1034"/>
    </row>
    <row r="1035" spans="6:6" outlineLevel="1">
      <c r="F1035"/>
    </row>
    <row r="1036" spans="6:6">
      <c r="F1036"/>
    </row>
    <row r="1037" spans="6:6" outlineLevel="1">
      <c r="F1037"/>
    </row>
    <row r="1038" spans="6:6" outlineLevel="1">
      <c r="F1038"/>
    </row>
    <row r="1039" spans="6:6" outlineLevel="1">
      <c r="F1039"/>
    </row>
    <row r="1040" spans="6:6" outlineLevel="1">
      <c r="F1040"/>
    </row>
    <row r="1041" spans="6:6" outlineLevel="1">
      <c r="F1041"/>
    </row>
    <row r="1042" spans="6:6" outlineLevel="1">
      <c r="F1042"/>
    </row>
    <row r="1043" spans="6:6" outlineLevel="1">
      <c r="F1043"/>
    </row>
    <row r="1044" spans="6:6" outlineLevel="1">
      <c r="F1044"/>
    </row>
    <row r="1045" spans="6:6" outlineLevel="1">
      <c r="F1045"/>
    </row>
    <row r="1046" spans="6:6" outlineLevel="1">
      <c r="F1046"/>
    </row>
    <row r="1047" spans="6:6" outlineLevel="1">
      <c r="F1047"/>
    </row>
    <row r="1048" spans="6:6" outlineLevel="1">
      <c r="F1048"/>
    </row>
    <row r="1049" spans="6:6" outlineLevel="1">
      <c r="F1049"/>
    </row>
    <row r="1050" spans="6:6" outlineLevel="1">
      <c r="F1050"/>
    </row>
    <row r="1051" spans="6:6" outlineLevel="1">
      <c r="F1051"/>
    </row>
    <row r="1052" spans="6:6" outlineLevel="1">
      <c r="F1052"/>
    </row>
    <row r="1053" spans="6:6" outlineLevel="1">
      <c r="F1053"/>
    </row>
    <row r="1054" spans="6:6" outlineLevel="1">
      <c r="F1054"/>
    </row>
    <row r="1055" spans="6:6" outlineLevel="1">
      <c r="F1055"/>
    </row>
    <row r="1056" spans="6:6" outlineLevel="1">
      <c r="F1056"/>
    </row>
    <row r="1057" spans="6:6" outlineLevel="1">
      <c r="F1057"/>
    </row>
    <row r="1058" spans="6:6" outlineLevel="1">
      <c r="F1058"/>
    </row>
    <row r="1059" spans="6:6" outlineLevel="1">
      <c r="F1059"/>
    </row>
    <row r="1060" spans="6:6" outlineLevel="1">
      <c r="F1060"/>
    </row>
    <row r="1061" spans="6:6" outlineLevel="1">
      <c r="F1061"/>
    </row>
    <row r="1062" spans="6:6" outlineLevel="1">
      <c r="F1062"/>
    </row>
    <row r="1063" spans="6:6" outlineLevel="1">
      <c r="F1063"/>
    </row>
    <row r="1064" spans="6:6" outlineLevel="1">
      <c r="F1064"/>
    </row>
    <row r="1065" spans="6:6" outlineLevel="1">
      <c r="F1065"/>
    </row>
    <row r="1066" spans="6:6" outlineLevel="1">
      <c r="F1066"/>
    </row>
    <row r="1067" spans="6:6" outlineLevel="1">
      <c r="F1067"/>
    </row>
    <row r="1068" spans="6:6" outlineLevel="1">
      <c r="F1068"/>
    </row>
    <row r="1069" spans="6:6" outlineLevel="1">
      <c r="F1069"/>
    </row>
    <row r="1070" spans="6:6" outlineLevel="1">
      <c r="F1070"/>
    </row>
    <row r="1071" spans="6:6" outlineLevel="1">
      <c r="F1071"/>
    </row>
    <row r="1072" spans="6:6" outlineLevel="1">
      <c r="F1072"/>
    </row>
    <row r="1073" spans="6:6" outlineLevel="1">
      <c r="F1073"/>
    </row>
    <row r="1074" spans="6:6" outlineLevel="1">
      <c r="F1074"/>
    </row>
    <row r="1075" spans="6:6" outlineLevel="1">
      <c r="F1075"/>
    </row>
    <row r="1076" spans="6:6" outlineLevel="1">
      <c r="F1076"/>
    </row>
    <row r="1077" spans="6:6" outlineLevel="1">
      <c r="F1077"/>
    </row>
    <row r="1078" spans="6:6" outlineLevel="1">
      <c r="F1078"/>
    </row>
    <row r="1079" spans="6:6" outlineLevel="1">
      <c r="F1079"/>
    </row>
    <row r="1080" spans="6:6" outlineLevel="1">
      <c r="F1080"/>
    </row>
    <row r="1081" spans="6:6" outlineLevel="1">
      <c r="F1081"/>
    </row>
    <row r="1082" spans="6:6" outlineLevel="1">
      <c r="F1082"/>
    </row>
    <row r="1083" spans="6:6" outlineLevel="1">
      <c r="F1083"/>
    </row>
    <row r="1084" spans="6:6" outlineLevel="1">
      <c r="F1084"/>
    </row>
    <row r="1085" spans="6:6" outlineLevel="1">
      <c r="F1085"/>
    </row>
    <row r="1086" spans="6:6" outlineLevel="1">
      <c r="F1086"/>
    </row>
    <row r="1087" spans="6:6" outlineLevel="1">
      <c r="F1087"/>
    </row>
    <row r="1088" spans="6:6" outlineLevel="1">
      <c r="F1088"/>
    </row>
    <row r="1089" spans="6:6" outlineLevel="1">
      <c r="F1089"/>
    </row>
    <row r="1090" spans="6:6" outlineLevel="1">
      <c r="F1090"/>
    </row>
    <row r="1091" spans="6:6" outlineLevel="1">
      <c r="F1091"/>
    </row>
    <row r="1092" spans="6:6" outlineLevel="1">
      <c r="F1092"/>
    </row>
    <row r="1093" spans="6:6" outlineLevel="1">
      <c r="F1093"/>
    </row>
    <row r="1094" spans="6:6" outlineLevel="1">
      <c r="F1094"/>
    </row>
    <row r="1095" spans="6:6" outlineLevel="1">
      <c r="F1095"/>
    </row>
    <row r="1096" spans="6:6" outlineLevel="1">
      <c r="F1096"/>
    </row>
    <row r="1097" spans="6:6" outlineLevel="1">
      <c r="F1097"/>
    </row>
    <row r="1098" spans="6:6" outlineLevel="1">
      <c r="F1098"/>
    </row>
    <row r="1099" spans="6:6" outlineLevel="1">
      <c r="F1099"/>
    </row>
    <row r="1100" spans="6:6" outlineLevel="1">
      <c r="F1100"/>
    </row>
    <row r="1101" spans="6:6" outlineLevel="1">
      <c r="F1101"/>
    </row>
    <row r="1102" spans="6:6" outlineLevel="1">
      <c r="F1102"/>
    </row>
    <row r="1103" spans="6:6" outlineLevel="1">
      <c r="F1103"/>
    </row>
    <row r="1104" spans="6:6" outlineLevel="1">
      <c r="F1104"/>
    </row>
    <row r="1105" spans="6:6" outlineLevel="1">
      <c r="F1105"/>
    </row>
    <row r="1106" spans="6:6" outlineLevel="1">
      <c r="F1106"/>
    </row>
    <row r="1107" spans="6:6" outlineLevel="1">
      <c r="F1107"/>
    </row>
    <row r="1108" spans="6:6" outlineLevel="1">
      <c r="F1108"/>
    </row>
    <row r="1109" spans="6:6" outlineLevel="1">
      <c r="F1109"/>
    </row>
    <row r="1110" spans="6:6" outlineLevel="1">
      <c r="F1110"/>
    </row>
    <row r="1111" spans="6:6" outlineLevel="1">
      <c r="F1111"/>
    </row>
    <row r="1112" spans="6:6" outlineLevel="1">
      <c r="F1112"/>
    </row>
    <row r="1113" spans="6:6" outlineLevel="1">
      <c r="F1113"/>
    </row>
    <row r="1114" spans="6:6" outlineLevel="1">
      <c r="F1114"/>
    </row>
    <row r="1115" spans="6:6" outlineLevel="1">
      <c r="F1115"/>
    </row>
    <row r="1116" spans="6:6" outlineLevel="1">
      <c r="F1116"/>
    </row>
    <row r="1117" spans="6:6" outlineLevel="1">
      <c r="F1117"/>
    </row>
    <row r="1118" spans="6:6" outlineLevel="1">
      <c r="F1118"/>
    </row>
    <row r="1119" spans="6:6" outlineLevel="1">
      <c r="F1119"/>
    </row>
    <row r="1120" spans="6:6" outlineLevel="1">
      <c r="F1120"/>
    </row>
    <row r="1121" spans="6:6" outlineLevel="1">
      <c r="F1121"/>
    </row>
    <row r="1122" spans="6:6" outlineLevel="1">
      <c r="F1122"/>
    </row>
    <row r="1123" spans="6:6" outlineLevel="1">
      <c r="F1123"/>
    </row>
    <row r="1124" spans="6:6" outlineLevel="1">
      <c r="F1124"/>
    </row>
    <row r="1125" spans="6:6" outlineLevel="1">
      <c r="F1125"/>
    </row>
    <row r="1126" spans="6:6" outlineLevel="1">
      <c r="F1126"/>
    </row>
    <row r="1127" spans="6:6" outlineLevel="1">
      <c r="F1127"/>
    </row>
    <row r="1128" spans="6:6" outlineLevel="1">
      <c r="F1128"/>
    </row>
    <row r="1129" spans="6:6" outlineLevel="1">
      <c r="F1129"/>
    </row>
    <row r="1130" spans="6:6" outlineLevel="1">
      <c r="F1130"/>
    </row>
    <row r="1131" spans="6:6" outlineLevel="1">
      <c r="F1131"/>
    </row>
    <row r="1132" spans="6:6" outlineLevel="1">
      <c r="F1132"/>
    </row>
    <row r="1133" spans="6:6" outlineLevel="1">
      <c r="F1133"/>
    </row>
    <row r="1134" spans="6:6" outlineLevel="1">
      <c r="F1134"/>
    </row>
    <row r="1135" spans="6:6" outlineLevel="1">
      <c r="F1135"/>
    </row>
    <row r="1136" spans="6:6">
      <c r="F1136"/>
    </row>
    <row r="1137" spans="6:6" outlineLevel="1">
      <c r="F1137"/>
    </row>
    <row r="1138" spans="6:6" outlineLevel="1">
      <c r="F1138"/>
    </row>
    <row r="1139" spans="6:6" outlineLevel="1">
      <c r="F1139"/>
    </row>
    <row r="1140" spans="6:6" outlineLevel="1">
      <c r="F1140"/>
    </row>
    <row r="1141" spans="6:6" outlineLevel="1">
      <c r="F1141"/>
    </row>
    <row r="1142" spans="6:6" outlineLevel="1">
      <c r="F1142"/>
    </row>
    <row r="1143" spans="6:6" outlineLevel="1">
      <c r="F1143"/>
    </row>
    <row r="1144" spans="6:6" outlineLevel="1">
      <c r="F1144"/>
    </row>
    <row r="1145" spans="6:6" outlineLevel="1">
      <c r="F1145"/>
    </row>
    <row r="1146" spans="6:6" outlineLevel="1">
      <c r="F1146"/>
    </row>
    <row r="1147" spans="6:6" outlineLevel="1">
      <c r="F1147"/>
    </row>
    <row r="1148" spans="6:6" outlineLevel="1">
      <c r="F1148"/>
    </row>
    <row r="1149" spans="6:6" outlineLevel="1">
      <c r="F1149"/>
    </row>
    <row r="1150" spans="6:6" outlineLevel="1">
      <c r="F1150"/>
    </row>
    <row r="1151" spans="6:6" outlineLevel="1">
      <c r="F1151"/>
    </row>
    <row r="1152" spans="6:6" outlineLevel="1">
      <c r="F1152"/>
    </row>
    <row r="1153" spans="6:6" outlineLevel="1">
      <c r="F1153"/>
    </row>
    <row r="1154" spans="6:6" outlineLevel="1">
      <c r="F1154"/>
    </row>
    <row r="1155" spans="6:6" outlineLevel="1">
      <c r="F1155"/>
    </row>
    <row r="1156" spans="6:6" outlineLevel="1">
      <c r="F1156"/>
    </row>
    <row r="1157" spans="6:6" outlineLevel="1">
      <c r="F1157"/>
    </row>
    <row r="1158" spans="6:6" outlineLevel="1">
      <c r="F1158"/>
    </row>
    <row r="1159" spans="6:6" outlineLevel="1">
      <c r="F1159"/>
    </row>
    <row r="1160" spans="6:6" outlineLevel="1">
      <c r="F1160"/>
    </row>
    <row r="1161" spans="6:6" outlineLevel="1">
      <c r="F1161"/>
    </row>
    <row r="1162" spans="6:6" outlineLevel="1">
      <c r="F1162"/>
    </row>
    <row r="1163" spans="6:6" outlineLevel="1">
      <c r="F1163"/>
    </row>
    <row r="1164" spans="6:6" outlineLevel="1">
      <c r="F1164"/>
    </row>
    <row r="1165" spans="6:6" outlineLevel="1">
      <c r="F1165"/>
    </row>
    <row r="1166" spans="6:6" outlineLevel="1">
      <c r="F1166"/>
    </row>
    <row r="1167" spans="6:6" outlineLevel="1">
      <c r="F1167"/>
    </row>
    <row r="1168" spans="6:6" outlineLevel="1">
      <c r="F1168"/>
    </row>
    <row r="1169" spans="6:6" outlineLevel="1">
      <c r="F1169"/>
    </row>
    <row r="1170" spans="6:6" outlineLevel="1">
      <c r="F1170"/>
    </row>
    <row r="1171" spans="6:6" outlineLevel="1">
      <c r="F1171"/>
    </row>
    <row r="1172" spans="6:6" outlineLevel="1">
      <c r="F1172"/>
    </row>
    <row r="1173" spans="6:6" outlineLevel="1">
      <c r="F1173"/>
    </row>
    <row r="1174" spans="6:6" outlineLevel="1">
      <c r="F1174"/>
    </row>
    <row r="1175" spans="6:6" outlineLevel="1">
      <c r="F1175"/>
    </row>
    <row r="1176" spans="6:6" outlineLevel="1">
      <c r="F1176"/>
    </row>
    <row r="1177" spans="6:6" outlineLevel="1">
      <c r="F1177"/>
    </row>
    <row r="1178" spans="6:6" outlineLevel="1">
      <c r="F1178"/>
    </row>
    <row r="1179" spans="6:6" outlineLevel="1">
      <c r="F1179"/>
    </row>
    <row r="1180" spans="6:6" outlineLevel="1">
      <c r="F1180"/>
    </row>
    <row r="1181" spans="6:6" outlineLevel="1">
      <c r="F1181"/>
    </row>
    <row r="1182" spans="6:6" outlineLevel="1">
      <c r="F1182"/>
    </row>
    <row r="1183" spans="6:6" outlineLevel="1">
      <c r="F1183"/>
    </row>
    <row r="1184" spans="6:6" outlineLevel="1">
      <c r="F1184"/>
    </row>
    <row r="1185" spans="6:6" outlineLevel="1">
      <c r="F1185"/>
    </row>
    <row r="1186" spans="6:6" outlineLevel="1">
      <c r="F1186"/>
    </row>
    <row r="1187" spans="6:6" outlineLevel="1">
      <c r="F1187"/>
    </row>
    <row r="1188" spans="6:6" outlineLevel="1">
      <c r="F1188"/>
    </row>
    <row r="1189" spans="6:6" outlineLevel="1">
      <c r="F1189"/>
    </row>
    <row r="1190" spans="6:6" outlineLevel="1">
      <c r="F1190"/>
    </row>
    <row r="1191" spans="6:6" outlineLevel="1">
      <c r="F1191"/>
    </row>
    <row r="1192" spans="6:6" outlineLevel="1">
      <c r="F1192"/>
    </row>
    <row r="1193" spans="6:6" outlineLevel="1">
      <c r="F1193"/>
    </row>
    <row r="1194" spans="6:6" outlineLevel="1">
      <c r="F1194"/>
    </row>
    <row r="1195" spans="6:6" outlineLevel="1">
      <c r="F1195"/>
    </row>
    <row r="1196" spans="6:6" outlineLevel="1">
      <c r="F1196"/>
    </row>
    <row r="1197" spans="6:6" outlineLevel="1">
      <c r="F1197"/>
    </row>
    <row r="1198" spans="6:6" outlineLevel="1">
      <c r="F1198"/>
    </row>
    <row r="1199" spans="6:6" outlineLevel="1">
      <c r="F1199"/>
    </row>
    <row r="1200" spans="6:6" outlineLevel="1">
      <c r="F1200"/>
    </row>
    <row r="1201" spans="6:6" outlineLevel="1">
      <c r="F1201"/>
    </row>
    <row r="1202" spans="6:6" outlineLevel="1">
      <c r="F1202"/>
    </row>
    <row r="1203" spans="6:6" outlineLevel="1">
      <c r="F1203"/>
    </row>
    <row r="1204" spans="6:6" outlineLevel="1">
      <c r="F1204"/>
    </row>
    <row r="1205" spans="6:6" outlineLevel="1">
      <c r="F1205"/>
    </row>
    <row r="1206" spans="6:6" outlineLevel="1">
      <c r="F1206"/>
    </row>
    <row r="1207" spans="6:6" outlineLevel="1">
      <c r="F1207"/>
    </row>
    <row r="1208" spans="6:6" outlineLevel="1">
      <c r="F1208"/>
    </row>
    <row r="1209" spans="6:6" outlineLevel="1">
      <c r="F1209"/>
    </row>
    <row r="1210" spans="6:6" outlineLevel="1">
      <c r="F1210"/>
    </row>
    <row r="1211" spans="6:6" outlineLevel="1">
      <c r="F1211"/>
    </row>
    <row r="1212" spans="6:6" outlineLevel="1">
      <c r="F1212"/>
    </row>
    <row r="1213" spans="6:6" outlineLevel="1">
      <c r="F1213"/>
    </row>
    <row r="1214" spans="6:6" outlineLevel="1">
      <c r="F1214"/>
    </row>
    <row r="1215" spans="6:6" outlineLevel="1">
      <c r="F1215"/>
    </row>
    <row r="1216" spans="6:6" outlineLevel="1">
      <c r="F1216"/>
    </row>
    <row r="1217" spans="6:6" outlineLevel="1">
      <c r="F1217"/>
    </row>
    <row r="1218" spans="6:6" outlineLevel="1">
      <c r="F1218"/>
    </row>
    <row r="1219" spans="6:6" outlineLevel="1">
      <c r="F1219"/>
    </row>
    <row r="1220" spans="6:6" outlineLevel="1">
      <c r="F1220"/>
    </row>
    <row r="1221" spans="6:6" outlineLevel="1">
      <c r="F1221"/>
    </row>
    <row r="1222" spans="6:6" outlineLevel="1">
      <c r="F1222"/>
    </row>
    <row r="1223" spans="6:6" outlineLevel="1">
      <c r="F1223"/>
    </row>
    <row r="1224" spans="6:6" outlineLevel="1">
      <c r="F1224"/>
    </row>
    <row r="1225" spans="6:6">
      <c r="F1225"/>
    </row>
    <row r="1226" spans="6:6" outlineLevel="1">
      <c r="F1226"/>
    </row>
    <row r="1227" spans="6:6" outlineLevel="1">
      <c r="F1227"/>
    </row>
    <row r="1228" spans="6:6" outlineLevel="1">
      <c r="F1228"/>
    </row>
    <row r="1229" spans="6:6" outlineLevel="1">
      <c r="F1229"/>
    </row>
    <row r="1230" spans="6:6" outlineLevel="1">
      <c r="F1230"/>
    </row>
    <row r="1231" spans="6:6" outlineLevel="1">
      <c r="F1231"/>
    </row>
    <row r="1232" spans="6:6" outlineLevel="1">
      <c r="F1232"/>
    </row>
    <row r="1233" spans="6:6" outlineLevel="1">
      <c r="F1233"/>
    </row>
    <row r="1234" spans="6:6" outlineLevel="1">
      <c r="F1234"/>
    </row>
    <row r="1235" spans="6:6" outlineLevel="1">
      <c r="F1235"/>
    </row>
    <row r="1236" spans="6:6" outlineLevel="1">
      <c r="F1236"/>
    </row>
    <row r="1237" spans="6:6" outlineLevel="1">
      <c r="F1237"/>
    </row>
    <row r="1238" spans="6:6" outlineLevel="1">
      <c r="F1238"/>
    </row>
    <row r="1239" spans="6:6" outlineLevel="1">
      <c r="F1239"/>
    </row>
    <row r="1240" spans="6:6" outlineLevel="1">
      <c r="F1240"/>
    </row>
    <row r="1241" spans="6:6" outlineLevel="1">
      <c r="F1241"/>
    </row>
    <row r="1242" spans="6:6" outlineLevel="1">
      <c r="F1242"/>
    </row>
    <row r="1243" spans="6:6" outlineLevel="1">
      <c r="F1243"/>
    </row>
    <row r="1244" spans="6:6" outlineLevel="1">
      <c r="F1244"/>
    </row>
    <row r="1245" spans="6:6" outlineLevel="1">
      <c r="F1245"/>
    </row>
    <row r="1246" spans="6:6" outlineLevel="1">
      <c r="F1246"/>
    </row>
    <row r="1247" spans="6:6" outlineLevel="1">
      <c r="F1247"/>
    </row>
    <row r="1248" spans="6:6" outlineLevel="1">
      <c r="F1248"/>
    </row>
    <row r="1249" spans="6:6" outlineLevel="1">
      <c r="F1249"/>
    </row>
    <row r="1250" spans="6:6" outlineLevel="1">
      <c r="F1250"/>
    </row>
    <row r="1251" spans="6:6" outlineLevel="1">
      <c r="F1251"/>
    </row>
    <row r="1252" spans="6:6" outlineLevel="1">
      <c r="F1252"/>
    </row>
    <row r="1253" spans="6:6" outlineLevel="1">
      <c r="F1253"/>
    </row>
    <row r="1254" spans="6:6" outlineLevel="1">
      <c r="F1254"/>
    </row>
    <row r="1255" spans="6:6" outlineLevel="1">
      <c r="F1255"/>
    </row>
    <row r="1256" spans="6:6" outlineLevel="1">
      <c r="F1256"/>
    </row>
    <row r="1257" spans="6:6" outlineLevel="1">
      <c r="F1257"/>
    </row>
    <row r="1258" spans="6:6" outlineLevel="1">
      <c r="F1258"/>
    </row>
    <row r="1259" spans="6:6" outlineLevel="1">
      <c r="F1259"/>
    </row>
    <row r="1260" spans="6:6" outlineLevel="1">
      <c r="F1260"/>
    </row>
    <row r="1261" spans="6:6" outlineLevel="1">
      <c r="F1261"/>
    </row>
    <row r="1262" spans="6:6" outlineLevel="1">
      <c r="F1262"/>
    </row>
    <row r="1263" spans="6:6" outlineLevel="1">
      <c r="F1263"/>
    </row>
    <row r="1264" spans="6:6" outlineLevel="1">
      <c r="F1264"/>
    </row>
    <row r="1265" spans="6:6" outlineLevel="1">
      <c r="F1265"/>
    </row>
    <row r="1266" spans="6:6" outlineLevel="1">
      <c r="F1266"/>
    </row>
    <row r="1267" spans="6:6" outlineLevel="1">
      <c r="F1267"/>
    </row>
    <row r="1268" spans="6:6" outlineLevel="1">
      <c r="F1268"/>
    </row>
    <row r="1269" spans="6:6" outlineLevel="1">
      <c r="F1269"/>
    </row>
    <row r="1270" spans="6:6" outlineLevel="1">
      <c r="F1270"/>
    </row>
    <row r="1271" spans="6:6" outlineLevel="1">
      <c r="F1271"/>
    </row>
    <row r="1272" spans="6:6" outlineLevel="1">
      <c r="F1272"/>
    </row>
    <row r="1273" spans="6:6" outlineLevel="1">
      <c r="F1273"/>
    </row>
    <row r="1274" spans="6:6" outlineLevel="1">
      <c r="F1274"/>
    </row>
    <row r="1275" spans="6:6" outlineLevel="1">
      <c r="F1275"/>
    </row>
    <row r="1276" spans="6:6" outlineLevel="1">
      <c r="F1276"/>
    </row>
    <row r="1277" spans="6:6" outlineLevel="1">
      <c r="F1277"/>
    </row>
    <row r="1278" spans="6:6" outlineLevel="1">
      <c r="F1278"/>
    </row>
    <row r="1279" spans="6:6" outlineLevel="1">
      <c r="F1279"/>
    </row>
    <row r="1280" spans="6:6" outlineLevel="1">
      <c r="F1280"/>
    </row>
    <row r="1281" spans="6:6" outlineLevel="1">
      <c r="F1281"/>
    </row>
    <row r="1282" spans="6:6" outlineLevel="1">
      <c r="F1282"/>
    </row>
    <row r="1283" spans="6:6" outlineLevel="1">
      <c r="F1283"/>
    </row>
    <row r="1284" spans="6:6" outlineLevel="1">
      <c r="F1284"/>
    </row>
    <row r="1285" spans="6:6" outlineLevel="1">
      <c r="F1285"/>
    </row>
    <row r="1286" spans="6:6" outlineLevel="1">
      <c r="F1286"/>
    </row>
    <row r="1287" spans="6:6" outlineLevel="1">
      <c r="F1287"/>
    </row>
    <row r="1288" spans="6:6" outlineLevel="1">
      <c r="F1288"/>
    </row>
    <row r="1289" spans="6:6" outlineLevel="1">
      <c r="F1289"/>
    </row>
    <row r="1290" spans="6:6" outlineLevel="1">
      <c r="F1290"/>
    </row>
    <row r="1291" spans="6:6" outlineLevel="1">
      <c r="F1291"/>
    </row>
    <row r="1292" spans="6:6" outlineLevel="1">
      <c r="F1292"/>
    </row>
    <row r="1293" spans="6:6" outlineLevel="1">
      <c r="F1293"/>
    </row>
    <row r="1294" spans="6:6" outlineLevel="1">
      <c r="F1294"/>
    </row>
    <row r="1295" spans="6:6" outlineLevel="1">
      <c r="F1295"/>
    </row>
    <row r="1296" spans="6:6" outlineLevel="1">
      <c r="F1296"/>
    </row>
    <row r="1297" spans="6:6" outlineLevel="1">
      <c r="F1297"/>
    </row>
    <row r="1298" spans="6:6" outlineLevel="1">
      <c r="F1298"/>
    </row>
    <row r="1299" spans="6:6" outlineLevel="1">
      <c r="F1299"/>
    </row>
    <row r="1300" spans="6:6" outlineLevel="1">
      <c r="F1300"/>
    </row>
    <row r="1301" spans="6:6" outlineLevel="1">
      <c r="F1301"/>
    </row>
    <row r="1302" spans="6:6" outlineLevel="1">
      <c r="F1302"/>
    </row>
    <row r="1303" spans="6:6" outlineLevel="1">
      <c r="F1303"/>
    </row>
    <row r="1304" spans="6:6" outlineLevel="1">
      <c r="F1304"/>
    </row>
    <row r="1305" spans="6:6" outlineLevel="1">
      <c r="F1305"/>
    </row>
    <row r="1306" spans="6:6" outlineLevel="1">
      <c r="F1306"/>
    </row>
    <row r="1307" spans="6:6" outlineLevel="1">
      <c r="F1307"/>
    </row>
    <row r="1308" spans="6:6" outlineLevel="1">
      <c r="F1308"/>
    </row>
    <row r="1309" spans="6:6" outlineLevel="1">
      <c r="F1309"/>
    </row>
    <row r="1310" spans="6:6" outlineLevel="1">
      <c r="F1310"/>
    </row>
    <row r="1311" spans="6:6" outlineLevel="1">
      <c r="F1311"/>
    </row>
    <row r="1312" spans="6:6" outlineLevel="1">
      <c r="F1312"/>
    </row>
    <row r="1313" spans="6:6" outlineLevel="1">
      <c r="F1313"/>
    </row>
    <row r="1314" spans="6:6" outlineLevel="1">
      <c r="F1314"/>
    </row>
    <row r="1315" spans="6:6" outlineLevel="1">
      <c r="F1315"/>
    </row>
    <row r="1316" spans="6:6">
      <c r="F1316"/>
    </row>
    <row r="1317" spans="6:6" outlineLevel="1">
      <c r="F1317"/>
    </row>
    <row r="1318" spans="6:6" outlineLevel="1">
      <c r="F1318"/>
    </row>
    <row r="1319" spans="6:6" outlineLevel="1">
      <c r="F1319"/>
    </row>
    <row r="1320" spans="6:6" outlineLevel="1">
      <c r="F1320"/>
    </row>
    <row r="1321" spans="6:6" outlineLevel="1">
      <c r="F1321"/>
    </row>
    <row r="1322" spans="6:6" outlineLevel="1">
      <c r="F1322"/>
    </row>
    <row r="1323" spans="6:6" outlineLevel="1">
      <c r="F1323"/>
    </row>
    <row r="1324" spans="6:6" outlineLevel="1">
      <c r="F1324"/>
    </row>
    <row r="1325" spans="6:6" outlineLevel="1">
      <c r="F1325"/>
    </row>
    <row r="1326" spans="6:6" outlineLevel="1">
      <c r="F1326"/>
    </row>
    <row r="1327" spans="6:6" outlineLevel="1">
      <c r="F1327"/>
    </row>
    <row r="1328" spans="6:6" outlineLevel="1">
      <c r="F1328"/>
    </row>
    <row r="1329" spans="6:6" outlineLevel="1">
      <c r="F1329"/>
    </row>
    <row r="1330" spans="6:6" outlineLevel="1">
      <c r="F1330"/>
    </row>
    <row r="1331" spans="6:6" outlineLevel="1">
      <c r="F1331"/>
    </row>
    <row r="1332" spans="6:6" outlineLevel="1">
      <c r="F1332"/>
    </row>
    <row r="1333" spans="6:6" outlineLevel="1">
      <c r="F1333"/>
    </row>
    <row r="1334" spans="6:6" outlineLevel="1">
      <c r="F1334"/>
    </row>
    <row r="1335" spans="6:6" outlineLevel="1">
      <c r="F1335"/>
    </row>
    <row r="1336" spans="6:6" outlineLevel="1">
      <c r="F1336"/>
    </row>
    <row r="1337" spans="6:6" outlineLevel="1">
      <c r="F1337"/>
    </row>
    <row r="1338" spans="6:6" outlineLevel="1">
      <c r="F1338"/>
    </row>
    <row r="1339" spans="6:6" outlineLevel="1">
      <c r="F1339"/>
    </row>
    <row r="1340" spans="6:6" outlineLevel="1">
      <c r="F1340"/>
    </row>
    <row r="1341" spans="6:6" outlineLevel="1">
      <c r="F1341"/>
    </row>
    <row r="1342" spans="6:6" outlineLevel="1">
      <c r="F1342"/>
    </row>
    <row r="1343" spans="6:6" outlineLevel="1">
      <c r="F1343"/>
    </row>
    <row r="1344" spans="6:6" outlineLevel="1">
      <c r="F1344"/>
    </row>
    <row r="1345" spans="6:6" outlineLevel="1">
      <c r="F1345"/>
    </row>
    <row r="1346" spans="6:6" outlineLevel="1">
      <c r="F1346"/>
    </row>
    <row r="1347" spans="6:6" outlineLevel="1">
      <c r="F1347"/>
    </row>
    <row r="1348" spans="6:6" outlineLevel="1">
      <c r="F1348"/>
    </row>
    <row r="1349" spans="6:6" outlineLevel="1">
      <c r="F1349"/>
    </row>
    <row r="1350" spans="6:6" outlineLevel="1">
      <c r="F1350"/>
    </row>
    <row r="1351" spans="6:6" outlineLevel="1">
      <c r="F1351"/>
    </row>
    <row r="1352" spans="6:6" outlineLevel="1">
      <c r="F1352"/>
    </row>
    <row r="1353" spans="6:6" outlineLevel="1">
      <c r="F1353"/>
    </row>
    <row r="1354" spans="6:6" outlineLevel="1">
      <c r="F1354"/>
    </row>
    <row r="1355" spans="6:6" outlineLevel="1">
      <c r="F1355"/>
    </row>
    <row r="1356" spans="6:6" outlineLevel="1">
      <c r="F1356"/>
    </row>
    <row r="1357" spans="6:6" outlineLevel="1">
      <c r="F1357"/>
    </row>
    <row r="1358" spans="6:6" outlineLevel="1">
      <c r="F1358"/>
    </row>
    <row r="1359" spans="6:6" outlineLevel="1">
      <c r="F1359"/>
    </row>
    <row r="1360" spans="6:6" outlineLevel="1">
      <c r="F1360"/>
    </row>
    <row r="1361" spans="6:6" outlineLevel="1">
      <c r="F1361"/>
    </row>
    <row r="1362" spans="6:6" outlineLevel="1">
      <c r="F1362"/>
    </row>
    <row r="1363" spans="6:6" outlineLevel="1">
      <c r="F1363"/>
    </row>
    <row r="1364" spans="6:6" outlineLevel="1">
      <c r="F1364"/>
    </row>
    <row r="1365" spans="6:6" outlineLevel="1">
      <c r="F1365"/>
    </row>
    <row r="1366" spans="6:6" outlineLevel="1">
      <c r="F1366"/>
    </row>
    <row r="1367" spans="6:6" outlineLevel="1">
      <c r="F1367"/>
    </row>
    <row r="1368" spans="6:6" outlineLevel="1">
      <c r="F1368"/>
    </row>
    <row r="1369" spans="6:6" outlineLevel="1">
      <c r="F1369"/>
    </row>
    <row r="1370" spans="6:6" outlineLevel="1">
      <c r="F1370"/>
    </row>
    <row r="1371" spans="6:6" outlineLevel="1">
      <c r="F1371"/>
    </row>
    <row r="1372" spans="6:6" outlineLevel="1">
      <c r="F1372"/>
    </row>
    <row r="1373" spans="6:6" outlineLevel="1">
      <c r="F1373"/>
    </row>
    <row r="1374" spans="6:6" outlineLevel="1">
      <c r="F1374"/>
    </row>
    <row r="1375" spans="6:6" outlineLevel="1">
      <c r="F1375"/>
    </row>
    <row r="1376" spans="6:6" outlineLevel="1">
      <c r="F1376"/>
    </row>
    <row r="1377" spans="6:6" outlineLevel="1">
      <c r="F1377"/>
    </row>
    <row r="1378" spans="6:6" outlineLevel="1">
      <c r="F1378"/>
    </row>
    <row r="1379" spans="6:6" outlineLevel="1">
      <c r="F1379"/>
    </row>
    <row r="1380" spans="6:6" outlineLevel="1">
      <c r="F1380"/>
    </row>
    <row r="1381" spans="6:6" outlineLevel="1">
      <c r="F1381"/>
    </row>
    <row r="1382" spans="6:6" outlineLevel="1">
      <c r="F1382"/>
    </row>
    <row r="1383" spans="6:6" outlineLevel="1">
      <c r="F1383"/>
    </row>
    <row r="1384" spans="6:6" outlineLevel="1">
      <c r="F1384"/>
    </row>
    <row r="1385" spans="6:6" outlineLevel="1">
      <c r="F1385"/>
    </row>
    <row r="1386" spans="6:6" outlineLevel="1">
      <c r="F1386"/>
    </row>
    <row r="1387" spans="6:6" outlineLevel="1">
      <c r="F1387"/>
    </row>
    <row r="1388" spans="6:6" outlineLevel="1">
      <c r="F1388"/>
    </row>
    <row r="1389" spans="6:6" outlineLevel="1">
      <c r="F1389"/>
    </row>
    <row r="1390" spans="6:6" outlineLevel="1">
      <c r="F1390"/>
    </row>
    <row r="1391" spans="6:6" outlineLevel="1">
      <c r="F1391"/>
    </row>
    <row r="1392" spans="6:6" outlineLevel="1">
      <c r="F1392"/>
    </row>
    <row r="1393" spans="6:6" outlineLevel="1">
      <c r="F1393"/>
    </row>
    <row r="1394" spans="6:6" outlineLevel="1">
      <c r="F1394"/>
    </row>
    <row r="1395" spans="6:6" outlineLevel="1">
      <c r="F1395"/>
    </row>
    <row r="1396" spans="6:6" outlineLevel="1">
      <c r="F1396"/>
    </row>
    <row r="1397" spans="6:6" outlineLevel="1">
      <c r="F1397"/>
    </row>
    <row r="1398" spans="6:6" outlineLevel="1">
      <c r="F1398"/>
    </row>
    <row r="1399" spans="6:6" outlineLevel="1">
      <c r="F1399"/>
    </row>
    <row r="1400" spans="6:6" outlineLevel="1">
      <c r="F1400"/>
    </row>
    <row r="1401" spans="6:6" outlineLevel="1">
      <c r="F1401"/>
    </row>
    <row r="1402" spans="6:6" outlineLevel="1">
      <c r="F1402"/>
    </row>
    <row r="1403" spans="6:6" outlineLevel="1">
      <c r="F1403"/>
    </row>
    <row r="1404" spans="6:6" outlineLevel="1">
      <c r="F1404"/>
    </row>
    <row r="1405" spans="6:6" outlineLevel="1">
      <c r="F1405"/>
    </row>
    <row r="1406" spans="6:6" outlineLevel="1">
      <c r="F1406"/>
    </row>
    <row r="1407" spans="6:6" outlineLevel="1">
      <c r="F1407"/>
    </row>
    <row r="1408" spans="6:6" outlineLevel="1">
      <c r="F1408"/>
    </row>
    <row r="1409" spans="6:6" outlineLevel="1">
      <c r="F1409"/>
    </row>
    <row r="1410" spans="6:6" outlineLevel="1">
      <c r="F1410"/>
    </row>
    <row r="1411" spans="6:6" outlineLevel="1">
      <c r="F1411"/>
    </row>
    <row r="1412" spans="6:6" outlineLevel="1">
      <c r="F1412"/>
    </row>
    <row r="1413" spans="6:6" outlineLevel="1">
      <c r="F1413"/>
    </row>
    <row r="1414" spans="6:6" outlineLevel="1">
      <c r="F1414"/>
    </row>
    <row r="1415" spans="6:6" outlineLevel="1">
      <c r="F1415"/>
    </row>
    <row r="1416" spans="6:6" outlineLevel="1">
      <c r="F1416"/>
    </row>
    <row r="1417" spans="6:6" outlineLevel="1">
      <c r="F1417"/>
    </row>
    <row r="1418" spans="6:6" outlineLevel="1">
      <c r="F1418"/>
    </row>
    <row r="1419" spans="6:6" outlineLevel="1">
      <c r="F1419"/>
    </row>
    <row r="1420" spans="6:6" outlineLevel="1">
      <c r="F1420"/>
    </row>
    <row r="1421" spans="6:6" outlineLevel="1">
      <c r="F1421"/>
    </row>
    <row r="1422" spans="6:6" outlineLevel="1">
      <c r="F1422"/>
    </row>
    <row r="1423" spans="6:6">
      <c r="F1423"/>
    </row>
    <row r="1424" spans="6:6" outlineLevel="1">
      <c r="F1424"/>
    </row>
    <row r="1425" spans="6:6" outlineLevel="1">
      <c r="F1425"/>
    </row>
    <row r="1426" spans="6:6" outlineLevel="1">
      <c r="F1426"/>
    </row>
    <row r="1427" spans="6:6" outlineLevel="1">
      <c r="F1427"/>
    </row>
    <row r="1428" spans="6:6" outlineLevel="1">
      <c r="F1428"/>
    </row>
    <row r="1429" spans="6:6" outlineLevel="1">
      <c r="F1429"/>
    </row>
    <row r="1430" spans="6:6" outlineLevel="1">
      <c r="F1430"/>
    </row>
    <row r="1431" spans="6:6" outlineLevel="1">
      <c r="F1431"/>
    </row>
    <row r="1432" spans="6:6" outlineLevel="1">
      <c r="F1432"/>
    </row>
    <row r="1433" spans="6:6" outlineLevel="1">
      <c r="F1433"/>
    </row>
    <row r="1434" spans="6:6" outlineLevel="1">
      <c r="F1434"/>
    </row>
    <row r="1435" spans="6:6" outlineLevel="1">
      <c r="F1435"/>
    </row>
    <row r="1436" spans="6:6" outlineLevel="1">
      <c r="F1436"/>
    </row>
    <row r="1437" spans="6:6" outlineLevel="1">
      <c r="F1437"/>
    </row>
    <row r="1438" spans="6:6" outlineLevel="1">
      <c r="F1438"/>
    </row>
    <row r="1439" spans="6:6" outlineLevel="1">
      <c r="F1439"/>
    </row>
    <row r="1440" spans="6:6" outlineLevel="1">
      <c r="F1440"/>
    </row>
    <row r="1441" spans="6:6" outlineLevel="1">
      <c r="F1441"/>
    </row>
    <row r="1442" spans="6:6" outlineLevel="1">
      <c r="F1442"/>
    </row>
    <row r="1443" spans="6:6" outlineLevel="1">
      <c r="F1443"/>
    </row>
    <row r="1444" spans="6:6" outlineLevel="1">
      <c r="F1444"/>
    </row>
    <row r="1445" spans="6:6" outlineLevel="1">
      <c r="F1445"/>
    </row>
    <row r="1446" spans="6:6" outlineLevel="1">
      <c r="F1446"/>
    </row>
    <row r="1447" spans="6:6" outlineLevel="1">
      <c r="F1447"/>
    </row>
    <row r="1448" spans="6:6" outlineLevel="1">
      <c r="F1448"/>
    </row>
    <row r="1449" spans="6:6" outlineLevel="1">
      <c r="F1449"/>
    </row>
    <row r="1450" spans="6:6" outlineLevel="1">
      <c r="F1450"/>
    </row>
    <row r="1451" spans="6:6" outlineLevel="1">
      <c r="F1451"/>
    </row>
    <row r="1452" spans="6:6" outlineLevel="1">
      <c r="F1452"/>
    </row>
    <row r="1453" spans="6:6" outlineLevel="1">
      <c r="F1453"/>
    </row>
    <row r="1454" spans="6:6" outlineLevel="1">
      <c r="F1454"/>
    </row>
    <row r="1455" spans="6:6" outlineLevel="1">
      <c r="F1455"/>
    </row>
    <row r="1456" spans="6:6" outlineLevel="1">
      <c r="F1456"/>
    </row>
    <row r="1457" spans="6:6" outlineLevel="1">
      <c r="F1457"/>
    </row>
    <row r="1458" spans="6:6" outlineLevel="1">
      <c r="F1458"/>
    </row>
    <row r="1459" spans="6:6" outlineLevel="1">
      <c r="F1459"/>
    </row>
    <row r="1460" spans="6:6" outlineLevel="1">
      <c r="F1460"/>
    </row>
    <row r="1461" spans="6:6" outlineLevel="1">
      <c r="F1461"/>
    </row>
    <row r="1462" spans="6:6" outlineLevel="1">
      <c r="F1462"/>
    </row>
    <row r="1463" spans="6:6" outlineLevel="1">
      <c r="F1463"/>
    </row>
    <row r="1464" spans="6:6" outlineLevel="1">
      <c r="F1464"/>
    </row>
    <row r="1465" spans="6:6" outlineLevel="1">
      <c r="F1465"/>
    </row>
    <row r="1466" spans="6:6" outlineLevel="1">
      <c r="F1466"/>
    </row>
    <row r="1467" spans="6:6" outlineLevel="1">
      <c r="F1467"/>
    </row>
    <row r="1468" spans="6:6" outlineLevel="1">
      <c r="F1468"/>
    </row>
    <row r="1469" spans="6:6" outlineLevel="1">
      <c r="F1469"/>
    </row>
    <row r="1470" spans="6:6" outlineLevel="1">
      <c r="F1470"/>
    </row>
    <row r="1471" spans="6:6" outlineLevel="1">
      <c r="F1471"/>
    </row>
    <row r="1472" spans="6:6" outlineLevel="1">
      <c r="F1472"/>
    </row>
    <row r="1473" spans="6:6" outlineLevel="1">
      <c r="F1473"/>
    </row>
    <row r="1474" spans="6:6" outlineLevel="1">
      <c r="F1474"/>
    </row>
    <row r="1475" spans="6:6" outlineLevel="1">
      <c r="F1475"/>
    </row>
    <row r="1476" spans="6:6" outlineLevel="1">
      <c r="F1476"/>
    </row>
    <row r="1477" spans="6:6" outlineLevel="1">
      <c r="F1477"/>
    </row>
    <row r="1478" spans="6:6" outlineLevel="1">
      <c r="F1478"/>
    </row>
    <row r="1479" spans="6:6" outlineLevel="1">
      <c r="F1479"/>
    </row>
    <row r="1480" spans="6:6" outlineLevel="1">
      <c r="F1480"/>
    </row>
    <row r="1481" spans="6:6" outlineLevel="1">
      <c r="F1481"/>
    </row>
    <row r="1482" spans="6:6" outlineLevel="1">
      <c r="F1482"/>
    </row>
    <row r="1483" spans="6:6" outlineLevel="1">
      <c r="F1483"/>
    </row>
    <row r="1484" spans="6:6" outlineLevel="1">
      <c r="F1484"/>
    </row>
    <row r="1485" spans="6:6" outlineLevel="1">
      <c r="F1485"/>
    </row>
    <row r="1486" spans="6:6" outlineLevel="1">
      <c r="F1486"/>
    </row>
    <row r="1487" spans="6:6" outlineLevel="1">
      <c r="F1487"/>
    </row>
    <row r="1488" spans="6:6" outlineLevel="1">
      <c r="F1488"/>
    </row>
    <row r="1489" spans="6:6" outlineLevel="1">
      <c r="F1489"/>
    </row>
    <row r="1490" spans="6:6" outlineLevel="1">
      <c r="F1490"/>
    </row>
    <row r="1491" spans="6:6" outlineLevel="1">
      <c r="F1491"/>
    </row>
    <row r="1492" spans="6:6" outlineLevel="1">
      <c r="F1492"/>
    </row>
    <row r="1493" spans="6:6" outlineLevel="1">
      <c r="F1493"/>
    </row>
    <row r="1494" spans="6:6" outlineLevel="1">
      <c r="F1494"/>
    </row>
    <row r="1495" spans="6:6" outlineLevel="1">
      <c r="F1495"/>
    </row>
    <row r="1496" spans="6:6" outlineLevel="1">
      <c r="F1496"/>
    </row>
    <row r="1497" spans="6:6" outlineLevel="1">
      <c r="F1497"/>
    </row>
    <row r="1498" spans="6:6" outlineLevel="1">
      <c r="F1498"/>
    </row>
    <row r="1499" spans="6:6" outlineLevel="1">
      <c r="F1499"/>
    </row>
    <row r="1500" spans="6:6" outlineLevel="1">
      <c r="F1500"/>
    </row>
    <row r="1501" spans="6:6" outlineLevel="1">
      <c r="F1501"/>
    </row>
    <row r="1502" spans="6:6" outlineLevel="1">
      <c r="F1502"/>
    </row>
    <row r="1503" spans="6:6" outlineLevel="1">
      <c r="F1503"/>
    </row>
    <row r="1504" spans="6:6" outlineLevel="1">
      <c r="F1504"/>
    </row>
    <row r="1505" spans="6:6" outlineLevel="1">
      <c r="F1505"/>
    </row>
    <row r="1506" spans="6:6" outlineLevel="1">
      <c r="F1506"/>
    </row>
    <row r="1507" spans="6:6" outlineLevel="1">
      <c r="F1507"/>
    </row>
    <row r="1508" spans="6:6" outlineLevel="1">
      <c r="F1508"/>
    </row>
    <row r="1509" spans="6:6" outlineLevel="1">
      <c r="F1509"/>
    </row>
    <row r="1510" spans="6:6">
      <c r="F1510"/>
    </row>
    <row r="1511" spans="6:6" outlineLevel="1">
      <c r="F1511"/>
    </row>
    <row r="1512" spans="6:6" outlineLevel="1">
      <c r="F1512"/>
    </row>
    <row r="1513" spans="6:6" outlineLevel="1">
      <c r="F1513"/>
    </row>
    <row r="1514" spans="6:6" outlineLevel="1">
      <c r="F1514"/>
    </row>
    <row r="1515" spans="6:6" outlineLevel="1">
      <c r="F1515"/>
    </row>
    <row r="1516" spans="6:6" outlineLevel="1">
      <c r="F1516"/>
    </row>
    <row r="1517" spans="6:6" outlineLevel="1">
      <c r="F1517"/>
    </row>
    <row r="1518" spans="6:6" outlineLevel="1">
      <c r="F1518"/>
    </row>
    <row r="1519" spans="6:6" outlineLevel="1">
      <c r="F1519"/>
    </row>
    <row r="1520" spans="6:6" outlineLevel="1">
      <c r="F1520"/>
    </row>
    <row r="1521" spans="6:6" outlineLevel="1">
      <c r="F1521"/>
    </row>
    <row r="1522" spans="6:6" outlineLevel="1">
      <c r="F1522"/>
    </row>
    <row r="1523" spans="6:6" outlineLevel="1">
      <c r="F1523"/>
    </row>
    <row r="1524" spans="6:6" outlineLevel="1">
      <c r="F1524"/>
    </row>
    <row r="1525" spans="6:6" outlineLevel="1">
      <c r="F1525"/>
    </row>
    <row r="1526" spans="6:6" outlineLevel="1">
      <c r="F1526"/>
    </row>
    <row r="1527" spans="6:6" outlineLevel="1">
      <c r="F1527"/>
    </row>
    <row r="1528" spans="6:6" outlineLevel="1">
      <c r="F1528"/>
    </row>
    <row r="1529" spans="6:6" outlineLevel="1">
      <c r="F1529"/>
    </row>
    <row r="1530" spans="6:6" outlineLevel="1">
      <c r="F1530"/>
    </row>
    <row r="1531" spans="6:6" outlineLevel="1">
      <c r="F1531"/>
    </row>
    <row r="1532" spans="6:6" outlineLevel="1">
      <c r="F1532"/>
    </row>
    <row r="1533" spans="6:6" outlineLevel="1">
      <c r="F1533"/>
    </row>
    <row r="1534" spans="6:6" outlineLevel="1">
      <c r="F1534"/>
    </row>
    <row r="1535" spans="6:6" outlineLevel="1">
      <c r="F1535"/>
    </row>
    <row r="1536" spans="6:6" outlineLevel="1">
      <c r="F1536"/>
    </row>
    <row r="1537" spans="6:6" outlineLevel="1">
      <c r="F1537"/>
    </row>
    <row r="1538" spans="6:6" outlineLevel="1">
      <c r="F1538"/>
    </row>
    <row r="1539" spans="6:6" outlineLevel="1">
      <c r="F1539"/>
    </row>
    <row r="1540" spans="6:6" outlineLevel="1">
      <c r="F1540"/>
    </row>
    <row r="1541" spans="6:6" outlineLevel="1">
      <c r="F1541"/>
    </row>
    <row r="1542" spans="6:6" outlineLevel="1">
      <c r="F1542"/>
    </row>
    <row r="1543" spans="6:6" outlineLevel="1">
      <c r="F1543"/>
    </row>
    <row r="1544" spans="6:6" outlineLevel="1">
      <c r="F1544"/>
    </row>
    <row r="1545" spans="6:6" outlineLevel="1">
      <c r="F1545"/>
    </row>
    <row r="1546" spans="6:6" outlineLevel="1">
      <c r="F1546"/>
    </row>
    <row r="1547" spans="6:6" outlineLevel="1">
      <c r="F1547"/>
    </row>
    <row r="1548" spans="6:6" outlineLevel="1">
      <c r="F1548"/>
    </row>
    <row r="1549" spans="6:6" outlineLevel="1">
      <c r="F1549"/>
    </row>
    <row r="1550" spans="6:6" outlineLevel="1">
      <c r="F1550"/>
    </row>
    <row r="1551" spans="6:6" outlineLevel="1">
      <c r="F1551"/>
    </row>
    <row r="1552" spans="6:6" outlineLevel="1">
      <c r="F1552"/>
    </row>
    <row r="1553" spans="6:6" outlineLevel="1">
      <c r="F1553"/>
    </row>
    <row r="1554" spans="6:6" outlineLevel="1">
      <c r="F1554"/>
    </row>
    <row r="1555" spans="6:6" outlineLevel="1">
      <c r="F1555"/>
    </row>
    <row r="1556" spans="6:6" outlineLevel="1">
      <c r="F1556"/>
    </row>
    <row r="1557" spans="6:6" outlineLevel="1">
      <c r="F1557"/>
    </row>
    <row r="1558" spans="6:6" outlineLevel="1">
      <c r="F1558"/>
    </row>
    <row r="1559" spans="6:6" outlineLevel="1">
      <c r="F1559"/>
    </row>
    <row r="1560" spans="6:6" outlineLevel="1">
      <c r="F1560"/>
    </row>
    <row r="1561" spans="6:6" outlineLevel="1">
      <c r="F1561"/>
    </row>
    <row r="1562" spans="6:6" outlineLevel="1">
      <c r="F1562"/>
    </row>
    <row r="1563" spans="6:6" outlineLevel="1">
      <c r="F1563"/>
    </row>
    <row r="1564" spans="6:6" outlineLevel="1">
      <c r="F1564"/>
    </row>
    <row r="1565" spans="6:6" outlineLevel="1">
      <c r="F1565"/>
    </row>
    <row r="1566" spans="6:6" outlineLevel="1">
      <c r="F1566"/>
    </row>
    <row r="1567" spans="6:6" outlineLevel="1">
      <c r="F1567"/>
    </row>
    <row r="1568" spans="6:6" outlineLevel="1">
      <c r="F1568"/>
    </row>
    <row r="1569" spans="6:6" outlineLevel="1">
      <c r="F1569"/>
    </row>
    <row r="1570" spans="6:6" outlineLevel="1">
      <c r="F1570"/>
    </row>
    <row r="1571" spans="6:6" outlineLevel="1">
      <c r="F1571"/>
    </row>
    <row r="1572" spans="6:6" outlineLevel="1">
      <c r="F1572"/>
    </row>
    <row r="1573" spans="6:6" outlineLevel="1">
      <c r="F1573"/>
    </row>
    <row r="1574" spans="6:6" outlineLevel="1">
      <c r="F1574"/>
    </row>
    <row r="1575" spans="6:6" outlineLevel="1">
      <c r="F1575"/>
    </row>
    <row r="1576" spans="6:6" outlineLevel="1">
      <c r="F1576"/>
    </row>
    <row r="1577" spans="6:6" outlineLevel="1">
      <c r="F1577"/>
    </row>
    <row r="1578" spans="6:6" outlineLevel="1">
      <c r="F1578"/>
    </row>
    <row r="1579" spans="6:6" outlineLevel="1">
      <c r="F1579"/>
    </row>
    <row r="1580" spans="6:6" outlineLevel="1">
      <c r="F1580"/>
    </row>
    <row r="1581" spans="6:6" outlineLevel="1">
      <c r="F1581"/>
    </row>
    <row r="1582" spans="6:6" outlineLevel="1">
      <c r="F1582"/>
    </row>
    <row r="1583" spans="6:6" outlineLevel="1">
      <c r="F1583"/>
    </row>
    <row r="1584" spans="6:6" outlineLevel="1">
      <c r="F1584"/>
    </row>
    <row r="1585" spans="6:6" outlineLevel="1">
      <c r="F1585"/>
    </row>
    <row r="1586" spans="6:6" outlineLevel="1">
      <c r="F1586"/>
    </row>
    <row r="1587" spans="6:6" outlineLevel="1">
      <c r="F1587"/>
    </row>
    <row r="1588" spans="6:6" outlineLevel="1">
      <c r="F1588"/>
    </row>
    <row r="1589" spans="6:6" outlineLevel="1">
      <c r="F1589"/>
    </row>
    <row r="1590" spans="6:6" outlineLevel="1">
      <c r="F1590"/>
    </row>
    <row r="1591" spans="6:6" outlineLevel="1">
      <c r="F1591"/>
    </row>
    <row r="1592" spans="6:6" outlineLevel="1">
      <c r="F1592"/>
    </row>
    <row r="1593" spans="6:6" outlineLevel="1">
      <c r="F1593"/>
    </row>
    <row r="1594" spans="6:6" outlineLevel="1">
      <c r="F1594"/>
    </row>
    <row r="1595" spans="6:6" outlineLevel="1">
      <c r="F1595"/>
    </row>
    <row r="1596" spans="6:6" outlineLevel="1">
      <c r="F1596"/>
    </row>
    <row r="1597" spans="6:6" outlineLevel="1">
      <c r="F1597"/>
    </row>
    <row r="1598" spans="6:6" outlineLevel="1">
      <c r="F1598"/>
    </row>
    <row r="1599" spans="6:6" outlineLevel="1">
      <c r="F1599"/>
    </row>
    <row r="1600" spans="6:6" outlineLevel="1">
      <c r="F1600"/>
    </row>
    <row r="1601" spans="6:6" outlineLevel="1">
      <c r="F1601"/>
    </row>
    <row r="1602" spans="6:6" outlineLevel="1">
      <c r="F1602"/>
    </row>
    <row r="1603" spans="6:6" outlineLevel="1">
      <c r="F1603"/>
    </row>
    <row r="1604" spans="6:6" outlineLevel="1">
      <c r="F1604"/>
    </row>
    <row r="1605" spans="6:6" outlineLevel="1">
      <c r="F1605"/>
    </row>
    <row r="1606" spans="6:6" outlineLevel="1">
      <c r="F1606"/>
    </row>
    <row r="1607" spans="6:6" outlineLevel="1">
      <c r="F1607"/>
    </row>
    <row r="1608" spans="6:6" outlineLevel="1">
      <c r="F1608"/>
    </row>
    <row r="1609" spans="6:6" outlineLevel="1">
      <c r="F1609"/>
    </row>
    <row r="1610" spans="6:6" outlineLevel="1">
      <c r="F1610"/>
    </row>
    <row r="1611" spans="6:6" outlineLevel="1">
      <c r="F1611"/>
    </row>
    <row r="1612" spans="6:6" outlineLevel="1">
      <c r="F1612"/>
    </row>
    <row r="1613" spans="6:6" outlineLevel="1">
      <c r="F1613"/>
    </row>
    <row r="1614" spans="6:6" outlineLevel="1">
      <c r="F1614"/>
    </row>
    <row r="1615" spans="6:6" outlineLevel="1">
      <c r="F1615"/>
    </row>
    <row r="1616" spans="6:6" outlineLevel="1">
      <c r="F1616"/>
    </row>
    <row r="1617" spans="6:6" outlineLevel="1">
      <c r="F1617"/>
    </row>
    <row r="1618" spans="6:6" outlineLevel="1">
      <c r="F1618"/>
    </row>
    <row r="1619" spans="6:6" outlineLevel="1">
      <c r="F1619"/>
    </row>
    <row r="1620" spans="6:6" outlineLevel="1">
      <c r="F1620"/>
    </row>
    <row r="1621" spans="6:6" outlineLevel="1">
      <c r="F1621"/>
    </row>
    <row r="1622" spans="6:6" outlineLevel="1">
      <c r="F1622"/>
    </row>
    <row r="1623" spans="6:6" outlineLevel="1">
      <c r="F1623"/>
    </row>
    <row r="1624" spans="6:6" outlineLevel="1">
      <c r="F1624"/>
    </row>
    <row r="1625" spans="6:6" outlineLevel="1">
      <c r="F1625"/>
    </row>
    <row r="1626" spans="6:6" outlineLevel="1">
      <c r="F1626"/>
    </row>
    <row r="1627" spans="6:6" outlineLevel="1">
      <c r="F1627"/>
    </row>
    <row r="1628" spans="6:6" outlineLevel="1">
      <c r="F1628"/>
    </row>
    <row r="1629" spans="6:6" outlineLevel="1">
      <c r="F1629"/>
    </row>
    <row r="1630" spans="6:6" outlineLevel="1">
      <c r="F1630"/>
    </row>
    <row r="1631" spans="6:6" outlineLevel="1">
      <c r="F1631"/>
    </row>
    <row r="1632" spans="6:6" outlineLevel="1">
      <c r="F1632"/>
    </row>
    <row r="1633" spans="6:6" outlineLevel="1">
      <c r="F1633"/>
    </row>
    <row r="1634" spans="6:6" outlineLevel="1">
      <c r="F1634"/>
    </row>
    <row r="1635" spans="6:6" outlineLevel="1">
      <c r="F1635"/>
    </row>
    <row r="1636" spans="6:6" outlineLevel="1">
      <c r="F1636"/>
    </row>
    <row r="1637" spans="6:6" outlineLevel="1">
      <c r="F1637"/>
    </row>
    <row r="1638" spans="6:6" outlineLevel="1">
      <c r="F1638"/>
    </row>
    <row r="1639" spans="6:6" outlineLevel="1">
      <c r="F1639"/>
    </row>
    <row r="1640" spans="6:6" outlineLevel="1">
      <c r="F1640"/>
    </row>
    <row r="1641" spans="6:6" outlineLevel="1">
      <c r="F1641"/>
    </row>
    <row r="1642" spans="6:6" outlineLevel="1">
      <c r="F1642"/>
    </row>
    <row r="1643" spans="6:6" outlineLevel="1">
      <c r="F1643"/>
    </row>
    <row r="1644" spans="6:6" outlineLevel="1">
      <c r="F1644"/>
    </row>
    <row r="1645" spans="6:6" outlineLevel="1">
      <c r="F1645"/>
    </row>
    <row r="1646" spans="6:6" outlineLevel="1">
      <c r="F1646"/>
    </row>
    <row r="1647" spans="6:6" outlineLevel="1">
      <c r="F1647"/>
    </row>
    <row r="1648" spans="6:6" outlineLevel="1">
      <c r="F1648"/>
    </row>
    <row r="1649" spans="6:6" outlineLevel="1">
      <c r="F1649"/>
    </row>
    <row r="1650" spans="6:6" outlineLevel="1">
      <c r="F1650"/>
    </row>
    <row r="1651" spans="6:6" outlineLevel="1">
      <c r="F1651"/>
    </row>
    <row r="1652" spans="6:6" outlineLevel="1">
      <c r="F1652"/>
    </row>
    <row r="1653" spans="6:6" outlineLevel="1">
      <c r="F1653"/>
    </row>
    <row r="1654" spans="6:6" outlineLevel="1">
      <c r="F1654"/>
    </row>
    <row r="1655" spans="6:6" outlineLevel="1">
      <c r="F1655"/>
    </row>
    <row r="1656" spans="6:6" outlineLevel="1">
      <c r="F1656"/>
    </row>
    <row r="1657" spans="6:6" outlineLevel="1">
      <c r="F1657"/>
    </row>
    <row r="1658" spans="6:6" outlineLevel="1">
      <c r="F1658"/>
    </row>
    <row r="1659" spans="6:6" outlineLevel="1">
      <c r="F1659"/>
    </row>
    <row r="1660" spans="6:6" outlineLevel="1">
      <c r="F1660"/>
    </row>
    <row r="1661" spans="6:6" outlineLevel="1">
      <c r="F1661"/>
    </row>
    <row r="1662" spans="6:6" outlineLevel="1">
      <c r="F1662"/>
    </row>
    <row r="1663" spans="6:6" outlineLevel="1">
      <c r="F1663"/>
    </row>
    <row r="1664" spans="6:6" outlineLevel="1">
      <c r="F1664"/>
    </row>
    <row r="1665" spans="6:6" outlineLevel="1">
      <c r="F1665"/>
    </row>
    <row r="1666" spans="6:6" outlineLevel="1">
      <c r="F1666"/>
    </row>
    <row r="1667" spans="6:6" outlineLevel="1">
      <c r="F1667"/>
    </row>
    <row r="1668" spans="6:6" outlineLevel="1">
      <c r="F1668"/>
    </row>
    <row r="1669" spans="6:6" outlineLevel="1">
      <c r="F1669"/>
    </row>
    <row r="1670" spans="6:6" outlineLevel="1">
      <c r="F1670"/>
    </row>
    <row r="1671" spans="6:6" outlineLevel="1">
      <c r="F1671"/>
    </row>
    <row r="1672" spans="6:6" outlineLevel="1">
      <c r="F1672"/>
    </row>
    <row r="1673" spans="6:6" outlineLevel="1">
      <c r="F1673"/>
    </row>
    <row r="1674" spans="6:6" outlineLevel="1">
      <c r="F1674"/>
    </row>
    <row r="1675" spans="6:6" outlineLevel="1">
      <c r="F1675"/>
    </row>
    <row r="1676" spans="6:6" outlineLevel="1">
      <c r="F1676"/>
    </row>
    <row r="1677" spans="6:6" outlineLevel="1">
      <c r="F1677"/>
    </row>
    <row r="1678" spans="6:6" outlineLevel="1">
      <c r="F1678"/>
    </row>
    <row r="1679" spans="6:6" outlineLevel="1">
      <c r="F1679"/>
    </row>
    <row r="1680" spans="6:6" outlineLevel="1">
      <c r="F1680"/>
    </row>
    <row r="1681" spans="6:6" outlineLevel="1">
      <c r="F1681"/>
    </row>
    <row r="1682" spans="6:6" outlineLevel="1">
      <c r="F1682"/>
    </row>
    <row r="1683" spans="6:6" outlineLevel="1">
      <c r="F1683"/>
    </row>
    <row r="1684" spans="6:6" outlineLevel="1">
      <c r="F1684"/>
    </row>
    <row r="1685" spans="6:6" outlineLevel="1">
      <c r="F1685"/>
    </row>
    <row r="1686" spans="6:6" outlineLevel="1">
      <c r="F1686"/>
    </row>
    <row r="1687" spans="6:6" outlineLevel="1">
      <c r="F1687"/>
    </row>
    <row r="1688" spans="6:6" outlineLevel="1">
      <c r="F1688"/>
    </row>
    <row r="1689" spans="6:6" outlineLevel="1">
      <c r="F1689"/>
    </row>
    <row r="1690" spans="6:6" outlineLevel="1">
      <c r="F1690"/>
    </row>
    <row r="1691" spans="6:6" outlineLevel="1">
      <c r="F1691"/>
    </row>
    <row r="1692" spans="6:6" outlineLevel="1">
      <c r="F1692"/>
    </row>
    <row r="1693" spans="6:6" outlineLevel="1">
      <c r="F1693"/>
    </row>
    <row r="1694" spans="6:6" outlineLevel="1">
      <c r="F1694"/>
    </row>
    <row r="1695" spans="6:6" outlineLevel="1">
      <c r="F1695"/>
    </row>
    <row r="1696" spans="6:6" outlineLevel="1">
      <c r="F1696"/>
    </row>
    <row r="1697" spans="6:6" outlineLevel="1">
      <c r="F1697"/>
    </row>
    <row r="1698" spans="6:6" outlineLevel="1">
      <c r="F1698"/>
    </row>
    <row r="1699" spans="6:6" outlineLevel="1">
      <c r="F1699"/>
    </row>
    <row r="1700" spans="6:6" outlineLevel="1">
      <c r="F1700"/>
    </row>
    <row r="1701" spans="6:6" outlineLevel="1">
      <c r="F1701"/>
    </row>
    <row r="1702" spans="6:6" outlineLevel="1">
      <c r="F1702"/>
    </row>
    <row r="1703" spans="6:6" outlineLevel="1">
      <c r="F1703"/>
    </row>
    <row r="1704" spans="6:6" outlineLevel="1">
      <c r="F1704"/>
    </row>
    <row r="1705" spans="6:6" outlineLevel="1">
      <c r="F1705"/>
    </row>
    <row r="1706" spans="6:6" outlineLevel="1">
      <c r="F1706"/>
    </row>
    <row r="1707" spans="6:6" outlineLevel="1">
      <c r="F1707"/>
    </row>
    <row r="1708" spans="6:6" outlineLevel="1">
      <c r="F1708"/>
    </row>
    <row r="1709" spans="6:6" outlineLevel="1">
      <c r="F1709"/>
    </row>
    <row r="1710" spans="6:6" outlineLevel="1">
      <c r="F1710"/>
    </row>
    <row r="1711" spans="6:6" outlineLevel="1">
      <c r="F1711"/>
    </row>
    <row r="1712" spans="6:6" outlineLevel="1">
      <c r="F1712"/>
    </row>
    <row r="1713" spans="6:6" outlineLevel="1">
      <c r="F1713"/>
    </row>
    <row r="1714" spans="6:6" outlineLevel="1">
      <c r="F1714"/>
    </row>
    <row r="1715" spans="6:6" outlineLevel="1">
      <c r="F1715"/>
    </row>
    <row r="1716" spans="6:6" outlineLevel="1">
      <c r="F1716"/>
    </row>
    <row r="1717" spans="6:6" outlineLevel="1">
      <c r="F1717"/>
    </row>
    <row r="1718" spans="6:6" outlineLevel="1">
      <c r="F1718"/>
    </row>
    <row r="1719" spans="6:6" outlineLevel="1">
      <c r="F1719"/>
    </row>
    <row r="1720" spans="6:6" outlineLevel="1">
      <c r="F1720"/>
    </row>
    <row r="1721" spans="6:6" outlineLevel="1">
      <c r="F1721"/>
    </row>
    <row r="1722" spans="6:6" outlineLevel="1">
      <c r="F1722"/>
    </row>
    <row r="1723" spans="6:6" outlineLevel="1">
      <c r="F1723"/>
    </row>
    <row r="1724" spans="6:6" outlineLevel="1">
      <c r="F1724"/>
    </row>
    <row r="1725" spans="6:6" outlineLevel="1">
      <c r="F1725"/>
    </row>
    <row r="1726" spans="6:6" outlineLevel="1">
      <c r="F1726"/>
    </row>
    <row r="1727" spans="6:6" outlineLevel="1">
      <c r="F1727"/>
    </row>
    <row r="1728" spans="6:6">
      <c r="F1728"/>
    </row>
    <row r="1729" spans="6:6" outlineLevel="1">
      <c r="F1729"/>
    </row>
    <row r="1730" spans="6:6" outlineLevel="1">
      <c r="F1730"/>
    </row>
    <row r="1731" spans="6:6" outlineLevel="1">
      <c r="F1731"/>
    </row>
    <row r="1732" spans="6:6" outlineLevel="1">
      <c r="F1732"/>
    </row>
    <row r="1733" spans="6:6" outlineLevel="1">
      <c r="F1733"/>
    </row>
    <row r="1734" spans="6:6" outlineLevel="1">
      <c r="F1734"/>
    </row>
    <row r="1735" spans="6:6" outlineLevel="1">
      <c r="F1735"/>
    </row>
    <row r="1736" spans="6:6" outlineLevel="1">
      <c r="F1736"/>
    </row>
    <row r="1737" spans="6:6" outlineLevel="1">
      <c r="F1737"/>
    </row>
    <row r="1738" spans="6:6" outlineLevel="1">
      <c r="F1738"/>
    </row>
    <row r="1739" spans="6:6" outlineLevel="1">
      <c r="F1739"/>
    </row>
    <row r="1740" spans="6:6" outlineLevel="1">
      <c r="F1740"/>
    </row>
    <row r="1741" spans="6:6" outlineLevel="1">
      <c r="F1741"/>
    </row>
    <row r="1742" spans="6:6" outlineLevel="1">
      <c r="F1742"/>
    </row>
    <row r="1743" spans="6:6" outlineLevel="1">
      <c r="F1743"/>
    </row>
    <row r="1744" spans="6:6" outlineLevel="1">
      <c r="F1744"/>
    </row>
    <row r="1745" spans="6:6" outlineLevel="1">
      <c r="F1745"/>
    </row>
    <row r="1746" spans="6:6" outlineLevel="1">
      <c r="F1746"/>
    </row>
    <row r="1747" spans="6:6" outlineLevel="1">
      <c r="F1747"/>
    </row>
    <row r="1748" spans="6:6" outlineLevel="1">
      <c r="F1748"/>
    </row>
    <row r="1749" spans="6:6" outlineLevel="1">
      <c r="F1749"/>
    </row>
    <row r="1750" spans="6:6" outlineLevel="1">
      <c r="F1750"/>
    </row>
    <row r="1751" spans="6:6" outlineLevel="1">
      <c r="F1751"/>
    </row>
    <row r="1752" spans="6:6" outlineLevel="1">
      <c r="F1752"/>
    </row>
    <row r="1753" spans="6:6" outlineLevel="1">
      <c r="F1753"/>
    </row>
    <row r="1754" spans="6:6" outlineLevel="1">
      <c r="F1754"/>
    </row>
    <row r="1755" spans="6:6" outlineLevel="1">
      <c r="F1755"/>
    </row>
    <row r="1756" spans="6:6" outlineLevel="1">
      <c r="F1756"/>
    </row>
    <row r="1757" spans="6:6" outlineLevel="1">
      <c r="F1757"/>
    </row>
    <row r="1758" spans="6:6" outlineLevel="1">
      <c r="F1758"/>
    </row>
    <row r="1759" spans="6:6" outlineLevel="1">
      <c r="F1759"/>
    </row>
    <row r="1760" spans="6:6" outlineLevel="1">
      <c r="F1760"/>
    </row>
    <row r="1761" spans="6:6" outlineLevel="1">
      <c r="F1761"/>
    </row>
    <row r="1762" spans="6:6" outlineLevel="1">
      <c r="F1762"/>
    </row>
    <row r="1763" spans="6:6" outlineLevel="1">
      <c r="F1763"/>
    </row>
    <row r="1764" spans="6:6" outlineLevel="1">
      <c r="F1764"/>
    </row>
    <row r="1765" spans="6:6" outlineLevel="1">
      <c r="F1765"/>
    </row>
    <row r="1766" spans="6:6" outlineLevel="1">
      <c r="F1766"/>
    </row>
    <row r="1767" spans="6:6" outlineLevel="1">
      <c r="F1767"/>
    </row>
    <row r="1768" spans="6:6" outlineLevel="1">
      <c r="F1768"/>
    </row>
    <row r="1769" spans="6:6" outlineLevel="1">
      <c r="F1769"/>
    </row>
    <row r="1770" spans="6:6" outlineLevel="1">
      <c r="F1770"/>
    </row>
    <row r="1771" spans="6:6" outlineLevel="1">
      <c r="F1771"/>
    </row>
    <row r="1772" spans="6:6" outlineLevel="1">
      <c r="F1772"/>
    </row>
    <row r="1773" spans="6:6" outlineLevel="1">
      <c r="F1773"/>
    </row>
    <row r="1774" spans="6:6" outlineLevel="1">
      <c r="F1774"/>
    </row>
    <row r="1775" spans="6:6" outlineLevel="1">
      <c r="F1775"/>
    </row>
    <row r="1776" spans="6:6" outlineLevel="1">
      <c r="F1776"/>
    </row>
    <row r="1777" spans="6:6" outlineLevel="1">
      <c r="F1777"/>
    </row>
    <row r="1778" spans="6:6" outlineLevel="1">
      <c r="F1778"/>
    </row>
    <row r="1779" spans="6:6" outlineLevel="1">
      <c r="F1779"/>
    </row>
    <row r="1780" spans="6:6" outlineLevel="1">
      <c r="F1780"/>
    </row>
    <row r="1781" spans="6:6" outlineLevel="1">
      <c r="F1781"/>
    </row>
    <row r="1782" spans="6:6" outlineLevel="1">
      <c r="F1782"/>
    </row>
    <row r="1783" spans="6:6" outlineLevel="1">
      <c r="F1783"/>
    </row>
    <row r="1784" spans="6:6" outlineLevel="1">
      <c r="F1784"/>
    </row>
    <row r="1785" spans="6:6" outlineLevel="1">
      <c r="F1785"/>
    </row>
    <row r="1786" spans="6:6" outlineLevel="1">
      <c r="F1786"/>
    </row>
    <row r="1787" spans="6:6" outlineLevel="1">
      <c r="F1787"/>
    </row>
    <row r="1788" spans="6:6" outlineLevel="1">
      <c r="F1788"/>
    </row>
    <row r="1789" spans="6:6" outlineLevel="1">
      <c r="F1789"/>
    </row>
    <row r="1790" spans="6:6" outlineLevel="1">
      <c r="F1790"/>
    </row>
    <row r="1791" spans="6:6" outlineLevel="1">
      <c r="F1791"/>
    </row>
    <row r="1792" spans="6:6" outlineLevel="1">
      <c r="F1792"/>
    </row>
    <row r="1793" spans="6:6" outlineLevel="1">
      <c r="F1793"/>
    </row>
    <row r="1794" spans="6:6" outlineLevel="1">
      <c r="F1794"/>
    </row>
    <row r="1795" spans="6:6" outlineLevel="1">
      <c r="F1795"/>
    </row>
    <row r="1796" spans="6:6" outlineLevel="1">
      <c r="F1796"/>
    </row>
    <row r="1797" spans="6:6" outlineLevel="1">
      <c r="F1797"/>
    </row>
    <row r="1798" spans="6:6" outlineLevel="1">
      <c r="F1798"/>
    </row>
    <row r="1799" spans="6:6" outlineLevel="1">
      <c r="F1799"/>
    </row>
    <row r="1800" spans="6:6" outlineLevel="1">
      <c r="F1800"/>
    </row>
    <row r="1801" spans="6:6" outlineLevel="1">
      <c r="F1801"/>
    </row>
    <row r="1802" spans="6:6" outlineLevel="1">
      <c r="F1802"/>
    </row>
    <row r="1803" spans="6:6" outlineLevel="1">
      <c r="F1803"/>
    </row>
    <row r="1804" spans="6:6" outlineLevel="1">
      <c r="F1804"/>
    </row>
    <row r="1805" spans="6:6" outlineLevel="1">
      <c r="F1805"/>
    </row>
    <row r="1806" spans="6:6" outlineLevel="1">
      <c r="F1806"/>
    </row>
    <row r="1807" spans="6:6" outlineLevel="1">
      <c r="F1807"/>
    </row>
    <row r="1808" spans="6:6" outlineLevel="1">
      <c r="F1808"/>
    </row>
    <row r="1809" spans="6:6" outlineLevel="1">
      <c r="F1809"/>
    </row>
    <row r="1810" spans="6:6" outlineLevel="1">
      <c r="F1810"/>
    </row>
    <row r="1811" spans="6:6" outlineLevel="1">
      <c r="F1811"/>
    </row>
    <row r="1812" spans="6:6" outlineLevel="1">
      <c r="F1812"/>
    </row>
    <row r="1813" spans="6:6" outlineLevel="1">
      <c r="F1813"/>
    </row>
    <row r="1814" spans="6:6" outlineLevel="1">
      <c r="F1814"/>
    </row>
    <row r="1815" spans="6:6" outlineLevel="1">
      <c r="F1815"/>
    </row>
    <row r="1816" spans="6:6" outlineLevel="1">
      <c r="F1816"/>
    </row>
    <row r="1817" spans="6:6" outlineLevel="1">
      <c r="F1817"/>
    </row>
    <row r="1818" spans="6:6" outlineLevel="1">
      <c r="F1818"/>
    </row>
    <row r="1819" spans="6:6" outlineLevel="1">
      <c r="F1819"/>
    </row>
    <row r="1820" spans="6:6" outlineLevel="1">
      <c r="F1820"/>
    </row>
    <row r="1821" spans="6:6" outlineLevel="1">
      <c r="F1821"/>
    </row>
    <row r="1822" spans="6:6" outlineLevel="1">
      <c r="F1822"/>
    </row>
    <row r="1823" spans="6:6" outlineLevel="1">
      <c r="F1823"/>
    </row>
    <row r="1824" spans="6:6" outlineLevel="1">
      <c r="F1824"/>
    </row>
    <row r="1825" spans="6:6" outlineLevel="1">
      <c r="F1825"/>
    </row>
    <row r="1826" spans="6:6" outlineLevel="1">
      <c r="F1826"/>
    </row>
    <row r="1827" spans="6:6" outlineLevel="1">
      <c r="F1827"/>
    </row>
    <row r="1828" spans="6:6" outlineLevel="1">
      <c r="F1828"/>
    </row>
    <row r="1829" spans="6:6" outlineLevel="1">
      <c r="F1829"/>
    </row>
    <row r="1830" spans="6:6">
      <c r="F1830"/>
    </row>
    <row r="1831" spans="6:6" outlineLevel="1">
      <c r="F1831"/>
    </row>
    <row r="1832" spans="6:6" outlineLevel="1">
      <c r="F1832"/>
    </row>
    <row r="1833" spans="6:6" outlineLevel="1">
      <c r="F1833"/>
    </row>
    <row r="1834" spans="6:6" outlineLevel="1">
      <c r="F1834"/>
    </row>
    <row r="1835" spans="6:6" outlineLevel="1">
      <c r="F1835"/>
    </row>
    <row r="1836" spans="6:6" outlineLevel="1">
      <c r="F1836"/>
    </row>
    <row r="1837" spans="6:6" outlineLevel="1">
      <c r="F1837"/>
    </row>
    <row r="1838" spans="6:6" outlineLevel="1">
      <c r="F1838"/>
    </row>
    <row r="1839" spans="6:6" outlineLevel="1">
      <c r="F1839"/>
    </row>
    <row r="1840" spans="6:6" outlineLevel="1">
      <c r="F1840"/>
    </row>
    <row r="1841" spans="6:6" outlineLevel="1">
      <c r="F1841"/>
    </row>
    <row r="1842" spans="6:6" outlineLevel="1">
      <c r="F1842"/>
    </row>
    <row r="1843" spans="6:6" outlineLevel="1">
      <c r="F1843"/>
    </row>
    <row r="1844" spans="6:6" outlineLevel="1">
      <c r="F1844"/>
    </row>
    <row r="1845" spans="6:6" outlineLevel="1">
      <c r="F1845"/>
    </row>
    <row r="1846" spans="6:6" outlineLevel="1">
      <c r="F1846"/>
    </row>
    <row r="1847" spans="6:6" outlineLevel="1">
      <c r="F1847"/>
    </row>
    <row r="1848" spans="6:6" outlineLevel="1">
      <c r="F1848"/>
    </row>
    <row r="1849" spans="6:6" outlineLevel="1">
      <c r="F1849"/>
    </row>
    <row r="1850" spans="6:6" outlineLevel="1">
      <c r="F1850"/>
    </row>
    <row r="1851" spans="6:6" outlineLevel="1">
      <c r="F1851"/>
    </row>
    <row r="1852" spans="6:6" outlineLevel="1">
      <c r="F1852"/>
    </row>
    <row r="1853" spans="6:6" outlineLevel="1">
      <c r="F1853"/>
    </row>
    <row r="1854" spans="6:6" outlineLevel="1">
      <c r="F1854"/>
    </row>
    <row r="1855" spans="6:6" outlineLevel="1">
      <c r="F1855"/>
    </row>
    <row r="1856" spans="6:6" outlineLevel="1">
      <c r="F1856"/>
    </row>
    <row r="1857" spans="6:6" outlineLevel="1">
      <c r="F1857"/>
    </row>
    <row r="1858" spans="6:6" outlineLevel="1">
      <c r="F1858"/>
    </row>
    <row r="1859" spans="6:6" outlineLevel="1">
      <c r="F1859"/>
    </row>
    <row r="1860" spans="6:6" outlineLevel="1">
      <c r="F1860"/>
    </row>
    <row r="1861" spans="6:6" outlineLevel="1">
      <c r="F1861"/>
    </row>
    <row r="1862" spans="6:6" outlineLevel="1">
      <c r="F1862"/>
    </row>
    <row r="1863" spans="6:6" outlineLevel="1">
      <c r="F1863"/>
    </row>
    <row r="1864" spans="6:6" outlineLevel="1">
      <c r="F1864"/>
    </row>
    <row r="1865" spans="6:6" outlineLevel="1">
      <c r="F1865"/>
    </row>
    <row r="1866" spans="6:6" outlineLevel="1">
      <c r="F1866"/>
    </row>
    <row r="1867" spans="6:6" outlineLevel="1">
      <c r="F1867"/>
    </row>
    <row r="1868" spans="6:6" outlineLevel="1">
      <c r="F1868"/>
    </row>
    <row r="1869" spans="6:6" outlineLevel="1">
      <c r="F1869"/>
    </row>
    <row r="1870" spans="6:6" outlineLevel="1">
      <c r="F1870"/>
    </row>
    <row r="1871" spans="6:6" outlineLevel="1">
      <c r="F1871"/>
    </row>
    <row r="1872" spans="6:6" outlineLevel="1">
      <c r="F1872"/>
    </row>
    <row r="1873" spans="6:6" outlineLevel="1">
      <c r="F1873"/>
    </row>
    <row r="1874" spans="6:6" outlineLevel="1">
      <c r="F1874"/>
    </row>
    <row r="1875" spans="6:6" outlineLevel="1">
      <c r="F1875"/>
    </row>
    <row r="1876" spans="6:6" outlineLevel="1">
      <c r="F1876"/>
    </row>
    <row r="1877" spans="6:6" outlineLevel="1">
      <c r="F1877"/>
    </row>
    <row r="1878" spans="6:6" outlineLevel="1">
      <c r="F1878"/>
    </row>
    <row r="1879" spans="6:6" outlineLevel="1">
      <c r="F1879"/>
    </row>
    <row r="1880" spans="6:6" outlineLevel="1">
      <c r="F1880"/>
    </row>
    <row r="1881" spans="6:6" outlineLevel="1">
      <c r="F1881"/>
    </row>
    <row r="1882" spans="6:6" outlineLevel="1">
      <c r="F1882"/>
    </row>
    <row r="1883" spans="6:6" outlineLevel="1">
      <c r="F1883"/>
    </row>
    <row r="1884" spans="6:6" outlineLevel="1">
      <c r="F1884"/>
    </row>
    <row r="1885" spans="6:6" outlineLevel="1">
      <c r="F1885"/>
    </row>
    <row r="1886" spans="6:6" outlineLevel="1">
      <c r="F1886"/>
    </row>
    <row r="1887" spans="6:6" outlineLevel="1">
      <c r="F1887"/>
    </row>
    <row r="1888" spans="6:6" outlineLevel="1">
      <c r="F1888"/>
    </row>
    <row r="1889" spans="6:6" outlineLevel="1">
      <c r="F1889"/>
    </row>
    <row r="1890" spans="6:6" outlineLevel="1">
      <c r="F1890"/>
    </row>
    <row r="1891" spans="6:6" outlineLevel="1">
      <c r="F1891"/>
    </row>
    <row r="1892" spans="6:6" outlineLevel="1">
      <c r="F1892"/>
    </row>
    <row r="1893" spans="6:6" outlineLevel="1">
      <c r="F1893"/>
    </row>
    <row r="1894" spans="6:6" outlineLevel="1">
      <c r="F1894"/>
    </row>
    <row r="1895" spans="6:6" outlineLevel="1">
      <c r="F1895"/>
    </row>
    <row r="1896" spans="6:6" outlineLevel="1">
      <c r="F1896"/>
    </row>
    <row r="1897" spans="6:6" outlineLevel="1">
      <c r="F1897"/>
    </row>
    <row r="1898" spans="6:6" outlineLevel="1">
      <c r="F1898"/>
    </row>
    <row r="1899" spans="6:6" outlineLevel="1">
      <c r="F1899"/>
    </row>
    <row r="1900" spans="6:6" outlineLevel="1">
      <c r="F1900"/>
    </row>
    <row r="1901" spans="6:6" outlineLevel="1">
      <c r="F1901"/>
    </row>
    <row r="1902" spans="6:6" outlineLevel="1">
      <c r="F1902"/>
    </row>
    <row r="1903" spans="6:6" outlineLevel="1">
      <c r="F1903"/>
    </row>
    <row r="1904" spans="6:6" outlineLevel="1">
      <c r="F1904"/>
    </row>
    <row r="1905" spans="6:6" outlineLevel="1">
      <c r="F1905"/>
    </row>
    <row r="1906" spans="6:6" outlineLevel="1">
      <c r="F1906"/>
    </row>
    <row r="1907" spans="6:6" outlineLevel="1">
      <c r="F1907"/>
    </row>
    <row r="1908" spans="6:6" outlineLevel="1">
      <c r="F1908"/>
    </row>
    <row r="1909" spans="6:6" outlineLevel="1">
      <c r="F1909"/>
    </row>
    <row r="1910" spans="6:6" outlineLevel="1">
      <c r="F1910"/>
    </row>
    <row r="1911" spans="6:6" outlineLevel="1">
      <c r="F1911"/>
    </row>
    <row r="1912" spans="6:6" outlineLevel="1">
      <c r="F1912"/>
    </row>
    <row r="1913" spans="6:6" outlineLevel="1">
      <c r="F1913"/>
    </row>
    <row r="1914" spans="6:6" outlineLevel="1">
      <c r="F1914"/>
    </row>
    <row r="1915" spans="6:6" outlineLevel="1">
      <c r="F1915"/>
    </row>
    <row r="1916" spans="6:6" outlineLevel="1">
      <c r="F1916"/>
    </row>
    <row r="1917" spans="6:6" outlineLevel="1">
      <c r="F1917"/>
    </row>
    <row r="1918" spans="6:6" outlineLevel="1">
      <c r="F1918"/>
    </row>
    <row r="1919" spans="6:6">
      <c r="F1919"/>
    </row>
    <row r="1920" spans="6:6" outlineLevel="1">
      <c r="F1920"/>
    </row>
    <row r="1921" spans="6:6" outlineLevel="1">
      <c r="F1921"/>
    </row>
    <row r="1922" spans="6:6" outlineLevel="1">
      <c r="F1922"/>
    </row>
    <row r="1923" spans="6:6" outlineLevel="1">
      <c r="F1923"/>
    </row>
    <row r="1924" spans="6:6" outlineLevel="1">
      <c r="F1924"/>
    </row>
    <row r="1925" spans="6:6" outlineLevel="1">
      <c r="F1925"/>
    </row>
    <row r="1926" spans="6:6" outlineLevel="1">
      <c r="F1926"/>
    </row>
    <row r="1927" spans="6:6" outlineLevel="1">
      <c r="F1927"/>
    </row>
    <row r="1928" spans="6:6" outlineLevel="1">
      <c r="F1928"/>
    </row>
    <row r="1929" spans="6:6" outlineLevel="1">
      <c r="F1929"/>
    </row>
    <row r="1930" spans="6:6" outlineLevel="1">
      <c r="F1930"/>
    </row>
    <row r="1931" spans="6:6" outlineLevel="1">
      <c r="F1931"/>
    </row>
    <row r="1932" spans="6:6" outlineLevel="1">
      <c r="F1932"/>
    </row>
    <row r="1933" spans="6:6" outlineLevel="1">
      <c r="F1933"/>
    </row>
    <row r="1934" spans="6:6" outlineLevel="1">
      <c r="F1934"/>
    </row>
    <row r="1935" spans="6:6" outlineLevel="1">
      <c r="F1935"/>
    </row>
    <row r="1936" spans="6:6" outlineLevel="1">
      <c r="F1936"/>
    </row>
    <row r="1937" spans="6:6" outlineLevel="1">
      <c r="F1937"/>
    </row>
    <row r="1938" spans="6:6" outlineLevel="1">
      <c r="F1938"/>
    </row>
    <row r="1939" spans="6:6" outlineLevel="1">
      <c r="F1939"/>
    </row>
    <row r="1940" spans="6:6" outlineLevel="1">
      <c r="F1940"/>
    </row>
    <row r="1941" spans="6:6" outlineLevel="1">
      <c r="F1941"/>
    </row>
    <row r="1942" spans="6:6" outlineLevel="1">
      <c r="F1942"/>
    </row>
    <row r="1943" spans="6:6" outlineLevel="1">
      <c r="F1943"/>
    </row>
    <row r="1944" spans="6:6" outlineLevel="1">
      <c r="F1944"/>
    </row>
    <row r="1945" spans="6:6" outlineLevel="1">
      <c r="F1945"/>
    </row>
    <row r="1946" spans="6:6" outlineLevel="1">
      <c r="F1946"/>
    </row>
    <row r="1947" spans="6:6" outlineLevel="1">
      <c r="F1947"/>
    </row>
    <row r="1948" spans="6:6" outlineLevel="1">
      <c r="F1948"/>
    </row>
    <row r="1949" spans="6:6" outlineLevel="1">
      <c r="F1949"/>
    </row>
    <row r="1950" spans="6:6" outlineLevel="1">
      <c r="F1950"/>
    </row>
    <row r="1951" spans="6:6" outlineLevel="1">
      <c r="F1951"/>
    </row>
    <row r="1952" spans="6:6" outlineLevel="1">
      <c r="F1952"/>
    </row>
    <row r="1953" spans="6:6" outlineLevel="1">
      <c r="F1953"/>
    </row>
    <row r="1954" spans="6:6" outlineLevel="1">
      <c r="F1954"/>
    </row>
    <row r="1955" spans="6:6" outlineLevel="1">
      <c r="F1955"/>
    </row>
    <row r="1956" spans="6:6" outlineLevel="1">
      <c r="F1956"/>
    </row>
    <row r="1957" spans="6:6" outlineLevel="1">
      <c r="F1957"/>
    </row>
    <row r="1958" spans="6:6" outlineLevel="1">
      <c r="F1958"/>
    </row>
    <row r="1959" spans="6:6" outlineLevel="1">
      <c r="F1959"/>
    </row>
    <row r="1960" spans="6:6" outlineLevel="1">
      <c r="F1960"/>
    </row>
    <row r="1961" spans="6:6" outlineLevel="1">
      <c r="F1961"/>
    </row>
    <row r="1962" spans="6:6" outlineLevel="1">
      <c r="F1962"/>
    </row>
    <row r="1963" spans="6:6" outlineLevel="1">
      <c r="F1963"/>
    </row>
    <row r="1964" spans="6:6" outlineLevel="1">
      <c r="F1964"/>
    </row>
    <row r="1965" spans="6:6" outlineLevel="1">
      <c r="F1965"/>
    </row>
    <row r="1966" spans="6:6" outlineLevel="1">
      <c r="F1966"/>
    </row>
    <row r="1967" spans="6:6" outlineLevel="1">
      <c r="F1967"/>
    </row>
    <row r="1968" spans="6:6" outlineLevel="1">
      <c r="F1968"/>
    </row>
    <row r="1969" spans="6:6" outlineLevel="1">
      <c r="F1969"/>
    </row>
    <row r="1970" spans="6:6" outlineLevel="1">
      <c r="F1970"/>
    </row>
    <row r="1971" spans="6:6" outlineLevel="1">
      <c r="F1971"/>
    </row>
    <row r="1972" spans="6:6" outlineLevel="1">
      <c r="F1972"/>
    </row>
    <row r="1973" spans="6:6" outlineLevel="1">
      <c r="F1973"/>
    </row>
    <row r="1974" spans="6:6" outlineLevel="1">
      <c r="F1974"/>
    </row>
    <row r="1975" spans="6:6" outlineLevel="1">
      <c r="F1975"/>
    </row>
    <row r="1976" spans="6:6" outlineLevel="1">
      <c r="F1976"/>
    </row>
    <row r="1977" spans="6:6" outlineLevel="1">
      <c r="F1977"/>
    </row>
    <row r="1978" spans="6:6" outlineLevel="1">
      <c r="F1978"/>
    </row>
    <row r="1979" spans="6:6" outlineLevel="1">
      <c r="F1979"/>
    </row>
    <row r="1980" spans="6:6" outlineLevel="1">
      <c r="F1980"/>
    </row>
    <row r="1981" spans="6:6" outlineLevel="1">
      <c r="F1981"/>
    </row>
    <row r="1982" spans="6:6" outlineLevel="1">
      <c r="F1982"/>
    </row>
    <row r="1983" spans="6:6" outlineLevel="1">
      <c r="F1983"/>
    </row>
    <row r="1984" spans="6:6" outlineLevel="1">
      <c r="F1984"/>
    </row>
    <row r="1985" spans="6:6" outlineLevel="1">
      <c r="F1985"/>
    </row>
    <row r="1986" spans="6:6" outlineLevel="1">
      <c r="F1986"/>
    </row>
    <row r="1987" spans="6:6" outlineLevel="1">
      <c r="F1987"/>
    </row>
    <row r="1988" spans="6:6" outlineLevel="1">
      <c r="F1988"/>
    </row>
    <row r="1989" spans="6:6" outlineLevel="1">
      <c r="F1989"/>
    </row>
    <row r="1990" spans="6:6" outlineLevel="1">
      <c r="F1990"/>
    </row>
    <row r="1991" spans="6:6" outlineLevel="1">
      <c r="F1991"/>
    </row>
    <row r="1992" spans="6:6" outlineLevel="1">
      <c r="F1992"/>
    </row>
    <row r="1993" spans="6:6" outlineLevel="1">
      <c r="F1993"/>
    </row>
    <row r="1994" spans="6:6" outlineLevel="1">
      <c r="F1994"/>
    </row>
    <row r="1995" spans="6:6" outlineLevel="1">
      <c r="F1995"/>
    </row>
    <row r="1996" spans="6:6" outlineLevel="1">
      <c r="F1996"/>
    </row>
    <row r="1997" spans="6:6" outlineLevel="1">
      <c r="F1997"/>
    </row>
    <row r="1998" spans="6:6" outlineLevel="1">
      <c r="F1998"/>
    </row>
    <row r="1999" spans="6:6" outlineLevel="1">
      <c r="F1999"/>
    </row>
    <row r="2000" spans="6:6" outlineLevel="1">
      <c r="F2000"/>
    </row>
    <row r="2001" spans="6:6" outlineLevel="1">
      <c r="F2001"/>
    </row>
    <row r="2002" spans="6:6" outlineLevel="1">
      <c r="F2002"/>
    </row>
    <row r="2003" spans="6:6" outlineLevel="1">
      <c r="F2003"/>
    </row>
    <row r="2004" spans="6:6" outlineLevel="1">
      <c r="F2004"/>
    </row>
    <row r="2005" spans="6:6" outlineLevel="1">
      <c r="F2005"/>
    </row>
    <row r="2006" spans="6:6" outlineLevel="1">
      <c r="F2006"/>
    </row>
    <row r="2007" spans="6:6" outlineLevel="1">
      <c r="F2007"/>
    </row>
    <row r="2008" spans="6:6" outlineLevel="1">
      <c r="F2008"/>
    </row>
    <row r="2009" spans="6:6" outlineLevel="1">
      <c r="F2009"/>
    </row>
    <row r="2010" spans="6:6" outlineLevel="1">
      <c r="F2010"/>
    </row>
    <row r="2011" spans="6:6" outlineLevel="1">
      <c r="F2011"/>
    </row>
    <row r="2012" spans="6:6" outlineLevel="1">
      <c r="F2012"/>
    </row>
    <row r="2013" spans="6:6" outlineLevel="1">
      <c r="F2013"/>
    </row>
    <row r="2014" spans="6:6" outlineLevel="1">
      <c r="F2014"/>
    </row>
    <row r="2015" spans="6:6" outlineLevel="1">
      <c r="F2015"/>
    </row>
    <row r="2016" spans="6:6" outlineLevel="1">
      <c r="F2016"/>
    </row>
    <row r="2017" spans="6:6" outlineLevel="1">
      <c r="F2017"/>
    </row>
    <row r="2018" spans="6:6" outlineLevel="1">
      <c r="F2018"/>
    </row>
    <row r="2019" spans="6:6" outlineLevel="1">
      <c r="F2019"/>
    </row>
    <row r="2020" spans="6:6" outlineLevel="1">
      <c r="F2020"/>
    </row>
    <row r="2021" spans="6:6" outlineLevel="1">
      <c r="F2021"/>
    </row>
    <row r="2022" spans="6:6" outlineLevel="1">
      <c r="F2022"/>
    </row>
    <row r="2023" spans="6:6" outlineLevel="1">
      <c r="F2023"/>
    </row>
    <row r="2024" spans="6:6">
      <c r="F2024"/>
    </row>
    <row r="2025" spans="6:6" outlineLevel="1">
      <c r="F2025"/>
    </row>
    <row r="2026" spans="6:6" outlineLevel="1">
      <c r="F2026"/>
    </row>
    <row r="2027" spans="6:6" outlineLevel="1">
      <c r="F2027"/>
    </row>
    <row r="2028" spans="6:6" outlineLevel="1">
      <c r="F2028"/>
    </row>
    <row r="2029" spans="6:6" outlineLevel="1">
      <c r="F2029"/>
    </row>
    <row r="2030" spans="6:6" outlineLevel="1">
      <c r="F2030"/>
    </row>
    <row r="2031" spans="6:6" outlineLevel="1">
      <c r="F2031"/>
    </row>
    <row r="2032" spans="6:6" outlineLevel="1">
      <c r="F2032"/>
    </row>
    <row r="2033" spans="6:6" outlineLevel="1">
      <c r="F2033"/>
    </row>
    <row r="2034" spans="6:6" outlineLevel="1">
      <c r="F2034"/>
    </row>
    <row r="2035" spans="6:6" outlineLevel="1">
      <c r="F2035"/>
    </row>
    <row r="2036" spans="6:6" outlineLevel="1">
      <c r="F2036"/>
    </row>
    <row r="2037" spans="6:6" outlineLevel="1">
      <c r="F2037"/>
    </row>
    <row r="2038" spans="6:6" outlineLevel="1">
      <c r="F2038"/>
    </row>
    <row r="2039" spans="6:6" outlineLevel="1">
      <c r="F2039"/>
    </row>
    <row r="2040" spans="6:6" outlineLevel="1">
      <c r="F2040"/>
    </row>
    <row r="2041" spans="6:6" outlineLevel="1">
      <c r="F2041"/>
    </row>
    <row r="2042" spans="6:6" outlineLevel="1">
      <c r="F2042"/>
    </row>
    <row r="2043" spans="6:6" outlineLevel="1">
      <c r="F2043"/>
    </row>
    <row r="2044" spans="6:6" outlineLevel="1">
      <c r="F2044"/>
    </row>
    <row r="2045" spans="6:6" outlineLevel="1">
      <c r="F2045"/>
    </row>
    <row r="2046" spans="6:6" outlineLevel="1">
      <c r="F2046"/>
    </row>
    <row r="2047" spans="6:6" outlineLevel="1">
      <c r="F2047"/>
    </row>
    <row r="2048" spans="6:6" outlineLevel="1">
      <c r="F2048"/>
    </row>
    <row r="2049" spans="6:6" outlineLevel="1">
      <c r="F2049"/>
    </row>
    <row r="2050" spans="6:6" outlineLevel="1">
      <c r="F2050"/>
    </row>
    <row r="2051" spans="6:6" outlineLevel="1">
      <c r="F2051"/>
    </row>
    <row r="2052" spans="6:6" outlineLevel="1">
      <c r="F2052"/>
    </row>
    <row r="2053" spans="6:6" outlineLevel="1">
      <c r="F2053"/>
    </row>
    <row r="2054" spans="6:6" outlineLevel="1">
      <c r="F2054"/>
    </row>
    <row r="2055" spans="6:6" outlineLevel="1">
      <c r="F2055"/>
    </row>
    <row r="2056" spans="6:6" outlineLevel="1">
      <c r="F2056"/>
    </row>
    <row r="2057" spans="6:6" outlineLevel="1">
      <c r="F2057"/>
    </row>
    <row r="2058" spans="6:6" outlineLevel="1">
      <c r="F2058"/>
    </row>
    <row r="2059" spans="6:6" outlineLevel="1">
      <c r="F2059"/>
    </row>
    <row r="2060" spans="6:6" outlineLevel="1">
      <c r="F2060"/>
    </row>
    <row r="2061" spans="6:6" outlineLevel="1">
      <c r="F2061"/>
    </row>
    <row r="2062" spans="6:6" outlineLevel="1">
      <c r="F2062"/>
    </row>
    <row r="2063" spans="6:6" outlineLevel="1">
      <c r="F2063"/>
    </row>
    <row r="2064" spans="6:6" outlineLevel="1">
      <c r="F2064"/>
    </row>
    <row r="2065" spans="6:6" outlineLevel="1">
      <c r="F2065"/>
    </row>
    <row r="2066" spans="6:6" outlineLevel="1">
      <c r="F2066"/>
    </row>
    <row r="2067" spans="6:6" outlineLevel="1">
      <c r="F2067"/>
    </row>
    <row r="2068" spans="6:6" outlineLevel="1">
      <c r="F2068"/>
    </row>
    <row r="2069" spans="6:6" outlineLevel="1">
      <c r="F2069"/>
    </row>
    <row r="2070" spans="6:6" outlineLevel="1">
      <c r="F2070"/>
    </row>
    <row r="2071" spans="6:6" outlineLevel="1">
      <c r="F2071"/>
    </row>
    <row r="2072" spans="6:6" outlineLevel="1">
      <c r="F2072"/>
    </row>
    <row r="2073" spans="6:6" outlineLevel="1">
      <c r="F2073"/>
    </row>
    <row r="2074" spans="6:6" outlineLevel="1">
      <c r="F2074"/>
    </row>
    <row r="2075" spans="6:6" outlineLevel="1">
      <c r="F2075"/>
    </row>
    <row r="2076" spans="6:6" outlineLevel="1">
      <c r="F2076"/>
    </row>
    <row r="2077" spans="6:6" outlineLevel="1">
      <c r="F2077"/>
    </row>
    <row r="2078" spans="6:6" outlineLevel="1">
      <c r="F2078"/>
    </row>
    <row r="2079" spans="6:6" outlineLevel="1">
      <c r="F2079"/>
    </row>
    <row r="2080" spans="6:6" outlineLevel="1">
      <c r="F2080"/>
    </row>
    <row r="2081" spans="6:6" outlineLevel="1">
      <c r="F2081"/>
    </row>
    <row r="2082" spans="6:6" outlineLevel="1">
      <c r="F2082"/>
    </row>
    <row r="2083" spans="6:6" outlineLevel="1">
      <c r="F2083"/>
    </row>
    <row r="2084" spans="6:6" outlineLevel="1">
      <c r="F2084"/>
    </row>
    <row r="2085" spans="6:6" outlineLevel="1">
      <c r="F2085"/>
    </row>
    <row r="2086" spans="6:6" outlineLevel="1">
      <c r="F2086"/>
    </row>
    <row r="2087" spans="6:6" outlineLevel="1">
      <c r="F2087"/>
    </row>
    <row r="2088" spans="6:6" outlineLevel="1">
      <c r="F2088"/>
    </row>
    <row r="2089" spans="6:6" outlineLevel="1">
      <c r="F2089"/>
    </row>
    <row r="2090" spans="6:6" outlineLevel="1">
      <c r="F2090"/>
    </row>
    <row r="2091" spans="6:6" outlineLevel="1">
      <c r="F2091"/>
    </row>
    <row r="2092" spans="6:6" outlineLevel="1">
      <c r="F2092"/>
    </row>
    <row r="2093" spans="6:6" outlineLevel="1">
      <c r="F2093"/>
    </row>
    <row r="2094" spans="6:6" outlineLevel="1">
      <c r="F2094"/>
    </row>
    <row r="2095" spans="6:6" outlineLevel="1">
      <c r="F2095"/>
    </row>
    <row r="2096" spans="6:6" outlineLevel="1">
      <c r="F2096"/>
    </row>
    <row r="2097" spans="6:6" outlineLevel="1">
      <c r="F2097"/>
    </row>
    <row r="2098" spans="6:6" outlineLevel="1">
      <c r="F2098"/>
    </row>
    <row r="2099" spans="6:6" outlineLevel="1">
      <c r="F2099"/>
    </row>
    <row r="2100" spans="6:6" outlineLevel="1">
      <c r="F2100"/>
    </row>
    <row r="2101" spans="6:6" outlineLevel="1">
      <c r="F2101"/>
    </row>
    <row r="2102" spans="6:6" outlineLevel="1">
      <c r="F2102"/>
    </row>
    <row r="2103" spans="6:6" outlineLevel="1">
      <c r="F2103"/>
    </row>
    <row r="2104" spans="6:6" outlineLevel="1">
      <c r="F2104"/>
    </row>
    <row r="2105" spans="6:6" outlineLevel="1">
      <c r="F2105"/>
    </row>
    <row r="2106" spans="6:6" outlineLevel="1">
      <c r="F2106"/>
    </row>
    <row r="2107" spans="6:6" outlineLevel="1">
      <c r="F2107"/>
    </row>
    <row r="2108" spans="6:6" outlineLevel="1">
      <c r="F2108"/>
    </row>
    <row r="2109" spans="6:6" outlineLevel="1">
      <c r="F2109"/>
    </row>
    <row r="2110" spans="6:6" outlineLevel="1">
      <c r="F2110"/>
    </row>
    <row r="2111" spans="6:6" outlineLevel="1">
      <c r="F2111"/>
    </row>
    <row r="2112" spans="6:6" outlineLevel="1">
      <c r="F2112"/>
    </row>
    <row r="2113" spans="6:6" outlineLevel="1">
      <c r="F2113"/>
    </row>
    <row r="2114" spans="6:6" outlineLevel="1">
      <c r="F2114"/>
    </row>
    <row r="2115" spans="6:6" outlineLevel="1">
      <c r="F2115"/>
    </row>
    <row r="2116" spans="6:6" outlineLevel="1">
      <c r="F2116"/>
    </row>
    <row r="2117" spans="6:6" outlineLevel="1">
      <c r="F2117"/>
    </row>
    <row r="2118" spans="6:6" outlineLevel="1">
      <c r="F2118"/>
    </row>
    <row r="2119" spans="6:6" outlineLevel="1">
      <c r="F2119"/>
    </row>
    <row r="2120" spans="6:6" outlineLevel="1">
      <c r="F2120"/>
    </row>
    <row r="2121" spans="6:6" outlineLevel="1">
      <c r="F2121"/>
    </row>
    <row r="2122" spans="6:6" outlineLevel="1">
      <c r="F2122"/>
    </row>
    <row r="2123" spans="6:6" outlineLevel="1">
      <c r="F2123"/>
    </row>
    <row r="2124" spans="6:6" outlineLevel="1">
      <c r="F2124"/>
    </row>
    <row r="2125" spans="6:6" outlineLevel="1">
      <c r="F2125"/>
    </row>
    <row r="2126" spans="6:6" outlineLevel="1">
      <c r="F2126"/>
    </row>
    <row r="2127" spans="6:6" outlineLevel="1">
      <c r="F2127"/>
    </row>
    <row r="2128" spans="6:6" outlineLevel="1">
      <c r="F2128"/>
    </row>
    <row r="2129" spans="6:6" outlineLevel="1">
      <c r="F2129"/>
    </row>
    <row r="2130" spans="6:6" outlineLevel="1">
      <c r="F2130"/>
    </row>
    <row r="2131" spans="6:6" outlineLevel="1">
      <c r="F2131"/>
    </row>
    <row r="2132" spans="6:6" outlineLevel="1">
      <c r="F2132"/>
    </row>
    <row r="2133" spans="6:6" outlineLevel="1">
      <c r="F2133"/>
    </row>
    <row r="2134" spans="6:6" outlineLevel="1">
      <c r="F2134"/>
    </row>
    <row r="2135" spans="6:6" outlineLevel="1">
      <c r="F2135"/>
    </row>
    <row r="2136" spans="6:6" outlineLevel="1">
      <c r="F2136"/>
    </row>
    <row r="2137" spans="6:6" outlineLevel="1">
      <c r="F2137"/>
    </row>
    <row r="2138" spans="6:6" outlineLevel="1">
      <c r="F2138"/>
    </row>
    <row r="2139" spans="6:6" outlineLevel="1">
      <c r="F2139"/>
    </row>
    <row r="2140" spans="6:6" outlineLevel="1">
      <c r="F2140"/>
    </row>
    <row r="2141" spans="6:6" outlineLevel="1">
      <c r="F2141"/>
    </row>
    <row r="2142" spans="6:6" outlineLevel="1">
      <c r="F2142"/>
    </row>
    <row r="2143" spans="6:6">
      <c r="F2143"/>
    </row>
    <row r="2144" spans="6:6" outlineLevel="1">
      <c r="F2144"/>
    </row>
    <row r="2145" spans="6:6" outlineLevel="1">
      <c r="F2145"/>
    </row>
    <row r="2146" spans="6:6" outlineLevel="1">
      <c r="F2146"/>
    </row>
    <row r="2147" spans="6:6" outlineLevel="1">
      <c r="F2147"/>
    </row>
    <row r="2148" spans="6:6" outlineLevel="1">
      <c r="F2148"/>
    </row>
    <row r="2149" spans="6:6" outlineLevel="1">
      <c r="F2149"/>
    </row>
    <row r="2150" spans="6:6" outlineLevel="1">
      <c r="F2150"/>
    </row>
    <row r="2151" spans="6:6" outlineLevel="1">
      <c r="F2151"/>
    </row>
    <row r="2152" spans="6:6" outlineLevel="1">
      <c r="F2152"/>
    </row>
    <row r="2153" spans="6:6" outlineLevel="1">
      <c r="F2153"/>
    </row>
    <row r="2154" spans="6:6" outlineLevel="1">
      <c r="F2154"/>
    </row>
    <row r="2155" spans="6:6" outlineLevel="1">
      <c r="F2155"/>
    </row>
    <row r="2156" spans="6:6" outlineLevel="1">
      <c r="F2156"/>
    </row>
    <row r="2157" spans="6:6" outlineLevel="1">
      <c r="F2157"/>
    </row>
    <row r="2158" spans="6:6" outlineLevel="1">
      <c r="F2158"/>
    </row>
    <row r="2159" spans="6:6" outlineLevel="1">
      <c r="F2159"/>
    </row>
    <row r="2160" spans="6:6" outlineLevel="1">
      <c r="F2160"/>
    </row>
    <row r="2161" spans="6:6" outlineLevel="1">
      <c r="F2161"/>
    </row>
    <row r="2162" spans="6:6" outlineLevel="1">
      <c r="F2162"/>
    </row>
    <row r="2163" spans="6:6" outlineLevel="1">
      <c r="F2163"/>
    </row>
    <row r="2164" spans="6:6" outlineLevel="1">
      <c r="F2164"/>
    </row>
    <row r="2165" spans="6:6" outlineLevel="1">
      <c r="F2165"/>
    </row>
    <row r="2166" spans="6:6" outlineLevel="1">
      <c r="F2166"/>
    </row>
    <row r="2167" spans="6:6" outlineLevel="1">
      <c r="F2167"/>
    </row>
    <row r="2168" spans="6:6" outlineLevel="1">
      <c r="F2168"/>
    </row>
    <row r="2169" spans="6:6" outlineLevel="1">
      <c r="F2169"/>
    </row>
    <row r="2170" spans="6:6" outlineLevel="1">
      <c r="F2170"/>
    </row>
    <row r="2171" spans="6:6" outlineLevel="1">
      <c r="F2171"/>
    </row>
    <row r="2172" spans="6:6" outlineLevel="1">
      <c r="F2172"/>
    </row>
    <row r="2173" spans="6:6" outlineLevel="1">
      <c r="F2173"/>
    </row>
    <row r="2174" spans="6:6" outlineLevel="1">
      <c r="F2174"/>
    </row>
    <row r="2175" spans="6:6" outlineLevel="1">
      <c r="F2175"/>
    </row>
    <row r="2176" spans="6:6" outlineLevel="1">
      <c r="F2176"/>
    </row>
    <row r="2177" spans="6:6" outlineLevel="1">
      <c r="F2177"/>
    </row>
    <row r="2178" spans="6:6" outlineLevel="1">
      <c r="F2178"/>
    </row>
    <row r="2179" spans="6:6" outlineLevel="1">
      <c r="F2179"/>
    </row>
    <row r="2180" spans="6:6" outlineLevel="1">
      <c r="F2180"/>
    </row>
    <row r="2181" spans="6:6" outlineLevel="1">
      <c r="F2181"/>
    </row>
    <row r="2182" spans="6:6" outlineLevel="1">
      <c r="F2182"/>
    </row>
    <row r="2183" spans="6:6" outlineLevel="1">
      <c r="F2183"/>
    </row>
    <row r="2184" spans="6:6" outlineLevel="1">
      <c r="F2184"/>
    </row>
    <row r="2185" spans="6:6" outlineLevel="1">
      <c r="F2185"/>
    </row>
    <row r="2186" spans="6:6" outlineLevel="1">
      <c r="F2186"/>
    </row>
    <row r="2187" spans="6:6" outlineLevel="1">
      <c r="F2187"/>
    </row>
    <row r="2188" spans="6:6" outlineLevel="1">
      <c r="F2188"/>
    </row>
    <row r="2189" spans="6:6" outlineLevel="1">
      <c r="F2189"/>
    </row>
    <row r="2190" spans="6:6" outlineLevel="1">
      <c r="F2190"/>
    </row>
    <row r="2191" spans="6:6" outlineLevel="1">
      <c r="F2191"/>
    </row>
    <row r="2192" spans="6:6" outlineLevel="1">
      <c r="F2192"/>
    </row>
    <row r="2193" spans="6:6" outlineLevel="1">
      <c r="F2193"/>
    </row>
    <row r="2194" spans="6:6" outlineLevel="1">
      <c r="F2194"/>
    </row>
    <row r="2195" spans="6:6" outlineLevel="1">
      <c r="F2195"/>
    </row>
    <row r="2196" spans="6:6" outlineLevel="1">
      <c r="F2196"/>
    </row>
    <row r="2197" spans="6:6" outlineLevel="1">
      <c r="F2197"/>
    </row>
    <row r="2198" spans="6:6" outlineLevel="1">
      <c r="F2198"/>
    </row>
    <row r="2199" spans="6:6" outlineLevel="1">
      <c r="F2199"/>
    </row>
    <row r="2200" spans="6:6" outlineLevel="1">
      <c r="F2200"/>
    </row>
    <row r="2201" spans="6:6" outlineLevel="1">
      <c r="F2201"/>
    </row>
    <row r="2202" spans="6:6" outlineLevel="1">
      <c r="F2202"/>
    </row>
    <row r="2203" spans="6:6" outlineLevel="1">
      <c r="F2203"/>
    </row>
    <row r="2204" spans="6:6" outlineLevel="1">
      <c r="F2204"/>
    </row>
    <row r="2205" spans="6:6" outlineLevel="1">
      <c r="F2205"/>
    </row>
    <row r="2206" spans="6:6" outlineLevel="1">
      <c r="F2206"/>
    </row>
    <row r="2207" spans="6:6" outlineLevel="1">
      <c r="F2207"/>
    </row>
    <row r="2208" spans="6:6" outlineLevel="1">
      <c r="F2208"/>
    </row>
    <row r="2209" spans="6:6" outlineLevel="1">
      <c r="F2209"/>
    </row>
    <row r="2210" spans="6:6" outlineLevel="1">
      <c r="F2210"/>
    </row>
    <row r="2211" spans="6:6" outlineLevel="1">
      <c r="F2211"/>
    </row>
    <row r="2212" spans="6:6" outlineLevel="1">
      <c r="F2212"/>
    </row>
    <row r="2213" spans="6:6" outlineLevel="1">
      <c r="F2213"/>
    </row>
    <row r="2214" spans="6:6" outlineLevel="1">
      <c r="F2214"/>
    </row>
    <row r="2215" spans="6:6" outlineLevel="1">
      <c r="F2215"/>
    </row>
    <row r="2216" spans="6:6" outlineLevel="1">
      <c r="F2216"/>
    </row>
    <row r="2217" spans="6:6" outlineLevel="1">
      <c r="F2217"/>
    </row>
    <row r="2218" spans="6:6" outlineLevel="1">
      <c r="F2218"/>
    </row>
    <row r="2219" spans="6:6" outlineLevel="1">
      <c r="F2219"/>
    </row>
    <row r="2220" spans="6:6" outlineLevel="1">
      <c r="F2220"/>
    </row>
    <row r="2221" spans="6:6" outlineLevel="1">
      <c r="F2221"/>
    </row>
    <row r="2222" spans="6:6" outlineLevel="1">
      <c r="F2222"/>
    </row>
    <row r="2223" spans="6:6" outlineLevel="1">
      <c r="F2223"/>
    </row>
    <row r="2224" spans="6:6" outlineLevel="1">
      <c r="F2224"/>
    </row>
    <row r="2225" spans="6:6" outlineLevel="1">
      <c r="F2225"/>
    </row>
    <row r="2226" spans="6:6" outlineLevel="1">
      <c r="F2226"/>
    </row>
    <row r="2227" spans="6:6" outlineLevel="1">
      <c r="F2227"/>
    </row>
    <row r="2228" spans="6:6" outlineLevel="1">
      <c r="F2228"/>
    </row>
    <row r="2229" spans="6:6" outlineLevel="1">
      <c r="F2229"/>
    </row>
    <row r="2230" spans="6:6" outlineLevel="1">
      <c r="F2230"/>
    </row>
    <row r="2231" spans="6:6" outlineLevel="1">
      <c r="F2231"/>
    </row>
    <row r="2232" spans="6:6" outlineLevel="1">
      <c r="F2232"/>
    </row>
    <row r="2233" spans="6:6" outlineLevel="1">
      <c r="F2233"/>
    </row>
    <row r="2234" spans="6:6" outlineLevel="1">
      <c r="F2234"/>
    </row>
    <row r="2235" spans="6:6" outlineLevel="1">
      <c r="F2235"/>
    </row>
    <row r="2236" spans="6:6" outlineLevel="1">
      <c r="F2236"/>
    </row>
    <row r="2237" spans="6:6" outlineLevel="1">
      <c r="F2237"/>
    </row>
    <row r="2238" spans="6:6" outlineLevel="1">
      <c r="F2238"/>
    </row>
    <row r="2239" spans="6:6" outlineLevel="1">
      <c r="F2239"/>
    </row>
    <row r="2240" spans="6:6" outlineLevel="1">
      <c r="F2240"/>
    </row>
    <row r="2241" spans="6:6" outlineLevel="1">
      <c r="F2241"/>
    </row>
    <row r="2242" spans="6:6" outlineLevel="1">
      <c r="F2242"/>
    </row>
    <row r="2243" spans="6:6" outlineLevel="1">
      <c r="F2243"/>
    </row>
    <row r="2244" spans="6:6" outlineLevel="1">
      <c r="F2244"/>
    </row>
    <row r="2245" spans="6:6" outlineLevel="1">
      <c r="F2245"/>
    </row>
    <row r="2246" spans="6:6" outlineLevel="1">
      <c r="F2246"/>
    </row>
    <row r="2247" spans="6:6" outlineLevel="1">
      <c r="F2247"/>
    </row>
    <row r="2248" spans="6:6" outlineLevel="1">
      <c r="F2248"/>
    </row>
    <row r="2249" spans="6:6" outlineLevel="1">
      <c r="F2249"/>
    </row>
    <row r="2250" spans="6:6" outlineLevel="1">
      <c r="F2250"/>
    </row>
    <row r="2251" spans="6:6" outlineLevel="1">
      <c r="F2251"/>
    </row>
    <row r="2252" spans="6:6" outlineLevel="1">
      <c r="F2252"/>
    </row>
    <row r="2253" spans="6:6" outlineLevel="1">
      <c r="F2253"/>
    </row>
    <row r="2254" spans="6:6" outlineLevel="1">
      <c r="F2254"/>
    </row>
    <row r="2255" spans="6:6" outlineLevel="1">
      <c r="F2255"/>
    </row>
    <row r="2256" spans="6:6" outlineLevel="1">
      <c r="F2256"/>
    </row>
    <row r="2257" spans="6:6" outlineLevel="1">
      <c r="F2257"/>
    </row>
    <row r="2258" spans="6:6" outlineLevel="1">
      <c r="F2258"/>
    </row>
    <row r="2259" spans="6:6" outlineLevel="1">
      <c r="F2259"/>
    </row>
    <row r="2260" spans="6:6" outlineLevel="1">
      <c r="F2260"/>
    </row>
    <row r="2261" spans="6:6" outlineLevel="1">
      <c r="F2261"/>
    </row>
    <row r="2262" spans="6:6" outlineLevel="1">
      <c r="F2262"/>
    </row>
    <row r="2263" spans="6:6" outlineLevel="1">
      <c r="F2263"/>
    </row>
    <row r="2264" spans="6:6" outlineLevel="1">
      <c r="F2264"/>
    </row>
    <row r="2265" spans="6:6" outlineLevel="1">
      <c r="F2265"/>
    </row>
    <row r="2266" spans="6:6" outlineLevel="1">
      <c r="F2266"/>
    </row>
    <row r="2267" spans="6:6">
      <c r="F2267"/>
    </row>
    <row r="2268" spans="6:6" outlineLevel="1">
      <c r="F2268"/>
    </row>
    <row r="2269" spans="6:6" outlineLevel="1">
      <c r="F2269"/>
    </row>
    <row r="2270" spans="6:6" outlineLevel="1">
      <c r="F2270"/>
    </row>
    <row r="2271" spans="6:6" outlineLevel="1">
      <c r="F2271"/>
    </row>
    <row r="2272" spans="6:6" outlineLevel="1">
      <c r="F2272"/>
    </row>
    <row r="2273" spans="6:6" outlineLevel="1">
      <c r="F2273"/>
    </row>
    <row r="2274" spans="6:6" outlineLevel="1">
      <c r="F2274"/>
    </row>
    <row r="2275" spans="6:6" outlineLevel="1">
      <c r="F2275"/>
    </row>
    <row r="2276" spans="6:6" outlineLevel="1">
      <c r="F2276"/>
    </row>
    <row r="2277" spans="6:6" outlineLevel="1">
      <c r="F2277"/>
    </row>
    <row r="2278" spans="6:6" outlineLevel="1">
      <c r="F2278"/>
    </row>
    <row r="2279" spans="6:6" outlineLevel="1">
      <c r="F2279"/>
    </row>
    <row r="2280" spans="6:6" outlineLevel="1">
      <c r="F2280"/>
    </row>
    <row r="2281" spans="6:6" outlineLevel="1">
      <c r="F2281"/>
    </row>
    <row r="2282" spans="6:6" outlineLevel="1">
      <c r="F2282"/>
    </row>
    <row r="2283" spans="6:6" outlineLevel="1">
      <c r="F2283"/>
    </row>
    <row r="2284" spans="6:6" outlineLevel="1">
      <c r="F2284"/>
    </row>
    <row r="2285" spans="6:6" outlineLevel="1">
      <c r="F2285"/>
    </row>
    <row r="2286" spans="6:6" outlineLevel="1">
      <c r="F2286"/>
    </row>
    <row r="2287" spans="6:6" outlineLevel="1">
      <c r="F2287"/>
    </row>
    <row r="2288" spans="6:6" outlineLevel="1">
      <c r="F2288"/>
    </row>
    <row r="2289" spans="6:6" outlineLevel="1">
      <c r="F2289"/>
    </row>
    <row r="2290" spans="6:6" outlineLevel="1">
      <c r="F2290"/>
    </row>
    <row r="2291" spans="6:6" outlineLevel="1">
      <c r="F2291"/>
    </row>
    <row r="2292" spans="6:6" outlineLevel="1">
      <c r="F2292"/>
    </row>
    <row r="2293" spans="6:6" outlineLevel="1">
      <c r="F2293"/>
    </row>
    <row r="2294" spans="6:6" outlineLevel="1">
      <c r="F2294"/>
    </row>
    <row r="2295" spans="6:6" outlineLevel="1">
      <c r="F2295"/>
    </row>
    <row r="2296" spans="6:6" outlineLevel="1">
      <c r="F2296"/>
    </row>
    <row r="2297" spans="6:6" outlineLevel="1">
      <c r="F2297"/>
    </row>
    <row r="2298" spans="6:6" outlineLevel="1">
      <c r="F2298"/>
    </row>
    <row r="2299" spans="6:6" outlineLevel="1">
      <c r="F2299"/>
    </row>
    <row r="2300" spans="6:6" outlineLevel="1">
      <c r="F2300"/>
    </row>
    <row r="2301" spans="6:6" outlineLevel="1">
      <c r="F2301"/>
    </row>
    <row r="2302" spans="6:6" outlineLevel="1">
      <c r="F2302"/>
    </row>
    <row r="2303" spans="6:6" outlineLevel="1">
      <c r="F2303"/>
    </row>
    <row r="2304" spans="6:6" outlineLevel="1">
      <c r="F2304"/>
    </row>
    <row r="2305" spans="6:6" outlineLevel="1">
      <c r="F2305"/>
    </row>
    <row r="2306" spans="6:6" outlineLevel="1">
      <c r="F2306"/>
    </row>
    <row r="2307" spans="6:6" outlineLevel="1">
      <c r="F2307"/>
    </row>
    <row r="2308" spans="6:6" outlineLevel="1">
      <c r="F2308"/>
    </row>
    <row r="2309" spans="6:6" outlineLevel="1">
      <c r="F2309"/>
    </row>
    <row r="2310" spans="6:6" outlineLevel="1">
      <c r="F2310"/>
    </row>
    <row r="2311" spans="6:6" outlineLevel="1">
      <c r="F2311"/>
    </row>
    <row r="2312" spans="6:6" outlineLevel="1">
      <c r="F2312"/>
    </row>
    <row r="2313" spans="6:6" outlineLevel="1">
      <c r="F2313"/>
    </row>
    <row r="2314" spans="6:6" outlineLevel="1">
      <c r="F2314"/>
    </row>
    <row r="2315" spans="6:6" outlineLevel="1">
      <c r="F2315"/>
    </row>
    <row r="2316" spans="6:6" outlineLevel="1">
      <c r="F2316"/>
    </row>
    <row r="2317" spans="6:6" outlineLevel="1">
      <c r="F2317"/>
    </row>
    <row r="2318" spans="6:6" outlineLevel="1">
      <c r="F2318"/>
    </row>
    <row r="2319" spans="6:6" outlineLevel="1">
      <c r="F2319"/>
    </row>
    <row r="2320" spans="6:6" outlineLevel="1">
      <c r="F2320"/>
    </row>
    <row r="2321" spans="6:6" outlineLevel="1">
      <c r="F2321"/>
    </row>
    <row r="2322" spans="6:6" outlineLevel="1">
      <c r="F2322"/>
    </row>
    <row r="2323" spans="6:6" outlineLevel="1">
      <c r="F2323"/>
    </row>
    <row r="2324" spans="6:6" outlineLevel="1">
      <c r="F2324"/>
    </row>
    <row r="2325" spans="6:6" outlineLevel="1">
      <c r="F2325"/>
    </row>
    <row r="2326" spans="6:6" outlineLevel="1">
      <c r="F2326"/>
    </row>
    <row r="2327" spans="6:6" outlineLevel="1">
      <c r="F2327"/>
    </row>
    <row r="2328" spans="6:6" outlineLevel="1">
      <c r="F2328"/>
    </row>
    <row r="2329" spans="6:6" outlineLevel="1">
      <c r="F2329"/>
    </row>
    <row r="2330" spans="6:6" outlineLevel="1">
      <c r="F2330"/>
    </row>
    <row r="2331" spans="6:6" outlineLevel="1">
      <c r="F2331"/>
    </row>
    <row r="2332" spans="6:6" outlineLevel="1">
      <c r="F2332"/>
    </row>
    <row r="2333" spans="6:6" outlineLevel="1">
      <c r="F2333"/>
    </row>
    <row r="2334" spans="6:6" outlineLevel="1">
      <c r="F2334"/>
    </row>
    <row r="2335" spans="6:6" outlineLevel="1">
      <c r="F2335"/>
    </row>
    <row r="2336" spans="6:6" outlineLevel="1">
      <c r="F2336"/>
    </row>
    <row r="2337" spans="6:6" outlineLevel="1">
      <c r="F2337"/>
    </row>
    <row r="2338" spans="6:6" outlineLevel="1">
      <c r="F2338"/>
    </row>
    <row r="2339" spans="6:6" outlineLevel="1">
      <c r="F2339"/>
    </row>
    <row r="2340" spans="6:6" outlineLevel="1">
      <c r="F2340"/>
    </row>
    <row r="2341" spans="6:6" outlineLevel="1">
      <c r="F2341"/>
    </row>
    <row r="2342" spans="6:6" outlineLevel="1">
      <c r="F2342"/>
    </row>
    <row r="2343" spans="6:6" outlineLevel="1">
      <c r="F2343"/>
    </row>
    <row r="2344" spans="6:6" outlineLevel="1">
      <c r="F2344"/>
    </row>
    <row r="2345" spans="6:6" outlineLevel="1">
      <c r="F2345"/>
    </row>
    <row r="2346" spans="6:6" outlineLevel="1">
      <c r="F2346"/>
    </row>
    <row r="2347" spans="6:6" outlineLevel="1">
      <c r="F2347"/>
    </row>
    <row r="2348" spans="6:6" outlineLevel="1">
      <c r="F2348"/>
    </row>
    <row r="2349" spans="6:6" outlineLevel="1">
      <c r="F2349"/>
    </row>
    <row r="2350" spans="6:6" outlineLevel="1">
      <c r="F2350"/>
    </row>
    <row r="2351" spans="6:6" outlineLevel="1">
      <c r="F2351"/>
    </row>
    <row r="2352" spans="6:6" outlineLevel="1">
      <c r="F2352"/>
    </row>
    <row r="2353" spans="6:6" outlineLevel="1">
      <c r="F2353"/>
    </row>
    <row r="2354" spans="6:6" outlineLevel="1">
      <c r="F2354"/>
    </row>
    <row r="2355" spans="6:6" outlineLevel="1">
      <c r="F2355"/>
    </row>
    <row r="2356" spans="6:6" outlineLevel="1">
      <c r="F2356"/>
    </row>
    <row r="2357" spans="6:6" outlineLevel="1">
      <c r="F2357"/>
    </row>
    <row r="2358" spans="6:6" outlineLevel="1">
      <c r="F2358"/>
    </row>
    <row r="2359" spans="6:6" outlineLevel="1">
      <c r="F2359"/>
    </row>
    <row r="2360" spans="6:6" outlineLevel="1">
      <c r="F2360"/>
    </row>
    <row r="2361" spans="6:6" outlineLevel="1">
      <c r="F2361"/>
    </row>
    <row r="2362" spans="6:6">
      <c r="F2362"/>
    </row>
    <row r="2363" spans="6:6" outlineLevel="1">
      <c r="F2363"/>
    </row>
    <row r="2364" spans="6:6" outlineLevel="1">
      <c r="F2364"/>
    </row>
    <row r="2365" spans="6:6" outlineLevel="1">
      <c r="F2365"/>
    </row>
    <row r="2366" spans="6:6" outlineLevel="1">
      <c r="F2366"/>
    </row>
    <row r="2367" spans="6:6" outlineLevel="1">
      <c r="F2367"/>
    </row>
    <row r="2368" spans="6:6" outlineLevel="1">
      <c r="F2368"/>
    </row>
    <row r="2369" spans="6:6" outlineLevel="1">
      <c r="F2369"/>
    </row>
    <row r="2370" spans="6:6" outlineLevel="1">
      <c r="F2370"/>
    </row>
    <row r="2371" spans="6:6" outlineLevel="1">
      <c r="F2371"/>
    </row>
    <row r="2372" spans="6:6" outlineLevel="1">
      <c r="F2372"/>
    </row>
    <row r="2373" spans="6:6" outlineLevel="1">
      <c r="F2373"/>
    </row>
    <row r="2374" spans="6:6" outlineLevel="1">
      <c r="F2374"/>
    </row>
    <row r="2375" spans="6:6" outlineLevel="1">
      <c r="F2375"/>
    </row>
    <row r="2376" spans="6:6">
      <c r="F2376"/>
    </row>
    <row r="2377" spans="6:6" outlineLevel="1">
      <c r="F2377"/>
    </row>
    <row r="2378" spans="6:6" outlineLevel="1">
      <c r="F2378"/>
    </row>
    <row r="2379" spans="6:6" outlineLevel="1">
      <c r="F2379"/>
    </row>
    <row r="2380" spans="6:6" outlineLevel="1">
      <c r="F2380"/>
    </row>
    <row r="2381" spans="6:6" outlineLevel="1">
      <c r="F2381"/>
    </row>
    <row r="2382" spans="6:6" outlineLevel="1">
      <c r="F2382"/>
    </row>
    <row r="2383" spans="6:6" outlineLevel="1">
      <c r="F2383"/>
    </row>
    <row r="2384" spans="6:6" outlineLevel="1">
      <c r="F2384"/>
    </row>
    <row r="2385" spans="6:6" outlineLevel="1">
      <c r="F2385"/>
    </row>
    <row r="2386" spans="6:6" outlineLevel="1">
      <c r="F2386"/>
    </row>
    <row r="2387" spans="6:6" outlineLevel="1">
      <c r="F2387"/>
    </row>
    <row r="2388" spans="6:6" outlineLevel="1">
      <c r="F2388"/>
    </row>
    <row r="2389" spans="6:6" outlineLevel="1">
      <c r="F2389"/>
    </row>
    <row r="2390" spans="6:6" outlineLevel="1">
      <c r="F2390"/>
    </row>
    <row r="2391" spans="6:6" outlineLevel="1">
      <c r="F2391"/>
    </row>
    <row r="2392" spans="6:6" outlineLevel="1">
      <c r="F2392"/>
    </row>
    <row r="2393" spans="6:6" outlineLevel="1">
      <c r="F2393"/>
    </row>
    <row r="2394" spans="6:6" outlineLevel="1">
      <c r="F2394"/>
    </row>
    <row r="2395" spans="6:6" outlineLevel="1">
      <c r="F2395"/>
    </row>
    <row r="2396" spans="6:6" outlineLevel="1">
      <c r="F2396"/>
    </row>
    <row r="2397" spans="6:6" outlineLevel="1">
      <c r="F2397"/>
    </row>
    <row r="2398" spans="6:6" outlineLevel="1">
      <c r="F2398"/>
    </row>
    <row r="2399" spans="6:6" outlineLevel="1">
      <c r="F2399"/>
    </row>
    <row r="2400" spans="6:6" outlineLevel="1">
      <c r="F2400"/>
    </row>
    <row r="2401" spans="6:6" outlineLevel="1">
      <c r="F2401"/>
    </row>
    <row r="2402" spans="6:6" outlineLevel="1">
      <c r="F2402"/>
    </row>
    <row r="2403" spans="6:6" outlineLevel="1">
      <c r="F2403"/>
    </row>
    <row r="2404" spans="6:6" outlineLevel="1">
      <c r="F2404"/>
    </row>
    <row r="2405" spans="6:6" outlineLevel="1">
      <c r="F2405"/>
    </row>
    <row r="2406" spans="6:6" outlineLevel="1">
      <c r="F2406"/>
    </row>
    <row r="2407" spans="6:6" outlineLevel="1">
      <c r="F2407"/>
    </row>
    <row r="2408" spans="6:6" outlineLevel="1">
      <c r="F2408"/>
    </row>
    <row r="2409" spans="6:6" outlineLevel="1">
      <c r="F2409"/>
    </row>
    <row r="2410" spans="6:6" outlineLevel="1">
      <c r="F2410"/>
    </row>
    <row r="2411" spans="6:6" outlineLevel="1">
      <c r="F2411"/>
    </row>
    <row r="2412" spans="6:6" outlineLevel="1">
      <c r="F2412"/>
    </row>
    <row r="2413" spans="6:6" outlineLevel="1">
      <c r="F2413"/>
    </row>
    <row r="2414" spans="6:6" outlineLevel="1">
      <c r="F2414"/>
    </row>
    <row r="2415" spans="6:6" outlineLevel="1">
      <c r="F2415"/>
    </row>
    <row r="2416" spans="6:6" outlineLevel="1">
      <c r="F2416"/>
    </row>
    <row r="2417" spans="6:6" outlineLevel="1">
      <c r="F2417"/>
    </row>
    <row r="2418" spans="6:6" outlineLevel="1">
      <c r="F2418"/>
    </row>
    <row r="2419" spans="6:6" outlineLevel="1">
      <c r="F2419"/>
    </row>
    <row r="2420" spans="6:6" outlineLevel="1">
      <c r="F2420"/>
    </row>
    <row r="2421" spans="6:6" outlineLevel="1">
      <c r="F2421"/>
    </row>
    <row r="2422" spans="6:6" outlineLevel="1">
      <c r="F2422"/>
    </row>
    <row r="2423" spans="6:6" outlineLevel="1">
      <c r="F2423"/>
    </row>
    <row r="2424" spans="6:6" outlineLevel="1">
      <c r="F2424"/>
    </row>
    <row r="2425" spans="6:6" outlineLevel="1">
      <c r="F2425"/>
    </row>
    <row r="2426" spans="6:6" outlineLevel="1">
      <c r="F2426"/>
    </row>
    <row r="2427" spans="6:6" outlineLevel="1">
      <c r="F2427"/>
    </row>
    <row r="2428" spans="6:6" outlineLevel="1">
      <c r="F2428"/>
    </row>
    <row r="2429" spans="6:6" outlineLevel="1">
      <c r="F2429"/>
    </row>
    <row r="2430" spans="6:6" outlineLevel="1">
      <c r="F2430"/>
    </row>
    <row r="2431" spans="6:6" outlineLevel="1">
      <c r="F2431"/>
    </row>
    <row r="2432" spans="6:6" outlineLevel="1">
      <c r="F2432"/>
    </row>
    <row r="2433" spans="6:6" outlineLevel="1">
      <c r="F2433"/>
    </row>
    <row r="2434" spans="6:6" outlineLevel="1">
      <c r="F2434"/>
    </row>
    <row r="2435" spans="6:6" outlineLevel="1">
      <c r="F2435"/>
    </row>
    <row r="2436" spans="6:6" outlineLevel="1">
      <c r="F2436"/>
    </row>
    <row r="2437" spans="6:6" outlineLevel="1">
      <c r="F2437"/>
    </row>
    <row r="2438" spans="6:6" outlineLevel="1">
      <c r="F2438"/>
    </row>
    <row r="2439" spans="6:6" outlineLevel="1">
      <c r="F2439"/>
    </row>
    <row r="2440" spans="6:6" outlineLevel="1">
      <c r="F2440"/>
    </row>
    <row r="2441" spans="6:6" outlineLevel="1">
      <c r="F2441"/>
    </row>
    <row r="2442" spans="6:6" outlineLevel="1">
      <c r="F2442"/>
    </row>
    <row r="2443" spans="6:6" outlineLevel="1">
      <c r="F2443"/>
    </row>
    <row r="2444" spans="6:6" outlineLevel="1">
      <c r="F2444"/>
    </row>
    <row r="2445" spans="6:6" outlineLevel="1">
      <c r="F2445"/>
    </row>
    <row r="2446" spans="6:6" outlineLevel="1">
      <c r="F2446"/>
    </row>
    <row r="2447" spans="6:6" outlineLevel="1">
      <c r="F2447"/>
    </row>
    <row r="2448" spans="6:6" outlineLevel="1">
      <c r="F2448"/>
    </row>
    <row r="2449" spans="6:6" outlineLevel="1">
      <c r="F2449"/>
    </row>
    <row r="2450" spans="6:6" outlineLevel="1">
      <c r="F2450"/>
    </row>
    <row r="2451" spans="6:6" outlineLevel="1">
      <c r="F2451"/>
    </row>
    <row r="2452" spans="6:6" outlineLevel="1">
      <c r="F2452"/>
    </row>
    <row r="2453" spans="6:6" outlineLevel="1">
      <c r="F2453"/>
    </row>
    <row r="2454" spans="6:6" outlineLevel="1">
      <c r="F2454"/>
    </row>
    <row r="2455" spans="6:6" outlineLevel="1">
      <c r="F2455"/>
    </row>
    <row r="2456" spans="6:6" outlineLevel="1">
      <c r="F2456"/>
    </row>
    <row r="2457" spans="6:6" outlineLevel="1">
      <c r="F2457"/>
    </row>
    <row r="2458" spans="6:6" outlineLevel="1">
      <c r="F2458"/>
    </row>
    <row r="2459" spans="6:6" outlineLevel="1">
      <c r="F2459"/>
    </row>
    <row r="2460" spans="6:6" outlineLevel="1">
      <c r="F2460"/>
    </row>
    <row r="2461" spans="6:6" outlineLevel="1">
      <c r="F2461"/>
    </row>
    <row r="2462" spans="6:6" outlineLevel="1">
      <c r="F2462"/>
    </row>
    <row r="2463" spans="6:6" outlineLevel="1">
      <c r="F2463"/>
    </row>
    <row r="2464" spans="6:6" outlineLevel="1">
      <c r="F2464"/>
    </row>
    <row r="2465" spans="6:6" outlineLevel="1">
      <c r="F2465"/>
    </row>
    <row r="2466" spans="6:6" outlineLevel="1">
      <c r="F2466"/>
    </row>
    <row r="2467" spans="6:6" outlineLevel="1">
      <c r="F2467"/>
    </row>
    <row r="2468" spans="6:6" outlineLevel="1">
      <c r="F2468"/>
    </row>
    <row r="2469" spans="6:6" outlineLevel="1">
      <c r="F2469"/>
    </row>
    <row r="2470" spans="6:6" outlineLevel="1">
      <c r="F2470"/>
    </row>
    <row r="2471" spans="6:6" outlineLevel="1">
      <c r="F2471"/>
    </row>
    <row r="2472" spans="6:6" outlineLevel="1">
      <c r="F2472"/>
    </row>
    <row r="2473" spans="6:6" outlineLevel="1">
      <c r="F2473"/>
    </row>
    <row r="2474" spans="6:6" outlineLevel="1">
      <c r="F2474"/>
    </row>
    <row r="2475" spans="6:6" outlineLevel="1">
      <c r="F2475"/>
    </row>
    <row r="2476" spans="6:6" outlineLevel="1">
      <c r="F2476"/>
    </row>
    <row r="2477" spans="6:6" outlineLevel="1">
      <c r="F2477"/>
    </row>
    <row r="2478" spans="6:6" outlineLevel="1">
      <c r="F2478"/>
    </row>
    <row r="2479" spans="6:6" outlineLevel="1">
      <c r="F2479"/>
    </row>
    <row r="2480" spans="6:6" outlineLevel="1">
      <c r="F2480"/>
    </row>
    <row r="2481" spans="6:6" outlineLevel="1">
      <c r="F2481"/>
    </row>
    <row r="2482" spans="6:6" outlineLevel="1">
      <c r="F2482"/>
    </row>
    <row r="2483" spans="6:6" outlineLevel="1">
      <c r="F2483"/>
    </row>
    <row r="2484" spans="6:6" outlineLevel="1">
      <c r="F2484"/>
    </row>
    <row r="2485" spans="6:6" outlineLevel="1">
      <c r="F2485"/>
    </row>
    <row r="2486" spans="6:6" outlineLevel="1">
      <c r="F2486"/>
    </row>
    <row r="2487" spans="6:6" outlineLevel="1">
      <c r="F2487"/>
    </row>
    <row r="2488" spans="6:6" outlineLevel="1">
      <c r="F2488"/>
    </row>
    <row r="2489" spans="6:6" outlineLevel="1">
      <c r="F2489"/>
    </row>
    <row r="2490" spans="6:6" outlineLevel="1">
      <c r="F2490"/>
    </row>
    <row r="2491" spans="6:6" outlineLevel="1">
      <c r="F2491"/>
    </row>
    <row r="2492" spans="6:6" outlineLevel="1">
      <c r="F2492"/>
    </row>
    <row r="2493" spans="6:6" outlineLevel="1">
      <c r="F2493"/>
    </row>
    <row r="2494" spans="6:6" outlineLevel="1">
      <c r="F2494"/>
    </row>
    <row r="2495" spans="6:6" outlineLevel="1">
      <c r="F2495"/>
    </row>
    <row r="2496" spans="6:6" outlineLevel="1">
      <c r="F2496"/>
    </row>
    <row r="2497" spans="6:6" outlineLevel="1">
      <c r="F2497"/>
    </row>
    <row r="2498" spans="6:6" outlineLevel="1">
      <c r="F2498"/>
    </row>
    <row r="2499" spans="6:6" outlineLevel="1">
      <c r="F2499"/>
    </row>
    <row r="2500" spans="6:6" outlineLevel="1">
      <c r="F2500"/>
    </row>
    <row r="2501" spans="6:6" outlineLevel="1">
      <c r="F2501"/>
    </row>
    <row r="2502" spans="6:6" outlineLevel="1">
      <c r="F2502"/>
    </row>
    <row r="2503" spans="6:6" outlineLevel="1">
      <c r="F2503"/>
    </row>
    <row r="2504" spans="6:6" outlineLevel="1">
      <c r="F2504"/>
    </row>
    <row r="2505" spans="6:6" outlineLevel="1">
      <c r="F2505"/>
    </row>
    <row r="2506" spans="6:6" outlineLevel="1">
      <c r="F2506"/>
    </row>
    <row r="2507" spans="6:6" outlineLevel="1">
      <c r="F2507"/>
    </row>
    <row r="2508" spans="6:6" outlineLevel="1">
      <c r="F2508"/>
    </row>
    <row r="2509" spans="6:6" outlineLevel="1">
      <c r="F2509"/>
    </row>
    <row r="2510" spans="6:6" outlineLevel="1">
      <c r="F2510"/>
    </row>
    <row r="2511" spans="6:6" outlineLevel="1">
      <c r="F2511"/>
    </row>
    <row r="2512" spans="6:6" outlineLevel="1">
      <c r="F2512"/>
    </row>
    <row r="2513" spans="6:6" outlineLevel="1">
      <c r="F2513"/>
    </row>
    <row r="2514" spans="6:6" outlineLevel="1">
      <c r="F2514"/>
    </row>
    <row r="2515" spans="6:6" outlineLevel="1">
      <c r="F2515"/>
    </row>
    <row r="2516" spans="6:6" outlineLevel="1">
      <c r="F2516"/>
    </row>
    <row r="2517" spans="6:6" outlineLevel="1">
      <c r="F2517"/>
    </row>
    <row r="2518" spans="6:6" outlineLevel="1">
      <c r="F2518"/>
    </row>
    <row r="2519" spans="6:6" outlineLevel="1">
      <c r="F2519"/>
    </row>
    <row r="2520" spans="6:6" outlineLevel="1">
      <c r="F2520"/>
    </row>
    <row r="2521" spans="6:6" outlineLevel="1">
      <c r="F2521"/>
    </row>
    <row r="2522" spans="6:6" outlineLevel="1">
      <c r="F2522"/>
    </row>
    <row r="2523" spans="6:6" outlineLevel="1">
      <c r="F2523"/>
    </row>
    <row r="2524" spans="6:6" outlineLevel="1">
      <c r="F2524"/>
    </row>
    <row r="2525" spans="6:6" outlineLevel="1">
      <c r="F2525"/>
    </row>
    <row r="2526" spans="6:6" outlineLevel="1">
      <c r="F2526"/>
    </row>
    <row r="2527" spans="6:6" outlineLevel="1">
      <c r="F2527"/>
    </row>
    <row r="2528" spans="6:6" outlineLevel="1">
      <c r="F2528"/>
    </row>
    <row r="2529" spans="6:6" outlineLevel="1">
      <c r="F2529"/>
    </row>
    <row r="2530" spans="6:6" outlineLevel="1">
      <c r="F2530"/>
    </row>
    <row r="2531" spans="6:6" outlineLevel="1">
      <c r="F2531"/>
    </row>
    <row r="2532" spans="6:6" outlineLevel="1">
      <c r="F2532"/>
    </row>
    <row r="2533" spans="6:6" outlineLevel="1">
      <c r="F2533"/>
    </row>
    <row r="2534" spans="6:6" outlineLevel="1">
      <c r="F2534"/>
    </row>
    <row r="2535" spans="6:6" outlineLevel="1">
      <c r="F2535"/>
    </row>
    <row r="2536" spans="6:6" outlineLevel="1">
      <c r="F2536"/>
    </row>
    <row r="2537" spans="6:6" outlineLevel="1">
      <c r="F2537"/>
    </row>
    <row r="2538" spans="6:6" outlineLevel="1">
      <c r="F2538"/>
    </row>
    <row r="2539" spans="6:6" outlineLevel="1">
      <c r="F2539"/>
    </row>
    <row r="2540" spans="6:6" outlineLevel="1">
      <c r="F2540"/>
    </row>
    <row r="2541" spans="6:6" outlineLevel="1">
      <c r="F2541"/>
    </row>
    <row r="2542" spans="6:6" outlineLevel="1">
      <c r="F2542"/>
    </row>
    <row r="2543" spans="6:6" outlineLevel="1">
      <c r="F2543"/>
    </row>
    <row r="2544" spans="6:6" outlineLevel="1">
      <c r="F2544"/>
    </row>
    <row r="2545" spans="6:6" outlineLevel="1">
      <c r="F2545"/>
    </row>
    <row r="2546" spans="6:6" outlineLevel="1">
      <c r="F2546"/>
    </row>
    <row r="2547" spans="6:6" outlineLevel="1">
      <c r="F2547"/>
    </row>
    <row r="2548" spans="6:6" outlineLevel="1">
      <c r="F2548"/>
    </row>
    <row r="2549" spans="6:6" outlineLevel="1">
      <c r="F2549"/>
    </row>
    <row r="2550" spans="6:6" outlineLevel="1">
      <c r="F2550"/>
    </row>
    <row r="2551" spans="6:6" outlineLevel="1">
      <c r="F2551"/>
    </row>
    <row r="2552" spans="6:6" outlineLevel="1">
      <c r="F2552"/>
    </row>
    <row r="2553" spans="6:6" outlineLevel="1">
      <c r="F2553"/>
    </row>
    <row r="2554" spans="6:6" outlineLevel="1">
      <c r="F2554"/>
    </row>
    <row r="2555" spans="6:6" outlineLevel="1">
      <c r="F2555"/>
    </row>
    <row r="2556" spans="6:6" outlineLevel="1">
      <c r="F2556"/>
    </row>
    <row r="2557" spans="6:6" outlineLevel="1">
      <c r="F2557"/>
    </row>
    <row r="2558" spans="6:6" outlineLevel="1">
      <c r="F2558"/>
    </row>
    <row r="2559" spans="6:6" outlineLevel="1">
      <c r="F2559"/>
    </row>
    <row r="2560" spans="6:6" outlineLevel="1">
      <c r="F2560"/>
    </row>
    <row r="2561" spans="6:6" outlineLevel="1">
      <c r="F2561"/>
    </row>
    <row r="2562" spans="6:6" outlineLevel="1">
      <c r="F2562"/>
    </row>
    <row r="2563" spans="6:6" outlineLevel="1">
      <c r="F2563"/>
    </row>
    <row r="2564" spans="6:6" outlineLevel="1">
      <c r="F2564"/>
    </row>
    <row r="2565" spans="6:6" outlineLevel="1">
      <c r="F2565"/>
    </row>
    <row r="2566" spans="6:6" outlineLevel="1">
      <c r="F2566"/>
    </row>
    <row r="2567" spans="6:6" outlineLevel="1">
      <c r="F2567"/>
    </row>
    <row r="2568" spans="6:6" outlineLevel="1">
      <c r="F2568"/>
    </row>
    <row r="2569" spans="6:6" outlineLevel="1">
      <c r="F2569"/>
    </row>
    <row r="2570" spans="6:6" outlineLevel="1">
      <c r="F2570"/>
    </row>
    <row r="2571" spans="6:6" outlineLevel="1">
      <c r="F2571"/>
    </row>
    <row r="2572" spans="6:6" outlineLevel="1">
      <c r="F2572"/>
    </row>
    <row r="2573" spans="6:6" outlineLevel="1">
      <c r="F2573"/>
    </row>
    <row r="2574" spans="6:6" outlineLevel="1">
      <c r="F2574"/>
    </row>
    <row r="2575" spans="6:6" outlineLevel="1">
      <c r="F2575"/>
    </row>
    <row r="2576" spans="6:6" outlineLevel="1">
      <c r="F2576"/>
    </row>
    <row r="2577" spans="6:6" outlineLevel="1">
      <c r="F2577"/>
    </row>
    <row r="2578" spans="6:6" outlineLevel="1">
      <c r="F2578"/>
    </row>
    <row r="2579" spans="6:6" outlineLevel="1">
      <c r="F2579"/>
    </row>
    <row r="2580" spans="6:6" outlineLevel="1">
      <c r="F2580"/>
    </row>
    <row r="2581" spans="6:6" outlineLevel="1">
      <c r="F2581"/>
    </row>
    <row r="2582" spans="6:6" outlineLevel="1">
      <c r="F2582"/>
    </row>
    <row r="2583" spans="6:6" outlineLevel="1">
      <c r="F2583"/>
    </row>
    <row r="2584" spans="6:6" outlineLevel="1">
      <c r="F2584"/>
    </row>
    <row r="2585" spans="6:6" outlineLevel="1">
      <c r="F2585"/>
    </row>
    <row r="2586" spans="6:6" outlineLevel="1">
      <c r="F2586"/>
    </row>
    <row r="2587" spans="6:6" outlineLevel="1">
      <c r="F2587"/>
    </row>
    <row r="2588" spans="6:6" outlineLevel="1">
      <c r="F2588"/>
    </row>
    <row r="2589" spans="6:6" outlineLevel="1">
      <c r="F2589"/>
    </row>
    <row r="2590" spans="6:6" outlineLevel="1">
      <c r="F2590"/>
    </row>
    <row r="2591" spans="6:6" outlineLevel="1">
      <c r="F2591"/>
    </row>
    <row r="2592" spans="6:6">
      <c r="F2592"/>
    </row>
    <row r="2593" spans="6:6" outlineLevel="1">
      <c r="F2593"/>
    </row>
    <row r="2594" spans="6:6" outlineLevel="1">
      <c r="F2594"/>
    </row>
    <row r="2595" spans="6:6" outlineLevel="1">
      <c r="F2595"/>
    </row>
    <row r="2596" spans="6:6" outlineLevel="1">
      <c r="F2596"/>
    </row>
    <row r="2597" spans="6:6" outlineLevel="1">
      <c r="F2597"/>
    </row>
    <row r="2598" spans="6:6" outlineLevel="1">
      <c r="F2598"/>
    </row>
    <row r="2599" spans="6:6" outlineLevel="1">
      <c r="F2599"/>
    </row>
    <row r="2600" spans="6:6" outlineLevel="1">
      <c r="F2600"/>
    </row>
    <row r="2601" spans="6:6" outlineLevel="1">
      <c r="F2601"/>
    </row>
    <row r="2602" spans="6:6" outlineLevel="1">
      <c r="F2602"/>
    </row>
    <row r="2603" spans="6:6" outlineLevel="1">
      <c r="F2603"/>
    </row>
    <row r="2604" spans="6:6" outlineLevel="1">
      <c r="F2604"/>
    </row>
    <row r="2605" spans="6:6">
      <c r="F2605"/>
    </row>
    <row r="2606" spans="6:6" outlineLevel="1">
      <c r="F2606"/>
    </row>
    <row r="2607" spans="6:6" outlineLevel="1">
      <c r="F2607"/>
    </row>
    <row r="2608" spans="6:6" outlineLevel="1">
      <c r="F2608"/>
    </row>
    <row r="2609" spans="6:6" outlineLevel="1">
      <c r="F2609"/>
    </row>
    <row r="2610" spans="6:6" outlineLevel="1">
      <c r="F2610"/>
    </row>
    <row r="2611" spans="6:6" outlineLevel="1">
      <c r="F2611"/>
    </row>
    <row r="2612" spans="6:6" outlineLevel="1">
      <c r="F2612"/>
    </row>
    <row r="2613" spans="6:6" outlineLevel="1">
      <c r="F2613"/>
    </row>
    <row r="2614" spans="6:6">
      <c r="F2614"/>
    </row>
    <row r="2615" spans="6:6" outlineLevel="1">
      <c r="F2615"/>
    </row>
    <row r="2616" spans="6:6" outlineLevel="1">
      <c r="F2616"/>
    </row>
    <row r="2617" spans="6:6" outlineLevel="1">
      <c r="F2617"/>
    </row>
    <row r="2618" spans="6:6" outlineLevel="1">
      <c r="F2618"/>
    </row>
    <row r="2619" spans="6:6" outlineLevel="1">
      <c r="F2619"/>
    </row>
    <row r="2620" spans="6:6" outlineLevel="1">
      <c r="F2620"/>
    </row>
    <row r="2621" spans="6:6" outlineLevel="1">
      <c r="F2621"/>
    </row>
    <row r="2622" spans="6:6" outlineLevel="1">
      <c r="F2622"/>
    </row>
    <row r="2623" spans="6:6" outlineLevel="1">
      <c r="F2623"/>
    </row>
    <row r="2624" spans="6:6" outlineLevel="1">
      <c r="F2624"/>
    </row>
    <row r="2625" spans="6:6" outlineLevel="1">
      <c r="F2625"/>
    </row>
    <row r="2626" spans="6:6" outlineLevel="1">
      <c r="F2626"/>
    </row>
    <row r="2627" spans="6:6">
      <c r="F2627"/>
    </row>
    <row r="2628" spans="6:6" outlineLevel="1">
      <c r="F2628"/>
    </row>
    <row r="2629" spans="6:6" outlineLevel="1">
      <c r="F2629"/>
    </row>
    <row r="2630" spans="6:6" outlineLevel="1">
      <c r="F2630"/>
    </row>
    <row r="2631" spans="6:6" outlineLevel="1">
      <c r="F2631"/>
    </row>
    <row r="2632" spans="6:6" outlineLevel="1">
      <c r="F2632"/>
    </row>
    <row r="2633" spans="6:6" outlineLevel="1">
      <c r="F2633"/>
    </row>
    <row r="2634" spans="6:6" outlineLevel="1">
      <c r="F2634"/>
    </row>
    <row r="2635" spans="6:6" outlineLevel="1">
      <c r="F2635"/>
    </row>
    <row r="2636" spans="6:6" outlineLevel="1">
      <c r="F2636"/>
    </row>
    <row r="2637" spans="6:6" outlineLevel="1">
      <c r="F2637"/>
    </row>
    <row r="2638" spans="6:6" outlineLevel="1">
      <c r="F2638"/>
    </row>
    <row r="2639" spans="6:6" outlineLevel="1">
      <c r="F2639"/>
    </row>
    <row r="2640" spans="6:6" outlineLevel="1">
      <c r="F2640"/>
    </row>
    <row r="2641" spans="6:6" outlineLevel="1">
      <c r="F2641"/>
    </row>
    <row r="2642" spans="6:6" outlineLevel="1">
      <c r="F2642"/>
    </row>
    <row r="2643" spans="6:6" outlineLevel="1">
      <c r="F2643"/>
    </row>
    <row r="2644" spans="6:6" outlineLevel="1">
      <c r="F2644"/>
    </row>
    <row r="2645" spans="6:6" outlineLevel="1">
      <c r="F2645"/>
    </row>
    <row r="2646" spans="6:6" outlineLevel="1">
      <c r="F2646"/>
    </row>
    <row r="2647" spans="6:6" outlineLevel="1">
      <c r="F2647"/>
    </row>
    <row r="2648" spans="6:6" outlineLevel="1">
      <c r="F2648"/>
    </row>
    <row r="2649" spans="6:6" outlineLevel="1">
      <c r="F2649"/>
    </row>
    <row r="2650" spans="6:6" outlineLevel="1">
      <c r="F2650"/>
    </row>
    <row r="2651" spans="6:6" outlineLevel="1">
      <c r="F2651"/>
    </row>
    <row r="2652" spans="6:6" outlineLevel="1">
      <c r="F2652"/>
    </row>
    <row r="2653" spans="6:6" outlineLevel="1">
      <c r="F2653"/>
    </row>
    <row r="2654" spans="6:6" outlineLevel="1">
      <c r="F2654"/>
    </row>
    <row r="2655" spans="6:6" outlineLevel="1">
      <c r="F2655"/>
    </row>
    <row r="2656" spans="6:6" outlineLevel="1">
      <c r="F2656"/>
    </row>
    <row r="2657" spans="6:6" outlineLevel="1">
      <c r="F2657"/>
    </row>
    <row r="2658" spans="6:6" outlineLevel="1">
      <c r="F2658"/>
    </row>
    <row r="2659" spans="6:6" outlineLevel="1">
      <c r="F2659"/>
    </row>
    <row r="2660" spans="6:6" outlineLevel="1">
      <c r="F2660"/>
    </row>
    <row r="2661" spans="6:6" outlineLevel="1">
      <c r="F2661"/>
    </row>
    <row r="2662" spans="6:6" outlineLevel="1">
      <c r="F2662"/>
    </row>
    <row r="2663" spans="6:6" outlineLevel="1">
      <c r="F2663"/>
    </row>
    <row r="2664" spans="6:6" outlineLevel="1">
      <c r="F2664"/>
    </row>
    <row r="2665" spans="6:6" outlineLevel="1">
      <c r="F2665"/>
    </row>
    <row r="2666" spans="6:6" outlineLevel="1">
      <c r="F2666"/>
    </row>
    <row r="2667" spans="6:6" outlineLevel="1">
      <c r="F2667"/>
    </row>
    <row r="2668" spans="6:6" outlineLevel="1">
      <c r="F2668"/>
    </row>
    <row r="2669" spans="6:6" outlineLevel="1">
      <c r="F2669"/>
    </row>
    <row r="2670" spans="6:6" outlineLevel="1">
      <c r="F2670"/>
    </row>
    <row r="2671" spans="6:6" outlineLevel="1">
      <c r="F2671"/>
    </row>
    <row r="2672" spans="6:6" outlineLevel="1">
      <c r="F2672"/>
    </row>
    <row r="2673" spans="6:6" outlineLevel="1">
      <c r="F2673"/>
    </row>
    <row r="2674" spans="6:6" outlineLevel="1">
      <c r="F2674"/>
    </row>
    <row r="2675" spans="6:6" outlineLevel="1">
      <c r="F2675"/>
    </row>
    <row r="2676" spans="6:6" outlineLevel="1">
      <c r="F2676"/>
    </row>
    <row r="2677" spans="6:6" outlineLevel="1">
      <c r="F2677"/>
    </row>
    <row r="2678" spans="6:6" outlineLevel="1">
      <c r="F2678"/>
    </row>
    <row r="2679" spans="6:6" outlineLevel="1">
      <c r="F2679"/>
    </row>
    <row r="2680" spans="6:6" outlineLevel="1">
      <c r="F2680"/>
    </row>
    <row r="2681" spans="6:6" outlineLevel="1">
      <c r="F2681"/>
    </row>
    <row r="2682" spans="6:6" outlineLevel="1">
      <c r="F2682"/>
    </row>
    <row r="2683" spans="6:6" outlineLevel="1">
      <c r="F2683"/>
    </row>
    <row r="2684" spans="6:6" outlineLevel="1">
      <c r="F2684"/>
    </row>
    <row r="2685" spans="6:6" outlineLevel="1">
      <c r="F2685"/>
    </row>
    <row r="2686" spans="6:6" outlineLevel="1">
      <c r="F2686"/>
    </row>
    <row r="2687" spans="6:6" outlineLevel="1">
      <c r="F2687"/>
    </row>
    <row r="2688" spans="6:6" outlineLevel="1">
      <c r="F2688"/>
    </row>
    <row r="2689" spans="6:6" outlineLevel="1">
      <c r="F2689"/>
    </row>
    <row r="2690" spans="6:6" outlineLevel="1">
      <c r="F2690"/>
    </row>
    <row r="2691" spans="6:6" outlineLevel="1">
      <c r="F2691"/>
    </row>
    <row r="2692" spans="6:6" outlineLevel="1">
      <c r="F2692"/>
    </row>
    <row r="2693" spans="6:6" outlineLevel="1">
      <c r="F2693"/>
    </row>
    <row r="2694" spans="6:6" outlineLevel="1">
      <c r="F2694"/>
    </row>
    <row r="2695" spans="6:6" outlineLevel="1">
      <c r="F2695"/>
    </row>
    <row r="2696" spans="6:6" outlineLevel="1">
      <c r="F2696"/>
    </row>
    <row r="2697" spans="6:6" outlineLevel="1">
      <c r="F2697"/>
    </row>
    <row r="2698" spans="6:6" outlineLevel="1">
      <c r="F2698"/>
    </row>
    <row r="2699" spans="6:6" outlineLevel="1">
      <c r="F2699"/>
    </row>
    <row r="2700" spans="6:6" outlineLevel="1">
      <c r="F2700"/>
    </row>
    <row r="2701" spans="6:6" outlineLevel="1">
      <c r="F2701"/>
    </row>
    <row r="2702" spans="6:6" outlineLevel="1">
      <c r="F2702"/>
    </row>
    <row r="2703" spans="6:6" outlineLevel="1">
      <c r="F2703"/>
    </row>
    <row r="2704" spans="6:6" outlineLevel="1">
      <c r="F2704"/>
    </row>
    <row r="2705" spans="6:6" outlineLevel="1">
      <c r="F2705"/>
    </row>
    <row r="2706" spans="6:6" outlineLevel="1">
      <c r="F2706"/>
    </row>
    <row r="2707" spans="6:6" outlineLevel="1">
      <c r="F2707"/>
    </row>
    <row r="2708" spans="6:6" outlineLevel="1">
      <c r="F2708"/>
    </row>
    <row r="2709" spans="6:6" outlineLevel="1">
      <c r="F2709"/>
    </row>
    <row r="2710" spans="6:6" outlineLevel="1">
      <c r="F2710"/>
    </row>
    <row r="2711" spans="6:6" outlineLevel="1">
      <c r="F2711"/>
    </row>
    <row r="2712" spans="6:6" outlineLevel="1">
      <c r="F2712"/>
    </row>
    <row r="2713" spans="6:6" outlineLevel="1">
      <c r="F2713"/>
    </row>
    <row r="2714" spans="6:6" outlineLevel="1">
      <c r="F2714"/>
    </row>
    <row r="2715" spans="6:6" outlineLevel="1">
      <c r="F2715"/>
    </row>
    <row r="2716" spans="6:6" outlineLevel="1">
      <c r="F2716"/>
    </row>
    <row r="2717" spans="6:6" outlineLevel="1">
      <c r="F2717"/>
    </row>
    <row r="2718" spans="6:6" outlineLevel="1">
      <c r="F2718"/>
    </row>
    <row r="2719" spans="6:6" outlineLevel="1">
      <c r="F2719"/>
    </row>
    <row r="2720" spans="6:6" outlineLevel="1">
      <c r="F2720"/>
    </row>
    <row r="2721" spans="6:6" outlineLevel="1">
      <c r="F2721"/>
    </row>
    <row r="2722" spans="6:6" outlineLevel="1">
      <c r="F2722"/>
    </row>
    <row r="2723" spans="6:6" outlineLevel="1">
      <c r="F2723"/>
    </row>
    <row r="2724" spans="6:6" outlineLevel="1">
      <c r="F2724"/>
    </row>
    <row r="2725" spans="6:6" outlineLevel="1">
      <c r="F2725"/>
    </row>
    <row r="2726" spans="6:6" outlineLevel="1">
      <c r="F2726"/>
    </row>
    <row r="2727" spans="6:6" outlineLevel="1">
      <c r="F2727"/>
    </row>
    <row r="2728" spans="6:6" outlineLevel="1">
      <c r="F2728"/>
    </row>
    <row r="2729" spans="6:6" outlineLevel="1">
      <c r="F2729"/>
    </row>
    <row r="2730" spans="6:6" outlineLevel="1">
      <c r="F2730"/>
    </row>
    <row r="2731" spans="6:6" outlineLevel="1">
      <c r="F2731"/>
    </row>
    <row r="2732" spans="6:6" outlineLevel="1">
      <c r="F2732"/>
    </row>
    <row r="2733" spans="6:6" outlineLevel="1">
      <c r="F2733"/>
    </row>
    <row r="2734" spans="6:6" outlineLevel="1">
      <c r="F2734"/>
    </row>
    <row r="2735" spans="6:6" outlineLevel="1">
      <c r="F2735"/>
    </row>
    <row r="2736" spans="6:6" outlineLevel="1">
      <c r="F2736"/>
    </row>
    <row r="2737" spans="6:6" outlineLevel="1">
      <c r="F2737"/>
    </row>
    <row r="2738" spans="6:6" outlineLevel="1">
      <c r="F2738"/>
    </row>
    <row r="2739" spans="6:6" outlineLevel="1">
      <c r="F2739"/>
    </row>
    <row r="2740" spans="6:6" outlineLevel="1">
      <c r="F2740"/>
    </row>
    <row r="2741" spans="6:6" outlineLevel="1">
      <c r="F2741"/>
    </row>
    <row r="2742" spans="6:6" outlineLevel="1">
      <c r="F2742"/>
    </row>
    <row r="2743" spans="6:6" outlineLevel="1">
      <c r="F2743"/>
    </row>
    <row r="2744" spans="6:6" outlineLevel="1">
      <c r="F2744"/>
    </row>
    <row r="2745" spans="6:6" outlineLevel="1">
      <c r="F2745"/>
    </row>
    <row r="2746" spans="6:6" outlineLevel="1">
      <c r="F2746"/>
    </row>
    <row r="2747" spans="6:6" outlineLevel="1">
      <c r="F2747"/>
    </row>
    <row r="2748" spans="6:6" outlineLevel="1">
      <c r="F2748"/>
    </row>
    <row r="2749" spans="6:6" outlineLevel="1">
      <c r="F2749"/>
    </row>
    <row r="2750" spans="6:6" outlineLevel="1">
      <c r="F2750"/>
    </row>
    <row r="2751" spans="6:6" outlineLevel="1">
      <c r="F2751"/>
    </row>
    <row r="2752" spans="6:6" outlineLevel="1">
      <c r="F2752"/>
    </row>
    <row r="2753" spans="6:6" outlineLevel="1">
      <c r="F2753"/>
    </row>
    <row r="2754" spans="6:6" outlineLevel="1">
      <c r="F2754"/>
    </row>
    <row r="2755" spans="6:6" outlineLevel="1">
      <c r="F2755"/>
    </row>
    <row r="2756" spans="6:6" outlineLevel="1">
      <c r="F2756"/>
    </row>
    <row r="2757" spans="6:6" outlineLevel="1">
      <c r="F2757"/>
    </row>
    <row r="2758" spans="6:6" outlineLevel="1">
      <c r="F2758"/>
    </row>
    <row r="2759" spans="6:6" outlineLevel="1">
      <c r="F2759"/>
    </row>
    <row r="2760" spans="6:6" outlineLevel="1">
      <c r="F2760"/>
    </row>
    <row r="2761" spans="6:6" outlineLevel="1">
      <c r="F2761"/>
    </row>
    <row r="2762" spans="6:6" outlineLevel="1">
      <c r="F2762"/>
    </row>
    <row r="2763" spans="6:6" outlineLevel="1">
      <c r="F2763"/>
    </row>
    <row r="2764" spans="6:6" outlineLevel="1">
      <c r="F2764"/>
    </row>
    <row r="2765" spans="6:6" outlineLevel="1">
      <c r="F2765"/>
    </row>
    <row r="2766" spans="6:6" outlineLevel="1">
      <c r="F2766"/>
    </row>
    <row r="2767" spans="6:6" outlineLevel="1">
      <c r="F2767"/>
    </row>
    <row r="2768" spans="6:6" outlineLevel="1">
      <c r="F2768"/>
    </row>
    <row r="2769" spans="6:6" outlineLevel="1">
      <c r="F2769"/>
    </row>
    <row r="2770" spans="6:6" outlineLevel="1">
      <c r="F2770"/>
    </row>
    <row r="2771" spans="6:6" outlineLevel="1">
      <c r="F2771"/>
    </row>
    <row r="2772" spans="6:6" outlineLevel="1">
      <c r="F2772"/>
    </row>
    <row r="2773" spans="6:6" outlineLevel="1">
      <c r="F2773"/>
    </row>
    <row r="2774" spans="6:6" outlineLevel="1">
      <c r="F2774"/>
    </row>
    <row r="2775" spans="6:6" outlineLevel="1">
      <c r="F2775"/>
    </row>
    <row r="2776" spans="6:6" outlineLevel="1">
      <c r="F2776"/>
    </row>
    <row r="2777" spans="6:6" outlineLevel="1">
      <c r="F2777"/>
    </row>
    <row r="2778" spans="6:6" outlineLevel="1">
      <c r="F2778"/>
    </row>
    <row r="2779" spans="6:6" outlineLevel="1">
      <c r="F2779"/>
    </row>
    <row r="2780" spans="6:6" outlineLevel="1">
      <c r="F2780"/>
    </row>
    <row r="2781" spans="6:6" outlineLevel="1">
      <c r="F2781"/>
    </row>
    <row r="2782" spans="6:6" outlineLevel="1">
      <c r="F2782"/>
    </row>
    <row r="2783" spans="6:6" outlineLevel="1">
      <c r="F2783"/>
    </row>
    <row r="2784" spans="6:6" outlineLevel="1">
      <c r="F2784"/>
    </row>
    <row r="2785" spans="6:6" outlineLevel="1">
      <c r="F2785"/>
    </row>
    <row r="2786" spans="6:6" outlineLevel="1">
      <c r="F2786"/>
    </row>
    <row r="2787" spans="6:6" outlineLevel="1">
      <c r="F2787"/>
    </row>
    <row r="2788" spans="6:6" outlineLevel="1">
      <c r="F2788"/>
    </row>
    <row r="2789" spans="6:6" outlineLevel="1">
      <c r="F2789"/>
    </row>
    <row r="2790" spans="6:6" outlineLevel="1">
      <c r="F2790"/>
    </row>
    <row r="2791" spans="6:6" outlineLevel="1">
      <c r="F2791"/>
    </row>
    <row r="2792" spans="6:6" outlineLevel="1">
      <c r="F2792"/>
    </row>
    <row r="2793" spans="6:6" outlineLevel="1">
      <c r="F2793"/>
    </row>
    <row r="2794" spans="6:6" outlineLevel="1">
      <c r="F2794"/>
    </row>
    <row r="2795" spans="6:6" outlineLevel="1">
      <c r="F2795"/>
    </row>
    <row r="2796" spans="6:6" outlineLevel="1">
      <c r="F2796"/>
    </row>
    <row r="2797" spans="6:6" outlineLevel="1">
      <c r="F2797"/>
    </row>
    <row r="2798" spans="6:6" outlineLevel="1">
      <c r="F2798"/>
    </row>
    <row r="2799" spans="6:6" outlineLevel="1">
      <c r="F2799"/>
    </row>
    <row r="2800" spans="6:6" outlineLevel="1">
      <c r="F2800"/>
    </row>
    <row r="2801" spans="6:6" outlineLevel="1">
      <c r="F2801"/>
    </row>
    <row r="2802" spans="6:6" outlineLevel="1">
      <c r="F2802"/>
    </row>
    <row r="2803" spans="6:6" outlineLevel="1">
      <c r="F2803"/>
    </row>
    <row r="2804" spans="6:6" outlineLevel="1">
      <c r="F2804"/>
    </row>
    <row r="2805" spans="6:6" outlineLevel="1">
      <c r="F2805"/>
    </row>
    <row r="2806" spans="6:6" outlineLevel="1">
      <c r="F2806"/>
    </row>
    <row r="2807" spans="6:6" outlineLevel="1">
      <c r="F2807"/>
    </row>
    <row r="2808" spans="6:6" outlineLevel="1">
      <c r="F2808"/>
    </row>
    <row r="2809" spans="6:6" outlineLevel="1">
      <c r="F2809"/>
    </row>
    <row r="2810" spans="6:6" outlineLevel="1">
      <c r="F2810"/>
    </row>
    <row r="2811" spans="6:6" outlineLevel="1">
      <c r="F2811"/>
    </row>
    <row r="2812" spans="6:6" outlineLevel="1">
      <c r="F2812"/>
    </row>
    <row r="2813" spans="6:6" outlineLevel="1">
      <c r="F2813"/>
    </row>
    <row r="2814" spans="6:6" outlineLevel="1">
      <c r="F2814"/>
    </row>
    <row r="2815" spans="6:6" outlineLevel="1">
      <c r="F2815"/>
    </row>
    <row r="2816" spans="6:6" outlineLevel="1">
      <c r="F2816"/>
    </row>
    <row r="2817" spans="6:6" outlineLevel="1">
      <c r="F2817"/>
    </row>
    <row r="2818" spans="6:6" outlineLevel="1">
      <c r="F2818"/>
    </row>
    <row r="2819" spans="6:6" outlineLevel="1">
      <c r="F2819"/>
    </row>
    <row r="2820" spans="6:6" outlineLevel="1">
      <c r="F2820"/>
    </row>
    <row r="2821" spans="6:6" outlineLevel="1">
      <c r="F2821"/>
    </row>
    <row r="2822" spans="6:6" outlineLevel="1">
      <c r="F2822"/>
    </row>
    <row r="2823" spans="6:6" outlineLevel="1">
      <c r="F2823"/>
    </row>
    <row r="2824" spans="6:6" outlineLevel="1">
      <c r="F2824"/>
    </row>
    <row r="2825" spans="6:6" outlineLevel="1">
      <c r="F2825"/>
    </row>
    <row r="2826" spans="6:6" outlineLevel="1">
      <c r="F2826"/>
    </row>
    <row r="2827" spans="6:6" outlineLevel="1">
      <c r="F2827"/>
    </row>
    <row r="2828" spans="6:6" outlineLevel="1">
      <c r="F2828"/>
    </row>
    <row r="2829" spans="6:6" outlineLevel="1">
      <c r="F2829"/>
    </row>
    <row r="2830" spans="6:6" outlineLevel="1">
      <c r="F2830"/>
    </row>
    <row r="2831" spans="6:6" outlineLevel="1">
      <c r="F2831"/>
    </row>
    <row r="2832" spans="6:6" outlineLevel="1">
      <c r="F2832"/>
    </row>
    <row r="2833" spans="6:6" outlineLevel="1">
      <c r="F2833"/>
    </row>
    <row r="2834" spans="6:6" outlineLevel="1">
      <c r="F2834"/>
    </row>
    <row r="2835" spans="6:6" outlineLevel="1">
      <c r="F2835"/>
    </row>
    <row r="2836" spans="6:6" outlineLevel="1">
      <c r="F2836"/>
    </row>
    <row r="2837" spans="6:6" outlineLevel="1">
      <c r="F2837"/>
    </row>
    <row r="2838" spans="6:6" outlineLevel="1">
      <c r="F2838"/>
    </row>
    <row r="2839" spans="6:6" outlineLevel="1">
      <c r="F2839"/>
    </row>
    <row r="2840" spans="6:6" outlineLevel="1">
      <c r="F2840"/>
    </row>
    <row r="2841" spans="6:6" outlineLevel="1">
      <c r="F2841"/>
    </row>
    <row r="2842" spans="6:6" outlineLevel="1">
      <c r="F2842"/>
    </row>
    <row r="2843" spans="6:6" outlineLevel="1">
      <c r="F2843"/>
    </row>
    <row r="2844" spans="6:6" outlineLevel="1">
      <c r="F2844"/>
    </row>
    <row r="2845" spans="6:6" outlineLevel="1">
      <c r="F2845"/>
    </row>
    <row r="2846" spans="6:6" outlineLevel="1">
      <c r="F2846"/>
    </row>
    <row r="2847" spans="6:6" outlineLevel="1">
      <c r="F2847"/>
    </row>
    <row r="2848" spans="6:6" outlineLevel="1">
      <c r="F2848"/>
    </row>
    <row r="2849" spans="6:6" outlineLevel="1">
      <c r="F2849"/>
    </row>
    <row r="2850" spans="6:6" outlineLevel="1">
      <c r="F2850"/>
    </row>
    <row r="2851" spans="6:6" outlineLevel="1">
      <c r="F2851"/>
    </row>
    <row r="2852" spans="6:6" outlineLevel="1">
      <c r="F2852"/>
    </row>
    <row r="2853" spans="6:6" outlineLevel="1">
      <c r="F2853"/>
    </row>
    <row r="2854" spans="6:6" outlineLevel="1">
      <c r="F2854"/>
    </row>
    <row r="2855" spans="6:6" outlineLevel="1">
      <c r="F2855"/>
    </row>
    <row r="2856" spans="6:6" outlineLevel="1">
      <c r="F2856"/>
    </row>
    <row r="2857" spans="6:6" outlineLevel="1">
      <c r="F2857"/>
    </row>
    <row r="2858" spans="6:6" outlineLevel="1">
      <c r="F2858"/>
    </row>
    <row r="2859" spans="6:6" outlineLevel="1">
      <c r="F2859"/>
    </row>
    <row r="2860" spans="6:6" outlineLevel="1">
      <c r="F2860"/>
    </row>
    <row r="2861" spans="6:6" outlineLevel="1">
      <c r="F2861"/>
    </row>
    <row r="2862" spans="6:6" outlineLevel="1">
      <c r="F2862"/>
    </row>
    <row r="2863" spans="6:6" outlineLevel="1">
      <c r="F2863"/>
    </row>
    <row r="2864" spans="6:6" outlineLevel="1">
      <c r="F2864"/>
    </row>
    <row r="2865" spans="6:6" outlineLevel="1">
      <c r="F2865"/>
    </row>
    <row r="2866" spans="6:6" outlineLevel="1">
      <c r="F2866"/>
    </row>
    <row r="2867" spans="6:6" outlineLevel="1">
      <c r="F2867"/>
    </row>
    <row r="2868" spans="6:6" outlineLevel="1">
      <c r="F2868"/>
    </row>
    <row r="2869" spans="6:6" outlineLevel="1">
      <c r="F2869"/>
    </row>
    <row r="2870" spans="6:6" outlineLevel="1">
      <c r="F2870"/>
    </row>
    <row r="2871" spans="6:6" outlineLevel="1">
      <c r="F2871"/>
    </row>
    <row r="2872" spans="6:6" outlineLevel="1">
      <c r="F2872"/>
    </row>
    <row r="2873" spans="6:6" outlineLevel="1">
      <c r="F2873"/>
    </row>
    <row r="2874" spans="6:6" outlineLevel="1">
      <c r="F2874"/>
    </row>
    <row r="2875" spans="6:6" outlineLevel="1">
      <c r="F2875"/>
    </row>
    <row r="2876" spans="6:6" outlineLevel="1">
      <c r="F2876"/>
    </row>
    <row r="2877" spans="6:6" outlineLevel="1">
      <c r="F2877"/>
    </row>
    <row r="2878" spans="6:6" outlineLevel="1">
      <c r="F2878"/>
    </row>
    <row r="2879" spans="6:6" outlineLevel="1">
      <c r="F2879"/>
    </row>
    <row r="2880" spans="6:6" outlineLevel="1">
      <c r="F2880"/>
    </row>
    <row r="2881" spans="6:6" outlineLevel="1">
      <c r="F2881"/>
    </row>
    <row r="2882" spans="6:6" outlineLevel="1">
      <c r="F2882"/>
    </row>
    <row r="2883" spans="6:6" outlineLevel="1">
      <c r="F2883"/>
    </row>
    <row r="2884" spans="6:6" outlineLevel="1">
      <c r="F2884"/>
    </row>
    <row r="2885" spans="6:6" outlineLevel="1">
      <c r="F2885"/>
    </row>
    <row r="2886" spans="6:6" outlineLevel="1">
      <c r="F2886"/>
    </row>
    <row r="2887" spans="6:6" outlineLevel="1">
      <c r="F2887"/>
    </row>
    <row r="2888" spans="6:6" outlineLevel="1">
      <c r="F2888"/>
    </row>
    <row r="2889" spans="6:6" outlineLevel="1">
      <c r="F2889"/>
    </row>
    <row r="2890" spans="6:6" outlineLevel="1">
      <c r="F2890"/>
    </row>
    <row r="2891" spans="6:6" outlineLevel="1">
      <c r="F2891"/>
    </row>
    <row r="2892" spans="6:6" outlineLevel="1">
      <c r="F2892"/>
    </row>
    <row r="2893" spans="6:6" outlineLevel="1">
      <c r="F2893"/>
    </row>
    <row r="2894" spans="6:6" outlineLevel="1">
      <c r="F2894"/>
    </row>
    <row r="2895" spans="6:6" outlineLevel="1">
      <c r="F2895"/>
    </row>
    <row r="2896" spans="6:6" outlineLevel="1">
      <c r="F2896"/>
    </row>
    <row r="2897" spans="6:6" outlineLevel="1">
      <c r="F2897"/>
    </row>
    <row r="2898" spans="6:6" outlineLevel="1">
      <c r="F2898"/>
    </row>
    <row r="2899" spans="6:6" outlineLevel="1">
      <c r="F2899"/>
    </row>
    <row r="2900" spans="6:6" outlineLevel="1">
      <c r="F2900"/>
    </row>
    <row r="2901" spans="6:6" outlineLevel="1">
      <c r="F2901"/>
    </row>
    <row r="2902" spans="6:6" outlineLevel="1">
      <c r="F2902"/>
    </row>
    <row r="2903" spans="6:6" outlineLevel="1">
      <c r="F2903"/>
    </row>
    <row r="2904" spans="6:6" outlineLevel="1">
      <c r="F2904"/>
    </row>
    <row r="2905" spans="6:6" outlineLevel="1">
      <c r="F2905"/>
    </row>
    <row r="2906" spans="6:6" outlineLevel="1">
      <c r="F2906"/>
    </row>
    <row r="2907" spans="6:6" outlineLevel="1">
      <c r="F2907"/>
    </row>
    <row r="2908" spans="6:6" outlineLevel="1">
      <c r="F2908"/>
    </row>
    <row r="2909" spans="6:6" outlineLevel="1">
      <c r="F2909"/>
    </row>
    <row r="2910" spans="6:6" outlineLevel="1">
      <c r="F2910"/>
    </row>
    <row r="2911" spans="6:6" outlineLevel="1">
      <c r="F2911"/>
    </row>
    <row r="2912" spans="6:6" outlineLevel="1">
      <c r="F2912"/>
    </row>
    <row r="2913" spans="6:6" outlineLevel="1">
      <c r="F2913"/>
    </row>
    <row r="2914" spans="6:6" outlineLevel="1">
      <c r="F2914"/>
    </row>
    <row r="2915" spans="6:6" outlineLevel="1">
      <c r="F2915"/>
    </row>
    <row r="2916" spans="6:6" outlineLevel="1">
      <c r="F2916"/>
    </row>
    <row r="2917" spans="6:6" outlineLevel="1">
      <c r="F2917"/>
    </row>
    <row r="2918" spans="6:6" outlineLevel="1">
      <c r="F2918"/>
    </row>
    <row r="2919" spans="6:6" outlineLevel="1">
      <c r="F2919"/>
    </row>
    <row r="2920" spans="6:6" outlineLevel="1">
      <c r="F2920"/>
    </row>
    <row r="2921" spans="6:6" outlineLevel="1">
      <c r="F2921"/>
    </row>
    <row r="2922" spans="6:6" outlineLevel="1">
      <c r="F2922"/>
    </row>
    <row r="2923" spans="6:6" outlineLevel="1">
      <c r="F2923"/>
    </row>
    <row r="2924" spans="6:6" outlineLevel="1">
      <c r="F2924"/>
    </row>
    <row r="2925" spans="6:6" outlineLevel="1">
      <c r="F2925"/>
    </row>
    <row r="2926" spans="6:6" outlineLevel="1">
      <c r="F2926"/>
    </row>
    <row r="2927" spans="6:6" outlineLevel="1">
      <c r="F2927"/>
    </row>
    <row r="2928" spans="6:6" outlineLevel="1">
      <c r="F2928"/>
    </row>
    <row r="2929" spans="6:6" outlineLevel="1">
      <c r="F2929"/>
    </row>
    <row r="2930" spans="6:6" outlineLevel="1">
      <c r="F2930"/>
    </row>
    <row r="2931" spans="6:6" outlineLevel="1">
      <c r="F2931"/>
    </row>
    <row r="2932" spans="6:6" outlineLevel="1">
      <c r="F2932"/>
    </row>
    <row r="2933" spans="6:6" outlineLevel="1">
      <c r="F2933"/>
    </row>
    <row r="2934" spans="6:6" outlineLevel="1">
      <c r="F2934"/>
    </row>
    <row r="2935" spans="6:6" outlineLevel="1">
      <c r="F2935"/>
    </row>
    <row r="2936" spans="6:6" outlineLevel="1">
      <c r="F2936"/>
    </row>
    <row r="2937" spans="6:6" outlineLevel="1">
      <c r="F2937"/>
    </row>
    <row r="2938" spans="6:6" outlineLevel="1">
      <c r="F2938"/>
    </row>
    <row r="2939" spans="6:6" outlineLevel="1">
      <c r="F2939"/>
    </row>
    <row r="2940" spans="6:6" outlineLevel="1">
      <c r="F2940"/>
    </row>
    <row r="2941" spans="6:6" outlineLevel="1">
      <c r="F2941"/>
    </row>
    <row r="2942" spans="6:6" outlineLevel="1">
      <c r="F2942"/>
    </row>
    <row r="2943" spans="6:6" outlineLevel="1">
      <c r="F2943"/>
    </row>
    <row r="2944" spans="6:6" outlineLevel="1">
      <c r="F2944"/>
    </row>
    <row r="2945" spans="6:6" outlineLevel="1">
      <c r="F2945"/>
    </row>
    <row r="2946" spans="6:6" outlineLevel="1">
      <c r="F2946"/>
    </row>
    <row r="2947" spans="6:6" outlineLevel="1">
      <c r="F2947"/>
    </row>
    <row r="2948" spans="6:6" outlineLevel="1">
      <c r="F2948"/>
    </row>
    <row r="2949" spans="6:6" outlineLevel="1">
      <c r="F2949"/>
    </row>
    <row r="2950" spans="6:6" outlineLevel="1">
      <c r="F2950"/>
    </row>
    <row r="2951" spans="6:6" outlineLevel="1">
      <c r="F2951"/>
    </row>
    <row r="2952" spans="6:6" outlineLevel="1">
      <c r="F2952"/>
    </row>
    <row r="2953" spans="6:6" outlineLevel="1">
      <c r="F2953"/>
    </row>
    <row r="2954" spans="6:6" outlineLevel="1">
      <c r="F2954"/>
    </row>
    <row r="2955" spans="6:6" outlineLevel="1">
      <c r="F2955"/>
    </row>
    <row r="2956" spans="6:6" outlineLevel="1">
      <c r="F2956"/>
    </row>
    <row r="2957" spans="6:6" outlineLevel="1">
      <c r="F2957"/>
    </row>
    <row r="2958" spans="6:6" outlineLevel="1">
      <c r="F2958"/>
    </row>
    <row r="2959" spans="6:6" outlineLevel="1">
      <c r="F2959"/>
    </row>
    <row r="2960" spans="6:6" outlineLevel="1">
      <c r="F2960"/>
    </row>
    <row r="2961" spans="6:6" outlineLevel="1">
      <c r="F2961"/>
    </row>
    <row r="2962" spans="6:6" outlineLevel="1">
      <c r="F2962"/>
    </row>
    <row r="2963" spans="6:6" outlineLevel="1">
      <c r="F2963"/>
    </row>
    <row r="2964" spans="6:6" outlineLevel="1">
      <c r="F2964"/>
    </row>
    <row r="2965" spans="6:6" outlineLevel="1">
      <c r="F2965"/>
    </row>
    <row r="2966" spans="6:6" outlineLevel="1">
      <c r="F2966"/>
    </row>
    <row r="2967" spans="6:6" outlineLevel="1">
      <c r="F2967"/>
    </row>
    <row r="2968" spans="6:6" outlineLevel="1">
      <c r="F2968"/>
    </row>
    <row r="2969" spans="6:6" outlineLevel="1">
      <c r="F2969"/>
    </row>
    <row r="2970" spans="6:6" outlineLevel="1">
      <c r="F2970"/>
    </row>
    <row r="2971" spans="6:6" outlineLevel="1">
      <c r="F2971"/>
    </row>
    <row r="2972" spans="6:6" outlineLevel="1">
      <c r="F2972"/>
    </row>
    <row r="2973" spans="6:6" outlineLevel="1">
      <c r="F2973"/>
    </row>
    <row r="2974" spans="6:6" outlineLevel="1">
      <c r="F2974"/>
    </row>
    <row r="2975" spans="6:6" outlineLevel="1">
      <c r="F2975"/>
    </row>
    <row r="2976" spans="6:6" outlineLevel="1">
      <c r="F2976"/>
    </row>
    <row r="2977" spans="6:6" outlineLevel="1">
      <c r="F2977"/>
    </row>
    <row r="2978" spans="6:6" outlineLevel="1">
      <c r="F2978"/>
    </row>
    <row r="2979" spans="6:6" outlineLevel="1">
      <c r="F2979"/>
    </row>
    <row r="2980" spans="6:6" outlineLevel="1">
      <c r="F2980"/>
    </row>
    <row r="2981" spans="6:6" outlineLevel="1">
      <c r="F2981"/>
    </row>
    <row r="2982" spans="6:6" outlineLevel="1">
      <c r="F2982"/>
    </row>
    <row r="2983" spans="6:6" outlineLevel="1">
      <c r="F2983"/>
    </row>
    <row r="2984" spans="6:6" outlineLevel="1">
      <c r="F2984"/>
    </row>
    <row r="2985" spans="6:6" outlineLevel="1">
      <c r="F2985"/>
    </row>
    <row r="2986" spans="6:6" outlineLevel="1">
      <c r="F2986"/>
    </row>
    <row r="2987" spans="6:6" outlineLevel="1">
      <c r="F2987"/>
    </row>
    <row r="2988" spans="6:6" outlineLevel="1">
      <c r="F2988"/>
    </row>
    <row r="2989" spans="6:6" outlineLevel="1">
      <c r="F2989"/>
    </row>
    <row r="2990" spans="6:6" outlineLevel="1">
      <c r="F2990"/>
    </row>
    <row r="2991" spans="6:6" outlineLevel="1">
      <c r="F2991"/>
    </row>
    <row r="2992" spans="6:6" outlineLevel="1">
      <c r="F2992"/>
    </row>
    <row r="2993" spans="6:6" outlineLevel="1">
      <c r="F2993"/>
    </row>
    <row r="2994" spans="6:6" outlineLevel="1">
      <c r="F2994"/>
    </row>
    <row r="2995" spans="6:6" outlineLevel="1">
      <c r="F2995"/>
    </row>
    <row r="2996" spans="6:6" outlineLevel="1">
      <c r="F2996"/>
    </row>
    <row r="2997" spans="6:6" outlineLevel="1">
      <c r="F2997"/>
    </row>
    <row r="2998" spans="6:6" outlineLevel="1">
      <c r="F2998"/>
    </row>
    <row r="2999" spans="6:6" outlineLevel="1">
      <c r="F2999"/>
    </row>
    <row r="3000" spans="6:6" outlineLevel="1">
      <c r="F3000"/>
    </row>
    <row r="3001" spans="6:6" outlineLevel="1">
      <c r="F3001"/>
    </row>
    <row r="3002" spans="6:6" outlineLevel="1">
      <c r="F3002"/>
    </row>
    <row r="3003" spans="6:6" outlineLevel="1">
      <c r="F3003"/>
    </row>
    <row r="3004" spans="6:6" outlineLevel="1">
      <c r="F3004"/>
    </row>
    <row r="3005" spans="6:6" outlineLevel="1">
      <c r="F3005"/>
    </row>
    <row r="3006" spans="6:6" outlineLevel="1">
      <c r="F3006"/>
    </row>
    <row r="3007" spans="6:6" outlineLevel="1">
      <c r="F3007"/>
    </row>
    <row r="3008" spans="6:6" outlineLevel="1">
      <c r="F3008"/>
    </row>
    <row r="3009" spans="6:6" outlineLevel="1">
      <c r="F3009"/>
    </row>
    <row r="3010" spans="6:6" outlineLevel="1">
      <c r="F3010"/>
    </row>
    <row r="3011" spans="6:6" outlineLevel="1">
      <c r="F3011"/>
    </row>
    <row r="3012" spans="6:6" outlineLevel="1">
      <c r="F3012"/>
    </row>
    <row r="3013" spans="6:6" outlineLevel="1">
      <c r="F3013"/>
    </row>
    <row r="3014" spans="6:6" outlineLevel="1">
      <c r="F3014"/>
    </row>
    <row r="3015" spans="6:6" outlineLevel="1">
      <c r="F3015"/>
    </row>
    <row r="3016" spans="6:6" outlineLevel="1">
      <c r="F3016"/>
    </row>
    <row r="3017" spans="6:6" outlineLevel="1">
      <c r="F3017"/>
    </row>
    <row r="3018" spans="6:6" outlineLevel="1">
      <c r="F3018"/>
    </row>
    <row r="3019" spans="6:6" outlineLevel="1">
      <c r="F3019"/>
    </row>
    <row r="3020" spans="6:6" outlineLevel="1">
      <c r="F3020"/>
    </row>
    <row r="3021" spans="6:6" outlineLevel="1">
      <c r="F3021"/>
    </row>
    <row r="3022" spans="6:6" outlineLevel="1">
      <c r="F3022"/>
    </row>
    <row r="3023" spans="6:6" outlineLevel="1">
      <c r="F3023"/>
    </row>
    <row r="3024" spans="6:6" outlineLevel="1">
      <c r="F3024"/>
    </row>
    <row r="3025" spans="6:6" outlineLevel="1">
      <c r="F3025"/>
    </row>
    <row r="3026" spans="6:6" outlineLevel="1">
      <c r="F3026"/>
    </row>
    <row r="3027" spans="6:6" outlineLevel="1">
      <c r="F3027"/>
    </row>
    <row r="3028" spans="6:6" outlineLevel="1">
      <c r="F3028"/>
    </row>
    <row r="3029" spans="6:6" outlineLevel="1">
      <c r="F3029"/>
    </row>
    <row r="3030" spans="6:6" outlineLevel="1">
      <c r="F3030"/>
    </row>
    <row r="3031" spans="6:6" outlineLevel="1">
      <c r="F3031"/>
    </row>
    <row r="3032" spans="6:6" outlineLevel="1">
      <c r="F3032"/>
    </row>
    <row r="3033" spans="6:6" outlineLevel="1">
      <c r="F3033"/>
    </row>
    <row r="3034" spans="6:6" outlineLevel="1">
      <c r="F3034"/>
    </row>
    <row r="3035" spans="6:6" outlineLevel="1">
      <c r="F3035"/>
    </row>
    <row r="3036" spans="6:6" outlineLevel="1">
      <c r="F3036"/>
    </row>
    <row r="3037" spans="6:6" outlineLevel="1">
      <c r="F3037"/>
    </row>
    <row r="3038" spans="6:6" outlineLevel="1">
      <c r="F3038"/>
    </row>
    <row r="3039" spans="6:6" outlineLevel="1">
      <c r="F3039"/>
    </row>
    <row r="3040" spans="6:6" outlineLevel="1">
      <c r="F3040"/>
    </row>
    <row r="3041" spans="6:6" outlineLevel="1">
      <c r="F3041"/>
    </row>
    <row r="3042" spans="6:6" outlineLevel="1">
      <c r="F3042"/>
    </row>
    <row r="3043" spans="6:6" outlineLevel="1">
      <c r="F3043"/>
    </row>
    <row r="3044" spans="6:6" outlineLevel="1">
      <c r="F3044"/>
    </row>
    <row r="3045" spans="6:6" outlineLevel="1">
      <c r="F3045"/>
    </row>
    <row r="3046" spans="6:6" outlineLevel="1">
      <c r="F3046"/>
    </row>
    <row r="3047" spans="6:6" outlineLevel="1">
      <c r="F3047"/>
    </row>
    <row r="3048" spans="6:6" outlineLevel="1">
      <c r="F3048"/>
    </row>
    <row r="3049" spans="6:6" outlineLevel="1">
      <c r="F3049"/>
    </row>
    <row r="3050" spans="6:6" outlineLevel="1">
      <c r="F3050"/>
    </row>
    <row r="3051" spans="6:6" outlineLevel="1">
      <c r="F3051"/>
    </row>
    <row r="3052" spans="6:6" outlineLevel="1">
      <c r="F3052"/>
    </row>
    <row r="3053" spans="6:6" outlineLevel="1">
      <c r="F3053"/>
    </row>
    <row r="3054" spans="6:6" outlineLevel="1">
      <c r="F3054"/>
    </row>
    <row r="3055" spans="6:6" outlineLevel="1">
      <c r="F3055"/>
    </row>
    <row r="3056" spans="6:6" outlineLevel="1">
      <c r="F3056"/>
    </row>
    <row r="3057" spans="6:6" outlineLevel="1">
      <c r="F3057"/>
    </row>
    <row r="3058" spans="6:6" outlineLevel="1">
      <c r="F3058"/>
    </row>
    <row r="3059" spans="6:6" outlineLevel="1">
      <c r="F3059"/>
    </row>
    <row r="3060" spans="6:6" outlineLevel="1">
      <c r="F3060"/>
    </row>
    <row r="3061" spans="6:6" outlineLevel="1">
      <c r="F3061"/>
    </row>
    <row r="3062" spans="6:6" outlineLevel="1">
      <c r="F3062"/>
    </row>
    <row r="3063" spans="6:6" outlineLevel="1">
      <c r="F3063"/>
    </row>
    <row r="3064" spans="6:6" outlineLevel="1">
      <c r="F3064"/>
    </row>
    <row r="3065" spans="6:6" outlineLevel="1">
      <c r="F3065"/>
    </row>
    <row r="3066" spans="6:6" outlineLevel="1">
      <c r="F3066"/>
    </row>
    <row r="3067" spans="6:6" outlineLevel="1">
      <c r="F3067"/>
    </row>
    <row r="3068" spans="6:6" outlineLevel="1">
      <c r="F3068"/>
    </row>
    <row r="3069" spans="6:6" outlineLevel="1">
      <c r="F3069"/>
    </row>
    <row r="3070" spans="6:6" outlineLevel="1">
      <c r="F3070"/>
    </row>
    <row r="3071" spans="6:6" outlineLevel="1">
      <c r="F3071"/>
    </row>
    <row r="3072" spans="6:6" outlineLevel="1">
      <c r="F3072"/>
    </row>
    <row r="3073" spans="6:6" outlineLevel="1">
      <c r="F3073"/>
    </row>
    <row r="3074" spans="6:6" outlineLevel="1">
      <c r="F3074"/>
    </row>
    <row r="3075" spans="6:6" outlineLevel="1">
      <c r="F3075"/>
    </row>
    <row r="3076" spans="6:6" outlineLevel="1">
      <c r="F3076"/>
    </row>
    <row r="3077" spans="6:6" outlineLevel="1">
      <c r="F3077"/>
    </row>
    <row r="3078" spans="6:6" outlineLevel="1">
      <c r="F3078"/>
    </row>
    <row r="3079" spans="6:6" outlineLevel="1">
      <c r="F3079"/>
    </row>
    <row r="3080" spans="6:6" outlineLevel="1">
      <c r="F3080"/>
    </row>
    <row r="3081" spans="6:6" outlineLevel="1">
      <c r="F3081"/>
    </row>
    <row r="3082" spans="6:6" outlineLevel="1">
      <c r="F3082"/>
    </row>
    <row r="3083" spans="6:6" outlineLevel="1">
      <c r="F3083"/>
    </row>
    <row r="3084" spans="6:6" outlineLevel="1">
      <c r="F3084"/>
    </row>
    <row r="3085" spans="6:6" outlineLevel="1">
      <c r="F3085"/>
    </row>
    <row r="3086" spans="6:6" outlineLevel="1">
      <c r="F3086"/>
    </row>
    <row r="3087" spans="6:6" outlineLevel="1">
      <c r="F3087"/>
    </row>
    <row r="3088" spans="6:6" outlineLevel="1">
      <c r="F3088"/>
    </row>
    <row r="3089" spans="6:6" outlineLevel="1">
      <c r="F3089"/>
    </row>
    <row r="3090" spans="6:6" outlineLevel="1">
      <c r="F3090"/>
    </row>
    <row r="3091" spans="6:6" outlineLevel="1">
      <c r="F3091"/>
    </row>
    <row r="3092" spans="6:6" outlineLevel="1">
      <c r="F3092"/>
    </row>
    <row r="3093" spans="6:6" outlineLevel="1">
      <c r="F3093"/>
    </row>
    <row r="3094" spans="6:6" outlineLevel="1">
      <c r="F3094"/>
    </row>
    <row r="3095" spans="6:6" outlineLevel="1">
      <c r="F3095"/>
    </row>
    <row r="3096" spans="6:6" outlineLevel="1">
      <c r="F3096"/>
    </row>
    <row r="3097" spans="6:6" outlineLevel="1">
      <c r="F3097"/>
    </row>
    <row r="3098" spans="6:6" outlineLevel="1">
      <c r="F3098"/>
    </row>
    <row r="3099" spans="6:6" outlineLevel="1">
      <c r="F3099"/>
    </row>
    <row r="3100" spans="6:6" outlineLevel="1">
      <c r="F3100"/>
    </row>
    <row r="3101" spans="6:6" outlineLevel="1">
      <c r="F3101"/>
    </row>
    <row r="3102" spans="6:6" outlineLevel="1">
      <c r="F3102"/>
    </row>
    <row r="3103" spans="6:6" outlineLevel="1">
      <c r="F3103"/>
    </row>
    <row r="3104" spans="6:6" outlineLevel="1">
      <c r="F3104"/>
    </row>
    <row r="3105" spans="6:6" outlineLevel="1">
      <c r="F3105"/>
    </row>
    <row r="3106" spans="6:6" outlineLevel="1">
      <c r="F3106"/>
    </row>
    <row r="3107" spans="6:6" outlineLevel="1">
      <c r="F3107"/>
    </row>
    <row r="3108" spans="6:6" outlineLevel="1">
      <c r="F3108"/>
    </row>
    <row r="3109" spans="6:6" outlineLevel="1">
      <c r="F3109"/>
    </row>
    <row r="3110" spans="6:6" outlineLevel="1">
      <c r="F3110"/>
    </row>
    <row r="3111" spans="6:6" outlineLevel="1">
      <c r="F3111"/>
    </row>
    <row r="3112" spans="6:6" outlineLevel="1">
      <c r="F3112"/>
    </row>
    <row r="3113" spans="6:6" outlineLevel="1">
      <c r="F3113"/>
    </row>
    <row r="3114" spans="6:6" outlineLevel="1">
      <c r="F3114"/>
    </row>
    <row r="3115" spans="6:6" outlineLevel="1">
      <c r="F3115"/>
    </row>
    <row r="3116" spans="6:6" outlineLevel="1">
      <c r="F3116"/>
    </row>
    <row r="3117" spans="6:6" outlineLevel="1">
      <c r="F3117"/>
    </row>
    <row r="3118" spans="6:6" outlineLevel="1">
      <c r="F3118"/>
    </row>
    <row r="3119" spans="6:6" outlineLevel="1">
      <c r="F3119"/>
    </row>
    <row r="3120" spans="6:6" outlineLevel="1">
      <c r="F3120"/>
    </row>
    <row r="3121" spans="6:6" outlineLevel="1">
      <c r="F3121"/>
    </row>
    <row r="3122" spans="6:6" outlineLevel="1">
      <c r="F3122"/>
    </row>
    <row r="3123" spans="6:6" outlineLevel="1">
      <c r="F3123"/>
    </row>
    <row r="3124" spans="6:6" outlineLevel="1">
      <c r="F3124"/>
    </row>
    <row r="3125" spans="6:6" outlineLevel="1">
      <c r="F3125"/>
    </row>
    <row r="3126" spans="6:6" outlineLevel="1">
      <c r="F3126"/>
    </row>
    <row r="3127" spans="6:6" outlineLevel="1">
      <c r="F3127"/>
    </row>
    <row r="3128" spans="6:6" outlineLevel="1">
      <c r="F3128"/>
    </row>
    <row r="3129" spans="6:6" outlineLevel="1">
      <c r="F3129"/>
    </row>
    <row r="3130" spans="6:6" outlineLevel="1">
      <c r="F3130"/>
    </row>
    <row r="3131" spans="6:6" outlineLevel="1">
      <c r="F3131"/>
    </row>
    <row r="3132" spans="6:6" outlineLevel="1">
      <c r="F3132"/>
    </row>
    <row r="3133" spans="6:6" outlineLevel="1">
      <c r="F3133"/>
    </row>
    <row r="3134" spans="6:6" outlineLevel="1">
      <c r="F3134"/>
    </row>
    <row r="3135" spans="6:6" outlineLevel="1">
      <c r="F3135"/>
    </row>
    <row r="3136" spans="6:6" outlineLevel="1">
      <c r="F3136"/>
    </row>
    <row r="3137" spans="6:6" outlineLevel="1">
      <c r="F3137"/>
    </row>
    <row r="3138" spans="6:6" outlineLevel="1">
      <c r="F3138"/>
    </row>
    <row r="3139" spans="6:6" outlineLevel="1">
      <c r="F3139"/>
    </row>
    <row r="3140" spans="6:6" outlineLevel="1">
      <c r="F3140"/>
    </row>
    <row r="3141" spans="6:6" outlineLevel="1">
      <c r="F3141"/>
    </row>
    <row r="3142" spans="6:6" outlineLevel="1">
      <c r="F3142"/>
    </row>
    <row r="3143" spans="6:6" outlineLevel="1">
      <c r="F3143"/>
    </row>
    <row r="3144" spans="6:6" outlineLevel="1">
      <c r="F3144"/>
    </row>
    <row r="3145" spans="6:6" outlineLevel="1">
      <c r="F3145"/>
    </row>
    <row r="3146" spans="6:6" outlineLevel="1">
      <c r="F3146"/>
    </row>
    <row r="3147" spans="6:6" outlineLevel="1">
      <c r="F3147"/>
    </row>
    <row r="3148" spans="6:6" outlineLevel="1">
      <c r="F3148"/>
    </row>
    <row r="3149" spans="6:6" outlineLevel="1">
      <c r="F3149"/>
    </row>
    <row r="3150" spans="6:6" outlineLevel="1">
      <c r="F3150"/>
    </row>
    <row r="3151" spans="6:6" outlineLevel="1">
      <c r="F3151"/>
    </row>
    <row r="3152" spans="6:6" outlineLevel="1">
      <c r="F3152"/>
    </row>
    <row r="3153" spans="6:6" outlineLevel="1">
      <c r="F3153"/>
    </row>
    <row r="3154" spans="6:6" outlineLevel="1">
      <c r="F3154"/>
    </row>
    <row r="3155" spans="6:6" outlineLevel="1">
      <c r="F3155"/>
    </row>
    <row r="3156" spans="6:6" outlineLevel="1">
      <c r="F3156"/>
    </row>
    <row r="3157" spans="6:6" outlineLevel="1">
      <c r="F3157"/>
    </row>
    <row r="3158" spans="6:6" outlineLevel="1">
      <c r="F3158"/>
    </row>
    <row r="3159" spans="6:6" outlineLevel="1">
      <c r="F3159"/>
    </row>
    <row r="3160" spans="6:6" outlineLevel="1">
      <c r="F3160"/>
    </row>
    <row r="3161" spans="6:6" outlineLevel="1">
      <c r="F3161"/>
    </row>
    <row r="3162" spans="6:6" outlineLevel="1">
      <c r="F3162"/>
    </row>
    <row r="3163" spans="6:6" outlineLevel="1">
      <c r="F3163"/>
    </row>
    <row r="3164" spans="6:6" outlineLevel="1">
      <c r="F3164"/>
    </row>
    <row r="3165" spans="6:6" outlineLevel="1">
      <c r="F3165"/>
    </row>
    <row r="3166" spans="6:6" outlineLevel="1">
      <c r="F3166"/>
    </row>
    <row r="3167" spans="6:6" outlineLevel="1">
      <c r="F3167"/>
    </row>
    <row r="3168" spans="6:6" outlineLevel="1">
      <c r="F3168"/>
    </row>
    <row r="3169" spans="6:6" outlineLevel="1">
      <c r="F3169"/>
    </row>
    <row r="3170" spans="6:6" outlineLevel="1">
      <c r="F3170"/>
    </row>
    <row r="3171" spans="6:6" outlineLevel="1">
      <c r="F3171"/>
    </row>
    <row r="3172" spans="6:6" outlineLevel="1">
      <c r="F3172"/>
    </row>
    <row r="3173" spans="6:6" outlineLevel="1">
      <c r="F3173"/>
    </row>
    <row r="3174" spans="6:6" outlineLevel="1">
      <c r="F3174"/>
    </row>
    <row r="3175" spans="6:6" outlineLevel="1">
      <c r="F3175"/>
    </row>
    <row r="3176" spans="6:6" outlineLevel="1">
      <c r="F3176"/>
    </row>
    <row r="3177" spans="6:6" outlineLevel="1">
      <c r="F3177"/>
    </row>
    <row r="3178" spans="6:6" outlineLevel="1">
      <c r="F3178"/>
    </row>
    <row r="3179" spans="6:6" outlineLevel="1">
      <c r="F3179"/>
    </row>
    <row r="3180" spans="6:6" outlineLevel="1">
      <c r="F3180"/>
    </row>
    <row r="3181" spans="6:6" outlineLevel="1">
      <c r="F3181"/>
    </row>
    <row r="3182" spans="6:6" outlineLevel="1">
      <c r="F3182"/>
    </row>
    <row r="3183" spans="6:6" outlineLevel="1">
      <c r="F3183"/>
    </row>
    <row r="3184" spans="6:6" outlineLevel="1">
      <c r="F3184"/>
    </row>
    <row r="3185" spans="6:6" outlineLevel="1">
      <c r="F3185"/>
    </row>
    <row r="3186" spans="6:6" outlineLevel="1">
      <c r="F3186"/>
    </row>
    <row r="3187" spans="6:6" outlineLevel="1">
      <c r="F3187"/>
    </row>
    <row r="3188" spans="6:6" outlineLevel="1">
      <c r="F3188"/>
    </row>
    <row r="3189" spans="6:6" outlineLevel="1">
      <c r="F3189"/>
    </row>
    <row r="3190" spans="6:6" outlineLevel="1">
      <c r="F3190"/>
    </row>
    <row r="3191" spans="6:6" outlineLevel="1">
      <c r="F3191"/>
    </row>
    <row r="3192" spans="6:6" outlineLevel="1">
      <c r="F3192"/>
    </row>
    <row r="3193" spans="6:6" outlineLevel="1">
      <c r="F3193"/>
    </row>
    <row r="3194" spans="6:6" outlineLevel="1">
      <c r="F3194"/>
    </row>
    <row r="3195" spans="6:6" outlineLevel="1">
      <c r="F3195"/>
    </row>
    <row r="3196" spans="6:6" outlineLevel="1">
      <c r="F3196"/>
    </row>
    <row r="3197" spans="6:6" outlineLevel="1">
      <c r="F3197"/>
    </row>
    <row r="3198" spans="6:6" outlineLevel="1">
      <c r="F3198"/>
    </row>
    <row r="3199" spans="6:6" outlineLevel="1">
      <c r="F3199"/>
    </row>
    <row r="3200" spans="6:6" outlineLevel="1">
      <c r="F3200"/>
    </row>
    <row r="3201" spans="6:6" outlineLevel="1">
      <c r="F3201"/>
    </row>
    <row r="3202" spans="6:6" outlineLevel="1">
      <c r="F3202"/>
    </row>
    <row r="3203" spans="6:6" outlineLevel="1">
      <c r="F3203"/>
    </row>
    <row r="3204" spans="6:6" outlineLevel="1">
      <c r="F3204"/>
    </row>
    <row r="3205" spans="6:6" outlineLevel="1">
      <c r="F3205"/>
    </row>
    <row r="3206" spans="6:6" outlineLevel="1">
      <c r="F3206"/>
    </row>
    <row r="3207" spans="6:6" outlineLevel="1">
      <c r="F3207"/>
    </row>
    <row r="3208" spans="6:6" outlineLevel="1">
      <c r="F3208"/>
    </row>
    <row r="3209" spans="6:6" outlineLevel="1">
      <c r="F3209"/>
    </row>
    <row r="3210" spans="6:6" outlineLevel="1">
      <c r="F3210"/>
    </row>
    <row r="3211" spans="6:6" outlineLevel="1">
      <c r="F3211"/>
    </row>
    <row r="3212" spans="6:6" outlineLevel="1">
      <c r="F3212"/>
    </row>
    <row r="3213" spans="6:6" outlineLevel="1">
      <c r="F3213"/>
    </row>
    <row r="3214" spans="6:6" outlineLevel="1">
      <c r="F3214"/>
    </row>
    <row r="3215" spans="6:6" outlineLevel="1">
      <c r="F3215"/>
    </row>
    <row r="3216" spans="6:6" outlineLevel="1">
      <c r="F3216"/>
    </row>
    <row r="3217" spans="6:6" outlineLevel="1">
      <c r="F3217"/>
    </row>
    <row r="3218" spans="6:6" outlineLevel="1">
      <c r="F3218"/>
    </row>
    <row r="3219" spans="6:6" outlineLevel="1">
      <c r="F3219"/>
    </row>
    <row r="3220" spans="6:6" outlineLevel="1">
      <c r="F3220"/>
    </row>
    <row r="3221" spans="6:6" outlineLevel="1">
      <c r="F3221"/>
    </row>
    <row r="3222" spans="6:6">
      <c r="F3222"/>
    </row>
    <row r="3223" spans="6:6" outlineLevel="1">
      <c r="F3223"/>
    </row>
    <row r="3224" spans="6:6" outlineLevel="1">
      <c r="F3224"/>
    </row>
    <row r="3225" spans="6:6" outlineLevel="1">
      <c r="F3225"/>
    </row>
    <row r="3226" spans="6:6" outlineLevel="1">
      <c r="F3226"/>
    </row>
    <row r="3227" spans="6:6" outlineLevel="1">
      <c r="F3227"/>
    </row>
    <row r="3228" spans="6:6" outlineLevel="1">
      <c r="F3228"/>
    </row>
    <row r="3229" spans="6:6" outlineLevel="1">
      <c r="F3229"/>
    </row>
    <row r="3230" spans="6:6" outlineLevel="1">
      <c r="F3230"/>
    </row>
    <row r="3231" spans="6:6" outlineLevel="1">
      <c r="F3231"/>
    </row>
    <row r="3232" spans="6:6" outlineLevel="1">
      <c r="F3232"/>
    </row>
    <row r="3233" spans="6:6" outlineLevel="1">
      <c r="F3233"/>
    </row>
    <row r="3234" spans="6:6" outlineLevel="1">
      <c r="F3234"/>
    </row>
    <row r="3235" spans="6:6" outlineLevel="1">
      <c r="F3235"/>
    </row>
    <row r="3236" spans="6:6" outlineLevel="1">
      <c r="F3236"/>
    </row>
    <row r="3237" spans="6:6" outlineLevel="1">
      <c r="F3237"/>
    </row>
    <row r="3238" spans="6:6" outlineLevel="1">
      <c r="F3238"/>
    </row>
    <row r="3239" spans="6:6" outlineLevel="1">
      <c r="F3239"/>
    </row>
    <row r="3240" spans="6:6" outlineLevel="1">
      <c r="F3240"/>
    </row>
    <row r="3241" spans="6:6" outlineLevel="1">
      <c r="F3241"/>
    </row>
    <row r="3242" spans="6:6" outlineLevel="1">
      <c r="F3242"/>
    </row>
    <row r="3243" spans="6:6" outlineLevel="1">
      <c r="F3243"/>
    </row>
    <row r="3244" spans="6:6" outlineLevel="1">
      <c r="F3244"/>
    </row>
    <row r="3245" spans="6:6" outlineLevel="1">
      <c r="F3245"/>
    </row>
    <row r="3246" spans="6:6" outlineLevel="1">
      <c r="F3246"/>
    </row>
    <row r="3247" spans="6:6" outlineLevel="1">
      <c r="F3247"/>
    </row>
    <row r="3248" spans="6:6" outlineLevel="1">
      <c r="F3248"/>
    </row>
    <row r="3249" spans="6:6" outlineLevel="1">
      <c r="F3249"/>
    </row>
    <row r="3250" spans="6:6" outlineLevel="1">
      <c r="F3250"/>
    </row>
    <row r="3251" spans="6:6" outlineLevel="1">
      <c r="F3251"/>
    </row>
    <row r="3252" spans="6:6" outlineLevel="1">
      <c r="F3252"/>
    </row>
    <row r="3253" spans="6:6" outlineLevel="1">
      <c r="F3253"/>
    </row>
    <row r="3254" spans="6:6" outlineLevel="1">
      <c r="F3254"/>
    </row>
    <row r="3255" spans="6:6" outlineLevel="1">
      <c r="F3255"/>
    </row>
    <row r="3256" spans="6:6" outlineLevel="1">
      <c r="F3256"/>
    </row>
    <row r="3257" spans="6:6" outlineLevel="1">
      <c r="F3257"/>
    </row>
    <row r="3258" spans="6:6" outlineLevel="1">
      <c r="F3258"/>
    </row>
    <row r="3259" spans="6:6" outlineLevel="1">
      <c r="F3259"/>
    </row>
    <row r="3260" spans="6:6" outlineLevel="1">
      <c r="F3260"/>
    </row>
    <row r="3261" spans="6:6" outlineLevel="1">
      <c r="F3261"/>
    </row>
    <row r="3262" spans="6:6" outlineLevel="1">
      <c r="F3262"/>
    </row>
    <row r="3263" spans="6:6" outlineLevel="1">
      <c r="F3263"/>
    </row>
    <row r="3264" spans="6:6" outlineLevel="1">
      <c r="F3264"/>
    </row>
    <row r="3265" spans="6:6" outlineLevel="1">
      <c r="F3265"/>
    </row>
    <row r="3266" spans="6:6" outlineLevel="1">
      <c r="F3266"/>
    </row>
    <row r="3267" spans="6:6" outlineLevel="1">
      <c r="F3267"/>
    </row>
    <row r="3268" spans="6:6" outlineLevel="1">
      <c r="F3268"/>
    </row>
    <row r="3269" spans="6:6">
      <c r="F3269"/>
    </row>
    <row r="3270" spans="6:6" outlineLevel="1">
      <c r="F3270"/>
    </row>
    <row r="3271" spans="6:6" outlineLevel="1">
      <c r="F3271"/>
    </row>
    <row r="3272" spans="6:6" outlineLevel="1">
      <c r="F3272"/>
    </row>
    <row r="3273" spans="6:6" outlineLevel="1">
      <c r="F3273"/>
    </row>
    <row r="3274" spans="6:6" outlineLevel="1">
      <c r="F3274"/>
    </row>
    <row r="3275" spans="6:6" outlineLevel="1">
      <c r="F3275"/>
    </row>
    <row r="3276" spans="6:6" outlineLevel="1">
      <c r="F3276"/>
    </row>
    <row r="3277" spans="6:6" outlineLevel="1">
      <c r="F3277"/>
    </row>
    <row r="3278" spans="6:6" outlineLevel="1">
      <c r="F3278"/>
    </row>
    <row r="3279" spans="6:6" outlineLevel="1">
      <c r="F3279"/>
    </row>
    <row r="3280" spans="6:6" outlineLevel="1">
      <c r="F3280"/>
    </row>
    <row r="3281" spans="6:6" outlineLevel="1">
      <c r="F3281"/>
    </row>
    <row r="3282" spans="6:6" outlineLevel="1">
      <c r="F3282"/>
    </row>
    <row r="3283" spans="6:6" outlineLevel="1">
      <c r="F3283"/>
    </row>
    <row r="3284" spans="6:6" outlineLevel="1">
      <c r="F3284"/>
    </row>
    <row r="3285" spans="6:6" outlineLevel="1">
      <c r="F3285"/>
    </row>
    <row r="3286" spans="6:6" outlineLevel="1">
      <c r="F3286"/>
    </row>
    <row r="3287" spans="6:6" outlineLevel="1">
      <c r="F3287"/>
    </row>
    <row r="3288" spans="6:6" outlineLevel="1">
      <c r="F3288"/>
    </row>
    <row r="3289" spans="6:6" outlineLevel="1">
      <c r="F3289"/>
    </row>
    <row r="3290" spans="6:6" outlineLevel="1">
      <c r="F3290"/>
    </row>
    <row r="3291" spans="6:6" outlineLevel="1">
      <c r="F3291"/>
    </row>
    <row r="3292" spans="6:6" outlineLevel="1">
      <c r="F3292"/>
    </row>
    <row r="3293" spans="6:6" outlineLevel="1">
      <c r="F3293"/>
    </row>
    <row r="3294" spans="6:6" outlineLevel="1">
      <c r="F3294"/>
    </row>
    <row r="3295" spans="6:6" outlineLevel="1">
      <c r="F3295"/>
    </row>
    <row r="3296" spans="6:6" outlineLevel="1">
      <c r="F3296"/>
    </row>
    <row r="3297" spans="6:6" outlineLevel="1">
      <c r="F3297"/>
    </row>
    <row r="3298" spans="6:6" outlineLevel="1">
      <c r="F3298"/>
    </row>
    <row r="3299" spans="6:6" outlineLevel="1">
      <c r="F3299"/>
    </row>
    <row r="3300" spans="6:6" outlineLevel="1">
      <c r="F3300"/>
    </row>
    <row r="3301" spans="6:6" outlineLevel="1">
      <c r="F3301"/>
    </row>
    <row r="3302" spans="6:6" outlineLevel="1">
      <c r="F3302"/>
    </row>
    <row r="3303" spans="6:6" outlineLevel="1">
      <c r="F3303"/>
    </row>
    <row r="3304" spans="6:6" outlineLevel="1">
      <c r="F3304"/>
    </row>
    <row r="3305" spans="6:6" outlineLevel="1">
      <c r="F3305"/>
    </row>
    <row r="3306" spans="6:6" outlineLevel="1">
      <c r="F3306"/>
    </row>
    <row r="3307" spans="6:6" outlineLevel="1">
      <c r="F3307"/>
    </row>
    <row r="3308" spans="6:6" outlineLevel="1">
      <c r="F3308"/>
    </row>
    <row r="3309" spans="6:6" outlineLevel="1">
      <c r="F3309"/>
    </row>
    <row r="3310" spans="6:6" outlineLevel="1">
      <c r="F3310"/>
    </row>
    <row r="3311" spans="6:6" outlineLevel="1">
      <c r="F3311"/>
    </row>
    <row r="3312" spans="6:6" outlineLevel="1">
      <c r="F3312"/>
    </row>
    <row r="3313" spans="6:6" outlineLevel="1">
      <c r="F3313"/>
    </row>
    <row r="3314" spans="6:6" outlineLevel="1">
      <c r="F3314"/>
    </row>
    <row r="3315" spans="6:6" outlineLevel="1">
      <c r="F3315"/>
    </row>
    <row r="3316" spans="6:6" outlineLevel="1">
      <c r="F3316"/>
    </row>
    <row r="3317" spans="6:6" outlineLevel="1">
      <c r="F3317"/>
    </row>
    <row r="3318" spans="6:6" outlineLevel="1">
      <c r="F3318"/>
    </row>
    <row r="3319" spans="6:6" outlineLevel="1">
      <c r="F3319"/>
    </row>
    <row r="3320" spans="6:6" outlineLevel="1">
      <c r="F3320"/>
    </row>
    <row r="3321" spans="6:6" outlineLevel="1">
      <c r="F3321"/>
    </row>
    <row r="3322" spans="6:6" outlineLevel="1">
      <c r="F3322"/>
    </row>
    <row r="3323" spans="6:6" outlineLevel="1">
      <c r="F3323"/>
    </row>
    <row r="3324" spans="6:6" outlineLevel="1">
      <c r="F3324"/>
    </row>
    <row r="3325" spans="6:6" outlineLevel="1">
      <c r="F3325"/>
    </row>
    <row r="3326" spans="6:6" outlineLevel="1">
      <c r="F3326"/>
    </row>
    <row r="3327" spans="6:6" outlineLevel="1">
      <c r="F3327"/>
    </row>
    <row r="3328" spans="6:6" outlineLevel="1">
      <c r="F3328"/>
    </row>
    <row r="3329" spans="6:6" outlineLevel="1">
      <c r="F3329"/>
    </row>
    <row r="3330" spans="6:6" outlineLevel="1">
      <c r="F3330"/>
    </row>
    <row r="3331" spans="6:6" outlineLevel="1">
      <c r="F3331"/>
    </row>
    <row r="3332" spans="6:6" outlineLevel="1">
      <c r="F3332"/>
    </row>
    <row r="3333" spans="6:6" outlineLevel="1">
      <c r="F3333"/>
    </row>
    <row r="3334" spans="6:6" outlineLevel="1">
      <c r="F3334"/>
    </row>
    <row r="3335" spans="6:6" outlineLevel="1">
      <c r="F3335"/>
    </row>
    <row r="3336" spans="6:6" outlineLevel="1">
      <c r="F3336"/>
    </row>
    <row r="3337" spans="6:6" outlineLevel="1">
      <c r="F3337"/>
    </row>
    <row r="3338" spans="6:6" outlineLevel="1">
      <c r="F3338"/>
    </row>
    <row r="3339" spans="6:6" outlineLevel="1">
      <c r="F3339"/>
    </row>
    <row r="3340" spans="6:6" outlineLevel="1">
      <c r="F3340"/>
    </row>
    <row r="3341" spans="6:6" outlineLevel="1">
      <c r="F3341"/>
    </row>
    <row r="3342" spans="6:6" outlineLevel="1">
      <c r="F3342"/>
    </row>
    <row r="3343" spans="6:6" outlineLevel="1">
      <c r="F3343"/>
    </row>
    <row r="3344" spans="6:6" outlineLevel="1">
      <c r="F3344"/>
    </row>
    <row r="3345" spans="6:6" outlineLevel="1">
      <c r="F3345"/>
    </row>
    <row r="3346" spans="6:6" outlineLevel="1">
      <c r="F3346"/>
    </row>
    <row r="3347" spans="6:6" outlineLevel="1">
      <c r="F3347"/>
    </row>
    <row r="3348" spans="6:6" outlineLevel="1">
      <c r="F3348"/>
    </row>
    <row r="3349" spans="6:6" outlineLevel="1">
      <c r="F3349"/>
    </row>
    <row r="3350" spans="6:6" outlineLevel="1">
      <c r="F3350"/>
    </row>
    <row r="3351" spans="6:6">
      <c r="F3351"/>
    </row>
    <row r="3352" spans="6:6" outlineLevel="1">
      <c r="F3352"/>
    </row>
    <row r="3353" spans="6:6" outlineLevel="1">
      <c r="F3353"/>
    </row>
    <row r="3354" spans="6:6" outlineLevel="1">
      <c r="F3354"/>
    </row>
    <row r="3355" spans="6:6" outlineLevel="1">
      <c r="F3355"/>
    </row>
    <row r="3356" spans="6:6" outlineLevel="1">
      <c r="F3356"/>
    </row>
    <row r="3357" spans="6:6" outlineLevel="1">
      <c r="F3357"/>
    </row>
    <row r="3358" spans="6:6" outlineLevel="1">
      <c r="F3358"/>
    </row>
    <row r="3359" spans="6:6" outlineLevel="1">
      <c r="F3359"/>
    </row>
    <row r="3360" spans="6:6" outlineLevel="1">
      <c r="F3360"/>
    </row>
    <row r="3361" spans="6:6" outlineLevel="1">
      <c r="F3361"/>
    </row>
    <row r="3362" spans="6:6" outlineLevel="1">
      <c r="F3362"/>
    </row>
    <row r="3363" spans="6:6" outlineLevel="1">
      <c r="F3363"/>
    </row>
    <row r="3364" spans="6:6" outlineLevel="1">
      <c r="F3364"/>
    </row>
    <row r="3365" spans="6:6" outlineLevel="1">
      <c r="F3365"/>
    </row>
    <row r="3366" spans="6:6" outlineLevel="1">
      <c r="F3366"/>
    </row>
    <row r="3367" spans="6:6" outlineLevel="1">
      <c r="F3367"/>
    </row>
    <row r="3368" spans="6:6" outlineLevel="1">
      <c r="F3368"/>
    </row>
    <row r="3369" spans="6:6" outlineLevel="1">
      <c r="F3369"/>
    </row>
    <row r="3370" spans="6:6" outlineLevel="1">
      <c r="F3370"/>
    </row>
    <row r="3371" spans="6:6">
      <c r="F3371"/>
    </row>
    <row r="3372" spans="6:6" outlineLevel="1">
      <c r="F3372"/>
    </row>
    <row r="3373" spans="6:6" outlineLevel="1">
      <c r="F3373"/>
    </row>
    <row r="3374" spans="6:6" outlineLevel="1">
      <c r="F3374"/>
    </row>
    <row r="3375" spans="6:6" outlineLevel="1">
      <c r="F3375"/>
    </row>
    <row r="3376" spans="6:6" outlineLevel="1">
      <c r="F3376"/>
    </row>
    <row r="3377" spans="6:6" outlineLevel="1">
      <c r="F3377"/>
    </row>
    <row r="3378" spans="6:6" outlineLevel="1">
      <c r="F3378"/>
    </row>
    <row r="3379" spans="6:6" outlineLevel="1">
      <c r="F3379"/>
    </row>
    <row r="3380" spans="6:6" outlineLevel="1">
      <c r="F3380"/>
    </row>
    <row r="3381" spans="6:6" outlineLevel="1">
      <c r="F3381"/>
    </row>
    <row r="3382" spans="6:6" outlineLevel="1">
      <c r="F3382"/>
    </row>
    <row r="3383" spans="6:6" outlineLevel="1">
      <c r="F3383"/>
    </row>
    <row r="3384" spans="6:6" outlineLevel="1">
      <c r="F3384"/>
    </row>
    <row r="3385" spans="6:6" outlineLevel="1">
      <c r="F3385"/>
    </row>
    <row r="3386" spans="6:6" outlineLevel="1">
      <c r="F3386"/>
    </row>
    <row r="3387" spans="6:6" outlineLevel="1">
      <c r="F3387"/>
    </row>
    <row r="3388" spans="6:6" outlineLevel="1">
      <c r="F3388"/>
    </row>
    <row r="3389" spans="6:6" outlineLevel="1">
      <c r="F3389"/>
    </row>
    <row r="3390" spans="6:6" outlineLevel="1">
      <c r="F3390"/>
    </row>
    <row r="3391" spans="6:6" outlineLevel="1">
      <c r="F3391"/>
    </row>
    <row r="3392" spans="6:6" outlineLevel="1">
      <c r="F3392"/>
    </row>
    <row r="3393" spans="6:6" outlineLevel="1">
      <c r="F3393"/>
    </row>
    <row r="3394" spans="6:6" outlineLevel="1">
      <c r="F3394"/>
    </row>
    <row r="3395" spans="6:6" outlineLevel="1">
      <c r="F3395"/>
    </row>
    <row r="3396" spans="6:6" outlineLevel="1">
      <c r="F3396"/>
    </row>
    <row r="3397" spans="6:6" outlineLevel="1">
      <c r="F3397"/>
    </row>
    <row r="3398" spans="6:6" outlineLevel="1">
      <c r="F3398"/>
    </row>
    <row r="3399" spans="6:6" outlineLevel="1">
      <c r="F3399"/>
    </row>
    <row r="3400" spans="6:6" outlineLevel="1">
      <c r="F3400"/>
    </row>
    <row r="3401" spans="6:6" outlineLevel="1">
      <c r="F3401"/>
    </row>
    <row r="3402" spans="6:6" outlineLevel="1">
      <c r="F3402"/>
    </row>
    <row r="3403" spans="6:6" outlineLevel="1">
      <c r="F3403"/>
    </row>
    <row r="3404" spans="6:6" outlineLevel="1">
      <c r="F3404"/>
    </row>
    <row r="3405" spans="6:6" outlineLevel="1">
      <c r="F3405"/>
    </row>
    <row r="3406" spans="6:6" outlineLevel="1">
      <c r="F3406"/>
    </row>
    <row r="3407" spans="6:6" outlineLevel="1">
      <c r="F3407"/>
    </row>
    <row r="3408" spans="6:6" outlineLevel="1">
      <c r="F3408"/>
    </row>
    <row r="3409" spans="6:6" outlineLevel="1">
      <c r="F3409"/>
    </row>
    <row r="3410" spans="6:6" outlineLevel="1">
      <c r="F3410"/>
    </row>
    <row r="3411" spans="6:6" outlineLevel="1">
      <c r="F3411"/>
    </row>
    <row r="3412" spans="6:6" outlineLevel="1">
      <c r="F3412"/>
    </row>
    <row r="3413" spans="6:6" outlineLevel="1">
      <c r="F3413"/>
    </row>
    <row r="3414" spans="6:6" outlineLevel="1">
      <c r="F3414"/>
    </row>
    <row r="3415" spans="6:6" outlineLevel="1">
      <c r="F3415"/>
    </row>
    <row r="3416" spans="6:6" outlineLevel="1">
      <c r="F3416"/>
    </row>
    <row r="3417" spans="6:6" outlineLevel="1">
      <c r="F3417"/>
    </row>
    <row r="3418" spans="6:6" outlineLevel="1">
      <c r="F3418"/>
    </row>
    <row r="3419" spans="6:6" outlineLevel="1">
      <c r="F3419"/>
    </row>
    <row r="3420" spans="6:6" outlineLevel="1">
      <c r="F3420"/>
    </row>
    <row r="3421" spans="6:6" outlineLevel="1">
      <c r="F3421"/>
    </row>
    <row r="3422" spans="6:6" outlineLevel="1">
      <c r="F3422"/>
    </row>
    <row r="3423" spans="6:6" outlineLevel="1">
      <c r="F3423"/>
    </row>
    <row r="3424" spans="6:6" outlineLevel="1">
      <c r="F3424"/>
    </row>
    <row r="3425" spans="6:6" outlineLevel="1">
      <c r="F3425"/>
    </row>
    <row r="3426" spans="6:6" outlineLevel="1">
      <c r="F3426"/>
    </row>
    <row r="3427" spans="6:6" outlineLevel="1">
      <c r="F3427"/>
    </row>
    <row r="3428" spans="6:6" outlineLevel="1">
      <c r="F3428"/>
    </row>
    <row r="3429" spans="6:6" outlineLevel="1">
      <c r="F3429"/>
    </row>
    <row r="3430" spans="6:6" outlineLevel="1">
      <c r="F3430"/>
    </row>
    <row r="3431" spans="6:6" outlineLevel="1">
      <c r="F3431"/>
    </row>
    <row r="3432" spans="6:6" outlineLevel="1">
      <c r="F3432"/>
    </row>
    <row r="3433" spans="6:6" outlineLevel="1">
      <c r="F3433"/>
    </row>
    <row r="3434" spans="6:6" outlineLevel="1">
      <c r="F3434"/>
    </row>
    <row r="3435" spans="6:6" outlineLevel="1">
      <c r="F3435"/>
    </row>
    <row r="3436" spans="6:6" outlineLevel="1">
      <c r="F3436"/>
    </row>
    <row r="3437" spans="6:6" outlineLevel="1">
      <c r="F3437"/>
    </row>
    <row r="3438" spans="6:6" outlineLevel="1">
      <c r="F3438"/>
    </row>
    <row r="3439" spans="6:6" outlineLevel="1">
      <c r="F3439"/>
    </row>
    <row r="3440" spans="6:6" outlineLevel="1">
      <c r="F3440"/>
    </row>
    <row r="3441" spans="6:6" outlineLevel="1">
      <c r="F3441"/>
    </row>
    <row r="3442" spans="6:6" outlineLevel="1">
      <c r="F3442"/>
    </row>
    <row r="3443" spans="6:6" outlineLevel="1">
      <c r="F3443"/>
    </row>
    <row r="3444" spans="6:6" outlineLevel="1">
      <c r="F3444"/>
    </row>
    <row r="3445" spans="6:6" outlineLevel="1">
      <c r="F3445"/>
    </row>
    <row r="3446" spans="6:6" outlineLevel="1">
      <c r="F3446"/>
    </row>
    <row r="3447" spans="6:6" outlineLevel="1">
      <c r="F3447"/>
    </row>
    <row r="3448" spans="6:6" outlineLevel="1">
      <c r="F3448"/>
    </row>
    <row r="3449" spans="6:6" outlineLevel="1">
      <c r="F3449"/>
    </row>
    <row r="3450" spans="6:6" outlineLevel="1">
      <c r="F3450"/>
    </row>
    <row r="3451" spans="6:6" outlineLevel="1">
      <c r="F3451"/>
    </row>
    <row r="3452" spans="6:6" outlineLevel="1">
      <c r="F3452"/>
    </row>
    <row r="3453" spans="6:6" outlineLevel="1">
      <c r="F3453"/>
    </row>
    <row r="3454" spans="6:6" outlineLevel="1">
      <c r="F3454"/>
    </row>
    <row r="3455" spans="6:6" outlineLevel="1">
      <c r="F3455"/>
    </row>
    <row r="3456" spans="6:6" outlineLevel="1">
      <c r="F3456"/>
    </row>
    <row r="3457" spans="6:6" outlineLevel="1">
      <c r="F3457"/>
    </row>
    <row r="3458" spans="6:6" outlineLevel="1">
      <c r="F3458"/>
    </row>
    <row r="3459" spans="6:6" outlineLevel="1">
      <c r="F3459"/>
    </row>
    <row r="3460" spans="6:6" outlineLevel="1">
      <c r="F3460"/>
    </row>
    <row r="3461" spans="6:6" outlineLevel="1">
      <c r="F3461"/>
    </row>
    <row r="3462" spans="6:6" outlineLevel="1">
      <c r="F3462"/>
    </row>
    <row r="3463" spans="6:6" outlineLevel="1">
      <c r="F3463"/>
    </row>
    <row r="3464" spans="6:6" outlineLevel="1">
      <c r="F3464"/>
    </row>
    <row r="3465" spans="6:6" outlineLevel="1">
      <c r="F3465"/>
    </row>
    <row r="3466" spans="6:6" outlineLevel="1">
      <c r="F3466"/>
    </row>
    <row r="3467" spans="6:6" outlineLevel="1">
      <c r="F3467"/>
    </row>
    <row r="3468" spans="6:6" outlineLevel="1">
      <c r="F3468"/>
    </row>
    <row r="3469" spans="6:6" outlineLevel="1">
      <c r="F3469"/>
    </row>
    <row r="3470" spans="6:6" outlineLevel="1">
      <c r="F3470"/>
    </row>
    <row r="3471" spans="6:6" outlineLevel="1">
      <c r="F3471"/>
    </row>
    <row r="3472" spans="6:6" outlineLevel="1">
      <c r="F3472"/>
    </row>
    <row r="3473" spans="6:6" outlineLevel="1">
      <c r="F3473"/>
    </row>
    <row r="3474" spans="6:6" outlineLevel="1">
      <c r="F3474"/>
    </row>
    <row r="3475" spans="6:6" outlineLevel="1">
      <c r="F3475"/>
    </row>
    <row r="3476" spans="6:6" outlineLevel="1">
      <c r="F3476"/>
    </row>
    <row r="3477" spans="6:6" outlineLevel="1">
      <c r="F3477"/>
    </row>
    <row r="3478" spans="6:6" outlineLevel="1">
      <c r="F3478"/>
    </row>
    <row r="3479" spans="6:6" outlineLevel="1">
      <c r="F3479"/>
    </row>
    <row r="3480" spans="6:6" outlineLevel="1">
      <c r="F3480"/>
    </row>
    <row r="3481" spans="6:6" outlineLevel="1">
      <c r="F3481"/>
    </row>
    <row r="3482" spans="6:6" outlineLevel="1">
      <c r="F3482"/>
    </row>
    <row r="3483" spans="6:6" outlineLevel="1">
      <c r="F3483"/>
    </row>
    <row r="3484" spans="6:6" outlineLevel="1">
      <c r="F3484"/>
    </row>
    <row r="3485" spans="6:6" outlineLevel="1">
      <c r="F3485"/>
    </row>
    <row r="3486" spans="6:6" outlineLevel="1">
      <c r="F3486"/>
    </row>
    <row r="3487" spans="6:6" outlineLevel="1">
      <c r="F3487"/>
    </row>
    <row r="3488" spans="6:6" outlineLevel="1">
      <c r="F3488"/>
    </row>
    <row r="3489" spans="6:6" outlineLevel="1">
      <c r="F3489"/>
    </row>
    <row r="3490" spans="6:6" outlineLevel="1">
      <c r="F3490"/>
    </row>
    <row r="3491" spans="6:6" outlineLevel="1">
      <c r="F3491"/>
    </row>
    <row r="3492" spans="6:6" outlineLevel="1">
      <c r="F3492"/>
    </row>
    <row r="3493" spans="6:6" outlineLevel="1">
      <c r="F3493"/>
    </row>
    <row r="3494" spans="6:6" outlineLevel="1">
      <c r="F3494"/>
    </row>
    <row r="3495" spans="6:6" outlineLevel="1">
      <c r="F3495"/>
    </row>
    <row r="3496" spans="6:6" outlineLevel="1">
      <c r="F3496"/>
    </row>
    <row r="3497" spans="6:6" outlineLevel="1">
      <c r="F3497"/>
    </row>
    <row r="3498" spans="6:6" outlineLevel="1">
      <c r="F3498"/>
    </row>
    <row r="3499" spans="6:6" outlineLevel="1">
      <c r="F3499"/>
    </row>
    <row r="3500" spans="6:6" outlineLevel="1">
      <c r="F3500"/>
    </row>
    <row r="3501" spans="6:6" outlineLevel="1">
      <c r="F3501"/>
    </row>
    <row r="3502" spans="6:6" outlineLevel="1">
      <c r="F3502"/>
    </row>
    <row r="3503" spans="6:6" outlineLevel="1">
      <c r="F3503"/>
    </row>
    <row r="3504" spans="6:6" outlineLevel="1">
      <c r="F3504"/>
    </row>
    <row r="3505" spans="6:6" outlineLevel="1">
      <c r="F3505"/>
    </row>
    <row r="3506" spans="6:6" outlineLevel="1">
      <c r="F3506"/>
    </row>
    <row r="3507" spans="6:6" outlineLevel="1">
      <c r="F3507"/>
    </row>
    <row r="3508" spans="6:6" outlineLevel="1">
      <c r="F3508"/>
    </row>
    <row r="3509" spans="6:6" outlineLevel="1">
      <c r="F3509"/>
    </row>
    <row r="3510" spans="6:6" outlineLevel="1">
      <c r="F3510"/>
    </row>
    <row r="3511" spans="6:6" outlineLevel="1">
      <c r="F3511"/>
    </row>
    <row r="3512" spans="6:6" outlineLevel="1">
      <c r="F3512"/>
    </row>
    <row r="3513" spans="6:6" outlineLevel="1">
      <c r="F3513"/>
    </row>
    <row r="3514" spans="6:6" outlineLevel="1">
      <c r="F3514"/>
    </row>
    <row r="3515" spans="6:6" outlineLevel="1">
      <c r="F3515"/>
    </row>
    <row r="3516" spans="6:6" outlineLevel="1">
      <c r="F3516"/>
    </row>
    <row r="3517" spans="6:6" outlineLevel="1">
      <c r="F3517"/>
    </row>
    <row r="3518" spans="6:6" outlineLevel="1">
      <c r="F3518"/>
    </row>
    <row r="3519" spans="6:6" outlineLevel="1">
      <c r="F3519"/>
    </row>
    <row r="3520" spans="6:6" outlineLevel="1">
      <c r="F3520"/>
    </row>
    <row r="3521" spans="6:6" outlineLevel="1">
      <c r="F3521"/>
    </row>
    <row r="3522" spans="6:6" outlineLevel="1">
      <c r="F3522"/>
    </row>
    <row r="3523" spans="6:6" outlineLevel="1">
      <c r="F3523"/>
    </row>
    <row r="3524" spans="6:6" outlineLevel="1">
      <c r="F3524"/>
    </row>
    <row r="3525" spans="6:6" outlineLevel="1">
      <c r="F3525"/>
    </row>
    <row r="3526" spans="6:6" outlineLevel="1">
      <c r="F3526"/>
    </row>
    <row r="3527" spans="6:6" outlineLevel="1">
      <c r="F3527"/>
    </row>
    <row r="3528" spans="6:6" outlineLevel="1">
      <c r="F3528"/>
    </row>
    <row r="3529" spans="6:6" outlineLevel="1">
      <c r="F3529"/>
    </row>
    <row r="3530" spans="6:6" outlineLevel="1">
      <c r="F3530"/>
    </row>
    <row r="3531" spans="6:6" outlineLevel="1">
      <c r="F3531"/>
    </row>
    <row r="3532" spans="6:6" outlineLevel="1">
      <c r="F3532"/>
    </row>
    <row r="3533" spans="6:6" outlineLevel="1">
      <c r="F3533"/>
    </row>
    <row r="3534" spans="6:6" outlineLevel="1">
      <c r="F3534"/>
    </row>
    <row r="3535" spans="6:6" outlineLevel="1">
      <c r="F3535"/>
    </row>
    <row r="3536" spans="6:6" outlineLevel="1">
      <c r="F3536"/>
    </row>
    <row r="3537" spans="6:6" outlineLevel="1">
      <c r="F3537"/>
    </row>
    <row r="3538" spans="6:6" outlineLevel="1">
      <c r="F3538"/>
    </row>
    <row r="3539" spans="6:6" outlineLevel="1">
      <c r="F3539"/>
    </row>
    <row r="3540" spans="6:6" outlineLevel="1">
      <c r="F3540"/>
    </row>
    <row r="3541" spans="6:6" outlineLevel="1">
      <c r="F3541"/>
    </row>
    <row r="3542" spans="6:6" outlineLevel="1">
      <c r="F3542"/>
    </row>
    <row r="3543" spans="6:6" outlineLevel="1">
      <c r="F3543"/>
    </row>
    <row r="3544" spans="6:6" outlineLevel="1">
      <c r="F3544"/>
    </row>
    <row r="3545" spans="6:6" outlineLevel="1">
      <c r="F3545"/>
    </row>
    <row r="3546" spans="6:6" outlineLevel="1">
      <c r="F3546"/>
    </row>
    <row r="3547" spans="6:6" outlineLevel="1">
      <c r="F3547"/>
    </row>
    <row r="3548" spans="6:6" outlineLevel="1">
      <c r="F3548"/>
    </row>
    <row r="3549" spans="6:6" outlineLevel="1">
      <c r="F3549"/>
    </row>
    <row r="3550" spans="6:6" outlineLevel="1">
      <c r="F3550"/>
    </row>
    <row r="3551" spans="6:6" outlineLevel="1">
      <c r="F3551"/>
    </row>
    <row r="3552" spans="6:6" outlineLevel="1">
      <c r="F3552"/>
    </row>
    <row r="3553" spans="6:6" outlineLevel="1">
      <c r="F3553"/>
    </row>
    <row r="3554" spans="6:6" outlineLevel="1">
      <c r="F3554"/>
    </row>
    <row r="3555" spans="6:6" outlineLevel="1">
      <c r="F3555"/>
    </row>
    <row r="3556" spans="6:6" outlineLevel="1">
      <c r="F3556"/>
    </row>
    <row r="3557" spans="6:6" outlineLevel="1">
      <c r="F3557"/>
    </row>
    <row r="3558" spans="6:6" outlineLevel="1">
      <c r="F3558"/>
    </row>
    <row r="3559" spans="6:6" outlineLevel="1">
      <c r="F3559"/>
    </row>
    <row r="3560" spans="6:6" outlineLevel="1">
      <c r="F3560"/>
    </row>
    <row r="3561" spans="6:6" outlineLevel="1">
      <c r="F3561"/>
    </row>
    <row r="3562" spans="6:6" outlineLevel="1">
      <c r="F3562"/>
    </row>
    <row r="3563" spans="6:6" outlineLevel="1">
      <c r="F3563"/>
    </row>
    <row r="3564" spans="6:6" outlineLevel="1">
      <c r="F3564"/>
    </row>
    <row r="3565" spans="6:6" outlineLevel="1">
      <c r="F3565"/>
    </row>
    <row r="3566" spans="6:6" outlineLevel="1">
      <c r="F3566"/>
    </row>
    <row r="3567" spans="6:6" outlineLevel="1">
      <c r="F3567"/>
    </row>
    <row r="3568" spans="6:6" outlineLevel="1">
      <c r="F3568"/>
    </row>
    <row r="3569" spans="6:6" outlineLevel="1">
      <c r="F3569"/>
    </row>
    <row r="3570" spans="6:6" outlineLevel="1">
      <c r="F3570"/>
    </row>
    <row r="3571" spans="6:6" outlineLevel="1">
      <c r="F3571"/>
    </row>
    <row r="3572" spans="6:6" outlineLevel="1">
      <c r="F3572"/>
    </row>
    <row r="3573" spans="6:6" outlineLevel="1">
      <c r="F3573"/>
    </row>
    <row r="3574" spans="6:6" outlineLevel="1">
      <c r="F3574"/>
    </row>
    <row r="3575" spans="6:6">
      <c r="F3575"/>
    </row>
    <row r="3576" spans="6:6" outlineLevel="1">
      <c r="F3576"/>
    </row>
    <row r="3577" spans="6:6" outlineLevel="1">
      <c r="F3577"/>
    </row>
    <row r="3578" spans="6:6" outlineLevel="1">
      <c r="F3578"/>
    </row>
    <row r="3579" spans="6:6" outlineLevel="1">
      <c r="F3579"/>
    </row>
    <row r="3580" spans="6:6" outlineLevel="1">
      <c r="F3580"/>
    </row>
    <row r="3581" spans="6:6" outlineLevel="1">
      <c r="F3581"/>
    </row>
    <row r="3582" spans="6:6" outlineLevel="1">
      <c r="F3582"/>
    </row>
    <row r="3583" spans="6:6" outlineLevel="1">
      <c r="F3583"/>
    </row>
    <row r="3584" spans="6:6" outlineLevel="1">
      <c r="F3584"/>
    </row>
    <row r="3585" spans="6:6" outlineLevel="1">
      <c r="F3585"/>
    </row>
    <row r="3586" spans="6:6" outlineLevel="1">
      <c r="F3586"/>
    </row>
    <row r="3587" spans="6:6" outlineLevel="1">
      <c r="F3587"/>
    </row>
    <row r="3588" spans="6:6" outlineLevel="1">
      <c r="F3588"/>
    </row>
    <row r="3589" spans="6:6" outlineLevel="1">
      <c r="F3589"/>
    </row>
    <row r="3590" spans="6:6" outlineLevel="1">
      <c r="F3590"/>
    </row>
    <row r="3591" spans="6:6" outlineLevel="1">
      <c r="F3591"/>
    </row>
    <row r="3592" spans="6:6" outlineLevel="1">
      <c r="F3592"/>
    </row>
    <row r="3593" spans="6:6" outlineLevel="1">
      <c r="F3593"/>
    </row>
    <row r="3594" spans="6:6" outlineLevel="1">
      <c r="F3594"/>
    </row>
    <row r="3595" spans="6:6" outlineLevel="1">
      <c r="F3595"/>
    </row>
    <row r="3596" spans="6:6" outlineLevel="1">
      <c r="F3596"/>
    </row>
    <row r="3597" spans="6:6" outlineLevel="1">
      <c r="F3597"/>
    </row>
    <row r="3598" spans="6:6" outlineLevel="1">
      <c r="F3598"/>
    </row>
    <row r="3599" spans="6:6" outlineLevel="1">
      <c r="F3599"/>
    </row>
    <row r="3600" spans="6:6" outlineLevel="1">
      <c r="F3600"/>
    </row>
    <row r="3601" spans="6:6" outlineLevel="1">
      <c r="F3601"/>
    </row>
    <row r="3602" spans="6:6" outlineLevel="1">
      <c r="F3602"/>
    </row>
    <row r="3603" spans="6:6" outlineLevel="1">
      <c r="F3603"/>
    </row>
    <row r="3604" spans="6:6" outlineLevel="1">
      <c r="F3604"/>
    </row>
    <row r="3605" spans="6:6" outlineLevel="1">
      <c r="F3605"/>
    </row>
    <row r="3606" spans="6:6" outlineLevel="1">
      <c r="F3606"/>
    </row>
    <row r="3607" spans="6:6" outlineLevel="1">
      <c r="F3607"/>
    </row>
    <row r="3608" spans="6:6" outlineLevel="1">
      <c r="F3608"/>
    </row>
    <row r="3609" spans="6:6" outlineLevel="1">
      <c r="F3609"/>
    </row>
    <row r="3610" spans="6:6" outlineLevel="1">
      <c r="F3610"/>
    </row>
    <row r="3611" spans="6:6" outlineLevel="1">
      <c r="F3611"/>
    </row>
    <row r="3612" spans="6:6" outlineLevel="1">
      <c r="F3612"/>
    </row>
    <row r="3613" spans="6:6" outlineLevel="1">
      <c r="F3613"/>
    </row>
    <row r="3614" spans="6:6" outlineLevel="1">
      <c r="F3614"/>
    </row>
    <row r="3615" spans="6:6" outlineLevel="1">
      <c r="F3615"/>
    </row>
    <row r="3616" spans="6:6" outlineLevel="1">
      <c r="F3616"/>
    </row>
    <row r="3617" spans="6:6" outlineLevel="1">
      <c r="F3617"/>
    </row>
    <row r="3618" spans="6:6" outlineLevel="1">
      <c r="F3618"/>
    </row>
    <row r="3619" spans="6:6" outlineLevel="1">
      <c r="F3619"/>
    </row>
    <row r="3620" spans="6:6" outlineLevel="1">
      <c r="F3620"/>
    </row>
    <row r="3621" spans="6:6" outlineLevel="1">
      <c r="F3621"/>
    </row>
    <row r="3622" spans="6:6" outlineLevel="1">
      <c r="F3622"/>
    </row>
    <row r="3623" spans="6:6" outlineLevel="1">
      <c r="F3623"/>
    </row>
    <row r="3624" spans="6:6" outlineLevel="1">
      <c r="F3624"/>
    </row>
    <row r="3625" spans="6:6" outlineLevel="1">
      <c r="F3625"/>
    </row>
    <row r="3626" spans="6:6" outlineLevel="1">
      <c r="F3626"/>
    </row>
    <row r="3627" spans="6:6">
      <c r="F3627"/>
    </row>
    <row r="3628" spans="6:6" outlineLevel="1">
      <c r="F3628"/>
    </row>
    <row r="3629" spans="6:6" outlineLevel="1">
      <c r="F3629"/>
    </row>
    <row r="3630" spans="6:6" outlineLevel="1">
      <c r="F3630"/>
    </row>
    <row r="3631" spans="6:6" outlineLevel="1">
      <c r="F3631"/>
    </row>
    <row r="3632" spans="6:6" outlineLevel="1">
      <c r="F3632"/>
    </row>
    <row r="3633" spans="6:6" outlineLevel="1">
      <c r="F3633"/>
    </row>
    <row r="3634" spans="6:6" outlineLevel="1">
      <c r="F3634"/>
    </row>
    <row r="3635" spans="6:6" outlineLevel="1">
      <c r="F3635"/>
    </row>
    <row r="3636" spans="6:6" outlineLevel="1">
      <c r="F3636"/>
    </row>
    <row r="3637" spans="6:6" outlineLevel="1">
      <c r="F3637"/>
    </row>
    <row r="3638" spans="6:6">
      <c r="F3638"/>
    </row>
    <row r="3639" spans="6:6" outlineLevel="1">
      <c r="F3639"/>
    </row>
    <row r="3640" spans="6:6" outlineLevel="1">
      <c r="F3640"/>
    </row>
    <row r="3641" spans="6:6" outlineLevel="1">
      <c r="F3641"/>
    </row>
    <row r="3642" spans="6:6" outlineLevel="1">
      <c r="F3642"/>
    </row>
    <row r="3643" spans="6:6" outlineLevel="1">
      <c r="F3643"/>
    </row>
    <row r="3644" spans="6:6" outlineLevel="1">
      <c r="F3644"/>
    </row>
    <row r="3645" spans="6:6" outlineLevel="1">
      <c r="F3645"/>
    </row>
    <row r="3646" spans="6:6" outlineLevel="1">
      <c r="F3646"/>
    </row>
    <row r="3647" spans="6:6" outlineLevel="1">
      <c r="F3647"/>
    </row>
    <row r="3648" spans="6:6" outlineLevel="1">
      <c r="F3648"/>
    </row>
    <row r="3649" spans="6:6" outlineLevel="1">
      <c r="F3649"/>
    </row>
    <row r="3650" spans="6:6" outlineLevel="1">
      <c r="F3650"/>
    </row>
    <row r="3651" spans="6:6" outlineLevel="1">
      <c r="F3651"/>
    </row>
    <row r="3652" spans="6:6" outlineLevel="1">
      <c r="F3652"/>
    </row>
    <row r="3653" spans="6:6" outlineLevel="1">
      <c r="F3653"/>
    </row>
    <row r="3654" spans="6:6" outlineLevel="1">
      <c r="F3654"/>
    </row>
    <row r="3655" spans="6:6" outlineLevel="1">
      <c r="F3655"/>
    </row>
    <row r="3656" spans="6:6" outlineLevel="1">
      <c r="F3656"/>
    </row>
    <row r="3657" spans="6:6" outlineLevel="1">
      <c r="F3657"/>
    </row>
    <row r="3658" spans="6:6" outlineLevel="1">
      <c r="F3658"/>
    </row>
    <row r="3659" spans="6:6" outlineLevel="1">
      <c r="F3659"/>
    </row>
    <row r="3660" spans="6:6" outlineLevel="1">
      <c r="F3660"/>
    </row>
    <row r="3661" spans="6:6" outlineLevel="1">
      <c r="F3661"/>
    </row>
    <row r="3662" spans="6:6" outlineLevel="1">
      <c r="F3662"/>
    </row>
    <row r="3663" spans="6:6" outlineLevel="1">
      <c r="F3663"/>
    </row>
    <row r="3664" spans="6:6" outlineLevel="1">
      <c r="F3664"/>
    </row>
    <row r="3665" spans="6:6" outlineLevel="1">
      <c r="F3665"/>
    </row>
    <row r="3666" spans="6:6" outlineLevel="1">
      <c r="F3666"/>
    </row>
    <row r="3667" spans="6:6" outlineLevel="1">
      <c r="F3667"/>
    </row>
    <row r="3668" spans="6:6" outlineLevel="1">
      <c r="F3668"/>
    </row>
    <row r="3669" spans="6:6" outlineLevel="1">
      <c r="F3669"/>
    </row>
    <row r="3670" spans="6:6" outlineLevel="1">
      <c r="F3670"/>
    </row>
    <row r="3671" spans="6:6" outlineLevel="1">
      <c r="F3671"/>
    </row>
    <row r="3672" spans="6:6" outlineLevel="1">
      <c r="F3672"/>
    </row>
    <row r="3673" spans="6:6" outlineLevel="1">
      <c r="F3673"/>
    </row>
    <row r="3674" spans="6:6" outlineLevel="1">
      <c r="F3674"/>
    </row>
    <row r="3675" spans="6:6" outlineLevel="1">
      <c r="F3675"/>
    </row>
    <row r="3676" spans="6:6" outlineLevel="1">
      <c r="F3676"/>
    </row>
    <row r="3677" spans="6:6" outlineLevel="1">
      <c r="F3677"/>
    </row>
    <row r="3678" spans="6:6" outlineLevel="1">
      <c r="F3678"/>
    </row>
    <row r="3679" spans="6:6" outlineLevel="1">
      <c r="F3679"/>
    </row>
    <row r="3680" spans="6:6" outlineLevel="1">
      <c r="F3680"/>
    </row>
    <row r="3681" spans="6:6" outlineLevel="1">
      <c r="F3681"/>
    </row>
    <row r="3682" spans="6:6" outlineLevel="1">
      <c r="F3682"/>
    </row>
    <row r="3683" spans="6:6" outlineLevel="1">
      <c r="F3683"/>
    </row>
    <row r="3684" spans="6:6" outlineLevel="1">
      <c r="F3684"/>
    </row>
    <row r="3685" spans="6:6" outlineLevel="1">
      <c r="F3685"/>
    </row>
    <row r="3686" spans="6:6" outlineLevel="1">
      <c r="F3686"/>
    </row>
    <row r="3687" spans="6:6" outlineLevel="1">
      <c r="F3687"/>
    </row>
    <row r="3688" spans="6:6" outlineLevel="1">
      <c r="F3688"/>
    </row>
    <row r="3689" spans="6:6" outlineLevel="1">
      <c r="F3689"/>
    </row>
    <row r="3690" spans="6:6" outlineLevel="1">
      <c r="F3690"/>
    </row>
    <row r="3691" spans="6:6" outlineLevel="1">
      <c r="F3691"/>
    </row>
    <row r="3692" spans="6:6" outlineLevel="1">
      <c r="F3692"/>
    </row>
    <row r="3693" spans="6:6" outlineLevel="1">
      <c r="F3693"/>
    </row>
    <row r="3694" spans="6:6" outlineLevel="1">
      <c r="F3694"/>
    </row>
    <row r="3695" spans="6:6" outlineLevel="1">
      <c r="F3695"/>
    </row>
    <row r="3696" spans="6:6" outlineLevel="1">
      <c r="F3696"/>
    </row>
    <row r="3697" spans="6:6" outlineLevel="1">
      <c r="F3697"/>
    </row>
    <row r="3698" spans="6:6" outlineLevel="1">
      <c r="F3698"/>
    </row>
    <row r="3699" spans="6:6" outlineLevel="1">
      <c r="F3699"/>
    </row>
    <row r="3700" spans="6:6" outlineLevel="1">
      <c r="F3700"/>
    </row>
    <row r="3701" spans="6:6" outlineLevel="1">
      <c r="F3701"/>
    </row>
    <row r="3702" spans="6:6" outlineLevel="1">
      <c r="F3702"/>
    </row>
    <row r="3703" spans="6:6" outlineLevel="1">
      <c r="F3703"/>
    </row>
    <row r="3704" spans="6:6" outlineLevel="1">
      <c r="F3704"/>
    </row>
    <row r="3705" spans="6:6" outlineLevel="1">
      <c r="F3705"/>
    </row>
    <row r="3706" spans="6:6" outlineLevel="1">
      <c r="F3706"/>
    </row>
    <row r="3707" spans="6:6" outlineLevel="1">
      <c r="F3707"/>
    </row>
    <row r="3708" spans="6:6" outlineLevel="1">
      <c r="F3708"/>
    </row>
    <row r="3709" spans="6:6" outlineLevel="1">
      <c r="F3709"/>
    </row>
    <row r="3710" spans="6:6" outlineLevel="1">
      <c r="F3710"/>
    </row>
    <row r="3711" spans="6:6" outlineLevel="1">
      <c r="F3711"/>
    </row>
    <row r="3712" spans="6:6" outlineLevel="1">
      <c r="F3712"/>
    </row>
    <row r="3713" spans="6:6" outlineLevel="1">
      <c r="F3713"/>
    </row>
    <row r="3714" spans="6:6" outlineLevel="1">
      <c r="F3714"/>
    </row>
    <row r="3715" spans="6:6" outlineLevel="1">
      <c r="F3715"/>
    </row>
    <row r="3716" spans="6:6" outlineLevel="1">
      <c r="F3716"/>
    </row>
    <row r="3717" spans="6:6" outlineLevel="1">
      <c r="F3717"/>
    </row>
    <row r="3718" spans="6:6" outlineLevel="1">
      <c r="F3718"/>
    </row>
    <row r="3719" spans="6:6" outlineLevel="1">
      <c r="F3719"/>
    </row>
    <row r="3720" spans="6:6" outlineLevel="1">
      <c r="F3720"/>
    </row>
    <row r="3721" spans="6:6" outlineLevel="1">
      <c r="F3721"/>
    </row>
    <row r="3722" spans="6:6" outlineLevel="1">
      <c r="F3722"/>
    </row>
    <row r="3723" spans="6:6" outlineLevel="1">
      <c r="F3723"/>
    </row>
    <row r="3724" spans="6:6" outlineLevel="1">
      <c r="F3724"/>
    </row>
    <row r="3725" spans="6:6" outlineLevel="1">
      <c r="F3725"/>
    </row>
    <row r="3726" spans="6:6" outlineLevel="1">
      <c r="F3726"/>
    </row>
    <row r="3727" spans="6:6" outlineLevel="1">
      <c r="F3727"/>
    </row>
    <row r="3728" spans="6:6" outlineLevel="1">
      <c r="F3728"/>
    </row>
    <row r="3729" spans="6:6" outlineLevel="1">
      <c r="F3729"/>
    </row>
    <row r="3730" spans="6:6" outlineLevel="1">
      <c r="F3730"/>
    </row>
    <row r="3731" spans="6:6" outlineLevel="1">
      <c r="F3731"/>
    </row>
    <row r="3732" spans="6:6" outlineLevel="1">
      <c r="F3732"/>
    </row>
    <row r="3733" spans="6:6" outlineLevel="1">
      <c r="F3733"/>
    </row>
    <row r="3734" spans="6:6" outlineLevel="1">
      <c r="F3734"/>
    </row>
    <row r="3735" spans="6:6" outlineLevel="1">
      <c r="F3735"/>
    </row>
    <row r="3736" spans="6:6" outlineLevel="1">
      <c r="F3736"/>
    </row>
    <row r="3737" spans="6:6" outlineLevel="1">
      <c r="F3737"/>
    </row>
    <row r="3738" spans="6:6" outlineLevel="1">
      <c r="F3738"/>
    </row>
    <row r="3739" spans="6:6" outlineLevel="1">
      <c r="F3739"/>
    </row>
    <row r="3740" spans="6:6" outlineLevel="1">
      <c r="F3740"/>
    </row>
    <row r="3741" spans="6:6" outlineLevel="1">
      <c r="F3741"/>
    </row>
    <row r="3742" spans="6:6" outlineLevel="1">
      <c r="F3742"/>
    </row>
    <row r="3743" spans="6:6" outlineLevel="1">
      <c r="F3743"/>
    </row>
    <row r="3744" spans="6:6" outlineLevel="1">
      <c r="F3744"/>
    </row>
    <row r="3745" spans="6:6" outlineLevel="1">
      <c r="F3745"/>
    </row>
    <row r="3746" spans="6:6" outlineLevel="1">
      <c r="F3746"/>
    </row>
    <row r="3747" spans="6:6" outlineLevel="1">
      <c r="F3747"/>
    </row>
    <row r="3748" spans="6:6" outlineLevel="1">
      <c r="F3748"/>
    </row>
    <row r="3749" spans="6:6" outlineLevel="1">
      <c r="F3749"/>
    </row>
    <row r="3750" spans="6:6" outlineLevel="1">
      <c r="F3750"/>
    </row>
    <row r="3751" spans="6:6" outlineLevel="1">
      <c r="F3751"/>
    </row>
    <row r="3752" spans="6:6" outlineLevel="1">
      <c r="F3752"/>
    </row>
    <row r="3753" spans="6:6" outlineLevel="1">
      <c r="F3753"/>
    </row>
    <row r="3754" spans="6:6" outlineLevel="1">
      <c r="F3754"/>
    </row>
    <row r="3755" spans="6:6" outlineLevel="1">
      <c r="F3755"/>
    </row>
    <row r="3756" spans="6:6" outlineLevel="1">
      <c r="F3756"/>
    </row>
    <row r="3757" spans="6:6" outlineLevel="1">
      <c r="F3757"/>
    </row>
    <row r="3758" spans="6:6" outlineLevel="1">
      <c r="F3758"/>
    </row>
    <row r="3759" spans="6:6" outlineLevel="1">
      <c r="F3759"/>
    </row>
    <row r="3760" spans="6:6" outlineLevel="1">
      <c r="F3760"/>
    </row>
    <row r="3761" spans="6:6" outlineLevel="1">
      <c r="F3761"/>
    </row>
    <row r="3762" spans="6:6" outlineLevel="1">
      <c r="F3762"/>
    </row>
    <row r="3763" spans="6:6" outlineLevel="1">
      <c r="F3763"/>
    </row>
    <row r="3764" spans="6:6" outlineLevel="1">
      <c r="F3764"/>
    </row>
    <row r="3765" spans="6:6" outlineLevel="1">
      <c r="F3765"/>
    </row>
    <row r="3766" spans="6:6" outlineLevel="1">
      <c r="F3766"/>
    </row>
    <row r="3767" spans="6:6" outlineLevel="1">
      <c r="F3767"/>
    </row>
    <row r="3768" spans="6:6" outlineLevel="1">
      <c r="F3768"/>
    </row>
    <row r="3769" spans="6:6">
      <c r="F3769"/>
    </row>
    <row r="3770" spans="6:6" outlineLevel="1">
      <c r="F3770"/>
    </row>
    <row r="3771" spans="6:6" outlineLevel="1">
      <c r="F3771"/>
    </row>
    <row r="3772" spans="6:6" outlineLevel="1">
      <c r="F3772"/>
    </row>
    <row r="3773" spans="6:6" outlineLevel="1">
      <c r="F3773"/>
    </row>
    <row r="3774" spans="6:6" outlineLevel="1">
      <c r="F3774"/>
    </row>
    <row r="3775" spans="6:6" outlineLevel="1">
      <c r="F3775"/>
    </row>
    <row r="3776" spans="6:6" outlineLevel="1">
      <c r="F3776"/>
    </row>
    <row r="3777" spans="6:6" outlineLevel="1">
      <c r="F3777"/>
    </row>
    <row r="3778" spans="6:6" outlineLevel="1">
      <c r="F3778"/>
    </row>
    <row r="3779" spans="6:6" outlineLevel="1">
      <c r="F3779"/>
    </row>
    <row r="3780" spans="6:6" outlineLevel="1">
      <c r="F3780"/>
    </row>
    <row r="3781" spans="6:6" outlineLevel="1">
      <c r="F3781"/>
    </row>
    <row r="3782" spans="6:6" outlineLevel="1">
      <c r="F3782"/>
    </row>
    <row r="3783" spans="6:6" outlineLevel="1">
      <c r="F3783"/>
    </row>
    <row r="3784" spans="6:6" outlineLevel="1">
      <c r="F3784"/>
    </row>
    <row r="3785" spans="6:6" outlineLevel="1">
      <c r="F3785"/>
    </row>
    <row r="3786" spans="6:6" outlineLevel="1">
      <c r="F3786"/>
    </row>
    <row r="3787" spans="6:6" outlineLevel="1">
      <c r="F3787"/>
    </row>
    <row r="3788" spans="6:6" outlineLevel="1">
      <c r="F3788"/>
    </row>
    <row r="3789" spans="6:6" outlineLevel="1">
      <c r="F3789"/>
    </row>
    <row r="3790" spans="6:6" outlineLevel="1">
      <c r="F3790"/>
    </row>
    <row r="3791" spans="6:6" outlineLevel="1">
      <c r="F3791"/>
    </row>
    <row r="3792" spans="6:6" outlineLevel="1">
      <c r="F3792"/>
    </row>
    <row r="3793" spans="6:6" outlineLevel="1">
      <c r="F3793"/>
    </row>
    <row r="3794" spans="6:6" outlineLevel="1">
      <c r="F3794"/>
    </row>
    <row r="3795" spans="6:6" outlineLevel="1">
      <c r="F3795"/>
    </row>
    <row r="3796" spans="6:6" outlineLevel="1">
      <c r="F3796"/>
    </row>
    <row r="3797" spans="6:6" outlineLevel="1">
      <c r="F3797"/>
    </row>
    <row r="3798" spans="6:6" outlineLevel="1">
      <c r="F3798"/>
    </row>
    <row r="3799" spans="6:6" outlineLevel="1">
      <c r="F3799"/>
    </row>
    <row r="3800" spans="6:6" outlineLevel="1">
      <c r="F3800"/>
    </row>
    <row r="3801" spans="6:6" outlineLevel="1">
      <c r="F3801"/>
    </row>
    <row r="3802" spans="6:6" outlineLevel="1">
      <c r="F3802"/>
    </row>
    <row r="3803" spans="6:6" outlineLevel="1">
      <c r="F3803"/>
    </row>
    <row r="3804" spans="6:6" outlineLevel="1">
      <c r="F3804"/>
    </row>
    <row r="3805" spans="6:6" outlineLevel="1">
      <c r="F3805"/>
    </row>
    <row r="3806" spans="6:6" outlineLevel="1">
      <c r="F3806"/>
    </row>
    <row r="3807" spans="6:6" outlineLevel="1">
      <c r="F3807"/>
    </row>
    <row r="3808" spans="6:6" outlineLevel="1">
      <c r="F3808"/>
    </row>
    <row r="3809" spans="6:6" outlineLevel="1">
      <c r="F3809"/>
    </row>
    <row r="3810" spans="6:6" outlineLevel="1">
      <c r="F3810"/>
    </row>
    <row r="3811" spans="6:6" outlineLevel="1">
      <c r="F3811"/>
    </row>
    <row r="3812" spans="6:6" outlineLevel="1">
      <c r="F3812"/>
    </row>
    <row r="3813" spans="6:6" outlineLevel="1">
      <c r="F3813"/>
    </row>
    <row r="3814" spans="6:6" outlineLevel="1">
      <c r="F3814"/>
    </row>
    <row r="3815" spans="6:6">
      <c r="F3815"/>
    </row>
    <row r="3816" spans="6:6" outlineLevel="1">
      <c r="F3816"/>
    </row>
    <row r="3817" spans="6:6" outlineLevel="1">
      <c r="F3817"/>
    </row>
    <row r="3818" spans="6:6" outlineLevel="1">
      <c r="F3818"/>
    </row>
    <row r="3819" spans="6:6" outlineLevel="1">
      <c r="F3819"/>
    </row>
    <row r="3820" spans="6:6" outlineLevel="1">
      <c r="F3820"/>
    </row>
    <row r="3821" spans="6:6" outlineLevel="1">
      <c r="F3821"/>
    </row>
    <row r="3822" spans="6:6" outlineLevel="1">
      <c r="F3822"/>
    </row>
    <row r="3823" spans="6:6" outlineLevel="1">
      <c r="F3823"/>
    </row>
    <row r="3824" spans="6:6" outlineLevel="1">
      <c r="F3824"/>
    </row>
    <row r="3825" spans="6:6" outlineLevel="1">
      <c r="F3825"/>
    </row>
    <row r="3826" spans="6:6" outlineLevel="1">
      <c r="F3826"/>
    </row>
    <row r="3827" spans="6:6" outlineLevel="1">
      <c r="F3827"/>
    </row>
    <row r="3828" spans="6:6" outlineLevel="1">
      <c r="F3828"/>
    </row>
    <row r="3829" spans="6:6" outlineLevel="1">
      <c r="F3829"/>
    </row>
    <row r="3830" spans="6:6" outlineLevel="1">
      <c r="F3830"/>
    </row>
    <row r="3831" spans="6:6" outlineLevel="1">
      <c r="F3831"/>
    </row>
    <row r="3832" spans="6:6" outlineLevel="1">
      <c r="F3832"/>
    </row>
    <row r="3833" spans="6:6" outlineLevel="1">
      <c r="F3833"/>
    </row>
    <row r="3834" spans="6:6" outlineLevel="1">
      <c r="F3834"/>
    </row>
    <row r="3835" spans="6:6" outlineLevel="1">
      <c r="F3835"/>
    </row>
    <row r="3836" spans="6:6" outlineLevel="1">
      <c r="F3836"/>
    </row>
    <row r="3837" spans="6:6" outlineLevel="1">
      <c r="F3837"/>
    </row>
    <row r="3838" spans="6:6" outlineLevel="1">
      <c r="F3838"/>
    </row>
    <row r="3839" spans="6:6" outlineLevel="1">
      <c r="F3839"/>
    </row>
    <row r="3840" spans="6:6" outlineLevel="1">
      <c r="F3840"/>
    </row>
    <row r="3841" spans="6:6" outlineLevel="1">
      <c r="F3841"/>
    </row>
    <row r="3842" spans="6:6" outlineLevel="1">
      <c r="F3842"/>
    </row>
    <row r="3843" spans="6:6" outlineLevel="1">
      <c r="F3843"/>
    </row>
    <row r="3844" spans="6:6" outlineLevel="1">
      <c r="F3844"/>
    </row>
    <row r="3845" spans="6:6" outlineLevel="1">
      <c r="F3845"/>
    </row>
    <row r="3846" spans="6:6" outlineLevel="1">
      <c r="F3846"/>
    </row>
    <row r="3847" spans="6:6" outlineLevel="1">
      <c r="F3847"/>
    </row>
    <row r="3848" spans="6:6" outlineLevel="1">
      <c r="F3848"/>
    </row>
    <row r="3849" spans="6:6" outlineLevel="1">
      <c r="F3849"/>
    </row>
    <row r="3850" spans="6:6" outlineLevel="1">
      <c r="F3850"/>
    </row>
    <row r="3851" spans="6:6" outlineLevel="1">
      <c r="F3851"/>
    </row>
    <row r="3852" spans="6:6" outlineLevel="1">
      <c r="F3852"/>
    </row>
    <row r="3853" spans="6:6" outlineLevel="1">
      <c r="F3853"/>
    </row>
    <row r="3854" spans="6:6" outlineLevel="1">
      <c r="F3854"/>
    </row>
    <row r="3855" spans="6:6" outlineLevel="1">
      <c r="F3855"/>
    </row>
    <row r="3856" spans="6:6" outlineLevel="1">
      <c r="F3856"/>
    </row>
    <row r="3857" spans="6:6" outlineLevel="1">
      <c r="F3857"/>
    </row>
    <row r="3858" spans="6:6" outlineLevel="1">
      <c r="F3858"/>
    </row>
    <row r="3859" spans="6:6" outlineLevel="1">
      <c r="F3859"/>
    </row>
    <row r="3860" spans="6:6" outlineLevel="1">
      <c r="F3860"/>
    </row>
    <row r="3861" spans="6:6" outlineLevel="1">
      <c r="F3861"/>
    </row>
    <row r="3862" spans="6:6" outlineLevel="1">
      <c r="F3862"/>
    </row>
    <row r="3863" spans="6:6" outlineLevel="1">
      <c r="F3863"/>
    </row>
    <row r="3864" spans="6:6" outlineLevel="1">
      <c r="F3864"/>
    </row>
    <row r="3865" spans="6:6" outlineLevel="1">
      <c r="F3865"/>
    </row>
    <row r="3866" spans="6:6" outlineLevel="1">
      <c r="F3866"/>
    </row>
    <row r="3867" spans="6:6" outlineLevel="1">
      <c r="F3867"/>
    </row>
    <row r="3868" spans="6:6" outlineLevel="1">
      <c r="F3868"/>
    </row>
    <row r="3869" spans="6:6" outlineLevel="1">
      <c r="F3869"/>
    </row>
    <row r="3870" spans="6:6" outlineLevel="1">
      <c r="F3870"/>
    </row>
    <row r="3871" spans="6:6" outlineLevel="1">
      <c r="F3871"/>
    </row>
    <row r="3872" spans="6:6" outlineLevel="1">
      <c r="F3872"/>
    </row>
    <row r="3873" spans="6:6" outlineLevel="1">
      <c r="F3873"/>
    </row>
    <row r="3874" spans="6:6" outlineLevel="1">
      <c r="F3874"/>
    </row>
    <row r="3875" spans="6:6" outlineLevel="1">
      <c r="F3875"/>
    </row>
    <row r="3876" spans="6:6" outlineLevel="1">
      <c r="F3876"/>
    </row>
    <row r="3877" spans="6:6" outlineLevel="1">
      <c r="F3877"/>
    </row>
    <row r="3878" spans="6:6" outlineLevel="1">
      <c r="F3878"/>
    </row>
    <row r="3879" spans="6:6" outlineLevel="1">
      <c r="F3879"/>
    </row>
    <row r="3880" spans="6:6" outlineLevel="1">
      <c r="F3880"/>
    </row>
    <row r="3881" spans="6:6" outlineLevel="1">
      <c r="F3881"/>
    </row>
    <row r="3882" spans="6:6" outlineLevel="1">
      <c r="F3882"/>
    </row>
    <row r="3883" spans="6:6" outlineLevel="1">
      <c r="F3883"/>
    </row>
    <row r="3884" spans="6:6" outlineLevel="1">
      <c r="F3884"/>
    </row>
    <row r="3885" spans="6:6" outlineLevel="1">
      <c r="F3885"/>
    </row>
    <row r="3886" spans="6:6" outlineLevel="1">
      <c r="F3886"/>
    </row>
    <row r="3887" spans="6:6" outlineLevel="1">
      <c r="F3887"/>
    </row>
    <row r="3888" spans="6:6" outlineLevel="1">
      <c r="F3888"/>
    </row>
    <row r="3889" spans="6:6" outlineLevel="1">
      <c r="F3889"/>
    </row>
    <row r="3890" spans="6:6" outlineLevel="1">
      <c r="F3890"/>
    </row>
    <row r="3891" spans="6:6" outlineLevel="1">
      <c r="F3891"/>
    </row>
    <row r="3892" spans="6:6" outlineLevel="1">
      <c r="F3892"/>
    </row>
    <row r="3893" spans="6:6" outlineLevel="1">
      <c r="F3893"/>
    </row>
    <row r="3894" spans="6:6" outlineLevel="1">
      <c r="F3894"/>
    </row>
    <row r="3895" spans="6:6" outlineLevel="1">
      <c r="F3895"/>
    </row>
    <row r="3896" spans="6:6" outlineLevel="1">
      <c r="F3896"/>
    </row>
    <row r="3897" spans="6:6" outlineLevel="1">
      <c r="F3897"/>
    </row>
    <row r="3898" spans="6:6" outlineLevel="1">
      <c r="F3898"/>
    </row>
    <row r="3899" spans="6:6" outlineLevel="1">
      <c r="F3899"/>
    </row>
    <row r="3900" spans="6:6" outlineLevel="1">
      <c r="F3900"/>
    </row>
    <row r="3901" spans="6:6" outlineLevel="1">
      <c r="F3901"/>
    </row>
    <row r="3902" spans="6:6" outlineLevel="1">
      <c r="F3902"/>
    </row>
    <row r="3903" spans="6:6" outlineLevel="1">
      <c r="F3903"/>
    </row>
    <row r="3904" spans="6:6" outlineLevel="1">
      <c r="F3904"/>
    </row>
    <row r="3905" spans="6:6" outlineLevel="1">
      <c r="F3905"/>
    </row>
    <row r="3906" spans="6:6" outlineLevel="1">
      <c r="F3906"/>
    </row>
    <row r="3907" spans="6:6" outlineLevel="1">
      <c r="F3907"/>
    </row>
    <row r="3908" spans="6:6" outlineLevel="1">
      <c r="F3908"/>
    </row>
    <row r="3909" spans="6:6" outlineLevel="1">
      <c r="F3909"/>
    </row>
    <row r="3910" spans="6:6" outlineLevel="1">
      <c r="F3910"/>
    </row>
    <row r="3911" spans="6:6" outlineLevel="1">
      <c r="F3911"/>
    </row>
    <row r="3912" spans="6:6" outlineLevel="1">
      <c r="F3912"/>
    </row>
    <row r="3913" spans="6:6" outlineLevel="1">
      <c r="F3913"/>
    </row>
    <row r="3914" spans="6:6" outlineLevel="1">
      <c r="F3914"/>
    </row>
    <row r="3915" spans="6:6" outlineLevel="1">
      <c r="F3915"/>
    </row>
    <row r="3916" spans="6:6" outlineLevel="1">
      <c r="F3916"/>
    </row>
    <row r="3917" spans="6:6" outlineLevel="1">
      <c r="F3917"/>
    </row>
    <row r="3918" spans="6:6" outlineLevel="1">
      <c r="F3918"/>
    </row>
    <row r="3919" spans="6:6" outlineLevel="1">
      <c r="F3919"/>
    </row>
    <row r="3920" spans="6:6" outlineLevel="1">
      <c r="F3920"/>
    </row>
    <row r="3921" spans="6:6" outlineLevel="1">
      <c r="F3921"/>
    </row>
    <row r="3922" spans="6:6" outlineLevel="1">
      <c r="F3922"/>
    </row>
    <row r="3923" spans="6:6" outlineLevel="1">
      <c r="F3923"/>
    </row>
    <row r="3924" spans="6:6" outlineLevel="1">
      <c r="F3924"/>
    </row>
    <row r="3925" spans="6:6" outlineLevel="1">
      <c r="F3925"/>
    </row>
    <row r="3926" spans="6:6" outlineLevel="1">
      <c r="F3926"/>
    </row>
    <row r="3927" spans="6:6" outlineLevel="1">
      <c r="F3927"/>
    </row>
    <row r="3928" spans="6:6" outlineLevel="1">
      <c r="F3928"/>
    </row>
    <row r="3929" spans="6:6">
      <c r="F3929"/>
    </row>
    <row r="3930" spans="6:6" outlineLevel="1">
      <c r="F3930"/>
    </row>
    <row r="3931" spans="6:6" outlineLevel="1">
      <c r="F3931"/>
    </row>
    <row r="3932" spans="6:6" outlineLevel="1">
      <c r="F3932"/>
    </row>
    <row r="3933" spans="6:6" outlineLevel="1">
      <c r="F3933"/>
    </row>
    <row r="3934" spans="6:6" outlineLevel="1">
      <c r="F3934"/>
    </row>
    <row r="3935" spans="6:6" outlineLevel="1">
      <c r="F3935"/>
    </row>
    <row r="3936" spans="6:6" outlineLevel="1">
      <c r="F3936"/>
    </row>
    <row r="3937" spans="6:6" outlineLevel="1">
      <c r="F3937"/>
    </row>
    <row r="3938" spans="6:6" outlineLevel="1">
      <c r="F3938"/>
    </row>
    <row r="3939" spans="6:6" outlineLevel="1">
      <c r="F3939"/>
    </row>
    <row r="3940" spans="6:6" outlineLevel="1">
      <c r="F3940"/>
    </row>
    <row r="3941" spans="6:6" outlineLevel="1">
      <c r="F3941"/>
    </row>
    <row r="3942" spans="6:6" outlineLevel="1">
      <c r="F3942"/>
    </row>
    <row r="3943" spans="6:6" outlineLevel="1">
      <c r="F3943"/>
    </row>
    <row r="3944" spans="6:6" outlineLevel="1">
      <c r="F3944"/>
    </row>
    <row r="3945" spans="6:6" outlineLevel="1">
      <c r="F3945"/>
    </row>
    <row r="3946" spans="6:6" outlineLevel="1">
      <c r="F3946"/>
    </row>
    <row r="3947" spans="6:6" outlineLevel="1">
      <c r="F3947"/>
    </row>
    <row r="3948" spans="6:6" outlineLevel="1">
      <c r="F3948"/>
    </row>
    <row r="3949" spans="6:6" outlineLevel="1">
      <c r="F3949"/>
    </row>
    <row r="3950" spans="6:6" outlineLevel="1">
      <c r="F3950"/>
    </row>
    <row r="3951" spans="6:6" outlineLevel="1">
      <c r="F3951"/>
    </row>
    <row r="3952" spans="6:6" outlineLevel="1">
      <c r="F3952"/>
    </row>
    <row r="3953" spans="6:6" outlineLevel="1">
      <c r="F3953"/>
    </row>
    <row r="3954" spans="6:6" outlineLevel="1">
      <c r="F3954"/>
    </row>
    <row r="3955" spans="6:6" outlineLevel="1">
      <c r="F3955"/>
    </row>
    <row r="3956" spans="6:6" outlineLevel="1">
      <c r="F3956"/>
    </row>
    <row r="3957" spans="6:6" outlineLevel="1">
      <c r="F3957"/>
    </row>
    <row r="3958" spans="6:6" outlineLevel="1">
      <c r="F3958"/>
    </row>
    <row r="3959" spans="6:6" outlineLevel="1">
      <c r="F3959"/>
    </row>
    <row r="3960" spans="6:6" outlineLevel="1">
      <c r="F3960"/>
    </row>
    <row r="3961" spans="6:6" outlineLevel="1">
      <c r="F3961"/>
    </row>
    <row r="3962" spans="6:6" outlineLevel="1">
      <c r="F3962"/>
    </row>
    <row r="3963" spans="6:6" outlineLevel="1">
      <c r="F3963"/>
    </row>
    <row r="3964" spans="6:6" outlineLevel="1">
      <c r="F3964"/>
    </row>
    <row r="3965" spans="6:6" outlineLevel="1">
      <c r="F3965"/>
    </row>
    <row r="3966" spans="6:6" outlineLevel="1">
      <c r="F3966"/>
    </row>
    <row r="3967" spans="6:6" outlineLevel="1">
      <c r="F3967"/>
    </row>
    <row r="3968" spans="6:6" outlineLevel="1">
      <c r="F3968"/>
    </row>
    <row r="3969" spans="6:6" outlineLevel="1">
      <c r="F3969"/>
    </row>
    <row r="3970" spans="6:6" outlineLevel="1">
      <c r="F3970"/>
    </row>
    <row r="3971" spans="6:6" outlineLevel="1">
      <c r="F3971"/>
    </row>
    <row r="3972" spans="6:6" outlineLevel="1">
      <c r="F3972"/>
    </row>
    <row r="3973" spans="6:6" outlineLevel="1">
      <c r="F3973"/>
    </row>
    <row r="3974" spans="6:6" outlineLevel="1">
      <c r="F3974"/>
    </row>
    <row r="3975" spans="6:6" outlineLevel="1">
      <c r="F3975"/>
    </row>
    <row r="3976" spans="6:6" outlineLevel="1">
      <c r="F3976"/>
    </row>
    <row r="3977" spans="6:6" outlineLevel="1">
      <c r="F3977"/>
    </row>
    <row r="3978" spans="6:6" outlineLevel="1">
      <c r="F3978"/>
    </row>
    <row r="3979" spans="6:6" outlineLevel="1">
      <c r="F3979"/>
    </row>
    <row r="3980" spans="6:6" outlineLevel="1">
      <c r="F3980"/>
    </row>
    <row r="3981" spans="6:6" outlineLevel="1">
      <c r="F3981"/>
    </row>
    <row r="3982" spans="6:6" outlineLevel="1">
      <c r="F3982"/>
    </row>
    <row r="3983" spans="6:6" outlineLevel="1">
      <c r="F3983"/>
    </row>
    <row r="3984" spans="6:6" outlineLevel="1">
      <c r="F3984"/>
    </row>
    <row r="3985" spans="6:6" outlineLevel="1">
      <c r="F3985"/>
    </row>
    <row r="3986" spans="6:6" outlineLevel="1">
      <c r="F3986"/>
    </row>
    <row r="3987" spans="6:6" outlineLevel="1">
      <c r="F3987"/>
    </row>
    <row r="3988" spans="6:6">
      <c r="F3988"/>
    </row>
    <row r="3989" spans="6:6" outlineLevel="1">
      <c r="F3989"/>
    </row>
    <row r="3990" spans="6:6" outlineLevel="1">
      <c r="F3990"/>
    </row>
    <row r="3991" spans="6:6" outlineLevel="1">
      <c r="F3991"/>
    </row>
    <row r="3992" spans="6:6" outlineLevel="1">
      <c r="F3992"/>
    </row>
    <row r="3993" spans="6:6" outlineLevel="1">
      <c r="F3993"/>
    </row>
    <row r="3994" spans="6:6" outlineLevel="1">
      <c r="F3994"/>
    </row>
    <row r="3995" spans="6:6" outlineLevel="1">
      <c r="F3995"/>
    </row>
    <row r="3996" spans="6:6" outlineLevel="1">
      <c r="F3996"/>
    </row>
    <row r="3997" spans="6:6" outlineLevel="1">
      <c r="F3997"/>
    </row>
    <row r="3998" spans="6:6">
      <c r="F3998"/>
    </row>
    <row r="3999" spans="6:6" outlineLevel="1">
      <c r="F3999"/>
    </row>
    <row r="4000" spans="6:6" outlineLevel="1">
      <c r="F4000"/>
    </row>
    <row r="4001" spans="6:6" outlineLevel="1">
      <c r="F4001"/>
    </row>
    <row r="4002" spans="6:6" outlineLevel="1">
      <c r="F4002"/>
    </row>
    <row r="4003" spans="6:6" outlineLevel="1">
      <c r="F4003"/>
    </row>
    <row r="4004" spans="6:6" outlineLevel="1">
      <c r="F4004"/>
    </row>
    <row r="4005" spans="6:6" outlineLevel="1">
      <c r="F4005"/>
    </row>
    <row r="4006" spans="6:6" outlineLevel="1">
      <c r="F4006"/>
    </row>
    <row r="4007" spans="6:6" outlineLevel="1">
      <c r="F4007"/>
    </row>
    <row r="4008" spans="6:6" outlineLevel="1">
      <c r="F4008"/>
    </row>
    <row r="4009" spans="6:6" outlineLevel="1">
      <c r="F4009"/>
    </row>
    <row r="4010" spans="6:6" outlineLevel="1">
      <c r="F4010"/>
    </row>
    <row r="4011" spans="6:6" outlineLevel="1">
      <c r="F4011"/>
    </row>
    <row r="4012" spans="6:6" outlineLevel="1">
      <c r="F4012"/>
    </row>
    <row r="4013" spans="6:6" outlineLevel="1">
      <c r="F4013"/>
    </row>
    <row r="4014" spans="6:6" outlineLevel="1">
      <c r="F4014"/>
    </row>
    <row r="4015" spans="6:6">
      <c r="F4015"/>
    </row>
    <row r="4016" spans="6:6" outlineLevel="1">
      <c r="F4016"/>
    </row>
    <row r="4017" spans="6:6" outlineLevel="1">
      <c r="F4017"/>
    </row>
    <row r="4018" spans="6:6" outlineLevel="1">
      <c r="F4018"/>
    </row>
    <row r="4019" spans="6:6" outlineLevel="1">
      <c r="F4019"/>
    </row>
    <row r="4020" spans="6:6" outlineLevel="1">
      <c r="F4020"/>
    </row>
    <row r="4021" spans="6:6" outlineLevel="1">
      <c r="F4021"/>
    </row>
    <row r="4022" spans="6:6" outlineLevel="1">
      <c r="F4022"/>
    </row>
    <row r="4023" spans="6:6" outlineLevel="1">
      <c r="F4023"/>
    </row>
    <row r="4024" spans="6:6" outlineLevel="1">
      <c r="F4024"/>
    </row>
    <row r="4025" spans="6:6" outlineLevel="1">
      <c r="F4025"/>
    </row>
    <row r="4026" spans="6:6" outlineLevel="1">
      <c r="F4026"/>
    </row>
    <row r="4027" spans="6:6" outlineLevel="1">
      <c r="F4027"/>
    </row>
    <row r="4028" spans="6:6" outlineLevel="1">
      <c r="F4028"/>
    </row>
    <row r="4029" spans="6:6" outlineLevel="1">
      <c r="F4029"/>
    </row>
    <row r="4030" spans="6:6" outlineLevel="1">
      <c r="F4030"/>
    </row>
    <row r="4031" spans="6:6" outlineLevel="1">
      <c r="F4031"/>
    </row>
    <row r="4032" spans="6:6" outlineLevel="1">
      <c r="F4032"/>
    </row>
    <row r="4033" spans="6:6" outlineLevel="1">
      <c r="F4033"/>
    </row>
    <row r="4034" spans="6:6" outlineLevel="1">
      <c r="F4034"/>
    </row>
    <row r="4035" spans="6:6" outlineLevel="1">
      <c r="F4035"/>
    </row>
    <row r="4036" spans="6:6" outlineLevel="1">
      <c r="F4036"/>
    </row>
    <row r="4037" spans="6:6" outlineLevel="1">
      <c r="F4037"/>
    </row>
    <row r="4038" spans="6:6" outlineLevel="1">
      <c r="F4038"/>
    </row>
    <row r="4039" spans="6:6" outlineLevel="1">
      <c r="F4039"/>
    </row>
    <row r="4040" spans="6:6" outlineLevel="1">
      <c r="F4040"/>
    </row>
    <row r="4041" spans="6:6" outlineLevel="1">
      <c r="F4041"/>
    </row>
    <row r="4042" spans="6:6" outlineLevel="1">
      <c r="F4042"/>
    </row>
    <row r="4043" spans="6:6" outlineLevel="1">
      <c r="F4043"/>
    </row>
    <row r="4044" spans="6:6" outlineLevel="1">
      <c r="F4044"/>
    </row>
    <row r="4045" spans="6:6" outlineLevel="1">
      <c r="F4045"/>
    </row>
    <row r="4046" spans="6:6" outlineLevel="1">
      <c r="F4046"/>
    </row>
    <row r="4047" spans="6:6" outlineLevel="1">
      <c r="F4047"/>
    </row>
    <row r="4048" spans="6:6" outlineLevel="1">
      <c r="F4048"/>
    </row>
    <row r="4049" spans="6:6" outlineLevel="1">
      <c r="F4049"/>
    </row>
    <row r="4050" spans="6:6" outlineLevel="1">
      <c r="F4050"/>
    </row>
    <row r="4051" spans="6:6" outlineLevel="1">
      <c r="F4051"/>
    </row>
    <row r="4052" spans="6:6" outlineLevel="1">
      <c r="F4052"/>
    </row>
    <row r="4053" spans="6:6" outlineLevel="1">
      <c r="F4053"/>
    </row>
    <row r="4054" spans="6:6" outlineLevel="1">
      <c r="F4054"/>
    </row>
    <row r="4055" spans="6:6" outlineLevel="1">
      <c r="F4055"/>
    </row>
    <row r="4056" spans="6:6" outlineLevel="1">
      <c r="F4056"/>
    </row>
    <row r="4057" spans="6:6" outlineLevel="1">
      <c r="F4057"/>
    </row>
    <row r="4058" spans="6:6" outlineLevel="1">
      <c r="F4058"/>
    </row>
    <row r="4059" spans="6:6" outlineLevel="1">
      <c r="F4059"/>
    </row>
    <row r="4060" spans="6:6" outlineLevel="1">
      <c r="F4060"/>
    </row>
    <row r="4061" spans="6:6" outlineLevel="1">
      <c r="F4061"/>
    </row>
    <row r="4062" spans="6:6" outlineLevel="1">
      <c r="F4062"/>
    </row>
    <row r="4063" spans="6:6" outlineLevel="1">
      <c r="F4063"/>
    </row>
    <row r="4064" spans="6:6" outlineLevel="1">
      <c r="F4064"/>
    </row>
    <row r="4065" spans="6:6" outlineLevel="1">
      <c r="F4065"/>
    </row>
    <row r="4066" spans="6:6" outlineLevel="1">
      <c r="F4066"/>
    </row>
    <row r="4067" spans="6:6" outlineLevel="1">
      <c r="F4067"/>
    </row>
    <row r="4068" spans="6:6" outlineLevel="1">
      <c r="F4068"/>
    </row>
    <row r="4069" spans="6:6" outlineLevel="1">
      <c r="F4069"/>
    </row>
    <row r="4070" spans="6:6" outlineLevel="1">
      <c r="F4070"/>
    </row>
    <row r="4071" spans="6:6" outlineLevel="1">
      <c r="F4071"/>
    </row>
    <row r="4072" spans="6:6" outlineLevel="1">
      <c r="F4072"/>
    </row>
    <row r="4073" spans="6:6" outlineLevel="1">
      <c r="F4073"/>
    </row>
    <row r="4074" spans="6:6" outlineLevel="1">
      <c r="F4074"/>
    </row>
    <row r="4075" spans="6:6" outlineLevel="1">
      <c r="F4075"/>
    </row>
    <row r="4076" spans="6:6" outlineLevel="1">
      <c r="F4076"/>
    </row>
    <row r="4077" spans="6:6" outlineLevel="1">
      <c r="F4077"/>
    </row>
    <row r="4078" spans="6:6" outlineLevel="1">
      <c r="F4078"/>
    </row>
    <row r="4079" spans="6:6" outlineLevel="1">
      <c r="F4079"/>
    </row>
    <row r="4080" spans="6:6" outlineLevel="1">
      <c r="F4080"/>
    </row>
    <row r="4081" spans="6:6" outlineLevel="1">
      <c r="F4081"/>
    </row>
    <row r="4082" spans="6:6" outlineLevel="1">
      <c r="F4082"/>
    </row>
    <row r="4083" spans="6:6" outlineLevel="1">
      <c r="F4083"/>
    </row>
    <row r="4084" spans="6:6" outlineLevel="1">
      <c r="F4084"/>
    </row>
    <row r="4085" spans="6:6" outlineLevel="1">
      <c r="F4085"/>
    </row>
    <row r="4086" spans="6:6" outlineLevel="1">
      <c r="F4086"/>
    </row>
    <row r="4087" spans="6:6" outlineLevel="1">
      <c r="F4087"/>
    </row>
    <row r="4088" spans="6:6" outlineLevel="1">
      <c r="F4088"/>
    </row>
    <row r="4089" spans="6:6" outlineLevel="1">
      <c r="F4089"/>
    </row>
    <row r="4090" spans="6:6" outlineLevel="1">
      <c r="F4090"/>
    </row>
    <row r="4091" spans="6:6" outlineLevel="1">
      <c r="F4091"/>
    </row>
    <row r="4092" spans="6:6" outlineLevel="1">
      <c r="F4092"/>
    </row>
    <row r="4093" spans="6:6" outlineLevel="1">
      <c r="F4093"/>
    </row>
    <row r="4094" spans="6:6" outlineLevel="1">
      <c r="F4094"/>
    </row>
    <row r="4095" spans="6:6" outlineLevel="1">
      <c r="F4095"/>
    </row>
    <row r="4096" spans="6:6" outlineLevel="1">
      <c r="F4096"/>
    </row>
    <row r="4097" spans="6:6" outlineLevel="1">
      <c r="F4097"/>
    </row>
    <row r="4098" spans="6:6" outlineLevel="1">
      <c r="F4098"/>
    </row>
    <row r="4099" spans="6:6" outlineLevel="1">
      <c r="F4099"/>
    </row>
    <row r="4100" spans="6:6" outlineLevel="1">
      <c r="F4100"/>
    </row>
    <row r="4101" spans="6:6" outlineLevel="1">
      <c r="F4101"/>
    </row>
    <row r="4102" spans="6:6" outlineLevel="1">
      <c r="F4102"/>
    </row>
    <row r="4103" spans="6:6" outlineLevel="1">
      <c r="F4103"/>
    </row>
    <row r="4104" spans="6:6" outlineLevel="1">
      <c r="F4104"/>
    </row>
    <row r="4105" spans="6:6" outlineLevel="1">
      <c r="F4105"/>
    </row>
    <row r="4106" spans="6:6" outlineLevel="1">
      <c r="F4106"/>
    </row>
    <row r="4107" spans="6:6" outlineLevel="1">
      <c r="F4107"/>
    </row>
    <row r="4108" spans="6:6" outlineLevel="1">
      <c r="F4108"/>
    </row>
    <row r="4109" spans="6:6" outlineLevel="1">
      <c r="F4109"/>
    </row>
    <row r="4110" spans="6:6" outlineLevel="1">
      <c r="F4110"/>
    </row>
    <row r="4111" spans="6:6" outlineLevel="1">
      <c r="F4111"/>
    </row>
    <row r="4112" spans="6:6" outlineLevel="1">
      <c r="F4112"/>
    </row>
    <row r="4113" spans="6:6" outlineLevel="1">
      <c r="F4113"/>
    </row>
    <row r="4114" spans="6:6" outlineLevel="1">
      <c r="F4114"/>
    </row>
    <row r="4115" spans="6:6" outlineLevel="1">
      <c r="F4115"/>
    </row>
    <row r="4116" spans="6:6" outlineLevel="1">
      <c r="F4116"/>
    </row>
    <row r="4117" spans="6:6" outlineLevel="1">
      <c r="F4117"/>
    </row>
    <row r="4118" spans="6:6" outlineLevel="1">
      <c r="F4118"/>
    </row>
    <row r="4119" spans="6:6" outlineLevel="1">
      <c r="F4119"/>
    </row>
    <row r="4120" spans="6:6" outlineLevel="1">
      <c r="F4120"/>
    </row>
    <row r="4121" spans="6:6" outlineLevel="1">
      <c r="F4121"/>
    </row>
    <row r="4122" spans="6:6" outlineLevel="1">
      <c r="F4122"/>
    </row>
    <row r="4123" spans="6:6" outlineLevel="1">
      <c r="F4123"/>
    </row>
    <row r="4124" spans="6:6" outlineLevel="1">
      <c r="F4124"/>
    </row>
    <row r="4125" spans="6:6" outlineLevel="1">
      <c r="F4125"/>
    </row>
    <row r="4126" spans="6:6" outlineLevel="1">
      <c r="F4126"/>
    </row>
    <row r="4127" spans="6:6" outlineLevel="1">
      <c r="F4127"/>
    </row>
    <row r="4128" spans="6:6" outlineLevel="1">
      <c r="F4128"/>
    </row>
    <row r="4129" spans="6:6" outlineLevel="1">
      <c r="F4129"/>
    </row>
    <row r="4130" spans="6:6" outlineLevel="1">
      <c r="F4130"/>
    </row>
    <row r="4131" spans="6:6" outlineLevel="1">
      <c r="F4131"/>
    </row>
    <row r="4132" spans="6:6" outlineLevel="1">
      <c r="F4132"/>
    </row>
    <row r="4133" spans="6:6" outlineLevel="1">
      <c r="F4133"/>
    </row>
    <row r="4134" spans="6:6" outlineLevel="1">
      <c r="F4134"/>
    </row>
    <row r="4135" spans="6:6" outlineLevel="1">
      <c r="F4135"/>
    </row>
    <row r="4136" spans="6:6" outlineLevel="1">
      <c r="F4136"/>
    </row>
    <row r="4137" spans="6:6" outlineLevel="1">
      <c r="F4137"/>
    </row>
    <row r="4138" spans="6:6" outlineLevel="1">
      <c r="F4138"/>
    </row>
    <row r="4139" spans="6:6" outlineLevel="1">
      <c r="F4139"/>
    </row>
    <row r="4140" spans="6:6" outlineLevel="1">
      <c r="F4140"/>
    </row>
    <row r="4141" spans="6:6" outlineLevel="1">
      <c r="F4141"/>
    </row>
    <row r="4142" spans="6:6" outlineLevel="1">
      <c r="F4142"/>
    </row>
    <row r="4143" spans="6:6" outlineLevel="1">
      <c r="F4143"/>
    </row>
    <row r="4144" spans="6:6" outlineLevel="1">
      <c r="F4144"/>
    </row>
    <row r="4145" spans="6:6" outlineLevel="1">
      <c r="F4145"/>
    </row>
    <row r="4146" spans="6:6" outlineLevel="1">
      <c r="F4146"/>
    </row>
    <row r="4147" spans="6:6" outlineLevel="1">
      <c r="F4147"/>
    </row>
    <row r="4148" spans="6:6" outlineLevel="1">
      <c r="F4148"/>
    </row>
    <row r="4149" spans="6:6" outlineLevel="1">
      <c r="F4149"/>
    </row>
    <row r="4150" spans="6:6" outlineLevel="1">
      <c r="F4150"/>
    </row>
    <row r="4151" spans="6:6" outlineLevel="1">
      <c r="F4151"/>
    </row>
    <row r="4152" spans="6:6" outlineLevel="1">
      <c r="F4152"/>
    </row>
    <row r="4153" spans="6:6" outlineLevel="1">
      <c r="F4153"/>
    </row>
    <row r="4154" spans="6:6" outlineLevel="1">
      <c r="F4154"/>
    </row>
    <row r="4155" spans="6:6" outlineLevel="1">
      <c r="F4155"/>
    </row>
    <row r="4156" spans="6:6" outlineLevel="1">
      <c r="F4156"/>
    </row>
    <row r="4157" spans="6:6" outlineLevel="1">
      <c r="F4157"/>
    </row>
    <row r="4158" spans="6:6" outlineLevel="1">
      <c r="F4158"/>
    </row>
    <row r="4159" spans="6:6" outlineLevel="1">
      <c r="F4159"/>
    </row>
    <row r="4160" spans="6:6" outlineLevel="1">
      <c r="F4160"/>
    </row>
    <row r="4161" spans="6:6" outlineLevel="1">
      <c r="F4161"/>
    </row>
    <row r="4162" spans="6:6" outlineLevel="1">
      <c r="F4162"/>
    </row>
    <row r="4163" spans="6:6" outlineLevel="1">
      <c r="F4163"/>
    </row>
    <row r="4164" spans="6:6" outlineLevel="1">
      <c r="F4164"/>
    </row>
    <row r="4165" spans="6:6" outlineLevel="1">
      <c r="F4165"/>
    </row>
    <row r="4166" spans="6:6" outlineLevel="1">
      <c r="F4166"/>
    </row>
    <row r="4167" spans="6:6" outlineLevel="1">
      <c r="F4167"/>
    </row>
    <row r="4168" spans="6:6" outlineLevel="1">
      <c r="F4168"/>
    </row>
    <row r="4169" spans="6:6" outlineLevel="1">
      <c r="F4169"/>
    </row>
    <row r="4170" spans="6:6" outlineLevel="1">
      <c r="F4170"/>
    </row>
    <row r="4171" spans="6:6" outlineLevel="1">
      <c r="F4171"/>
    </row>
    <row r="4172" spans="6:6" outlineLevel="1">
      <c r="F4172"/>
    </row>
    <row r="4173" spans="6:6" outlineLevel="1">
      <c r="F4173"/>
    </row>
    <row r="4174" spans="6:6" outlineLevel="1">
      <c r="F4174"/>
    </row>
    <row r="4175" spans="6:6" outlineLevel="1">
      <c r="F4175"/>
    </row>
    <row r="4176" spans="6:6" outlineLevel="1">
      <c r="F4176"/>
    </row>
    <row r="4177" spans="6:6" outlineLevel="1">
      <c r="F4177"/>
    </row>
    <row r="4178" spans="6:6" outlineLevel="1">
      <c r="F4178"/>
    </row>
    <row r="4179" spans="6:6" outlineLevel="1">
      <c r="F4179"/>
    </row>
    <row r="4180" spans="6:6" outlineLevel="1">
      <c r="F4180"/>
    </row>
    <row r="4181" spans="6:6" outlineLevel="1">
      <c r="F4181"/>
    </row>
    <row r="4182" spans="6:6" outlineLevel="1">
      <c r="F4182"/>
    </row>
    <row r="4183" spans="6:6" outlineLevel="1">
      <c r="F4183"/>
    </row>
    <row r="4184" spans="6:6" outlineLevel="1">
      <c r="F4184"/>
    </row>
    <row r="4185" spans="6:6">
      <c r="F4185"/>
    </row>
    <row r="4186" spans="6:6" outlineLevel="1">
      <c r="F4186"/>
    </row>
    <row r="4187" spans="6:6" outlineLevel="1">
      <c r="F4187"/>
    </row>
    <row r="4188" spans="6:6" outlineLevel="1">
      <c r="F4188"/>
    </row>
    <row r="4189" spans="6:6" outlineLevel="1">
      <c r="F4189"/>
    </row>
    <row r="4190" spans="6:6" outlineLevel="1">
      <c r="F4190"/>
    </row>
    <row r="4191" spans="6:6" outlineLevel="1">
      <c r="F4191"/>
    </row>
    <row r="4192" spans="6:6" outlineLevel="1">
      <c r="F4192"/>
    </row>
    <row r="4193" spans="6:6" outlineLevel="1">
      <c r="F4193"/>
    </row>
    <row r="4194" spans="6:6" outlineLevel="1">
      <c r="F4194"/>
    </row>
    <row r="4195" spans="6:6" outlineLevel="1">
      <c r="F4195"/>
    </row>
    <row r="4196" spans="6:6" outlineLevel="1">
      <c r="F4196"/>
    </row>
    <row r="4197" spans="6:6" outlineLevel="1">
      <c r="F4197"/>
    </row>
    <row r="4198" spans="6:6" outlineLevel="1">
      <c r="F4198"/>
    </row>
    <row r="4199" spans="6:6" outlineLevel="1">
      <c r="F4199"/>
    </row>
    <row r="4200" spans="6:6" outlineLevel="1">
      <c r="F4200"/>
    </row>
    <row r="4201" spans="6:6" outlineLevel="1">
      <c r="F4201"/>
    </row>
    <row r="4202" spans="6:6" outlineLevel="1">
      <c r="F4202"/>
    </row>
    <row r="4203" spans="6:6" outlineLevel="1">
      <c r="F4203"/>
    </row>
    <row r="4204" spans="6:6" outlineLevel="1">
      <c r="F4204"/>
    </row>
    <row r="4205" spans="6:6" outlineLevel="1">
      <c r="F4205"/>
    </row>
    <row r="4206" spans="6:6" outlineLevel="1">
      <c r="F4206"/>
    </row>
    <row r="4207" spans="6:6" outlineLevel="1">
      <c r="F4207"/>
    </row>
    <row r="4208" spans="6:6" outlineLevel="1">
      <c r="F4208"/>
    </row>
    <row r="4209" spans="6:6" outlineLevel="1">
      <c r="F4209"/>
    </row>
    <row r="4210" spans="6:6" outlineLevel="1">
      <c r="F4210"/>
    </row>
    <row r="4211" spans="6:6" outlineLevel="1">
      <c r="F4211"/>
    </row>
    <row r="4212" spans="6:6" outlineLevel="1">
      <c r="F4212"/>
    </row>
    <row r="4213" spans="6:6" outlineLevel="1">
      <c r="F4213"/>
    </row>
    <row r="4214" spans="6:6" outlineLevel="1">
      <c r="F4214"/>
    </row>
    <row r="4215" spans="6:6" outlineLevel="1">
      <c r="F4215"/>
    </row>
    <row r="4216" spans="6:6" outlineLevel="1">
      <c r="F4216"/>
    </row>
    <row r="4217" spans="6:6" outlineLevel="1">
      <c r="F4217"/>
    </row>
    <row r="4218" spans="6:6" outlineLevel="1">
      <c r="F4218"/>
    </row>
    <row r="4219" spans="6:6" outlineLevel="1">
      <c r="F4219"/>
    </row>
    <row r="4220" spans="6:6" outlineLevel="1">
      <c r="F4220"/>
    </row>
    <row r="4221" spans="6:6" outlineLevel="1">
      <c r="F4221"/>
    </row>
    <row r="4222" spans="6:6" outlineLevel="1">
      <c r="F4222"/>
    </row>
    <row r="4223" spans="6:6" outlineLevel="1">
      <c r="F4223"/>
    </row>
    <row r="4224" spans="6:6" outlineLevel="1">
      <c r="F4224"/>
    </row>
    <row r="4225" spans="6:6" outlineLevel="1">
      <c r="F4225"/>
    </row>
    <row r="4226" spans="6:6" outlineLevel="1">
      <c r="F4226"/>
    </row>
    <row r="4227" spans="6:6" outlineLevel="1">
      <c r="F4227"/>
    </row>
    <row r="4228" spans="6:6" outlineLevel="1">
      <c r="F4228"/>
    </row>
    <row r="4229" spans="6:6" outlineLevel="1">
      <c r="F4229"/>
    </row>
    <row r="4230" spans="6:6" outlineLevel="1">
      <c r="F4230"/>
    </row>
    <row r="4231" spans="6:6" outlineLevel="1">
      <c r="F4231"/>
    </row>
    <row r="4232" spans="6:6" outlineLevel="1">
      <c r="F4232"/>
    </row>
    <row r="4233" spans="6:6" outlineLevel="1">
      <c r="F4233"/>
    </row>
    <row r="4234" spans="6:6" outlineLevel="1">
      <c r="F4234"/>
    </row>
    <row r="4235" spans="6:6" outlineLevel="1">
      <c r="F4235"/>
    </row>
    <row r="4236" spans="6:6" outlineLevel="1">
      <c r="F4236"/>
    </row>
    <row r="4237" spans="6:6" outlineLevel="1">
      <c r="F4237"/>
    </row>
    <row r="4238" spans="6:6" outlineLevel="1">
      <c r="F4238"/>
    </row>
    <row r="4239" spans="6:6" outlineLevel="1">
      <c r="F4239"/>
    </row>
    <row r="4240" spans="6:6" outlineLevel="1">
      <c r="F4240"/>
    </row>
    <row r="4241" spans="6:6" outlineLevel="1">
      <c r="F4241"/>
    </row>
    <row r="4242" spans="6:6" outlineLevel="1">
      <c r="F4242"/>
    </row>
    <row r="4243" spans="6:6" outlineLevel="1">
      <c r="F4243"/>
    </row>
    <row r="4244" spans="6:6" outlineLevel="1">
      <c r="F4244"/>
    </row>
    <row r="4245" spans="6:6" outlineLevel="1">
      <c r="F4245"/>
    </row>
    <row r="4246" spans="6:6" outlineLevel="1">
      <c r="F4246"/>
    </row>
    <row r="4247" spans="6:6" outlineLevel="1">
      <c r="F4247"/>
    </row>
    <row r="4248" spans="6:6" outlineLevel="1">
      <c r="F4248"/>
    </row>
    <row r="4249" spans="6:6" outlineLevel="1">
      <c r="F4249"/>
    </row>
    <row r="4250" spans="6:6" outlineLevel="1">
      <c r="F4250"/>
    </row>
    <row r="4251" spans="6:6" outlineLevel="1">
      <c r="F4251"/>
    </row>
    <row r="4252" spans="6:6" outlineLevel="1">
      <c r="F4252"/>
    </row>
    <row r="4253" spans="6:6" outlineLevel="1">
      <c r="F4253"/>
    </row>
    <row r="4254" spans="6:6" outlineLevel="1">
      <c r="F4254"/>
    </row>
    <row r="4255" spans="6:6" outlineLevel="1">
      <c r="F4255"/>
    </row>
    <row r="4256" spans="6:6" outlineLevel="1">
      <c r="F4256"/>
    </row>
    <row r="4257" spans="6:6" outlineLevel="1">
      <c r="F4257"/>
    </row>
    <row r="4258" spans="6:6" outlineLevel="1">
      <c r="F4258"/>
    </row>
    <row r="4259" spans="6:6" outlineLevel="1">
      <c r="F4259"/>
    </row>
    <row r="4260" spans="6:6" outlineLevel="1">
      <c r="F4260"/>
    </row>
    <row r="4261" spans="6:6" outlineLevel="1">
      <c r="F4261"/>
    </row>
    <row r="4262" spans="6:6" outlineLevel="1">
      <c r="F4262"/>
    </row>
    <row r="4263" spans="6:6" outlineLevel="1">
      <c r="F4263"/>
    </row>
    <row r="4264" spans="6:6" outlineLevel="1">
      <c r="F4264"/>
    </row>
    <row r="4265" spans="6:6" outlineLevel="1">
      <c r="F4265"/>
    </row>
    <row r="4266" spans="6:6" outlineLevel="1">
      <c r="F4266"/>
    </row>
    <row r="4267" spans="6:6" outlineLevel="1">
      <c r="F4267"/>
    </row>
    <row r="4268" spans="6:6" outlineLevel="1">
      <c r="F4268"/>
    </row>
    <row r="4269" spans="6:6" outlineLevel="1">
      <c r="F4269"/>
    </row>
    <row r="4270" spans="6:6" outlineLevel="1">
      <c r="F4270"/>
    </row>
    <row r="4271" spans="6:6" outlineLevel="1">
      <c r="F4271"/>
    </row>
    <row r="4272" spans="6:6" outlineLevel="1">
      <c r="F4272"/>
    </row>
    <row r="4273" spans="6:6" outlineLevel="1">
      <c r="F4273"/>
    </row>
    <row r="4274" spans="6:6" outlineLevel="1">
      <c r="F4274"/>
    </row>
    <row r="4275" spans="6:6" outlineLevel="1">
      <c r="F4275"/>
    </row>
    <row r="4276" spans="6:6" outlineLevel="1">
      <c r="F4276"/>
    </row>
    <row r="4277" spans="6:6" outlineLevel="1">
      <c r="F4277"/>
    </row>
    <row r="4278" spans="6:6" outlineLevel="1">
      <c r="F4278"/>
    </row>
    <row r="4279" spans="6:6" outlineLevel="1">
      <c r="F4279"/>
    </row>
    <row r="4280" spans="6:6" outlineLevel="1">
      <c r="F4280"/>
    </row>
    <row r="4281" spans="6:6" outlineLevel="1">
      <c r="F4281"/>
    </row>
    <row r="4282" spans="6:6" outlineLevel="1">
      <c r="F4282"/>
    </row>
    <row r="4283" spans="6:6" outlineLevel="1">
      <c r="F4283"/>
    </row>
    <row r="4284" spans="6:6" outlineLevel="1">
      <c r="F4284"/>
    </row>
    <row r="4285" spans="6:6" outlineLevel="1">
      <c r="F4285"/>
    </row>
    <row r="4286" spans="6:6" outlineLevel="1">
      <c r="F4286"/>
    </row>
    <row r="4287" spans="6:6" outlineLevel="1">
      <c r="F4287"/>
    </row>
    <row r="4288" spans="6:6" outlineLevel="1">
      <c r="F4288"/>
    </row>
    <row r="4289" spans="6:6" outlineLevel="1">
      <c r="F4289"/>
    </row>
    <row r="4290" spans="6:6" outlineLevel="1">
      <c r="F4290"/>
    </row>
    <row r="4291" spans="6:6" outlineLevel="1">
      <c r="F4291"/>
    </row>
    <row r="4292" spans="6:6" outlineLevel="1">
      <c r="F4292"/>
    </row>
    <row r="4293" spans="6:6">
      <c r="F4293"/>
    </row>
    <row r="4294" spans="6:6" outlineLevel="1">
      <c r="F4294"/>
    </row>
    <row r="4295" spans="6:6" outlineLevel="1">
      <c r="F4295"/>
    </row>
    <row r="4296" spans="6:6" outlineLevel="1">
      <c r="F4296"/>
    </row>
    <row r="4297" spans="6:6" outlineLevel="1">
      <c r="F4297"/>
    </row>
    <row r="4298" spans="6:6" outlineLevel="1">
      <c r="F4298"/>
    </row>
    <row r="4299" spans="6:6" outlineLevel="1">
      <c r="F4299"/>
    </row>
    <row r="4300" spans="6:6" outlineLevel="1">
      <c r="F4300"/>
    </row>
    <row r="4301" spans="6:6" outlineLevel="1">
      <c r="F4301"/>
    </row>
    <row r="4302" spans="6:6" outlineLevel="1">
      <c r="F4302"/>
    </row>
    <row r="4303" spans="6:6" outlineLevel="1">
      <c r="F4303"/>
    </row>
    <row r="4304" spans="6:6" outlineLevel="1">
      <c r="F4304"/>
    </row>
    <row r="4305" spans="6:6" outlineLevel="1">
      <c r="F4305"/>
    </row>
    <row r="4306" spans="6:6" outlineLevel="1">
      <c r="F4306"/>
    </row>
    <row r="4307" spans="6:6" outlineLevel="1">
      <c r="F4307"/>
    </row>
    <row r="4308" spans="6:6" outlineLevel="1">
      <c r="F4308"/>
    </row>
    <row r="4309" spans="6:6" outlineLevel="1">
      <c r="F4309"/>
    </row>
    <row r="4310" spans="6:6" outlineLevel="1">
      <c r="F4310"/>
    </row>
    <row r="4311" spans="6:6" outlineLevel="1">
      <c r="F4311"/>
    </row>
    <row r="4312" spans="6:6" outlineLevel="1">
      <c r="F4312"/>
    </row>
    <row r="4313" spans="6:6" outlineLevel="1">
      <c r="F4313"/>
    </row>
    <row r="4314" spans="6:6" outlineLevel="1">
      <c r="F4314"/>
    </row>
    <row r="4315" spans="6:6" outlineLevel="1">
      <c r="F4315"/>
    </row>
    <row r="4316" spans="6:6" outlineLevel="1">
      <c r="F4316"/>
    </row>
    <row r="4317" spans="6:6" outlineLevel="1">
      <c r="F4317"/>
    </row>
    <row r="4318" spans="6:6" outlineLevel="1">
      <c r="F4318"/>
    </row>
    <row r="4319" spans="6:6" outlineLevel="1">
      <c r="F4319"/>
    </row>
    <row r="4320" spans="6:6" outlineLevel="1">
      <c r="F4320"/>
    </row>
    <row r="4321" spans="6:6" outlineLevel="1">
      <c r="F4321"/>
    </row>
    <row r="4322" spans="6:6" outlineLevel="1">
      <c r="F4322"/>
    </row>
    <row r="4323" spans="6:6" outlineLevel="1">
      <c r="F4323"/>
    </row>
    <row r="4324" spans="6:6" outlineLevel="1">
      <c r="F4324"/>
    </row>
    <row r="4325" spans="6:6" outlineLevel="1">
      <c r="F4325"/>
    </row>
    <row r="4326" spans="6:6" outlineLevel="1">
      <c r="F4326"/>
    </row>
    <row r="4327" spans="6:6" outlineLevel="1">
      <c r="F4327"/>
    </row>
    <row r="4328" spans="6:6" outlineLevel="1">
      <c r="F4328"/>
    </row>
    <row r="4329" spans="6:6" outlineLevel="1">
      <c r="F4329"/>
    </row>
    <row r="4330" spans="6:6" outlineLevel="1">
      <c r="F4330"/>
    </row>
    <row r="4331" spans="6:6" outlineLevel="1">
      <c r="F4331"/>
    </row>
    <row r="4332" spans="6:6" outlineLevel="1">
      <c r="F4332"/>
    </row>
    <row r="4333" spans="6:6" outlineLevel="1">
      <c r="F4333"/>
    </row>
    <row r="4334" spans="6:6">
      <c r="F4334"/>
    </row>
    <row r="4335" spans="6:6" outlineLevel="1">
      <c r="F4335"/>
    </row>
    <row r="4336" spans="6:6" outlineLevel="1">
      <c r="F4336"/>
    </row>
    <row r="4337" spans="6:6" outlineLevel="1">
      <c r="F4337"/>
    </row>
    <row r="4338" spans="6:6" outlineLevel="1">
      <c r="F4338"/>
    </row>
    <row r="4339" spans="6:6" outlineLevel="1">
      <c r="F4339"/>
    </row>
    <row r="4340" spans="6:6" outlineLevel="1">
      <c r="F4340"/>
    </row>
    <row r="4341" spans="6:6" outlineLevel="1">
      <c r="F4341"/>
    </row>
    <row r="4342" spans="6:6" outlineLevel="1">
      <c r="F4342"/>
    </row>
    <row r="4343" spans="6:6" outlineLevel="1">
      <c r="F4343"/>
    </row>
    <row r="4344" spans="6:6" outlineLevel="1">
      <c r="F4344"/>
    </row>
    <row r="4345" spans="6:6" outlineLevel="1">
      <c r="F4345"/>
    </row>
    <row r="4346" spans="6:6" outlineLevel="1">
      <c r="F4346"/>
    </row>
    <row r="4347" spans="6:6" outlineLevel="1">
      <c r="F4347"/>
    </row>
    <row r="4348" spans="6:6" outlineLevel="1">
      <c r="F4348"/>
    </row>
    <row r="4349" spans="6:6" outlineLevel="1">
      <c r="F4349"/>
    </row>
    <row r="4350" spans="6:6" outlineLevel="1">
      <c r="F4350"/>
    </row>
    <row r="4351" spans="6:6" outlineLevel="1">
      <c r="F4351"/>
    </row>
    <row r="4352" spans="6:6" outlineLevel="1">
      <c r="F4352"/>
    </row>
    <row r="4353" spans="6:6" outlineLevel="1">
      <c r="F4353"/>
    </row>
    <row r="4354" spans="6:6" outlineLevel="1">
      <c r="F4354"/>
    </row>
    <row r="4355" spans="6:6" outlineLevel="1">
      <c r="F4355"/>
    </row>
    <row r="4356" spans="6:6" outlineLevel="1">
      <c r="F4356"/>
    </row>
    <row r="4357" spans="6:6">
      <c r="F4357"/>
    </row>
    <row r="4358" spans="6:6" outlineLevel="1">
      <c r="F4358"/>
    </row>
    <row r="4359" spans="6:6" outlineLevel="1">
      <c r="F4359"/>
    </row>
    <row r="4360" spans="6:6">
      <c r="F4360"/>
    </row>
    <row r="4361" spans="6:6" outlineLevel="1">
      <c r="F4361"/>
    </row>
    <row r="4362" spans="6:6" outlineLevel="1">
      <c r="F4362"/>
    </row>
    <row r="4363" spans="6:6" outlineLevel="1">
      <c r="F4363"/>
    </row>
    <row r="4364" spans="6:6" outlineLevel="1">
      <c r="F4364"/>
    </row>
    <row r="4365" spans="6:6" outlineLevel="1">
      <c r="F4365"/>
    </row>
    <row r="4366" spans="6:6" outlineLevel="1">
      <c r="F4366"/>
    </row>
    <row r="4367" spans="6:6" outlineLevel="1">
      <c r="F4367"/>
    </row>
    <row r="4368" spans="6:6" outlineLevel="1">
      <c r="F4368"/>
    </row>
    <row r="4369" spans="6:6" outlineLevel="1">
      <c r="F4369"/>
    </row>
    <row r="4370" spans="6:6" outlineLevel="1">
      <c r="F4370"/>
    </row>
    <row r="4371" spans="6:6" outlineLevel="1">
      <c r="F4371"/>
    </row>
    <row r="4372" spans="6:6" outlineLevel="1">
      <c r="F4372"/>
    </row>
    <row r="4373" spans="6:6" outlineLevel="1">
      <c r="F4373"/>
    </row>
    <row r="4374" spans="6:6" outlineLevel="1">
      <c r="F4374"/>
    </row>
    <row r="4375" spans="6:6">
      <c r="F4375"/>
    </row>
    <row r="4376" spans="6:6" outlineLevel="1">
      <c r="F4376"/>
    </row>
    <row r="4377" spans="6:6" outlineLevel="1">
      <c r="F4377"/>
    </row>
    <row r="4378" spans="6:6" outlineLevel="1">
      <c r="F4378"/>
    </row>
    <row r="4379" spans="6:6">
      <c r="F4379"/>
    </row>
    <row r="4380" spans="6:6" outlineLevel="1">
      <c r="F4380"/>
    </row>
    <row r="4381" spans="6:6" outlineLevel="1">
      <c r="F4381"/>
    </row>
    <row r="4382" spans="6:6" outlineLevel="1">
      <c r="F4382"/>
    </row>
    <row r="4383" spans="6:6" outlineLevel="1">
      <c r="F4383"/>
    </row>
    <row r="4384" spans="6:6" outlineLevel="1">
      <c r="F4384"/>
    </row>
    <row r="4385" spans="6:6" outlineLevel="1">
      <c r="F4385"/>
    </row>
    <row r="4386" spans="6:6" outlineLevel="1">
      <c r="F4386"/>
    </row>
    <row r="4387" spans="6:6">
      <c r="F4387"/>
    </row>
    <row r="4388" spans="6:6" outlineLevel="1">
      <c r="F4388"/>
    </row>
    <row r="4389" spans="6:6" outlineLevel="1">
      <c r="F4389"/>
    </row>
    <row r="4390" spans="6:6" outlineLevel="1">
      <c r="F4390"/>
    </row>
    <row r="4391" spans="6:6" outlineLevel="1">
      <c r="F4391"/>
    </row>
    <row r="4392" spans="6:6" outlineLevel="1">
      <c r="F4392"/>
    </row>
    <row r="4393" spans="6:6" outlineLevel="1">
      <c r="F4393"/>
    </row>
    <row r="4394" spans="6:6">
      <c r="F4394"/>
    </row>
    <row r="4395" spans="6:6" outlineLevel="1">
      <c r="F4395"/>
    </row>
    <row r="4396" spans="6:6" outlineLevel="1">
      <c r="F4396"/>
    </row>
    <row r="4397" spans="6:6" outlineLevel="1">
      <c r="F4397"/>
    </row>
    <row r="4398" spans="6:6" outlineLevel="1">
      <c r="F4398"/>
    </row>
    <row r="4399" spans="6:6" outlineLevel="1">
      <c r="F4399"/>
    </row>
    <row r="4400" spans="6:6" outlineLevel="1">
      <c r="F4400"/>
    </row>
    <row r="4401" spans="6:6" outlineLevel="1">
      <c r="F4401"/>
    </row>
    <row r="4402" spans="6:6" outlineLevel="1">
      <c r="F4402"/>
    </row>
    <row r="4403" spans="6:6" outlineLevel="1">
      <c r="F4403"/>
    </row>
    <row r="4404" spans="6:6" outlineLevel="1">
      <c r="F4404"/>
    </row>
    <row r="4405" spans="6:6" outlineLevel="1">
      <c r="F4405"/>
    </row>
    <row r="4406" spans="6:6">
      <c r="F4406"/>
    </row>
    <row r="4407" spans="6:6" outlineLevel="1">
      <c r="F4407"/>
    </row>
    <row r="4408" spans="6:6">
      <c r="F4408"/>
    </row>
    <row r="4409" spans="6:6" outlineLevel="1">
      <c r="F4409"/>
    </row>
    <row r="4410" spans="6:6" outlineLevel="1">
      <c r="F4410"/>
    </row>
    <row r="4411" spans="6:6" outlineLevel="1">
      <c r="F4411"/>
    </row>
    <row r="4412" spans="6:6" outlineLevel="1">
      <c r="F4412"/>
    </row>
    <row r="4413" spans="6:6" outlineLevel="1">
      <c r="F4413"/>
    </row>
    <row r="4414" spans="6:6" outlineLevel="1">
      <c r="F4414"/>
    </row>
    <row r="4415" spans="6:6" outlineLevel="1">
      <c r="F4415"/>
    </row>
    <row r="4416" spans="6:6" outlineLevel="1">
      <c r="F4416"/>
    </row>
    <row r="4417" spans="6:6" outlineLevel="1">
      <c r="F4417"/>
    </row>
    <row r="4418" spans="6:6" outlineLevel="1">
      <c r="F4418"/>
    </row>
    <row r="4419" spans="6:6" outlineLevel="1">
      <c r="F4419"/>
    </row>
    <row r="4420" spans="6:6" outlineLevel="1">
      <c r="F4420"/>
    </row>
    <row r="4421" spans="6:6" outlineLevel="1">
      <c r="F4421"/>
    </row>
    <row r="4422" spans="6:6" outlineLevel="1">
      <c r="F4422"/>
    </row>
    <row r="4423" spans="6:6" outlineLevel="1">
      <c r="F4423"/>
    </row>
    <row r="4424" spans="6:6" outlineLevel="1">
      <c r="F4424"/>
    </row>
    <row r="4425" spans="6:6" outlineLevel="1">
      <c r="F4425"/>
    </row>
    <row r="4426" spans="6:6" outlineLevel="1">
      <c r="F4426"/>
    </row>
    <row r="4427" spans="6:6" outlineLevel="1">
      <c r="F4427"/>
    </row>
    <row r="4428" spans="6:6" outlineLevel="1">
      <c r="F4428"/>
    </row>
    <row r="4429" spans="6:6" outlineLevel="1">
      <c r="F4429"/>
    </row>
    <row r="4430" spans="6:6" outlineLevel="1">
      <c r="F4430"/>
    </row>
    <row r="4431" spans="6:6" outlineLevel="1">
      <c r="F4431"/>
    </row>
    <row r="4432" spans="6:6" outlineLevel="1">
      <c r="F4432"/>
    </row>
    <row r="4433" spans="6:6" outlineLevel="1">
      <c r="F4433"/>
    </row>
    <row r="4434" spans="6:6" outlineLevel="1">
      <c r="F4434"/>
    </row>
    <row r="4435" spans="6:6" outlineLevel="1">
      <c r="F4435"/>
    </row>
    <row r="4436" spans="6:6" outlineLevel="1">
      <c r="F4436"/>
    </row>
    <row r="4437" spans="6:6" outlineLevel="1">
      <c r="F4437"/>
    </row>
    <row r="4438" spans="6:6" outlineLevel="1">
      <c r="F4438"/>
    </row>
    <row r="4439" spans="6:6" outlineLevel="1">
      <c r="F4439"/>
    </row>
    <row r="4440" spans="6:6" outlineLevel="1">
      <c r="F4440"/>
    </row>
    <row r="4441" spans="6:6" outlineLevel="1">
      <c r="F4441"/>
    </row>
    <row r="4442" spans="6:6" outlineLevel="1">
      <c r="F4442"/>
    </row>
    <row r="4443" spans="6:6" outlineLevel="1">
      <c r="F4443"/>
    </row>
    <row r="4444" spans="6:6" outlineLevel="1">
      <c r="F4444"/>
    </row>
    <row r="4445" spans="6:6" outlineLevel="1">
      <c r="F4445"/>
    </row>
    <row r="4446" spans="6:6" outlineLevel="1">
      <c r="F4446"/>
    </row>
    <row r="4447" spans="6:6" outlineLevel="1">
      <c r="F4447"/>
    </row>
    <row r="4448" spans="6:6" outlineLevel="1">
      <c r="F4448"/>
    </row>
    <row r="4449" spans="6:6" outlineLevel="1">
      <c r="F4449"/>
    </row>
    <row r="4450" spans="6:6" outlineLevel="1">
      <c r="F4450"/>
    </row>
    <row r="4451" spans="6:6" outlineLevel="1">
      <c r="F4451"/>
    </row>
    <row r="4452" spans="6:6" outlineLevel="1">
      <c r="F4452"/>
    </row>
    <row r="4453" spans="6:6" outlineLevel="1">
      <c r="F4453"/>
    </row>
    <row r="4454" spans="6:6" outlineLevel="1">
      <c r="F4454"/>
    </row>
    <row r="4455" spans="6:6" outlineLevel="1">
      <c r="F4455"/>
    </row>
    <row r="4456" spans="6:6">
      <c r="F4456"/>
    </row>
    <row r="4457" spans="6:6" outlineLevel="1">
      <c r="F4457"/>
    </row>
    <row r="4458" spans="6:6" outlineLevel="1">
      <c r="F4458"/>
    </row>
    <row r="4459" spans="6:6" outlineLevel="1">
      <c r="F4459"/>
    </row>
    <row r="4460" spans="6:6" outlineLevel="1">
      <c r="F4460"/>
    </row>
    <row r="4461" spans="6:6" outlineLevel="1">
      <c r="F4461"/>
    </row>
    <row r="4462" spans="6:6" outlineLevel="1">
      <c r="F4462"/>
    </row>
    <row r="4463" spans="6:6" outlineLevel="1">
      <c r="F4463"/>
    </row>
    <row r="4464" spans="6:6" outlineLevel="1">
      <c r="F4464"/>
    </row>
    <row r="4465" spans="6:6" outlineLevel="1">
      <c r="F4465"/>
    </row>
    <row r="4466" spans="6:6">
      <c r="F4466"/>
    </row>
    <row r="4467" spans="6:6" outlineLevel="1">
      <c r="F4467"/>
    </row>
    <row r="4468" spans="6:6" outlineLevel="1">
      <c r="F4468"/>
    </row>
    <row r="4469" spans="6:6" outlineLevel="1">
      <c r="F4469"/>
    </row>
    <row r="4470" spans="6:6">
      <c r="F4470"/>
    </row>
    <row r="4471" spans="6:6" outlineLevel="1">
      <c r="F4471"/>
    </row>
    <row r="4472" spans="6:6" outlineLevel="1">
      <c r="F4472"/>
    </row>
    <row r="4473" spans="6:6">
      <c r="F4473"/>
    </row>
    <row r="4474" spans="6:6" outlineLevel="1">
      <c r="F4474"/>
    </row>
    <row r="4475" spans="6:6">
      <c r="F4475"/>
    </row>
    <row r="4476" spans="6:6" outlineLevel="1">
      <c r="F4476"/>
    </row>
    <row r="4477" spans="6:6" outlineLevel="1">
      <c r="F4477"/>
    </row>
    <row r="4478" spans="6:6" outlineLevel="1">
      <c r="F4478"/>
    </row>
    <row r="4479" spans="6:6" outlineLevel="1">
      <c r="F4479"/>
    </row>
    <row r="4480" spans="6:6" outlineLevel="1">
      <c r="F4480"/>
    </row>
    <row r="4481" spans="6:6">
      <c r="F4481"/>
    </row>
    <row r="4482" spans="6:6" outlineLevel="1">
      <c r="F4482"/>
    </row>
    <row r="4483" spans="6:6" outlineLevel="1">
      <c r="F4483"/>
    </row>
    <row r="4484" spans="6:6">
      <c r="F4484"/>
    </row>
    <row r="4485" spans="6:6" outlineLevel="1">
      <c r="F4485"/>
    </row>
    <row r="4486" spans="6:6" outlineLevel="1">
      <c r="F4486"/>
    </row>
    <row r="4487" spans="6:6">
      <c r="F4487"/>
    </row>
    <row r="4488" spans="6:6" outlineLevel="1">
      <c r="F4488"/>
    </row>
    <row r="4489" spans="6:6" outlineLevel="1">
      <c r="F4489"/>
    </row>
    <row r="4490" spans="6:6" outlineLevel="1">
      <c r="F4490"/>
    </row>
    <row r="4491" spans="6:6" outlineLevel="1">
      <c r="F4491"/>
    </row>
    <row r="4492" spans="6:6" outlineLevel="1">
      <c r="F4492"/>
    </row>
    <row r="4493" spans="6:6" outlineLevel="1">
      <c r="F4493"/>
    </row>
    <row r="4494" spans="6:6">
      <c r="F4494"/>
    </row>
    <row r="4495" spans="6:6" outlineLevel="1">
      <c r="F4495"/>
    </row>
    <row r="4496" spans="6:6" outlineLevel="1">
      <c r="F4496"/>
    </row>
    <row r="4497" spans="6:6" outlineLevel="1">
      <c r="F4497"/>
    </row>
    <row r="4498" spans="6:6" outlineLevel="1">
      <c r="F4498"/>
    </row>
    <row r="4499" spans="6:6" outlineLevel="1">
      <c r="F4499"/>
    </row>
    <row r="4500" spans="6:6" outlineLevel="1">
      <c r="F4500"/>
    </row>
    <row r="4501" spans="6:6" outlineLevel="1">
      <c r="F4501"/>
    </row>
    <row r="4502" spans="6:6" outlineLevel="1">
      <c r="F4502"/>
    </row>
    <row r="4503" spans="6:6" outlineLevel="1">
      <c r="F4503"/>
    </row>
    <row r="4504" spans="6:6" outlineLevel="1">
      <c r="F4504"/>
    </row>
    <row r="4505" spans="6:6" outlineLevel="1">
      <c r="F4505"/>
    </row>
    <row r="4506" spans="6:6" outlineLevel="1">
      <c r="F4506"/>
    </row>
    <row r="4507" spans="6:6" outlineLevel="1">
      <c r="F4507"/>
    </row>
    <row r="4508" spans="6:6" outlineLevel="1">
      <c r="F4508"/>
    </row>
    <row r="4509" spans="6:6" outlineLevel="1">
      <c r="F4509"/>
    </row>
    <row r="4510" spans="6:6" outlineLevel="1">
      <c r="F4510"/>
    </row>
    <row r="4511" spans="6:6" outlineLevel="1">
      <c r="F4511"/>
    </row>
    <row r="4512" spans="6:6" outlineLevel="1">
      <c r="F4512"/>
    </row>
    <row r="4513" spans="6:6" outlineLevel="1">
      <c r="F4513"/>
    </row>
    <row r="4514" spans="6:6" outlineLevel="1">
      <c r="F4514"/>
    </row>
    <row r="4515" spans="6:6" outlineLevel="1">
      <c r="F4515"/>
    </row>
    <row r="4516" spans="6:6" outlineLevel="1">
      <c r="F4516"/>
    </row>
    <row r="4517" spans="6:6" outlineLevel="1">
      <c r="F4517"/>
    </row>
    <row r="4518" spans="6:6" outlineLevel="1">
      <c r="F4518"/>
    </row>
    <row r="4519" spans="6:6" outlineLevel="1">
      <c r="F4519"/>
    </row>
    <row r="4520" spans="6:6" outlineLevel="1">
      <c r="F4520"/>
    </row>
    <row r="4521" spans="6:6" outlineLevel="1">
      <c r="F4521"/>
    </row>
    <row r="4522" spans="6:6" outlineLevel="1">
      <c r="F4522"/>
    </row>
    <row r="4523" spans="6:6" outlineLevel="1">
      <c r="F4523"/>
    </row>
    <row r="4524" spans="6:6" outlineLevel="1">
      <c r="F4524"/>
    </row>
    <row r="4525" spans="6:6" outlineLevel="1">
      <c r="F4525"/>
    </row>
    <row r="4526" spans="6:6" outlineLevel="1">
      <c r="F4526"/>
    </row>
    <row r="4527" spans="6:6" outlineLevel="1">
      <c r="F4527"/>
    </row>
    <row r="4528" spans="6:6" outlineLevel="1">
      <c r="F4528"/>
    </row>
    <row r="4529" spans="6:6" outlineLevel="1">
      <c r="F4529"/>
    </row>
    <row r="4530" spans="6:6" outlineLevel="1">
      <c r="F4530"/>
    </row>
    <row r="4531" spans="6:6" outlineLevel="1">
      <c r="F4531"/>
    </row>
    <row r="4532" spans="6:6" outlineLevel="1">
      <c r="F4532"/>
    </row>
    <row r="4533" spans="6:6">
      <c r="F4533"/>
    </row>
    <row r="4534" spans="6:6">
      <c r="F4534"/>
    </row>
    <row r="4535" spans="6:6">
      <c r="F4535"/>
    </row>
    <row r="4536" spans="6:6">
      <c r="F4536"/>
    </row>
    <row r="4537" spans="6:6">
      <c r="F4537"/>
    </row>
    <row r="4538" spans="6:6">
      <c r="F4538"/>
    </row>
    <row r="4539" spans="6:6">
      <c r="F4539"/>
    </row>
    <row r="4540" spans="6:6">
      <c r="F4540"/>
    </row>
    <row r="4541" spans="6:6">
      <c r="F4541"/>
    </row>
    <row r="4542" spans="6:6">
      <c r="F4542"/>
    </row>
    <row r="4543" spans="6:6">
      <c r="F4543"/>
    </row>
    <row r="4544" spans="6:6">
      <c r="F4544"/>
    </row>
    <row r="4545" spans="6:6">
      <c r="F4545"/>
    </row>
    <row r="4546" spans="6:6">
      <c r="F4546"/>
    </row>
    <row r="4547" spans="6:6">
      <c r="F4547"/>
    </row>
    <row r="4548" spans="6:6">
      <c r="F4548"/>
    </row>
    <row r="4549" spans="6:6">
      <c r="F4549"/>
    </row>
    <row r="4550" spans="6:6">
      <c r="F4550"/>
    </row>
    <row r="4551" spans="6:6">
      <c r="F4551"/>
    </row>
    <row r="4552" spans="6:6">
      <c r="F4552"/>
    </row>
    <row r="4553" spans="6:6">
      <c r="F4553"/>
    </row>
    <row r="4554" spans="6:6">
      <c r="F4554"/>
    </row>
    <row r="4555" spans="6:6">
      <c r="F4555"/>
    </row>
    <row r="4556" spans="6:6">
      <c r="F4556"/>
    </row>
    <row r="4557" spans="6:6">
      <c r="F4557"/>
    </row>
    <row r="4558" spans="6:6">
      <c r="F4558"/>
    </row>
    <row r="4559" spans="6:6">
      <c r="F4559"/>
    </row>
    <row r="4560" spans="6:6">
      <c r="F4560"/>
    </row>
    <row r="4561" spans="6:6">
      <c r="F4561"/>
    </row>
    <row r="4562" spans="6:6">
      <c r="F4562"/>
    </row>
    <row r="4563" spans="6:6">
      <c r="F4563"/>
    </row>
    <row r="4564" spans="6:6">
      <c r="F4564"/>
    </row>
    <row r="4565" spans="6:6">
      <c r="F4565"/>
    </row>
    <row r="4566" spans="6:6">
      <c r="F4566"/>
    </row>
    <row r="4567" spans="6:6">
      <c r="F4567"/>
    </row>
    <row r="4568" spans="6:6">
      <c r="F4568"/>
    </row>
    <row r="4569" spans="6:6">
      <c r="F4569"/>
    </row>
    <row r="4570" spans="6:6">
      <c r="F4570"/>
    </row>
    <row r="4571" spans="6:6">
      <c r="F4571"/>
    </row>
    <row r="4572" spans="6:6">
      <c r="F4572"/>
    </row>
    <row r="4573" spans="6:6">
      <c r="F4573"/>
    </row>
    <row r="4574" spans="6:6">
      <c r="F4574"/>
    </row>
    <row r="4575" spans="6:6">
      <c r="F4575"/>
    </row>
    <row r="4576" spans="6:6">
      <c r="F4576"/>
    </row>
    <row r="4577" spans="6:6">
      <c r="F4577"/>
    </row>
    <row r="4578" spans="6:6">
      <c r="F4578"/>
    </row>
    <row r="4579" spans="6:6">
      <c r="F4579"/>
    </row>
    <row r="4580" spans="6:6">
      <c r="F4580"/>
    </row>
    <row r="4581" spans="6:6">
      <c r="F4581"/>
    </row>
    <row r="4582" spans="6:6">
      <c r="F4582"/>
    </row>
    <row r="4583" spans="6:6">
      <c r="F4583"/>
    </row>
    <row r="4584" spans="6:6">
      <c r="F4584"/>
    </row>
    <row r="4585" spans="6:6">
      <c r="F4585"/>
    </row>
    <row r="4586" spans="6:6">
      <c r="F4586"/>
    </row>
    <row r="4587" spans="6:6">
      <c r="F4587"/>
    </row>
    <row r="4588" spans="6:6">
      <c r="F4588"/>
    </row>
    <row r="4589" spans="6:6">
      <c r="F4589"/>
    </row>
    <row r="4590" spans="6:6">
      <c r="F4590"/>
    </row>
    <row r="4591" spans="6:6">
      <c r="F4591"/>
    </row>
    <row r="4592" spans="6:6">
      <c r="F4592"/>
    </row>
    <row r="4593" spans="6:6">
      <c r="F4593"/>
    </row>
    <row r="4594" spans="6:6">
      <c r="F4594"/>
    </row>
    <row r="4595" spans="6:6">
      <c r="F4595"/>
    </row>
    <row r="4596" spans="6:6">
      <c r="F4596"/>
    </row>
    <row r="4597" spans="6:6">
      <c r="F4597"/>
    </row>
    <row r="4598" spans="6:6">
      <c r="F4598"/>
    </row>
    <row r="4599" spans="6:6">
      <c r="F4599"/>
    </row>
    <row r="4600" spans="6:6">
      <c r="F4600"/>
    </row>
    <row r="4601" spans="6:6">
      <c r="F4601"/>
    </row>
    <row r="4602" spans="6:6">
      <c r="F4602"/>
    </row>
    <row r="4603" spans="6:6">
      <c r="F4603"/>
    </row>
    <row r="4604" spans="6:6">
      <c r="F4604"/>
    </row>
    <row r="4605" spans="6:6">
      <c r="F4605"/>
    </row>
    <row r="4606" spans="6:6">
      <c r="F4606"/>
    </row>
    <row r="4607" spans="6:6">
      <c r="F4607"/>
    </row>
    <row r="4608" spans="6:6">
      <c r="F4608"/>
    </row>
    <row r="4609" spans="6:6">
      <c r="F4609"/>
    </row>
    <row r="4610" spans="6:6">
      <c r="F4610"/>
    </row>
    <row r="4611" spans="6:6">
      <c r="F4611"/>
    </row>
    <row r="4612" spans="6:6">
      <c r="F4612"/>
    </row>
    <row r="4613" spans="6:6">
      <c r="F4613"/>
    </row>
    <row r="4614" spans="6:6">
      <c r="F4614"/>
    </row>
    <row r="4615" spans="6:6">
      <c r="F4615"/>
    </row>
    <row r="4616" spans="6:6">
      <c r="F4616"/>
    </row>
    <row r="4617" spans="6:6">
      <c r="F4617"/>
    </row>
    <row r="4618" spans="6:6">
      <c r="F4618"/>
    </row>
    <row r="4619" spans="6:6">
      <c r="F4619"/>
    </row>
    <row r="4620" spans="6:6">
      <c r="F4620"/>
    </row>
    <row r="4621" spans="6:6">
      <c r="F4621"/>
    </row>
    <row r="4622" spans="6:6">
      <c r="F4622"/>
    </row>
    <row r="4623" spans="6:6">
      <c r="F4623"/>
    </row>
    <row r="4624" spans="6:6">
      <c r="F4624"/>
    </row>
    <row r="4625" spans="6:6">
      <c r="F4625"/>
    </row>
    <row r="4626" spans="6:6">
      <c r="F4626"/>
    </row>
    <row r="4627" spans="6:6">
      <c r="F4627"/>
    </row>
    <row r="4628" spans="6:6">
      <c r="F4628"/>
    </row>
    <row r="4629" spans="6:6">
      <c r="F4629"/>
    </row>
    <row r="4630" spans="6:6">
      <c r="F4630"/>
    </row>
    <row r="4631" spans="6:6">
      <c r="F4631"/>
    </row>
    <row r="4632" spans="6:6">
      <c r="F4632"/>
    </row>
    <row r="4633" spans="6:6" outlineLevel="1">
      <c r="F4633"/>
    </row>
    <row r="4634" spans="6:6" outlineLevel="1">
      <c r="F4634"/>
    </row>
    <row r="4635" spans="6:6" outlineLevel="1">
      <c r="F4635"/>
    </row>
    <row r="4636" spans="6:6" outlineLevel="1">
      <c r="F4636"/>
    </row>
    <row r="4637" spans="6:6" outlineLevel="1">
      <c r="F4637"/>
    </row>
    <row r="4638" spans="6:6" outlineLevel="1">
      <c r="F4638"/>
    </row>
    <row r="4639" spans="6:6" outlineLevel="1">
      <c r="F4639"/>
    </row>
    <row r="4640" spans="6:6" outlineLevel="1">
      <c r="F4640"/>
    </row>
    <row r="4641" spans="6:6" outlineLevel="1">
      <c r="F4641"/>
    </row>
    <row r="4642" spans="6:6" outlineLevel="1">
      <c r="F4642"/>
    </row>
    <row r="4643" spans="6:6" outlineLevel="1">
      <c r="F4643"/>
    </row>
    <row r="4644" spans="6:6" outlineLevel="1">
      <c r="F4644"/>
    </row>
    <row r="4645" spans="6:6" outlineLevel="1">
      <c r="F4645"/>
    </row>
    <row r="4646" spans="6:6" outlineLevel="1">
      <c r="F4646"/>
    </row>
    <row r="4647" spans="6:6">
      <c r="F4647"/>
    </row>
    <row r="4648" spans="6:6" outlineLevel="1">
      <c r="F4648"/>
    </row>
    <row r="4649" spans="6:6" outlineLevel="1">
      <c r="F4649"/>
    </row>
    <row r="4650" spans="6:6" outlineLevel="1">
      <c r="F4650"/>
    </row>
    <row r="4651" spans="6:6" outlineLevel="1">
      <c r="F4651"/>
    </row>
    <row r="4652" spans="6:6" outlineLevel="1">
      <c r="F4652"/>
    </row>
    <row r="4653" spans="6:6">
      <c r="F4653"/>
    </row>
    <row r="4654" spans="6:6" outlineLevel="1">
      <c r="F4654"/>
    </row>
    <row r="4655" spans="6:6" outlineLevel="1">
      <c r="F4655"/>
    </row>
    <row r="4656" spans="6:6" outlineLevel="1">
      <c r="F4656"/>
    </row>
    <row r="4657" spans="6:6" outlineLevel="1">
      <c r="F4657"/>
    </row>
    <row r="4658" spans="6:6" outlineLevel="1">
      <c r="F4658"/>
    </row>
    <row r="4659" spans="6:6" outlineLevel="1">
      <c r="F4659"/>
    </row>
    <row r="4660" spans="6:6" outlineLevel="1">
      <c r="F4660"/>
    </row>
    <row r="4661" spans="6:6" outlineLevel="1">
      <c r="F4661"/>
    </row>
    <row r="4662" spans="6:6" outlineLevel="1">
      <c r="F4662"/>
    </row>
    <row r="4663" spans="6:6" outlineLevel="1">
      <c r="F4663"/>
    </row>
    <row r="4664" spans="6:6" outlineLevel="1">
      <c r="F4664"/>
    </row>
    <row r="4665" spans="6:6" outlineLevel="1">
      <c r="F4665"/>
    </row>
    <row r="4666" spans="6:6" outlineLevel="1">
      <c r="F4666"/>
    </row>
    <row r="4667" spans="6:6" outlineLevel="1">
      <c r="F4667"/>
    </row>
    <row r="4668" spans="6:6" outlineLevel="1">
      <c r="F4668"/>
    </row>
    <row r="4669" spans="6:6" outlineLevel="1">
      <c r="F4669"/>
    </row>
    <row r="4670" spans="6:6" outlineLevel="1">
      <c r="F4670"/>
    </row>
    <row r="4671" spans="6:6" outlineLevel="1">
      <c r="F4671"/>
    </row>
    <row r="4672" spans="6:6" outlineLevel="1">
      <c r="F4672"/>
    </row>
    <row r="4673" spans="6:6" outlineLevel="1">
      <c r="F4673"/>
    </row>
    <row r="4674" spans="6:6" outlineLevel="1">
      <c r="F4674"/>
    </row>
    <row r="4675" spans="6:6" outlineLevel="1">
      <c r="F4675"/>
    </row>
    <row r="4676" spans="6:6">
      <c r="F4676"/>
    </row>
    <row r="4677" spans="6:6" outlineLevel="1">
      <c r="F4677"/>
    </row>
    <row r="4678" spans="6:6" outlineLevel="1">
      <c r="F4678"/>
    </row>
    <row r="4679" spans="6:6" outlineLevel="1">
      <c r="F4679"/>
    </row>
    <row r="4680" spans="6:6" outlineLevel="1">
      <c r="F4680"/>
    </row>
    <row r="4681" spans="6:6" outlineLevel="1">
      <c r="F4681"/>
    </row>
    <row r="4682" spans="6:6" outlineLevel="1">
      <c r="F4682"/>
    </row>
    <row r="4683" spans="6:6" outlineLevel="1">
      <c r="F4683"/>
    </row>
    <row r="4684" spans="6:6" outlineLevel="1">
      <c r="F4684"/>
    </row>
    <row r="4685" spans="6:6" outlineLevel="1">
      <c r="F4685"/>
    </row>
    <row r="4686" spans="6:6" outlineLevel="1">
      <c r="F4686"/>
    </row>
    <row r="4687" spans="6:6" outlineLevel="1">
      <c r="F4687"/>
    </row>
    <row r="4688" spans="6:6" outlineLevel="1">
      <c r="F4688"/>
    </row>
    <row r="4689" spans="6:6" outlineLevel="1">
      <c r="F4689"/>
    </row>
    <row r="4690" spans="6:6" outlineLevel="1">
      <c r="F4690"/>
    </row>
    <row r="4691" spans="6:6" outlineLevel="1">
      <c r="F4691"/>
    </row>
    <row r="4692" spans="6:6" outlineLevel="1">
      <c r="F4692"/>
    </row>
    <row r="4693" spans="6:6" outlineLevel="1">
      <c r="F4693"/>
    </row>
    <row r="4694" spans="6:6" outlineLevel="1">
      <c r="F4694"/>
    </row>
    <row r="4695" spans="6:6" outlineLevel="1">
      <c r="F4695"/>
    </row>
    <row r="4696" spans="6:6" outlineLevel="1">
      <c r="F4696"/>
    </row>
    <row r="4697" spans="6:6" outlineLevel="1">
      <c r="F4697"/>
    </row>
    <row r="4698" spans="6:6" outlineLevel="1">
      <c r="F4698"/>
    </row>
    <row r="4699" spans="6:6" outlineLevel="1">
      <c r="F4699"/>
    </row>
    <row r="4700" spans="6:6" outlineLevel="1">
      <c r="F4700"/>
    </row>
    <row r="4701" spans="6:6" outlineLevel="1">
      <c r="F4701"/>
    </row>
    <row r="4702" spans="6:6" outlineLevel="1">
      <c r="F4702"/>
    </row>
    <row r="4703" spans="6:6" outlineLevel="1">
      <c r="F4703"/>
    </row>
    <row r="4704" spans="6:6" outlineLevel="1">
      <c r="F4704"/>
    </row>
    <row r="4705" spans="6:6" outlineLevel="1">
      <c r="F4705"/>
    </row>
    <row r="4706" spans="6:6" outlineLevel="1">
      <c r="F4706"/>
    </row>
    <row r="4707" spans="6:6" outlineLevel="1">
      <c r="F4707"/>
    </row>
    <row r="4708" spans="6:6" outlineLevel="1">
      <c r="F4708"/>
    </row>
    <row r="4709" spans="6:6" outlineLevel="1">
      <c r="F4709"/>
    </row>
    <row r="4710" spans="6:6" outlineLevel="1">
      <c r="F4710"/>
    </row>
    <row r="4711" spans="6:6" outlineLevel="1">
      <c r="F4711"/>
    </row>
    <row r="4712" spans="6:6" outlineLevel="1">
      <c r="F4712"/>
    </row>
    <row r="4713" spans="6:6" outlineLevel="1">
      <c r="F4713"/>
    </row>
    <row r="4714" spans="6:6" outlineLevel="1">
      <c r="F4714"/>
    </row>
    <row r="4715" spans="6:6" outlineLevel="1">
      <c r="F4715"/>
    </row>
    <row r="4716" spans="6:6" outlineLevel="1">
      <c r="F4716"/>
    </row>
    <row r="4717" spans="6:6" outlineLevel="1">
      <c r="F4717"/>
    </row>
    <row r="4718" spans="6:6" outlineLevel="1">
      <c r="F4718"/>
    </row>
    <row r="4719" spans="6:6" outlineLevel="1">
      <c r="F4719"/>
    </row>
    <row r="4720" spans="6:6" outlineLevel="1">
      <c r="F4720"/>
    </row>
    <row r="4721" spans="6:6" outlineLevel="1">
      <c r="F4721"/>
    </row>
    <row r="4722" spans="6:6" outlineLevel="1">
      <c r="F4722"/>
    </row>
    <row r="4723" spans="6:6" outlineLevel="1">
      <c r="F4723"/>
    </row>
    <row r="4724" spans="6:6" outlineLevel="1">
      <c r="F4724"/>
    </row>
    <row r="4725" spans="6:6" outlineLevel="1">
      <c r="F4725"/>
    </row>
    <row r="4726" spans="6:6" outlineLevel="1">
      <c r="F4726"/>
    </row>
    <row r="4727" spans="6:6" outlineLevel="1">
      <c r="F4727"/>
    </row>
    <row r="4728" spans="6:6" outlineLevel="1">
      <c r="F4728"/>
    </row>
    <row r="4729" spans="6:6" outlineLevel="1">
      <c r="F4729"/>
    </row>
    <row r="4730" spans="6:6" outlineLevel="1">
      <c r="F4730"/>
    </row>
    <row r="4731" spans="6:6" outlineLevel="1">
      <c r="F4731"/>
    </row>
    <row r="4732" spans="6:6" outlineLevel="1">
      <c r="F4732"/>
    </row>
    <row r="4733" spans="6:6" outlineLevel="1">
      <c r="F4733"/>
    </row>
    <row r="4734" spans="6:6" outlineLevel="1">
      <c r="F4734"/>
    </row>
    <row r="4735" spans="6:6" outlineLevel="1">
      <c r="F4735"/>
    </row>
    <row r="4736" spans="6:6" outlineLevel="1">
      <c r="F4736"/>
    </row>
    <row r="4737" spans="6:6" outlineLevel="1">
      <c r="F4737"/>
    </row>
    <row r="4738" spans="6:6" outlineLevel="1">
      <c r="F4738"/>
    </row>
    <row r="4739" spans="6:6" outlineLevel="1">
      <c r="F4739"/>
    </row>
    <row r="4740" spans="6:6" outlineLevel="1">
      <c r="F4740"/>
    </row>
    <row r="4741" spans="6:6" outlineLevel="1">
      <c r="F4741"/>
    </row>
    <row r="4742" spans="6:6" outlineLevel="1">
      <c r="F4742"/>
    </row>
    <row r="4743" spans="6:6" outlineLevel="1">
      <c r="F4743"/>
    </row>
    <row r="4744" spans="6:6" outlineLevel="1">
      <c r="F4744"/>
    </row>
    <row r="4745" spans="6:6" outlineLevel="1">
      <c r="F4745"/>
    </row>
    <row r="4746" spans="6:6" outlineLevel="1">
      <c r="F4746"/>
    </row>
    <row r="4747" spans="6:6" outlineLevel="1">
      <c r="F4747"/>
    </row>
    <row r="4748" spans="6:6" outlineLevel="1">
      <c r="F4748"/>
    </row>
    <row r="4749" spans="6:6" outlineLevel="1">
      <c r="F4749"/>
    </row>
    <row r="4750" spans="6:6" outlineLevel="1">
      <c r="F4750"/>
    </row>
    <row r="4751" spans="6:6" outlineLevel="1">
      <c r="F4751"/>
    </row>
    <row r="4752" spans="6:6" outlineLevel="1">
      <c r="F4752"/>
    </row>
    <row r="4753" spans="6:6" outlineLevel="1">
      <c r="F4753"/>
    </row>
    <row r="4754" spans="6:6" outlineLevel="1">
      <c r="F4754"/>
    </row>
    <row r="4755" spans="6:6" outlineLevel="1">
      <c r="F4755"/>
    </row>
    <row r="4756" spans="6:6" outlineLevel="1">
      <c r="F4756"/>
    </row>
    <row r="4757" spans="6:6" outlineLevel="1">
      <c r="F4757"/>
    </row>
    <row r="4758" spans="6:6" outlineLevel="1">
      <c r="F4758"/>
    </row>
    <row r="4759" spans="6:6" outlineLevel="1">
      <c r="F4759"/>
    </row>
    <row r="4760" spans="6:6" outlineLevel="1">
      <c r="F4760"/>
    </row>
    <row r="4761" spans="6:6" outlineLevel="1">
      <c r="F4761"/>
    </row>
    <row r="4762" spans="6:6" outlineLevel="1">
      <c r="F4762"/>
    </row>
    <row r="4763" spans="6:6" outlineLevel="1">
      <c r="F4763"/>
    </row>
    <row r="4764" spans="6:6" outlineLevel="1">
      <c r="F4764"/>
    </row>
    <row r="4765" spans="6:6" outlineLevel="1">
      <c r="F4765"/>
    </row>
    <row r="4766" spans="6:6" outlineLevel="1">
      <c r="F4766"/>
    </row>
    <row r="4767" spans="6:6" outlineLevel="1">
      <c r="F4767"/>
    </row>
    <row r="4768" spans="6:6" outlineLevel="1">
      <c r="F4768"/>
    </row>
    <row r="4769" spans="6:6" outlineLevel="1">
      <c r="F4769"/>
    </row>
    <row r="4770" spans="6:6" outlineLevel="1">
      <c r="F4770"/>
    </row>
    <row r="4771" spans="6:6" outlineLevel="1">
      <c r="F4771"/>
    </row>
    <row r="4772" spans="6:6" outlineLevel="1">
      <c r="F4772"/>
    </row>
    <row r="4773" spans="6:6" outlineLevel="1">
      <c r="F4773"/>
    </row>
    <row r="4774" spans="6:6" outlineLevel="1">
      <c r="F4774"/>
    </row>
    <row r="4775" spans="6:6" outlineLevel="1">
      <c r="F4775"/>
    </row>
    <row r="4776" spans="6:6" outlineLevel="1">
      <c r="F4776"/>
    </row>
    <row r="4777" spans="6:6" outlineLevel="1">
      <c r="F4777"/>
    </row>
    <row r="4778" spans="6:6" outlineLevel="1">
      <c r="F4778"/>
    </row>
    <row r="4779" spans="6:6" outlineLevel="1">
      <c r="F4779"/>
    </row>
    <row r="4780" spans="6:6" outlineLevel="1">
      <c r="F4780"/>
    </row>
    <row r="4781" spans="6:6" outlineLevel="1">
      <c r="F4781"/>
    </row>
    <row r="4782" spans="6:6" outlineLevel="1">
      <c r="F4782"/>
    </row>
    <row r="4783" spans="6:6" outlineLevel="1">
      <c r="F4783"/>
    </row>
    <row r="4784" spans="6:6" outlineLevel="1">
      <c r="F4784"/>
    </row>
    <row r="4785" spans="6:6" outlineLevel="1">
      <c r="F4785"/>
    </row>
    <row r="4786" spans="6:6" outlineLevel="1">
      <c r="F4786"/>
    </row>
    <row r="4787" spans="6:6" outlineLevel="1">
      <c r="F4787"/>
    </row>
    <row r="4788" spans="6:6" outlineLevel="1">
      <c r="F4788"/>
    </row>
    <row r="4789" spans="6:6" outlineLevel="1">
      <c r="F4789"/>
    </row>
    <row r="4790" spans="6:6" outlineLevel="1">
      <c r="F4790"/>
    </row>
    <row r="4791" spans="6:6" outlineLevel="1">
      <c r="F4791"/>
    </row>
    <row r="4792" spans="6:6" outlineLevel="1">
      <c r="F4792"/>
    </row>
    <row r="4793" spans="6:6" outlineLevel="1">
      <c r="F4793"/>
    </row>
    <row r="4794" spans="6:6" outlineLevel="1">
      <c r="F4794"/>
    </row>
    <row r="4795" spans="6:6" outlineLevel="1">
      <c r="F4795"/>
    </row>
    <row r="4796" spans="6:6" outlineLevel="1">
      <c r="F4796"/>
    </row>
    <row r="4797" spans="6:6" outlineLevel="1">
      <c r="F4797"/>
    </row>
    <row r="4798" spans="6:6">
      <c r="F4798"/>
    </row>
    <row r="4799" spans="6:6" outlineLevel="1">
      <c r="F4799"/>
    </row>
    <row r="4800" spans="6:6" outlineLevel="1">
      <c r="F4800"/>
    </row>
    <row r="4801" spans="6:6" outlineLevel="1">
      <c r="F4801"/>
    </row>
    <row r="4802" spans="6:6" outlineLevel="1">
      <c r="F4802"/>
    </row>
    <row r="4803" spans="6:6" outlineLevel="1">
      <c r="F4803"/>
    </row>
    <row r="4804" spans="6:6" outlineLevel="1">
      <c r="F4804"/>
    </row>
    <row r="4805" spans="6:6" outlineLevel="1">
      <c r="F4805"/>
    </row>
    <row r="4806" spans="6:6" outlineLevel="1">
      <c r="F4806"/>
    </row>
    <row r="4807" spans="6:6" outlineLevel="1">
      <c r="F4807"/>
    </row>
    <row r="4808" spans="6:6" outlineLevel="1">
      <c r="F4808"/>
    </row>
    <row r="4809" spans="6:6" outlineLevel="1">
      <c r="F4809"/>
    </row>
    <row r="4810" spans="6:6" outlineLevel="1">
      <c r="F4810"/>
    </row>
    <row r="4811" spans="6:6" outlineLevel="1">
      <c r="F4811"/>
    </row>
    <row r="4812" spans="6:6" outlineLevel="1">
      <c r="F4812"/>
    </row>
    <row r="4813" spans="6:6" outlineLevel="1">
      <c r="F4813"/>
    </row>
    <row r="4814" spans="6:6" outlineLevel="1">
      <c r="F4814"/>
    </row>
    <row r="4815" spans="6:6" outlineLevel="1">
      <c r="F4815"/>
    </row>
    <row r="4816" spans="6:6" outlineLevel="1">
      <c r="F4816"/>
    </row>
    <row r="4817" spans="6:6" outlineLevel="1">
      <c r="F4817"/>
    </row>
    <row r="4818" spans="6:6" outlineLevel="1">
      <c r="F4818"/>
    </row>
    <row r="4819" spans="6:6" outlineLevel="1">
      <c r="F4819"/>
    </row>
    <row r="4820" spans="6:6" outlineLevel="1">
      <c r="F4820"/>
    </row>
    <row r="4821" spans="6:6" outlineLevel="1">
      <c r="F4821"/>
    </row>
    <row r="4822" spans="6:6" outlineLevel="1">
      <c r="F4822"/>
    </row>
    <row r="4823" spans="6:6" outlineLevel="1">
      <c r="F4823"/>
    </row>
    <row r="4824" spans="6:6" outlineLevel="1">
      <c r="F4824"/>
    </row>
    <row r="4825" spans="6:6" outlineLevel="1">
      <c r="F4825"/>
    </row>
    <row r="4826" spans="6:6" outlineLevel="1">
      <c r="F4826"/>
    </row>
    <row r="4827" spans="6:6" outlineLevel="1">
      <c r="F4827"/>
    </row>
    <row r="4828" spans="6:6" outlineLevel="1">
      <c r="F4828"/>
    </row>
    <row r="4829" spans="6:6" outlineLevel="1">
      <c r="F4829"/>
    </row>
    <row r="4830" spans="6:6" outlineLevel="1">
      <c r="F4830"/>
    </row>
    <row r="4831" spans="6:6" outlineLevel="1">
      <c r="F4831"/>
    </row>
    <row r="4832" spans="6:6" outlineLevel="1">
      <c r="F4832"/>
    </row>
    <row r="4833" spans="6:6" outlineLevel="1">
      <c r="F4833"/>
    </row>
    <row r="4834" spans="6:6" outlineLevel="1">
      <c r="F4834"/>
    </row>
    <row r="4835" spans="6:6" outlineLevel="1">
      <c r="F4835"/>
    </row>
    <row r="4836" spans="6:6" outlineLevel="1">
      <c r="F4836"/>
    </row>
    <row r="4837" spans="6:6" outlineLevel="1">
      <c r="F4837"/>
    </row>
    <row r="4838" spans="6:6" outlineLevel="1">
      <c r="F4838"/>
    </row>
    <row r="4839" spans="6:6" outlineLevel="1">
      <c r="F4839"/>
    </row>
    <row r="4840" spans="6:6" outlineLevel="1">
      <c r="F4840"/>
    </row>
    <row r="4841" spans="6:6" outlineLevel="1">
      <c r="F4841"/>
    </row>
    <row r="4842" spans="6:6" outlineLevel="1">
      <c r="F4842"/>
    </row>
    <row r="4843" spans="6:6" outlineLevel="1">
      <c r="F4843"/>
    </row>
    <row r="4844" spans="6:6" outlineLevel="1">
      <c r="F4844"/>
    </row>
    <row r="4845" spans="6:6" outlineLevel="1">
      <c r="F4845"/>
    </row>
    <row r="4846" spans="6:6" outlineLevel="1">
      <c r="F4846"/>
    </row>
    <row r="4847" spans="6:6" outlineLevel="1">
      <c r="F4847"/>
    </row>
    <row r="4848" spans="6:6" outlineLevel="1">
      <c r="F4848"/>
    </row>
    <row r="4849" spans="6:6" outlineLevel="1">
      <c r="F4849"/>
    </row>
    <row r="4850" spans="6:6" outlineLevel="1">
      <c r="F4850"/>
    </row>
    <row r="4851" spans="6:6" outlineLevel="1">
      <c r="F4851"/>
    </row>
    <row r="4852" spans="6:6" outlineLevel="1">
      <c r="F4852"/>
    </row>
    <row r="4853" spans="6:6" outlineLevel="1">
      <c r="F4853"/>
    </row>
    <row r="4854" spans="6:6" outlineLevel="1">
      <c r="F4854"/>
    </row>
    <row r="4855" spans="6:6" outlineLevel="1">
      <c r="F4855"/>
    </row>
    <row r="4856" spans="6:6" outlineLevel="1">
      <c r="F4856"/>
    </row>
    <row r="4857" spans="6:6" outlineLevel="1">
      <c r="F4857"/>
    </row>
    <row r="4858" spans="6:6" outlineLevel="1">
      <c r="F4858"/>
    </row>
    <row r="4859" spans="6:6" outlineLevel="1">
      <c r="F4859"/>
    </row>
    <row r="4860" spans="6:6" outlineLevel="1">
      <c r="F4860"/>
    </row>
    <row r="4861" spans="6:6" outlineLevel="1">
      <c r="F4861"/>
    </row>
    <row r="4862" spans="6:6" outlineLevel="1">
      <c r="F4862"/>
    </row>
    <row r="4863" spans="6:6" outlineLevel="1">
      <c r="F4863"/>
    </row>
    <row r="4864" spans="6:6" outlineLevel="1">
      <c r="F4864"/>
    </row>
    <row r="4865" spans="6:6" outlineLevel="1">
      <c r="F4865"/>
    </row>
    <row r="4866" spans="6:6" outlineLevel="1">
      <c r="F4866"/>
    </row>
    <row r="4867" spans="6:6" outlineLevel="1">
      <c r="F4867"/>
    </row>
    <row r="4868" spans="6:6" outlineLevel="1">
      <c r="F4868"/>
    </row>
    <row r="4869" spans="6:6" outlineLevel="1">
      <c r="F4869"/>
    </row>
    <row r="4870" spans="6:6" outlineLevel="1">
      <c r="F4870"/>
    </row>
    <row r="4871" spans="6:6" outlineLevel="1">
      <c r="F4871"/>
    </row>
    <row r="4872" spans="6:6" outlineLevel="1">
      <c r="F4872"/>
    </row>
    <row r="4873" spans="6:6" outlineLevel="1">
      <c r="F4873"/>
    </row>
    <row r="4874" spans="6:6" outlineLevel="1">
      <c r="F4874"/>
    </row>
    <row r="4875" spans="6:6" outlineLevel="1">
      <c r="F4875"/>
    </row>
    <row r="4876" spans="6:6" outlineLevel="1">
      <c r="F4876"/>
    </row>
    <row r="4877" spans="6:6" outlineLevel="1">
      <c r="F4877"/>
    </row>
    <row r="4878" spans="6:6" outlineLevel="1">
      <c r="F4878"/>
    </row>
    <row r="4879" spans="6:6" outlineLevel="1">
      <c r="F4879"/>
    </row>
    <row r="4880" spans="6:6" outlineLevel="1">
      <c r="F4880"/>
    </row>
    <row r="4881" spans="6:6" outlineLevel="1">
      <c r="F4881"/>
    </row>
    <row r="4882" spans="6:6" outlineLevel="1">
      <c r="F4882"/>
    </row>
    <row r="4883" spans="6:6" outlineLevel="1">
      <c r="F4883"/>
    </row>
    <row r="4884" spans="6:6" outlineLevel="1">
      <c r="F4884"/>
    </row>
    <row r="4885" spans="6:6" outlineLevel="1">
      <c r="F4885"/>
    </row>
    <row r="4886" spans="6:6" outlineLevel="1">
      <c r="F4886"/>
    </row>
    <row r="4887" spans="6:6" outlineLevel="1">
      <c r="F4887"/>
    </row>
    <row r="4888" spans="6:6" outlineLevel="1">
      <c r="F4888"/>
    </row>
    <row r="4889" spans="6:6" outlineLevel="1">
      <c r="F4889"/>
    </row>
    <row r="4890" spans="6:6" outlineLevel="1">
      <c r="F4890"/>
    </row>
    <row r="4891" spans="6:6" outlineLevel="1">
      <c r="F4891"/>
    </row>
    <row r="4892" spans="6:6" outlineLevel="1">
      <c r="F4892"/>
    </row>
    <row r="4893" spans="6:6" outlineLevel="1">
      <c r="F4893"/>
    </row>
    <row r="4894" spans="6:6" outlineLevel="1">
      <c r="F4894"/>
    </row>
    <row r="4895" spans="6:6" outlineLevel="1">
      <c r="F4895"/>
    </row>
    <row r="4896" spans="6:6" outlineLevel="1">
      <c r="F4896"/>
    </row>
    <row r="4897" spans="6:6" outlineLevel="1">
      <c r="F4897"/>
    </row>
    <row r="4898" spans="6:6" outlineLevel="1">
      <c r="F4898"/>
    </row>
    <row r="4899" spans="6:6" outlineLevel="1">
      <c r="F4899"/>
    </row>
    <row r="4900" spans="6:6" outlineLevel="1">
      <c r="F4900"/>
    </row>
    <row r="4901" spans="6:6" outlineLevel="1">
      <c r="F4901"/>
    </row>
    <row r="4902" spans="6:6" outlineLevel="1">
      <c r="F4902"/>
    </row>
    <row r="4903" spans="6:6" outlineLevel="1">
      <c r="F4903"/>
    </row>
    <row r="4904" spans="6:6" outlineLevel="1">
      <c r="F4904"/>
    </row>
    <row r="4905" spans="6:6" outlineLevel="1">
      <c r="F4905"/>
    </row>
    <row r="4906" spans="6:6" outlineLevel="1">
      <c r="F4906"/>
    </row>
    <row r="4907" spans="6:6" outlineLevel="1">
      <c r="F4907"/>
    </row>
    <row r="4908" spans="6:6" outlineLevel="1">
      <c r="F4908"/>
    </row>
    <row r="4909" spans="6:6" outlineLevel="1">
      <c r="F4909"/>
    </row>
    <row r="4910" spans="6:6" outlineLevel="1">
      <c r="F4910"/>
    </row>
    <row r="4911" spans="6:6" outlineLevel="1">
      <c r="F4911"/>
    </row>
    <row r="4912" spans="6:6">
      <c r="F4912"/>
    </row>
    <row r="4913" spans="6:6" outlineLevel="1">
      <c r="F4913"/>
    </row>
    <row r="4914" spans="6:6" outlineLevel="1">
      <c r="F4914"/>
    </row>
    <row r="4915" spans="6:6" outlineLevel="1">
      <c r="F4915"/>
    </row>
    <row r="4916" spans="6:6" outlineLevel="1">
      <c r="F4916"/>
    </row>
    <row r="4917" spans="6:6" outlineLevel="1">
      <c r="F4917"/>
    </row>
    <row r="4918" spans="6:6" outlineLevel="1">
      <c r="F4918"/>
    </row>
    <row r="4919" spans="6:6" outlineLevel="1">
      <c r="F4919"/>
    </row>
    <row r="4920" spans="6:6" outlineLevel="1">
      <c r="F4920"/>
    </row>
    <row r="4921" spans="6:6" outlineLevel="1">
      <c r="F4921"/>
    </row>
    <row r="4922" spans="6:6" outlineLevel="1">
      <c r="F4922"/>
    </row>
    <row r="4923" spans="6:6" outlineLevel="1">
      <c r="F4923"/>
    </row>
    <row r="4924" spans="6:6" outlineLevel="1">
      <c r="F4924"/>
    </row>
    <row r="4925" spans="6:6" outlineLevel="1">
      <c r="F4925"/>
    </row>
    <row r="4926" spans="6:6">
      <c r="F4926"/>
    </row>
    <row r="4927" spans="6:6" outlineLevel="1">
      <c r="F4927"/>
    </row>
    <row r="4928" spans="6:6" outlineLevel="1">
      <c r="F4928"/>
    </row>
    <row r="4929" spans="6:6" outlineLevel="1">
      <c r="F4929"/>
    </row>
    <row r="4930" spans="6:6" outlineLevel="1">
      <c r="F4930"/>
    </row>
    <row r="4931" spans="6:6" outlineLevel="1">
      <c r="F4931"/>
    </row>
    <row r="4932" spans="6:6" outlineLevel="1">
      <c r="F4932"/>
    </row>
    <row r="4933" spans="6:6" outlineLevel="1">
      <c r="F4933"/>
    </row>
    <row r="4934" spans="6:6" outlineLevel="1">
      <c r="F4934"/>
    </row>
    <row r="4935" spans="6:6" outlineLevel="1">
      <c r="F4935"/>
    </row>
    <row r="4936" spans="6:6" outlineLevel="1">
      <c r="F4936"/>
    </row>
    <row r="4937" spans="6:6" outlineLevel="1">
      <c r="F4937"/>
    </row>
    <row r="4938" spans="6:6" outlineLevel="1">
      <c r="F4938"/>
    </row>
    <row r="4939" spans="6:6" outlineLevel="1">
      <c r="F4939"/>
    </row>
    <row r="4940" spans="6:6" outlineLevel="1">
      <c r="F4940"/>
    </row>
    <row r="4941" spans="6:6" outlineLevel="1">
      <c r="F4941"/>
    </row>
    <row r="4942" spans="6:6" outlineLevel="1">
      <c r="F4942"/>
    </row>
    <row r="4943" spans="6:6" outlineLevel="1">
      <c r="F4943"/>
    </row>
    <row r="4944" spans="6:6" outlineLevel="1">
      <c r="F4944"/>
    </row>
    <row r="4945" spans="6:6">
      <c r="F4945"/>
    </row>
    <row r="4946" spans="6:6" outlineLevel="1">
      <c r="F4946"/>
    </row>
    <row r="4947" spans="6:6" outlineLevel="1">
      <c r="F4947"/>
    </row>
    <row r="4948" spans="6:6" outlineLevel="1">
      <c r="F4948"/>
    </row>
    <row r="4949" spans="6:6" outlineLevel="1">
      <c r="F4949"/>
    </row>
    <row r="4950" spans="6:6" outlineLevel="1">
      <c r="F4950"/>
    </row>
    <row r="4951" spans="6:6" outlineLevel="1">
      <c r="F4951"/>
    </row>
    <row r="4952" spans="6:6" outlineLevel="1">
      <c r="F4952"/>
    </row>
    <row r="4953" spans="6:6" outlineLevel="1">
      <c r="F4953"/>
    </row>
    <row r="4954" spans="6:6" outlineLevel="1">
      <c r="F4954"/>
    </row>
    <row r="4955" spans="6:6" outlineLevel="1">
      <c r="F4955"/>
    </row>
    <row r="4956" spans="6:6" outlineLevel="1">
      <c r="F4956"/>
    </row>
    <row r="4957" spans="6:6" outlineLevel="1">
      <c r="F4957"/>
    </row>
    <row r="4958" spans="6:6" outlineLevel="1">
      <c r="F4958"/>
    </row>
    <row r="4959" spans="6:6" outlineLevel="1">
      <c r="F4959"/>
    </row>
    <row r="4960" spans="6:6" outlineLevel="1">
      <c r="F4960"/>
    </row>
    <row r="4961" spans="6:6" outlineLevel="1">
      <c r="F4961"/>
    </row>
    <row r="4962" spans="6:6" outlineLevel="1">
      <c r="F4962"/>
    </row>
    <row r="4963" spans="6:6" outlineLevel="1">
      <c r="F4963"/>
    </row>
    <row r="4964" spans="6:6" outlineLevel="1">
      <c r="F4964"/>
    </row>
    <row r="4965" spans="6:6" outlineLevel="1">
      <c r="F4965"/>
    </row>
    <row r="4966" spans="6:6" outlineLevel="1">
      <c r="F4966"/>
    </row>
    <row r="4967" spans="6:6" outlineLevel="1">
      <c r="F4967"/>
    </row>
    <row r="4968" spans="6:6" outlineLevel="1">
      <c r="F4968"/>
    </row>
    <row r="4969" spans="6:6" outlineLevel="1">
      <c r="F4969"/>
    </row>
    <row r="4970" spans="6:6" outlineLevel="1">
      <c r="F4970"/>
    </row>
    <row r="4971" spans="6:6" outlineLevel="1">
      <c r="F4971"/>
    </row>
    <row r="4972" spans="6:6" outlineLevel="1">
      <c r="F4972"/>
    </row>
    <row r="4973" spans="6:6" outlineLevel="1">
      <c r="F4973"/>
    </row>
    <row r="4974" spans="6:6" outlineLevel="1">
      <c r="F4974"/>
    </row>
    <row r="4975" spans="6:6" outlineLevel="1">
      <c r="F4975"/>
    </row>
    <row r="4976" spans="6:6" outlineLevel="1">
      <c r="F4976"/>
    </row>
    <row r="4977" spans="6:6" outlineLevel="1">
      <c r="F4977"/>
    </row>
    <row r="4978" spans="6:6" outlineLevel="1">
      <c r="F4978"/>
    </row>
    <row r="4979" spans="6:6" outlineLevel="1">
      <c r="F4979"/>
    </row>
    <row r="4980" spans="6:6" outlineLevel="1">
      <c r="F4980"/>
    </row>
    <row r="4981" spans="6:6" outlineLevel="1">
      <c r="F4981"/>
    </row>
    <row r="4982" spans="6:6" outlineLevel="1">
      <c r="F4982"/>
    </row>
    <row r="4983" spans="6:6" outlineLevel="1">
      <c r="F4983"/>
    </row>
    <row r="4984" spans="6:6" outlineLevel="1">
      <c r="F4984"/>
    </row>
    <row r="4985" spans="6:6" outlineLevel="1">
      <c r="F4985"/>
    </row>
    <row r="4986" spans="6:6" outlineLevel="1">
      <c r="F4986"/>
    </row>
    <row r="4987" spans="6:6" outlineLevel="1">
      <c r="F4987"/>
    </row>
    <row r="4988" spans="6:6" outlineLevel="1">
      <c r="F4988"/>
    </row>
    <row r="4989" spans="6:6" outlineLevel="1">
      <c r="F4989"/>
    </row>
    <row r="4990" spans="6:6" outlineLevel="1">
      <c r="F4990"/>
    </row>
    <row r="4991" spans="6:6" outlineLevel="1">
      <c r="F4991"/>
    </row>
    <row r="4992" spans="6:6" outlineLevel="1">
      <c r="F4992"/>
    </row>
    <row r="4993" spans="6:6" outlineLevel="1">
      <c r="F4993"/>
    </row>
    <row r="4994" spans="6:6" outlineLevel="1">
      <c r="F4994"/>
    </row>
    <row r="4995" spans="6:6" outlineLevel="1">
      <c r="F4995"/>
    </row>
    <row r="4996" spans="6:6" outlineLevel="1">
      <c r="F4996"/>
    </row>
    <row r="4997" spans="6:6" outlineLevel="1">
      <c r="F4997"/>
    </row>
    <row r="4998" spans="6:6" outlineLevel="1">
      <c r="F4998"/>
    </row>
    <row r="4999" spans="6:6" outlineLevel="1">
      <c r="F4999"/>
    </row>
    <row r="5000" spans="6:6" outlineLevel="1">
      <c r="F5000"/>
    </row>
    <row r="5001" spans="6:6" outlineLevel="1">
      <c r="F5001"/>
    </row>
    <row r="5002" spans="6:6" outlineLevel="1">
      <c r="F5002"/>
    </row>
    <row r="5003" spans="6:6" outlineLevel="1">
      <c r="F5003"/>
    </row>
    <row r="5004" spans="6:6" outlineLevel="1">
      <c r="F5004"/>
    </row>
    <row r="5005" spans="6:6" outlineLevel="1">
      <c r="F5005"/>
    </row>
    <row r="5006" spans="6:6" outlineLevel="1">
      <c r="F5006"/>
    </row>
    <row r="5007" spans="6:6" outlineLevel="1">
      <c r="F5007"/>
    </row>
    <row r="5008" spans="6:6" outlineLevel="1">
      <c r="F5008"/>
    </row>
    <row r="5009" spans="6:6" outlineLevel="1">
      <c r="F5009"/>
    </row>
    <row r="5010" spans="6:6" outlineLevel="1">
      <c r="F5010"/>
    </row>
    <row r="5011" spans="6:6" outlineLevel="1">
      <c r="F5011"/>
    </row>
    <row r="5012" spans="6:6" outlineLevel="1">
      <c r="F5012"/>
    </row>
    <row r="5013" spans="6:6" outlineLevel="1">
      <c r="F5013"/>
    </row>
    <row r="5014" spans="6:6" outlineLevel="1">
      <c r="F5014"/>
    </row>
    <row r="5015" spans="6:6" outlineLevel="1">
      <c r="F5015"/>
    </row>
    <row r="5016" spans="6:6" outlineLevel="1">
      <c r="F5016"/>
    </row>
    <row r="5017" spans="6:6" outlineLevel="1">
      <c r="F5017"/>
    </row>
    <row r="5018" spans="6:6" outlineLevel="1">
      <c r="F5018"/>
    </row>
    <row r="5019" spans="6:6" outlineLevel="1">
      <c r="F5019"/>
    </row>
    <row r="5020" spans="6:6" outlineLevel="1">
      <c r="F5020"/>
    </row>
    <row r="5021" spans="6:6" outlineLevel="1">
      <c r="F5021"/>
    </row>
    <row r="5022" spans="6:6" outlineLevel="1">
      <c r="F5022"/>
    </row>
    <row r="5023" spans="6:6" outlineLevel="1">
      <c r="F5023"/>
    </row>
    <row r="5024" spans="6:6" outlineLevel="1">
      <c r="F5024"/>
    </row>
    <row r="5025" spans="6:6" outlineLevel="1">
      <c r="F5025"/>
    </row>
    <row r="5026" spans="6:6" outlineLevel="1">
      <c r="F5026"/>
    </row>
    <row r="5027" spans="6:6" outlineLevel="1">
      <c r="F5027"/>
    </row>
    <row r="5028" spans="6:6" outlineLevel="1">
      <c r="F5028"/>
    </row>
    <row r="5029" spans="6:6" outlineLevel="1">
      <c r="F5029"/>
    </row>
    <row r="5030" spans="6:6" outlineLevel="1">
      <c r="F5030"/>
    </row>
    <row r="5031" spans="6:6" outlineLevel="1">
      <c r="F5031"/>
    </row>
    <row r="5032" spans="6:6" outlineLevel="1">
      <c r="F5032"/>
    </row>
    <row r="5033" spans="6:6" outlineLevel="1">
      <c r="F5033"/>
    </row>
    <row r="5034" spans="6:6" outlineLevel="1">
      <c r="F5034"/>
    </row>
    <row r="5035" spans="6:6" outlineLevel="1">
      <c r="F5035"/>
    </row>
    <row r="5036" spans="6:6" outlineLevel="1">
      <c r="F5036"/>
    </row>
    <row r="5037" spans="6:6" outlineLevel="1">
      <c r="F5037"/>
    </row>
    <row r="5038" spans="6:6" outlineLevel="1">
      <c r="F5038"/>
    </row>
    <row r="5039" spans="6:6" outlineLevel="1">
      <c r="F5039"/>
    </row>
    <row r="5040" spans="6:6" outlineLevel="1">
      <c r="F5040"/>
    </row>
    <row r="5041" spans="6:6" outlineLevel="1">
      <c r="F5041"/>
    </row>
    <row r="5042" spans="6:6" outlineLevel="1">
      <c r="F5042"/>
    </row>
    <row r="5043" spans="6:6" outlineLevel="1">
      <c r="F5043"/>
    </row>
    <row r="5044" spans="6:6" outlineLevel="1">
      <c r="F5044"/>
    </row>
    <row r="5045" spans="6:6" outlineLevel="1">
      <c r="F5045"/>
    </row>
    <row r="5046" spans="6:6" outlineLevel="1">
      <c r="F5046"/>
    </row>
    <row r="5047" spans="6:6" outlineLevel="1">
      <c r="F5047"/>
    </row>
    <row r="5048" spans="6:6" outlineLevel="1">
      <c r="F5048"/>
    </row>
    <row r="5049" spans="6:6" outlineLevel="1">
      <c r="F5049"/>
    </row>
    <row r="5050" spans="6:6" outlineLevel="1">
      <c r="F5050"/>
    </row>
    <row r="5051" spans="6:6" outlineLevel="1">
      <c r="F5051"/>
    </row>
    <row r="5052" spans="6:6" outlineLevel="1">
      <c r="F5052"/>
    </row>
    <row r="5053" spans="6:6" outlineLevel="1">
      <c r="F5053"/>
    </row>
    <row r="5054" spans="6:6" outlineLevel="1">
      <c r="F5054"/>
    </row>
    <row r="5055" spans="6:6" outlineLevel="1">
      <c r="F5055"/>
    </row>
    <row r="5056" spans="6:6" outlineLevel="1">
      <c r="F5056"/>
    </row>
    <row r="5057" spans="6:6" outlineLevel="1">
      <c r="F5057"/>
    </row>
    <row r="5058" spans="6:6" outlineLevel="1">
      <c r="F5058"/>
    </row>
    <row r="5059" spans="6:6" outlineLevel="1">
      <c r="F5059"/>
    </row>
    <row r="5060" spans="6:6" outlineLevel="1">
      <c r="F5060"/>
    </row>
    <row r="5061" spans="6:6" outlineLevel="1">
      <c r="F5061"/>
    </row>
    <row r="5062" spans="6:6" outlineLevel="1">
      <c r="F5062"/>
    </row>
    <row r="5063" spans="6:6" outlineLevel="1">
      <c r="F5063"/>
    </row>
    <row r="5064" spans="6:6" outlineLevel="1">
      <c r="F5064"/>
    </row>
    <row r="5065" spans="6:6" outlineLevel="1">
      <c r="F5065"/>
    </row>
    <row r="5066" spans="6:6" outlineLevel="1">
      <c r="F5066"/>
    </row>
    <row r="5067" spans="6:6" outlineLevel="1">
      <c r="F5067"/>
    </row>
    <row r="5068" spans="6:6" outlineLevel="1">
      <c r="F5068"/>
    </row>
    <row r="5069" spans="6:6" outlineLevel="1">
      <c r="F5069"/>
    </row>
    <row r="5070" spans="6:6" outlineLevel="1">
      <c r="F5070"/>
    </row>
    <row r="5071" spans="6:6" outlineLevel="1">
      <c r="F5071"/>
    </row>
    <row r="5072" spans="6:6" outlineLevel="1">
      <c r="F5072"/>
    </row>
    <row r="5073" spans="6:6" outlineLevel="1">
      <c r="F5073"/>
    </row>
    <row r="5074" spans="6:6" outlineLevel="1">
      <c r="F5074"/>
    </row>
    <row r="5075" spans="6:6" outlineLevel="1">
      <c r="F5075"/>
    </row>
    <row r="5076" spans="6:6" outlineLevel="1">
      <c r="F5076"/>
    </row>
    <row r="5077" spans="6:6" outlineLevel="1">
      <c r="F5077"/>
    </row>
    <row r="5078" spans="6:6" outlineLevel="1">
      <c r="F5078"/>
    </row>
    <row r="5079" spans="6:6" outlineLevel="1">
      <c r="F5079"/>
    </row>
    <row r="5080" spans="6:6" outlineLevel="1">
      <c r="F5080"/>
    </row>
    <row r="5081" spans="6:6" outlineLevel="1">
      <c r="F5081"/>
    </row>
    <row r="5082" spans="6:6" outlineLevel="1">
      <c r="F5082"/>
    </row>
    <row r="5083" spans="6:6" outlineLevel="1">
      <c r="F5083"/>
    </row>
    <row r="5084" spans="6:6" outlineLevel="1">
      <c r="F5084"/>
    </row>
    <row r="5085" spans="6:6" outlineLevel="1">
      <c r="F5085"/>
    </row>
    <row r="5086" spans="6:6" outlineLevel="1">
      <c r="F5086"/>
    </row>
    <row r="5087" spans="6:6" outlineLevel="1">
      <c r="F5087"/>
    </row>
    <row r="5088" spans="6:6" outlineLevel="1">
      <c r="F5088"/>
    </row>
    <row r="5089" spans="6:6" outlineLevel="1">
      <c r="F5089"/>
    </row>
    <row r="5090" spans="6:6" outlineLevel="1">
      <c r="F5090"/>
    </row>
    <row r="5091" spans="6:6" outlineLevel="1">
      <c r="F5091"/>
    </row>
    <row r="5092" spans="6:6" outlineLevel="1">
      <c r="F5092"/>
    </row>
    <row r="5093" spans="6:6" outlineLevel="1">
      <c r="F5093"/>
    </row>
    <row r="5094" spans="6:6" outlineLevel="1">
      <c r="F5094"/>
    </row>
    <row r="5095" spans="6:6" outlineLevel="1">
      <c r="F5095"/>
    </row>
    <row r="5096" spans="6:6" outlineLevel="1">
      <c r="F5096"/>
    </row>
    <row r="5097" spans="6:6" outlineLevel="1">
      <c r="F5097"/>
    </row>
    <row r="5098" spans="6:6" outlineLevel="1">
      <c r="F5098"/>
    </row>
    <row r="5099" spans="6:6" outlineLevel="1">
      <c r="F5099"/>
    </row>
    <row r="5100" spans="6:6" outlineLevel="1">
      <c r="F5100"/>
    </row>
    <row r="5101" spans="6:6" outlineLevel="1">
      <c r="F5101"/>
    </row>
    <row r="5102" spans="6:6" outlineLevel="1">
      <c r="F5102"/>
    </row>
    <row r="5103" spans="6:6" outlineLevel="1">
      <c r="F5103"/>
    </row>
    <row r="5104" spans="6:6" outlineLevel="1">
      <c r="F5104"/>
    </row>
    <row r="5105" spans="6:6" outlineLevel="1">
      <c r="F5105"/>
    </row>
    <row r="5106" spans="6:6" outlineLevel="1">
      <c r="F5106"/>
    </row>
    <row r="5107" spans="6:6" outlineLevel="1">
      <c r="F5107"/>
    </row>
    <row r="5108" spans="6:6" outlineLevel="1">
      <c r="F5108"/>
    </row>
    <row r="5109" spans="6:6" outlineLevel="1">
      <c r="F5109"/>
    </row>
    <row r="5110" spans="6:6" outlineLevel="1">
      <c r="F5110"/>
    </row>
    <row r="5111" spans="6:6" outlineLevel="1">
      <c r="F5111"/>
    </row>
    <row r="5112" spans="6:6" outlineLevel="1">
      <c r="F5112"/>
    </row>
    <row r="5113" spans="6:6" outlineLevel="1">
      <c r="F5113"/>
    </row>
    <row r="5114" spans="6:6" outlineLevel="1">
      <c r="F5114"/>
    </row>
    <row r="5115" spans="6:6" outlineLevel="1">
      <c r="F5115"/>
    </row>
    <row r="5116" spans="6:6" outlineLevel="1">
      <c r="F5116"/>
    </row>
    <row r="5117" spans="6:6" outlineLevel="1">
      <c r="F5117"/>
    </row>
    <row r="5118" spans="6:6" outlineLevel="1">
      <c r="F5118"/>
    </row>
    <row r="5119" spans="6:6" outlineLevel="1">
      <c r="F5119"/>
    </row>
    <row r="5120" spans="6:6" outlineLevel="1">
      <c r="F5120"/>
    </row>
    <row r="5121" spans="6:6" outlineLevel="1">
      <c r="F5121"/>
    </row>
    <row r="5122" spans="6:6" outlineLevel="1">
      <c r="F5122"/>
    </row>
    <row r="5123" spans="6:6" outlineLevel="1">
      <c r="F5123"/>
    </row>
    <row r="5124" spans="6:6" outlineLevel="1">
      <c r="F5124"/>
    </row>
    <row r="5125" spans="6:6" outlineLevel="1">
      <c r="F5125"/>
    </row>
    <row r="5126" spans="6:6" outlineLevel="1">
      <c r="F5126"/>
    </row>
    <row r="5127" spans="6:6" outlineLevel="1">
      <c r="F5127"/>
    </row>
    <row r="5128" spans="6:6" outlineLevel="1">
      <c r="F5128"/>
    </row>
    <row r="5129" spans="6:6" outlineLevel="1">
      <c r="F5129"/>
    </row>
    <row r="5130" spans="6:6" outlineLevel="1">
      <c r="F5130"/>
    </row>
    <row r="5131" spans="6:6" outlineLevel="1">
      <c r="F5131"/>
    </row>
    <row r="5132" spans="6:6" outlineLevel="1">
      <c r="F5132"/>
    </row>
    <row r="5133" spans="6:6" outlineLevel="1">
      <c r="F5133"/>
    </row>
    <row r="5134" spans="6:6" outlineLevel="1">
      <c r="F5134"/>
    </row>
    <row r="5135" spans="6:6" outlineLevel="1">
      <c r="F5135"/>
    </row>
    <row r="5136" spans="6:6" outlineLevel="1">
      <c r="F5136"/>
    </row>
    <row r="5137" spans="6:6" outlineLevel="1">
      <c r="F5137"/>
    </row>
    <row r="5138" spans="6:6" outlineLevel="1">
      <c r="F5138"/>
    </row>
    <row r="5139" spans="6:6" outlineLevel="1">
      <c r="F5139"/>
    </row>
    <row r="5140" spans="6:6" outlineLevel="1">
      <c r="F5140"/>
    </row>
    <row r="5141" spans="6:6" outlineLevel="1">
      <c r="F5141"/>
    </row>
    <row r="5142" spans="6:6" outlineLevel="1">
      <c r="F5142"/>
    </row>
    <row r="5143" spans="6:6" outlineLevel="1">
      <c r="F5143"/>
    </row>
    <row r="5144" spans="6:6" outlineLevel="1">
      <c r="F5144"/>
    </row>
    <row r="5145" spans="6:6" outlineLevel="1">
      <c r="F5145"/>
    </row>
    <row r="5146" spans="6:6" outlineLevel="1">
      <c r="F5146"/>
    </row>
    <row r="5147" spans="6:6" outlineLevel="1">
      <c r="F5147"/>
    </row>
    <row r="5148" spans="6:6" outlineLevel="1">
      <c r="F5148"/>
    </row>
    <row r="5149" spans="6:6" outlineLevel="1">
      <c r="F5149"/>
    </row>
    <row r="5150" spans="6:6" outlineLevel="1">
      <c r="F5150"/>
    </row>
    <row r="5151" spans="6:6" outlineLevel="1">
      <c r="F5151"/>
    </row>
    <row r="5152" spans="6:6" outlineLevel="1">
      <c r="F5152"/>
    </row>
    <row r="5153" spans="6:6" outlineLevel="1">
      <c r="F5153"/>
    </row>
    <row r="5154" spans="6:6" outlineLevel="1">
      <c r="F5154"/>
    </row>
    <row r="5155" spans="6:6" outlineLevel="1">
      <c r="F5155"/>
    </row>
    <row r="5156" spans="6:6" outlineLevel="1">
      <c r="F5156"/>
    </row>
    <row r="5157" spans="6:6" outlineLevel="1">
      <c r="F5157"/>
    </row>
    <row r="5158" spans="6:6" outlineLevel="1">
      <c r="F5158"/>
    </row>
    <row r="5159" spans="6:6" outlineLevel="1">
      <c r="F5159"/>
    </row>
    <row r="5160" spans="6:6" outlineLevel="1">
      <c r="F5160"/>
    </row>
    <row r="5161" spans="6:6" outlineLevel="1">
      <c r="F5161"/>
    </row>
    <row r="5162" spans="6:6" outlineLevel="1">
      <c r="F5162"/>
    </row>
    <row r="5163" spans="6:6" outlineLevel="1">
      <c r="F5163"/>
    </row>
    <row r="5164" spans="6:6" outlineLevel="1">
      <c r="F5164"/>
    </row>
    <row r="5165" spans="6:6" outlineLevel="1">
      <c r="F5165"/>
    </row>
    <row r="5166" spans="6:6" outlineLevel="1">
      <c r="F5166"/>
    </row>
    <row r="5167" spans="6:6" outlineLevel="1">
      <c r="F5167"/>
    </row>
    <row r="5168" spans="6:6" outlineLevel="1">
      <c r="F5168"/>
    </row>
    <row r="5169" spans="6:6" outlineLevel="1">
      <c r="F5169"/>
    </row>
    <row r="5170" spans="6:6" outlineLevel="1">
      <c r="F5170"/>
    </row>
    <row r="5171" spans="6:6" outlineLevel="1">
      <c r="F5171"/>
    </row>
    <row r="5172" spans="6:6" outlineLevel="1">
      <c r="F5172"/>
    </row>
    <row r="5173" spans="6:6" outlineLevel="1">
      <c r="F5173"/>
    </row>
    <row r="5174" spans="6:6" outlineLevel="1">
      <c r="F5174"/>
    </row>
    <row r="5175" spans="6:6" outlineLevel="1">
      <c r="F5175"/>
    </row>
    <row r="5176" spans="6:6" outlineLevel="1">
      <c r="F5176"/>
    </row>
    <row r="5177" spans="6:6" outlineLevel="1">
      <c r="F5177"/>
    </row>
    <row r="5178" spans="6:6" outlineLevel="1">
      <c r="F5178"/>
    </row>
    <row r="5179" spans="6:6" outlineLevel="1">
      <c r="F5179"/>
    </row>
    <row r="5180" spans="6:6" outlineLevel="1">
      <c r="F5180"/>
    </row>
    <row r="5181" spans="6:6">
      <c r="F5181"/>
    </row>
    <row r="5182" spans="6:6" outlineLevel="1">
      <c r="F5182"/>
    </row>
    <row r="5183" spans="6:6" outlineLevel="1">
      <c r="F5183"/>
    </row>
    <row r="5184" spans="6:6" outlineLevel="1">
      <c r="F5184"/>
    </row>
    <row r="5185" spans="6:6">
      <c r="F5185"/>
    </row>
    <row r="5186" spans="6:6" outlineLevel="1">
      <c r="F5186"/>
    </row>
    <row r="5187" spans="6:6" outlineLevel="1">
      <c r="F5187"/>
    </row>
    <row r="5188" spans="6:6" outlineLevel="1">
      <c r="F5188"/>
    </row>
    <row r="5189" spans="6:6" outlineLevel="1">
      <c r="F5189"/>
    </row>
    <row r="5190" spans="6:6" outlineLevel="1">
      <c r="F5190"/>
    </row>
    <row r="5191" spans="6:6" outlineLevel="1">
      <c r="F5191"/>
    </row>
    <row r="5192" spans="6:6" outlineLevel="1">
      <c r="F5192"/>
    </row>
    <row r="5193" spans="6:6" outlineLevel="1">
      <c r="F5193"/>
    </row>
    <row r="5194" spans="6:6" outlineLevel="1">
      <c r="F5194"/>
    </row>
    <row r="5195" spans="6:6" outlineLevel="1">
      <c r="F5195"/>
    </row>
    <row r="5196" spans="6:6" outlineLevel="1">
      <c r="F5196"/>
    </row>
    <row r="5197" spans="6:6" outlineLevel="1">
      <c r="F5197"/>
    </row>
    <row r="5198" spans="6:6" outlineLevel="1">
      <c r="F5198"/>
    </row>
    <row r="5199" spans="6:6" outlineLevel="1">
      <c r="F5199"/>
    </row>
    <row r="5200" spans="6:6" outlineLevel="1">
      <c r="F5200"/>
    </row>
    <row r="5201" spans="6:6" outlineLevel="1">
      <c r="F5201"/>
    </row>
    <row r="5202" spans="6:6" outlineLevel="1">
      <c r="F5202"/>
    </row>
    <row r="5203" spans="6:6" outlineLevel="1">
      <c r="F5203"/>
    </row>
    <row r="5204" spans="6:6" outlineLevel="1">
      <c r="F5204"/>
    </row>
    <row r="5205" spans="6:6" outlineLevel="1">
      <c r="F5205"/>
    </row>
    <row r="5206" spans="6:6" outlineLevel="1">
      <c r="F5206"/>
    </row>
    <row r="5207" spans="6:6" outlineLevel="1">
      <c r="F5207"/>
    </row>
    <row r="5208" spans="6:6" outlineLevel="1">
      <c r="F5208"/>
    </row>
    <row r="5209" spans="6:6" outlineLevel="1">
      <c r="F5209"/>
    </row>
    <row r="5210" spans="6:6" outlineLevel="1">
      <c r="F5210"/>
    </row>
    <row r="5211" spans="6:6" outlineLevel="1">
      <c r="F5211"/>
    </row>
    <row r="5212" spans="6:6" outlineLevel="1">
      <c r="F5212"/>
    </row>
    <row r="5213" spans="6:6" outlineLevel="1">
      <c r="F5213"/>
    </row>
    <row r="5214" spans="6:6" outlineLevel="1">
      <c r="F5214"/>
    </row>
    <row r="5215" spans="6:6" outlineLevel="1">
      <c r="F5215"/>
    </row>
    <row r="5216" spans="6:6" outlineLevel="1">
      <c r="F5216"/>
    </row>
    <row r="5217" spans="6:6" outlineLevel="1">
      <c r="F5217"/>
    </row>
    <row r="5218" spans="6:6" outlineLevel="1">
      <c r="F5218"/>
    </row>
    <row r="5219" spans="6:6" outlineLevel="1">
      <c r="F5219"/>
    </row>
    <row r="5220" spans="6:6" outlineLevel="1">
      <c r="F5220"/>
    </row>
    <row r="5221" spans="6:6" outlineLevel="1">
      <c r="F5221"/>
    </row>
    <row r="5222" spans="6:6" outlineLevel="1">
      <c r="F5222"/>
    </row>
    <row r="5223" spans="6:6" outlineLevel="1">
      <c r="F5223"/>
    </row>
    <row r="5224" spans="6:6" outlineLevel="1">
      <c r="F5224"/>
    </row>
    <row r="5225" spans="6:6" outlineLevel="1">
      <c r="F5225"/>
    </row>
    <row r="5226" spans="6:6" outlineLevel="1">
      <c r="F5226"/>
    </row>
    <row r="5227" spans="6:6" outlineLevel="1">
      <c r="F5227"/>
    </row>
    <row r="5228" spans="6:6" outlineLevel="1">
      <c r="F5228"/>
    </row>
    <row r="5229" spans="6:6" outlineLevel="1">
      <c r="F5229"/>
    </row>
    <row r="5230" spans="6:6">
      <c r="F5230"/>
    </row>
    <row r="5231" spans="6:6" outlineLevel="1">
      <c r="F5231"/>
    </row>
    <row r="5232" spans="6:6" outlineLevel="1">
      <c r="F5232"/>
    </row>
    <row r="5233" spans="6:6" outlineLevel="1">
      <c r="F5233"/>
    </row>
    <row r="5234" spans="6:6" outlineLevel="1">
      <c r="F5234"/>
    </row>
    <row r="5235" spans="6:6" outlineLevel="1">
      <c r="F5235"/>
    </row>
    <row r="5236" spans="6:6" outlineLevel="1">
      <c r="F5236"/>
    </row>
    <row r="5237" spans="6:6" outlineLevel="1">
      <c r="F5237"/>
    </row>
    <row r="5238" spans="6:6" outlineLevel="1">
      <c r="F5238"/>
    </row>
    <row r="5239" spans="6:6" outlineLevel="1">
      <c r="F5239"/>
    </row>
    <row r="5240" spans="6:6" outlineLevel="1">
      <c r="F5240"/>
    </row>
    <row r="5241" spans="6:6" outlineLevel="1">
      <c r="F5241"/>
    </row>
    <row r="5242" spans="6:6" outlineLevel="1">
      <c r="F5242"/>
    </row>
    <row r="5243" spans="6:6" outlineLevel="1">
      <c r="F5243"/>
    </row>
    <row r="5244" spans="6:6" outlineLevel="1">
      <c r="F5244"/>
    </row>
    <row r="5245" spans="6:6" outlineLevel="1">
      <c r="F5245"/>
    </row>
    <row r="5246" spans="6:6" outlineLevel="1">
      <c r="F5246"/>
    </row>
    <row r="5247" spans="6:6" outlineLevel="1">
      <c r="F5247"/>
    </row>
    <row r="5248" spans="6:6" outlineLevel="1">
      <c r="F5248"/>
    </row>
    <row r="5249" spans="6:6" outlineLevel="1">
      <c r="F5249"/>
    </row>
    <row r="5250" spans="6:6" outlineLevel="1">
      <c r="F5250"/>
    </row>
    <row r="5251" spans="6:6" outlineLevel="1">
      <c r="F5251"/>
    </row>
    <row r="5252" spans="6:6" outlineLevel="1">
      <c r="F5252"/>
    </row>
    <row r="5253" spans="6:6" outlineLevel="1">
      <c r="F5253"/>
    </row>
    <row r="5254" spans="6:6" outlineLevel="1">
      <c r="F5254"/>
    </row>
    <row r="5255" spans="6:6" outlineLevel="1">
      <c r="F5255"/>
    </row>
    <row r="5256" spans="6:6" outlineLevel="1">
      <c r="F5256"/>
    </row>
    <row r="5257" spans="6:6" outlineLevel="1">
      <c r="F5257"/>
    </row>
    <row r="5258" spans="6:6" outlineLevel="1">
      <c r="F5258"/>
    </row>
    <row r="5259" spans="6:6" outlineLevel="1">
      <c r="F5259"/>
    </row>
    <row r="5260" spans="6:6" outlineLevel="1">
      <c r="F5260"/>
    </row>
    <row r="5261" spans="6:6" outlineLevel="1">
      <c r="F5261"/>
    </row>
    <row r="5262" spans="6:6" outlineLevel="1">
      <c r="F5262"/>
    </row>
    <row r="5263" spans="6:6" outlineLevel="1">
      <c r="F5263"/>
    </row>
    <row r="5264" spans="6:6" outlineLevel="1">
      <c r="F5264"/>
    </row>
    <row r="5265" spans="6:6" outlineLevel="1">
      <c r="F5265"/>
    </row>
    <row r="5266" spans="6:6" outlineLevel="1">
      <c r="F5266"/>
    </row>
    <row r="5267" spans="6:6" outlineLevel="1">
      <c r="F5267"/>
    </row>
    <row r="5268" spans="6:6" outlineLevel="1">
      <c r="F5268"/>
    </row>
    <row r="5269" spans="6:6" outlineLevel="1">
      <c r="F5269"/>
    </row>
    <row r="5270" spans="6:6" outlineLevel="1">
      <c r="F5270"/>
    </row>
    <row r="5271" spans="6:6" outlineLevel="1">
      <c r="F5271"/>
    </row>
    <row r="5272" spans="6:6" outlineLevel="1">
      <c r="F5272"/>
    </row>
    <row r="5273" spans="6:6" outlineLevel="1">
      <c r="F5273"/>
    </row>
    <row r="5274" spans="6:6" outlineLevel="1">
      <c r="F5274"/>
    </row>
    <row r="5275" spans="6:6" outlineLevel="1">
      <c r="F5275"/>
    </row>
    <row r="5276" spans="6:6" outlineLevel="1">
      <c r="F5276"/>
    </row>
    <row r="5277" spans="6:6">
      <c r="F5277"/>
    </row>
    <row r="5278" spans="6:6" outlineLevel="1">
      <c r="F5278"/>
    </row>
    <row r="5279" spans="6:6" outlineLevel="1">
      <c r="F5279"/>
    </row>
    <row r="5280" spans="6:6" outlineLevel="1">
      <c r="F5280"/>
    </row>
    <row r="5281" spans="6:6" outlineLevel="1">
      <c r="F5281"/>
    </row>
    <row r="5282" spans="6:6" outlineLevel="1">
      <c r="F5282"/>
    </row>
    <row r="5283" spans="6:6" outlineLevel="1">
      <c r="F5283"/>
    </row>
    <row r="5284" spans="6:6" outlineLevel="1">
      <c r="F5284"/>
    </row>
    <row r="5285" spans="6:6" outlineLevel="1">
      <c r="F5285"/>
    </row>
    <row r="5286" spans="6:6" outlineLevel="1">
      <c r="F5286"/>
    </row>
    <row r="5287" spans="6:6" outlineLevel="1">
      <c r="F5287"/>
    </row>
    <row r="5288" spans="6:6" outlineLevel="1">
      <c r="F5288"/>
    </row>
    <row r="5289" spans="6:6" outlineLevel="1">
      <c r="F5289"/>
    </row>
    <row r="5290" spans="6:6" outlineLevel="1">
      <c r="F5290"/>
    </row>
    <row r="5291" spans="6:6" outlineLevel="1">
      <c r="F5291"/>
    </row>
    <row r="5292" spans="6:6" outlineLevel="1">
      <c r="F5292"/>
    </row>
    <row r="5293" spans="6:6" outlineLevel="1">
      <c r="F5293"/>
    </row>
    <row r="5294" spans="6:6" outlineLevel="1">
      <c r="F5294"/>
    </row>
    <row r="5295" spans="6:6" outlineLevel="1">
      <c r="F5295"/>
    </row>
    <row r="5296" spans="6:6" outlineLevel="1">
      <c r="F5296"/>
    </row>
    <row r="5297" spans="6:6" outlineLevel="1">
      <c r="F5297"/>
    </row>
    <row r="5298" spans="6:6" outlineLevel="1">
      <c r="F5298"/>
    </row>
    <row r="5299" spans="6:6" outlineLevel="1">
      <c r="F5299"/>
    </row>
    <row r="5300" spans="6:6" outlineLevel="1">
      <c r="F5300"/>
    </row>
    <row r="5301" spans="6:6" outlineLevel="1">
      <c r="F5301"/>
    </row>
    <row r="5302" spans="6:6" outlineLevel="1">
      <c r="F5302"/>
    </row>
    <row r="5303" spans="6:6" outlineLevel="1">
      <c r="F5303"/>
    </row>
    <row r="5304" spans="6:6" outlineLevel="1">
      <c r="F5304"/>
    </row>
    <row r="5305" spans="6:6" outlineLevel="1">
      <c r="F5305"/>
    </row>
    <row r="5306" spans="6:6" outlineLevel="1">
      <c r="F5306"/>
    </row>
    <row r="5307" spans="6:6" outlineLevel="1">
      <c r="F5307"/>
    </row>
    <row r="5308" spans="6:6" outlineLevel="1">
      <c r="F5308"/>
    </row>
    <row r="5309" spans="6:6" outlineLevel="1">
      <c r="F5309"/>
    </row>
    <row r="5310" spans="6:6" outlineLevel="1">
      <c r="F5310"/>
    </row>
    <row r="5311" spans="6:6" outlineLevel="1">
      <c r="F5311"/>
    </row>
    <row r="5312" spans="6:6" outlineLevel="1">
      <c r="F5312"/>
    </row>
    <row r="5313" spans="6:6" outlineLevel="1">
      <c r="F5313"/>
    </row>
    <row r="5314" spans="6:6" outlineLevel="1">
      <c r="F5314"/>
    </row>
    <row r="5315" spans="6:6" outlineLevel="1">
      <c r="F5315"/>
    </row>
    <row r="5316" spans="6:6" outlineLevel="1">
      <c r="F5316"/>
    </row>
    <row r="5317" spans="6:6" outlineLevel="1">
      <c r="F5317"/>
    </row>
    <row r="5318" spans="6:6" outlineLevel="1">
      <c r="F5318"/>
    </row>
    <row r="5319" spans="6:6" outlineLevel="1">
      <c r="F5319"/>
    </row>
    <row r="5320" spans="6:6" outlineLevel="1">
      <c r="F5320"/>
    </row>
    <row r="5321" spans="6:6" outlineLevel="1">
      <c r="F5321"/>
    </row>
    <row r="5322" spans="6:6" outlineLevel="1">
      <c r="F5322"/>
    </row>
    <row r="5323" spans="6:6" outlineLevel="1">
      <c r="F5323"/>
    </row>
    <row r="5324" spans="6:6" outlineLevel="1">
      <c r="F5324"/>
    </row>
    <row r="5325" spans="6:6" outlineLevel="1">
      <c r="F5325"/>
    </row>
    <row r="5326" spans="6:6" outlineLevel="1">
      <c r="F5326"/>
    </row>
    <row r="5327" spans="6:6" outlineLevel="1">
      <c r="F5327"/>
    </row>
    <row r="5328" spans="6:6" outlineLevel="1">
      <c r="F5328"/>
    </row>
    <row r="5329" spans="6:6" outlineLevel="1">
      <c r="F5329"/>
    </row>
    <row r="5330" spans="6:6" outlineLevel="1">
      <c r="F5330"/>
    </row>
    <row r="5331" spans="6:6" outlineLevel="1">
      <c r="F5331"/>
    </row>
    <row r="5332" spans="6:6" outlineLevel="1">
      <c r="F5332"/>
    </row>
    <row r="5333" spans="6:6" outlineLevel="1">
      <c r="F5333"/>
    </row>
    <row r="5334" spans="6:6" outlineLevel="1">
      <c r="F5334"/>
    </row>
    <row r="5335" spans="6:6" outlineLevel="1">
      <c r="F5335"/>
    </row>
    <row r="5336" spans="6:6" outlineLevel="1">
      <c r="F5336"/>
    </row>
    <row r="5337" spans="6:6" outlineLevel="1">
      <c r="F5337"/>
    </row>
    <row r="5338" spans="6:6" outlineLevel="1">
      <c r="F5338"/>
    </row>
    <row r="5339" spans="6:6" outlineLevel="1">
      <c r="F5339"/>
    </row>
    <row r="5340" spans="6:6" outlineLevel="1">
      <c r="F5340"/>
    </row>
    <row r="5341" spans="6:6" outlineLevel="1">
      <c r="F5341"/>
    </row>
    <row r="5342" spans="6:6" outlineLevel="1">
      <c r="F5342"/>
    </row>
    <row r="5343" spans="6:6" outlineLevel="1">
      <c r="F5343"/>
    </row>
    <row r="5344" spans="6:6" outlineLevel="1">
      <c r="F5344"/>
    </row>
    <row r="5345" spans="6:6" outlineLevel="1">
      <c r="F5345"/>
    </row>
    <row r="5346" spans="6:6" outlineLevel="1">
      <c r="F5346"/>
    </row>
    <row r="5347" spans="6:6" outlineLevel="1">
      <c r="F5347"/>
    </row>
    <row r="5348" spans="6:6" outlineLevel="1">
      <c r="F5348"/>
    </row>
    <row r="5349" spans="6:6" outlineLevel="1">
      <c r="F5349"/>
    </row>
    <row r="5350" spans="6:6" outlineLevel="1">
      <c r="F5350"/>
    </row>
    <row r="5351" spans="6:6" outlineLevel="1">
      <c r="F5351"/>
    </row>
    <row r="5352" spans="6:6" outlineLevel="1">
      <c r="F5352"/>
    </row>
    <row r="5353" spans="6:6" outlineLevel="1">
      <c r="F5353"/>
    </row>
    <row r="5354" spans="6:6" outlineLevel="1">
      <c r="F5354"/>
    </row>
    <row r="5355" spans="6:6" outlineLevel="1">
      <c r="F5355"/>
    </row>
    <row r="5356" spans="6:6" outlineLevel="1">
      <c r="F5356"/>
    </row>
    <row r="5357" spans="6:6" outlineLevel="1">
      <c r="F5357"/>
    </row>
    <row r="5358" spans="6:6" outlineLevel="1">
      <c r="F5358"/>
    </row>
    <row r="5359" spans="6:6">
      <c r="F5359"/>
    </row>
    <row r="5360" spans="6:6" outlineLevel="1">
      <c r="F5360"/>
    </row>
    <row r="5361" spans="6:6" outlineLevel="1">
      <c r="F5361"/>
    </row>
    <row r="5362" spans="6:6" outlineLevel="1">
      <c r="F5362"/>
    </row>
    <row r="5363" spans="6:6" outlineLevel="1">
      <c r="F5363"/>
    </row>
    <row r="5364" spans="6:6" outlineLevel="1">
      <c r="F5364"/>
    </row>
    <row r="5365" spans="6:6" outlineLevel="1">
      <c r="F5365"/>
    </row>
    <row r="5366" spans="6:6" outlineLevel="1">
      <c r="F5366"/>
    </row>
    <row r="5367" spans="6:6" outlineLevel="1">
      <c r="F5367"/>
    </row>
    <row r="5368" spans="6:6" outlineLevel="1">
      <c r="F5368"/>
    </row>
    <row r="5369" spans="6:6" outlineLevel="1">
      <c r="F5369"/>
    </row>
    <row r="5370" spans="6:6" outlineLevel="1">
      <c r="F5370"/>
    </row>
    <row r="5371" spans="6:6" outlineLevel="1">
      <c r="F5371"/>
    </row>
    <row r="5372" spans="6:6" outlineLevel="1">
      <c r="F5372"/>
    </row>
    <row r="5373" spans="6:6" outlineLevel="1">
      <c r="F5373"/>
    </row>
    <row r="5374" spans="6:6" outlineLevel="1">
      <c r="F5374"/>
    </row>
    <row r="5375" spans="6:6" outlineLevel="1">
      <c r="F5375"/>
    </row>
    <row r="5376" spans="6:6" outlineLevel="1">
      <c r="F5376"/>
    </row>
    <row r="5377" spans="6:6" outlineLevel="1">
      <c r="F5377"/>
    </row>
    <row r="5378" spans="6:6" outlineLevel="1">
      <c r="F5378"/>
    </row>
    <row r="5379" spans="6:6" outlineLevel="1">
      <c r="F5379"/>
    </row>
    <row r="5380" spans="6:6" outlineLevel="1">
      <c r="F5380"/>
    </row>
    <row r="5381" spans="6:6" outlineLevel="1">
      <c r="F5381"/>
    </row>
    <row r="5382" spans="6:6" outlineLevel="1">
      <c r="F5382"/>
    </row>
    <row r="5383" spans="6:6" outlineLevel="1">
      <c r="F5383"/>
    </row>
    <row r="5384" spans="6:6" outlineLevel="1">
      <c r="F5384"/>
    </row>
    <row r="5385" spans="6:6" outlineLevel="1">
      <c r="F5385"/>
    </row>
    <row r="5386" spans="6:6" outlineLevel="1">
      <c r="F5386"/>
    </row>
    <row r="5387" spans="6:6" outlineLevel="1">
      <c r="F5387"/>
    </row>
    <row r="5388" spans="6:6" outlineLevel="1">
      <c r="F5388"/>
    </row>
    <row r="5389" spans="6:6" outlineLevel="1">
      <c r="F5389"/>
    </row>
    <row r="5390" spans="6:6" outlineLevel="1">
      <c r="F5390"/>
    </row>
    <row r="5391" spans="6:6" outlineLevel="1">
      <c r="F5391"/>
    </row>
    <row r="5392" spans="6:6" outlineLevel="1">
      <c r="F5392"/>
    </row>
    <row r="5393" spans="6:6" outlineLevel="1">
      <c r="F5393"/>
    </row>
    <row r="5394" spans="6:6" outlineLevel="1">
      <c r="F5394"/>
    </row>
    <row r="5395" spans="6:6" outlineLevel="1">
      <c r="F5395"/>
    </row>
    <row r="5396" spans="6:6" outlineLevel="1">
      <c r="F5396"/>
    </row>
    <row r="5397" spans="6:6" outlineLevel="1">
      <c r="F5397"/>
    </row>
    <row r="5398" spans="6:6" outlineLevel="1">
      <c r="F5398"/>
    </row>
    <row r="5399" spans="6:6" outlineLevel="1">
      <c r="F5399"/>
    </row>
    <row r="5400" spans="6:6" outlineLevel="1">
      <c r="F5400"/>
    </row>
    <row r="5401" spans="6:6" outlineLevel="1">
      <c r="F5401"/>
    </row>
    <row r="5402" spans="6:6" outlineLevel="1">
      <c r="F5402"/>
    </row>
    <row r="5403" spans="6:6" outlineLevel="1">
      <c r="F5403"/>
    </row>
    <row r="5404" spans="6:6" outlineLevel="1">
      <c r="F5404"/>
    </row>
    <row r="5405" spans="6:6" outlineLevel="1">
      <c r="F5405"/>
    </row>
    <row r="5406" spans="6:6" outlineLevel="1">
      <c r="F5406"/>
    </row>
    <row r="5407" spans="6:6" outlineLevel="1">
      <c r="F5407"/>
    </row>
    <row r="5408" spans="6:6" outlineLevel="1">
      <c r="F5408"/>
    </row>
    <row r="5409" spans="6:6" outlineLevel="1">
      <c r="F5409"/>
    </row>
    <row r="5410" spans="6:6" outlineLevel="1">
      <c r="F5410"/>
    </row>
    <row r="5411" spans="6:6" outlineLevel="1">
      <c r="F5411"/>
    </row>
    <row r="5412" spans="6:6" outlineLevel="1">
      <c r="F5412"/>
    </row>
    <row r="5413" spans="6:6" outlineLevel="1">
      <c r="F5413"/>
    </row>
    <row r="5414" spans="6:6" outlineLevel="1">
      <c r="F5414"/>
    </row>
    <row r="5415" spans="6:6" outlineLevel="1">
      <c r="F5415"/>
    </row>
    <row r="5416" spans="6:6" outlineLevel="1">
      <c r="F5416"/>
    </row>
    <row r="5417" spans="6:6" outlineLevel="1">
      <c r="F5417"/>
    </row>
    <row r="5418" spans="6:6" outlineLevel="1">
      <c r="F5418"/>
    </row>
    <row r="5419" spans="6:6" outlineLevel="1">
      <c r="F5419"/>
    </row>
    <row r="5420" spans="6:6">
      <c r="F5420"/>
    </row>
    <row r="5421" spans="6:6" outlineLevel="1">
      <c r="F5421"/>
    </row>
    <row r="5422" spans="6:6" outlineLevel="1">
      <c r="F5422"/>
    </row>
    <row r="5423" spans="6:6" outlineLevel="1">
      <c r="F5423"/>
    </row>
    <row r="5424" spans="6:6" outlineLevel="1">
      <c r="F5424"/>
    </row>
    <row r="5425" spans="6:6" outlineLevel="1">
      <c r="F5425"/>
    </row>
    <row r="5426" spans="6:6" outlineLevel="1">
      <c r="F5426"/>
    </row>
    <row r="5427" spans="6:6" outlineLevel="1">
      <c r="F5427"/>
    </row>
    <row r="5428" spans="6:6" outlineLevel="1">
      <c r="F5428"/>
    </row>
    <row r="5429" spans="6:6" outlineLevel="1">
      <c r="F5429"/>
    </row>
    <row r="5430" spans="6:6" outlineLevel="1">
      <c r="F5430"/>
    </row>
    <row r="5431" spans="6:6" outlineLevel="1">
      <c r="F5431"/>
    </row>
    <row r="5432" spans="6:6" outlineLevel="1">
      <c r="F5432"/>
    </row>
    <row r="5433" spans="6:6" outlineLevel="1">
      <c r="F5433"/>
    </row>
    <row r="5434" spans="6:6" outlineLevel="1">
      <c r="F5434"/>
    </row>
    <row r="5435" spans="6:6" outlineLevel="1">
      <c r="F5435"/>
    </row>
    <row r="5436" spans="6:6" outlineLevel="1">
      <c r="F5436"/>
    </row>
    <row r="5437" spans="6:6" outlineLevel="1">
      <c r="F5437"/>
    </row>
    <row r="5438" spans="6:6" outlineLevel="1">
      <c r="F5438"/>
    </row>
    <row r="5439" spans="6:6" outlineLevel="1">
      <c r="F5439"/>
    </row>
    <row r="5440" spans="6:6" outlineLevel="1">
      <c r="F5440"/>
    </row>
    <row r="5441" spans="6:6" outlineLevel="1">
      <c r="F5441"/>
    </row>
    <row r="5442" spans="6:6" outlineLevel="1">
      <c r="F5442"/>
    </row>
    <row r="5443" spans="6:6" outlineLevel="1">
      <c r="F5443"/>
    </row>
    <row r="5444" spans="6:6" outlineLevel="1">
      <c r="F5444"/>
    </row>
    <row r="5445" spans="6:6" outlineLevel="1">
      <c r="F5445"/>
    </row>
    <row r="5446" spans="6:6">
      <c r="F5446"/>
    </row>
    <row r="5447" spans="6:6" outlineLevel="1">
      <c r="F5447"/>
    </row>
    <row r="5448" spans="6:6" outlineLevel="1">
      <c r="F5448"/>
    </row>
    <row r="5449" spans="6:6" outlineLevel="1">
      <c r="F5449"/>
    </row>
    <row r="5450" spans="6:6" outlineLevel="1">
      <c r="F5450"/>
    </row>
    <row r="5451" spans="6:6" outlineLevel="1">
      <c r="F5451"/>
    </row>
    <row r="5452" spans="6:6" outlineLevel="1">
      <c r="F5452"/>
    </row>
    <row r="5453" spans="6:6" outlineLevel="1">
      <c r="F5453"/>
    </row>
    <row r="5454" spans="6:6" outlineLevel="1">
      <c r="F5454"/>
    </row>
    <row r="5455" spans="6:6" outlineLevel="1">
      <c r="F5455"/>
    </row>
    <row r="5456" spans="6:6" outlineLevel="1">
      <c r="F5456"/>
    </row>
    <row r="5457" spans="6:6" outlineLevel="1">
      <c r="F5457"/>
    </row>
    <row r="5458" spans="6:6" outlineLevel="1">
      <c r="F5458"/>
    </row>
    <row r="5459" spans="6:6" outlineLevel="1">
      <c r="F5459"/>
    </row>
    <row r="5460" spans="6:6" outlineLevel="1">
      <c r="F5460"/>
    </row>
    <row r="5461" spans="6:6" outlineLevel="1">
      <c r="F5461"/>
    </row>
    <row r="5462" spans="6:6" outlineLevel="1">
      <c r="F5462"/>
    </row>
    <row r="5463" spans="6:6" outlineLevel="1">
      <c r="F5463"/>
    </row>
    <row r="5464" spans="6:6" outlineLevel="1">
      <c r="F5464"/>
    </row>
    <row r="5465" spans="6:6" outlineLevel="1">
      <c r="F5465"/>
    </row>
    <row r="5466" spans="6:6" outlineLevel="1">
      <c r="F5466"/>
    </row>
    <row r="5467" spans="6:6" outlineLevel="1">
      <c r="F5467"/>
    </row>
    <row r="5468" spans="6:6" outlineLevel="1">
      <c r="F5468"/>
    </row>
    <row r="5469" spans="6:6" outlineLevel="1">
      <c r="F5469"/>
    </row>
    <row r="5470" spans="6:6" outlineLevel="1">
      <c r="F5470"/>
    </row>
    <row r="5471" spans="6:6" outlineLevel="1">
      <c r="F5471"/>
    </row>
    <row r="5472" spans="6:6" outlineLevel="1">
      <c r="F5472"/>
    </row>
    <row r="5473" spans="6:6" outlineLevel="1">
      <c r="F5473"/>
    </row>
    <row r="5474" spans="6:6" outlineLevel="1">
      <c r="F5474"/>
    </row>
    <row r="5475" spans="6:6" outlineLevel="1">
      <c r="F5475"/>
    </row>
    <row r="5476" spans="6:6" outlineLevel="1">
      <c r="F5476"/>
    </row>
    <row r="5477" spans="6:6" outlineLevel="1">
      <c r="F5477"/>
    </row>
    <row r="5478" spans="6:6" outlineLevel="1">
      <c r="F5478"/>
    </row>
    <row r="5479" spans="6:6">
      <c r="F5479"/>
    </row>
    <row r="5480" spans="6:6" outlineLevel="1">
      <c r="F5480"/>
    </row>
    <row r="5481" spans="6:6">
      <c r="F5481"/>
    </row>
    <row r="5482" spans="6:6" outlineLevel="1">
      <c r="F5482"/>
    </row>
    <row r="5483" spans="6:6" outlineLevel="1">
      <c r="F5483"/>
    </row>
    <row r="5484" spans="6:6" outlineLevel="1">
      <c r="F5484"/>
    </row>
    <row r="5485" spans="6:6">
      <c r="F5485"/>
    </row>
    <row r="5486" spans="6:6" outlineLevel="1">
      <c r="F5486"/>
    </row>
    <row r="5487" spans="6:6" outlineLevel="1">
      <c r="F5487"/>
    </row>
    <row r="5488" spans="6:6" outlineLevel="1">
      <c r="F5488"/>
    </row>
    <row r="5489" spans="6:6" outlineLevel="1">
      <c r="F5489"/>
    </row>
    <row r="5490" spans="6:6">
      <c r="F5490"/>
    </row>
    <row r="5491" spans="6:6" outlineLevel="1">
      <c r="F5491"/>
    </row>
    <row r="5492" spans="6:6" outlineLevel="1">
      <c r="F5492"/>
    </row>
    <row r="5493" spans="6:6" outlineLevel="1">
      <c r="F5493"/>
    </row>
    <row r="5494" spans="6:6" outlineLevel="1">
      <c r="F5494"/>
    </row>
    <row r="5495" spans="6:6" outlineLevel="1">
      <c r="F5495"/>
    </row>
    <row r="5496" spans="6:6" outlineLevel="1">
      <c r="F5496"/>
    </row>
    <row r="5497" spans="6:6" outlineLevel="1">
      <c r="F5497"/>
    </row>
    <row r="5498" spans="6:6" outlineLevel="1">
      <c r="F5498"/>
    </row>
    <row r="5499" spans="6:6" outlineLevel="1">
      <c r="F5499"/>
    </row>
    <row r="5500" spans="6:6" outlineLevel="1">
      <c r="F5500"/>
    </row>
    <row r="5501" spans="6:6" outlineLevel="1">
      <c r="F5501"/>
    </row>
    <row r="5502" spans="6:6" outlineLevel="1">
      <c r="F5502"/>
    </row>
    <row r="5503" spans="6:6" outlineLevel="1">
      <c r="F5503"/>
    </row>
    <row r="5504" spans="6:6" outlineLevel="1">
      <c r="F5504"/>
    </row>
    <row r="5505" spans="6:6" outlineLevel="1">
      <c r="F5505"/>
    </row>
    <row r="5506" spans="6:6" outlineLevel="1">
      <c r="F5506"/>
    </row>
    <row r="5507" spans="6:6" outlineLevel="1">
      <c r="F5507"/>
    </row>
    <row r="5508" spans="6:6" outlineLevel="1">
      <c r="F5508"/>
    </row>
    <row r="5509" spans="6:6" outlineLevel="1">
      <c r="F5509"/>
    </row>
    <row r="5510" spans="6:6" outlineLevel="1">
      <c r="F5510"/>
    </row>
    <row r="5511" spans="6:6" outlineLevel="1">
      <c r="F5511"/>
    </row>
    <row r="5512" spans="6:6" outlineLevel="1">
      <c r="F5512"/>
    </row>
    <row r="5513" spans="6:6" outlineLevel="1">
      <c r="F5513"/>
    </row>
    <row r="5514" spans="6:6" outlineLevel="1">
      <c r="F5514"/>
    </row>
    <row r="5515" spans="6:6" outlineLevel="1">
      <c r="F5515"/>
    </row>
    <row r="5516" spans="6:6" outlineLevel="1">
      <c r="F5516"/>
    </row>
    <row r="5517" spans="6:6" outlineLevel="1">
      <c r="F5517"/>
    </row>
    <row r="5518" spans="6:6" outlineLevel="1">
      <c r="F5518"/>
    </row>
    <row r="5519" spans="6:6" outlineLevel="1">
      <c r="F5519"/>
    </row>
    <row r="5520" spans="6:6" outlineLevel="1">
      <c r="F5520"/>
    </row>
    <row r="5521" spans="6:6" outlineLevel="1">
      <c r="F5521"/>
    </row>
    <row r="5522" spans="6:6" outlineLevel="1">
      <c r="F5522"/>
    </row>
    <row r="5523" spans="6:6" outlineLevel="1">
      <c r="F5523"/>
    </row>
    <row r="5524" spans="6:6" outlineLevel="1">
      <c r="F5524"/>
    </row>
    <row r="5525" spans="6:6" outlineLevel="1">
      <c r="F5525"/>
    </row>
    <row r="5526" spans="6:6" outlineLevel="1">
      <c r="F5526"/>
    </row>
    <row r="5527" spans="6:6">
      <c r="F5527"/>
    </row>
    <row r="5528" spans="6:6" outlineLevel="1">
      <c r="F5528"/>
    </row>
    <row r="5529" spans="6:6" outlineLevel="1">
      <c r="F5529"/>
    </row>
    <row r="5530" spans="6:6" outlineLevel="1">
      <c r="F5530"/>
    </row>
    <row r="5531" spans="6:6" outlineLevel="1">
      <c r="F5531"/>
    </row>
    <row r="5532" spans="6:6" outlineLevel="1">
      <c r="F5532"/>
    </row>
    <row r="5533" spans="6:6" outlineLevel="1">
      <c r="F5533"/>
    </row>
    <row r="5534" spans="6:6" outlineLevel="1">
      <c r="F5534"/>
    </row>
    <row r="5535" spans="6:6" outlineLevel="1">
      <c r="F5535"/>
    </row>
    <row r="5536" spans="6:6" outlineLevel="1">
      <c r="F5536"/>
    </row>
    <row r="5537" spans="6:6" outlineLevel="1">
      <c r="F5537"/>
    </row>
    <row r="5538" spans="6:6" outlineLevel="1">
      <c r="F5538"/>
    </row>
    <row r="5539" spans="6:6" outlineLevel="1">
      <c r="F5539"/>
    </row>
    <row r="5540" spans="6:6" outlineLevel="1">
      <c r="F5540"/>
    </row>
    <row r="5541" spans="6:6" outlineLevel="1">
      <c r="F5541"/>
    </row>
    <row r="5542" spans="6:6" outlineLevel="1">
      <c r="F5542"/>
    </row>
    <row r="5543" spans="6:6" outlineLevel="1">
      <c r="F5543"/>
    </row>
    <row r="5544" spans="6:6" outlineLevel="1">
      <c r="F5544"/>
    </row>
    <row r="5545" spans="6:6" outlineLevel="1">
      <c r="F5545"/>
    </row>
    <row r="5546" spans="6:6">
      <c r="F5546"/>
    </row>
    <row r="5547" spans="6:6" outlineLevel="1">
      <c r="F5547"/>
    </row>
    <row r="5548" spans="6:6" outlineLevel="1">
      <c r="F5548"/>
    </row>
    <row r="5549" spans="6:6">
      <c r="F5549"/>
    </row>
    <row r="5550" spans="6:6" outlineLevel="1">
      <c r="F5550"/>
    </row>
    <row r="5551" spans="6:6" outlineLevel="1">
      <c r="F5551"/>
    </row>
    <row r="5552" spans="6:6" outlineLevel="1">
      <c r="F5552"/>
    </row>
    <row r="5553" spans="6:6" outlineLevel="1">
      <c r="F5553"/>
    </row>
    <row r="5554" spans="6:6" outlineLevel="1">
      <c r="F5554"/>
    </row>
    <row r="5555" spans="6:6" outlineLevel="1">
      <c r="F5555"/>
    </row>
    <row r="5556" spans="6:6" outlineLevel="1">
      <c r="F5556"/>
    </row>
    <row r="5557" spans="6:6" outlineLevel="1">
      <c r="F5557"/>
    </row>
    <row r="5558" spans="6:6" outlineLevel="1">
      <c r="F5558"/>
    </row>
    <row r="5559" spans="6:6" outlineLevel="1">
      <c r="F5559"/>
    </row>
    <row r="5560" spans="6:6" outlineLevel="1">
      <c r="F5560"/>
    </row>
    <row r="5561" spans="6:6" outlineLevel="1">
      <c r="F5561"/>
    </row>
    <row r="5562" spans="6:6" outlineLevel="1">
      <c r="F5562"/>
    </row>
    <row r="5563" spans="6:6" outlineLevel="1">
      <c r="F5563"/>
    </row>
    <row r="5564" spans="6:6" outlineLevel="1">
      <c r="F5564"/>
    </row>
    <row r="5565" spans="6:6" outlineLevel="1">
      <c r="F5565"/>
    </row>
    <row r="5566" spans="6:6" outlineLevel="1">
      <c r="F5566"/>
    </row>
    <row r="5567" spans="6:6" outlineLevel="1">
      <c r="F5567"/>
    </row>
    <row r="5568" spans="6:6">
      <c r="F5568"/>
    </row>
    <row r="5569" spans="6:6" outlineLevel="1">
      <c r="F5569"/>
    </row>
    <row r="5570" spans="6:6" outlineLevel="1">
      <c r="F5570"/>
    </row>
    <row r="5571" spans="6:6" outlineLevel="1">
      <c r="F5571"/>
    </row>
    <row r="5572" spans="6:6">
      <c r="F5572"/>
    </row>
    <row r="5573" spans="6:6" outlineLevel="1">
      <c r="F5573"/>
    </row>
    <row r="5574" spans="6:6" outlineLevel="1">
      <c r="F5574"/>
    </row>
    <row r="5575" spans="6:6" outlineLevel="1">
      <c r="F5575"/>
    </row>
    <row r="5576" spans="6:6" outlineLevel="1">
      <c r="F5576"/>
    </row>
    <row r="5577" spans="6:6" outlineLevel="1">
      <c r="F5577"/>
    </row>
    <row r="5578" spans="6:6" outlineLevel="1">
      <c r="F5578"/>
    </row>
    <row r="5579" spans="6:6" outlineLevel="1">
      <c r="F5579"/>
    </row>
    <row r="5580" spans="6:6" outlineLevel="1">
      <c r="F5580"/>
    </row>
    <row r="5581" spans="6:6">
      <c r="F5581"/>
    </row>
    <row r="5582" spans="6:6" outlineLevel="1">
      <c r="F5582"/>
    </row>
    <row r="5583" spans="6:6" outlineLevel="1">
      <c r="F5583"/>
    </row>
    <row r="5584" spans="6:6" outlineLevel="1">
      <c r="F5584"/>
    </row>
    <row r="5585" spans="6:6" outlineLevel="1">
      <c r="F5585"/>
    </row>
    <row r="5586" spans="6:6" outlineLevel="1">
      <c r="F5586"/>
    </row>
    <row r="5587" spans="6:6">
      <c r="F5587"/>
    </row>
    <row r="5588" spans="6:6" outlineLevel="1">
      <c r="F5588"/>
    </row>
    <row r="5589" spans="6:6">
      <c r="F5589"/>
    </row>
    <row r="5590" spans="6:6" outlineLevel="1">
      <c r="F5590"/>
    </row>
    <row r="5591" spans="6:6" outlineLevel="1">
      <c r="F5591"/>
    </row>
    <row r="5592" spans="6:6">
      <c r="F5592"/>
    </row>
    <row r="5593" spans="6:6" outlineLevel="1">
      <c r="F5593"/>
    </row>
    <row r="5594" spans="6:6" outlineLevel="1">
      <c r="F5594"/>
    </row>
    <row r="5595" spans="6:6" outlineLevel="1">
      <c r="F5595"/>
    </row>
    <row r="5596" spans="6:6" outlineLevel="1">
      <c r="F5596"/>
    </row>
    <row r="5597" spans="6:6" outlineLevel="1">
      <c r="F5597"/>
    </row>
    <row r="5598" spans="6:6" outlineLevel="1">
      <c r="F5598"/>
    </row>
    <row r="5599" spans="6:6" outlineLevel="1">
      <c r="F5599"/>
    </row>
    <row r="5600" spans="6:6" outlineLevel="1">
      <c r="F5600"/>
    </row>
    <row r="5601" spans="6:6" outlineLevel="1">
      <c r="F5601"/>
    </row>
    <row r="5602" spans="6:6" outlineLevel="1">
      <c r="F5602"/>
    </row>
    <row r="5603" spans="6:6" outlineLevel="1">
      <c r="F5603"/>
    </row>
    <row r="5604" spans="6:6" outlineLevel="1">
      <c r="F5604"/>
    </row>
    <row r="5605" spans="6:6" outlineLevel="1">
      <c r="F5605"/>
    </row>
    <row r="5606" spans="6:6" outlineLevel="1">
      <c r="F5606"/>
    </row>
    <row r="5607" spans="6:6" outlineLevel="1">
      <c r="F5607"/>
    </row>
    <row r="5608" spans="6:6" outlineLevel="1">
      <c r="F5608"/>
    </row>
    <row r="5609" spans="6:6" outlineLevel="1">
      <c r="F5609"/>
    </row>
    <row r="5610" spans="6:6" outlineLevel="1">
      <c r="F5610"/>
    </row>
    <row r="5611" spans="6:6" outlineLevel="1">
      <c r="F5611"/>
    </row>
    <row r="5612" spans="6:6" outlineLevel="1">
      <c r="F5612"/>
    </row>
    <row r="5613" spans="6:6" outlineLevel="1">
      <c r="F5613"/>
    </row>
    <row r="5614" spans="6:6" outlineLevel="1">
      <c r="F5614"/>
    </row>
    <row r="5615" spans="6:6" outlineLevel="1">
      <c r="F5615"/>
    </row>
    <row r="5616" spans="6:6" outlineLevel="1">
      <c r="F5616"/>
    </row>
    <row r="5617" spans="6:6" outlineLevel="1">
      <c r="F5617"/>
    </row>
    <row r="5618" spans="6:6" outlineLevel="1">
      <c r="F5618"/>
    </row>
    <row r="5619" spans="6:6" outlineLevel="1">
      <c r="F5619"/>
    </row>
    <row r="5620" spans="6:6" outlineLevel="1">
      <c r="F5620"/>
    </row>
    <row r="5621" spans="6:6" outlineLevel="1">
      <c r="F5621"/>
    </row>
    <row r="5622" spans="6:6" outlineLevel="1">
      <c r="F5622"/>
    </row>
    <row r="5623" spans="6:6" outlineLevel="1">
      <c r="F5623"/>
    </row>
    <row r="5624" spans="6:6" outlineLevel="1">
      <c r="F5624"/>
    </row>
    <row r="5625" spans="6:6" outlineLevel="1">
      <c r="F5625"/>
    </row>
    <row r="5626" spans="6:6" outlineLevel="1">
      <c r="F5626"/>
    </row>
    <row r="5627" spans="6:6" outlineLevel="1">
      <c r="F5627"/>
    </row>
    <row r="5628" spans="6:6" outlineLevel="1">
      <c r="F5628"/>
    </row>
    <row r="5629" spans="6:6" outlineLevel="1">
      <c r="F5629"/>
    </row>
    <row r="5630" spans="6:6" outlineLevel="1">
      <c r="F5630"/>
    </row>
    <row r="5631" spans="6:6" outlineLevel="1">
      <c r="F5631"/>
    </row>
    <row r="5632" spans="6:6" outlineLevel="1">
      <c r="F5632"/>
    </row>
    <row r="5633" spans="6:6" outlineLevel="1">
      <c r="F5633"/>
    </row>
    <row r="5634" spans="6:6" outlineLevel="1">
      <c r="F5634"/>
    </row>
    <row r="5635" spans="6:6" outlineLevel="1">
      <c r="F5635"/>
    </row>
    <row r="5636" spans="6:6" outlineLevel="1">
      <c r="F5636"/>
    </row>
    <row r="5637" spans="6:6" outlineLevel="1">
      <c r="F5637"/>
    </row>
    <row r="5638" spans="6:6" outlineLevel="1">
      <c r="F5638"/>
    </row>
    <row r="5639" spans="6:6" outlineLevel="1">
      <c r="F5639"/>
    </row>
    <row r="5640" spans="6:6" outlineLevel="1">
      <c r="F5640"/>
    </row>
    <row r="5641" spans="6:6" outlineLevel="1">
      <c r="F5641"/>
    </row>
    <row r="5642" spans="6:6" outlineLevel="1">
      <c r="F5642"/>
    </row>
    <row r="5643" spans="6:6" outlineLevel="1">
      <c r="F5643"/>
    </row>
    <row r="5644" spans="6:6" outlineLevel="1">
      <c r="F5644"/>
    </row>
    <row r="5645" spans="6:6" outlineLevel="1">
      <c r="F5645"/>
    </row>
    <row r="5646" spans="6:6" outlineLevel="1">
      <c r="F5646"/>
    </row>
    <row r="5647" spans="6:6" outlineLevel="1">
      <c r="F5647"/>
    </row>
    <row r="5648" spans="6:6" outlineLevel="1">
      <c r="F5648"/>
    </row>
    <row r="5649" spans="6:6" outlineLevel="1">
      <c r="F5649"/>
    </row>
    <row r="5650" spans="6:6" outlineLevel="1">
      <c r="F5650"/>
    </row>
    <row r="5651" spans="6:6" outlineLevel="1">
      <c r="F5651"/>
    </row>
    <row r="5652" spans="6:6" outlineLevel="1">
      <c r="F5652"/>
    </row>
    <row r="5653" spans="6:6" outlineLevel="1">
      <c r="F5653"/>
    </row>
    <row r="5654" spans="6:6" outlineLevel="1">
      <c r="F5654"/>
    </row>
    <row r="5655" spans="6:6" outlineLevel="1">
      <c r="F5655"/>
    </row>
    <row r="5656" spans="6:6" outlineLevel="1">
      <c r="F5656"/>
    </row>
    <row r="5657" spans="6:6" outlineLevel="1">
      <c r="F5657"/>
    </row>
    <row r="5658" spans="6:6" outlineLevel="1">
      <c r="F5658"/>
    </row>
    <row r="5659" spans="6:6" outlineLevel="1">
      <c r="F5659"/>
    </row>
    <row r="5660" spans="6:6" outlineLevel="1">
      <c r="F5660"/>
    </row>
    <row r="5661" spans="6:6" outlineLevel="1">
      <c r="F5661"/>
    </row>
    <row r="5662" spans="6:6" outlineLevel="1">
      <c r="F5662"/>
    </row>
    <row r="5663" spans="6:6" outlineLevel="1">
      <c r="F5663"/>
    </row>
    <row r="5664" spans="6:6" outlineLevel="1">
      <c r="F5664"/>
    </row>
    <row r="5665" spans="6:6" outlineLevel="1">
      <c r="F5665"/>
    </row>
    <row r="5666" spans="6:6" outlineLevel="1">
      <c r="F5666"/>
    </row>
    <row r="5667" spans="6:6" outlineLevel="1">
      <c r="F5667"/>
    </row>
    <row r="5668" spans="6:6" outlineLevel="1">
      <c r="F5668"/>
    </row>
    <row r="5669" spans="6:6" outlineLevel="1">
      <c r="F5669"/>
    </row>
    <row r="5670" spans="6:6" outlineLevel="1">
      <c r="F5670"/>
    </row>
    <row r="5671" spans="6:6" outlineLevel="1">
      <c r="F5671"/>
    </row>
    <row r="5672" spans="6:6" outlineLevel="1">
      <c r="F5672"/>
    </row>
    <row r="5673" spans="6:6" outlineLevel="1">
      <c r="F5673"/>
    </row>
    <row r="5674" spans="6:6" outlineLevel="1">
      <c r="F5674"/>
    </row>
    <row r="5675" spans="6:6" outlineLevel="1">
      <c r="F5675"/>
    </row>
    <row r="5676" spans="6:6" outlineLevel="1">
      <c r="F5676"/>
    </row>
    <row r="5677" spans="6:6" outlineLevel="1">
      <c r="F5677"/>
    </row>
    <row r="5678" spans="6:6" outlineLevel="1">
      <c r="F5678"/>
    </row>
    <row r="5679" spans="6:6" outlineLevel="1">
      <c r="F5679"/>
    </row>
    <row r="5680" spans="6:6" outlineLevel="1">
      <c r="F5680"/>
    </row>
    <row r="5681" spans="6:6" outlineLevel="1">
      <c r="F5681"/>
    </row>
    <row r="5682" spans="6:6" outlineLevel="1">
      <c r="F5682"/>
    </row>
    <row r="5683" spans="6:6" outlineLevel="1">
      <c r="F5683"/>
    </row>
    <row r="5684" spans="6:6" outlineLevel="1">
      <c r="F5684"/>
    </row>
    <row r="5685" spans="6:6">
      <c r="F5685"/>
    </row>
    <row r="5686" spans="6:6">
      <c r="F5686"/>
    </row>
    <row r="5687" spans="6:6">
      <c r="F5687"/>
    </row>
  </sheetData>
  <dataValidations count="1">
    <dataValidation type="textLength" errorStyle="information" allowBlank="1" showInputMessage="1" showErrorMessage="1" error="XLBVal:8=_x000d__x000a_XLBRowCount:3=925_x000d__x000a_XLBColCount:3=22_x000d__x000a_Style:2=2_x000d__x000a_" sqref="A10" xr:uid="{00000000-0002-0000-0800-000000000000}">
      <formula1>0</formula1>
      <formula2>300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8EF8BE78E886F449C337C12B13E0FC6" ma:contentTypeVersion="0" ma:contentTypeDescription="Create a new document." ma:contentTypeScope="" ma:versionID="a1291e0a7b65030f38a4233d6271f65f">
  <xsd:schema xmlns:xsd="http://www.w3.org/2001/XMLSchema" xmlns:xs="http://www.w3.org/2001/XMLSchema" xmlns:p="http://schemas.microsoft.com/office/2006/metadata/properties" xmlns:ns2="0cedd811-0bd2-4bfe-bec8-cdac3607f392" targetNamespace="http://schemas.microsoft.com/office/2006/metadata/properties" ma:root="true" ma:fieldsID="c3691483d07d858c5c2169a91b1b42f7" ns2:_="">
    <xsd:import namespace="0cedd811-0bd2-4bfe-bec8-cdac3607f39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edd811-0bd2-4bfe-bec8-cdac3607f39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80B0B9-FC8B-42BB-80A8-1B139B66DA47}">
  <ds:schemaRefs>
    <ds:schemaRef ds:uri="http://schemas.microsoft.com/sharepoint/events"/>
  </ds:schemaRefs>
</ds:datastoreItem>
</file>

<file path=customXml/itemProps2.xml><?xml version="1.0" encoding="utf-8"?>
<ds:datastoreItem xmlns:ds="http://schemas.openxmlformats.org/officeDocument/2006/customXml" ds:itemID="{F82C4F55-ABC9-4194-9D51-1B957FB0C042}">
  <ds:schemaRefs>
    <ds:schemaRef ds:uri="http://schemas.microsoft.com/sharepoint/v3/contenttype/forms"/>
  </ds:schemaRefs>
</ds:datastoreItem>
</file>

<file path=customXml/itemProps3.xml><?xml version="1.0" encoding="utf-8"?>
<ds:datastoreItem xmlns:ds="http://schemas.openxmlformats.org/officeDocument/2006/customXml" ds:itemID="{2C00192A-69C3-4DF6-BB8E-164B9BF6F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edd811-0bd2-4bfe-bec8-cdac3607f3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6EB9EF-2E8C-47E6-A8E4-0624908D39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DETAILED REPROT-Q4</vt:lpstr>
      <vt:lpstr>DTR-Q6</vt:lpstr>
      <vt:lpstr>DTR-Q5</vt:lpstr>
      <vt:lpstr>DTR-Q4</vt:lpstr>
      <vt:lpstr>DETAILED REPROT Q1</vt:lpstr>
      <vt:lpstr>DTRQ1</vt:lpstr>
      <vt:lpstr>SUMMARY REPORT Q4</vt:lpstr>
      <vt:lpstr>SUMMARY REPORT-Q3</vt:lpstr>
      <vt:lpstr>DTR-Q2</vt:lpstr>
      <vt:lpstr>DTR3</vt:lpstr>
      <vt:lpstr>SUMMARY REPORTQ1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Sophie Marie Guylene Aloe</cp:lastModifiedBy>
  <cp:lastPrinted>2019-06-14T12:47:10Z</cp:lastPrinted>
  <dcterms:created xsi:type="dcterms:W3CDTF">2017-11-15T21:17:43Z</dcterms:created>
  <dcterms:modified xsi:type="dcterms:W3CDTF">2020-06-26T15:33:03Z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Jet Reports Function Literals">
    <vt:lpwstr>,	;	,	{	}	[@[{0}]]	1033	2057</vt:lpwstr>
  </property>
</Properties>
</file>